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85" documentId="8_{1F3F9FE5-0A24-4814-A56C-6E11CFFF93FB}" xr6:coauthVersionLast="47" xr6:coauthVersionMax="47" xr10:uidLastSave="{92758897-8405-4D3A-AC0E-8BA37A518538}"/>
  <bookViews>
    <workbookView xWindow="28680" yWindow="-45" windowWidth="29040" windowHeight="15720" tabRatio="674" firstSheet="1" activeTab="6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<sst xmlns="http://schemas.openxmlformats.org/spreadsheetml/2006/main" count="599" uniqueCount="194">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</sst>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0" fontId="37" fillId="40" borderId="1" xfId="0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1.0107584311057043</c:v>
                </c:pt>
                <c:pt idx="1">
                  <c:v>1.003542772584826</c:v>
                </c:pt>
                <c:pt idx="2">
                  <c:v>1.4367565145236765</c:v>
                </c:pt>
                <c:pt idx="3">
                  <c:v>1.380950364337503</c:v>
                </c:pt>
                <c:pt idx="4">
                  <c:v>2.5757071474212165</c:v>
                </c:pt>
                <c:pt idx="5">
                  <c:v>2.6006188441307239</c:v>
                </c:pt>
                <c:pt idx="6">
                  <c:v>2.6026750050428946</c:v>
                </c:pt>
                <c:pt idx="7">
                  <c:v>2.7444376119088347</c:v>
                </c:pt>
                <c:pt idx="8">
                  <c:v>3.1366261517327856</c:v>
                </c:pt>
                <c:pt idx="9">
                  <c:v>2.4066370884169155</c:v>
                </c:pt>
                <c:pt idx="10">
                  <c:v>2.5248210377386555</c:v>
                </c:pt>
                <c:pt idx="11">
                  <c:v>2.569056406609199</c:v>
                </c:pt>
                <c:pt idx="12">
                  <c:v>2.5792049128964072</c:v>
                </c:pt>
                <c:pt idx="13">
                  <c:v>1.6701725531233846</c:v>
                </c:pt>
                <c:pt idx="14">
                  <c:v>1.1840365285789023</c:v>
                </c:pt>
                <c:pt idx="15">
                  <c:v>1.159953687582046</c:v>
                </c:pt>
                <c:pt idx="16">
                  <c:v>1.1324793410220584</c:v>
                </c:pt>
                <c:pt idx="17">
                  <c:v>1.0819297165887445</c:v>
                </c:pt>
                <c:pt idx="18">
                  <c:v>1.1099584551626134</c:v>
                </c:pt>
                <c:pt idx="19">
                  <c:v>1.0739863892271324</c:v>
                </c:pt>
                <c:pt idx="20">
                  <c:v>1.0409222539354099</c:v>
                </c:pt>
                <c:pt idx="21">
                  <c:v>1.0155804427616282</c:v>
                </c:pt>
                <c:pt idx="22">
                  <c:v>1.0041394087785127</c:v>
                </c:pt>
                <c:pt idx="23">
                  <c:v>1.2834026212319927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67208.866469773711</c:v>
                </c:pt>
                <c:pt idx="1">
                  <c:v>63803.197490726903</c:v>
                </c:pt>
                <c:pt idx="2">
                  <c:v>61118.062335692186</c:v>
                </c:pt>
                <c:pt idx="3">
                  <c:v>58525.242497898784</c:v>
                </c:pt>
                <c:pt idx="4">
                  <c:v>57538.885236785136</c:v>
                </c:pt>
                <c:pt idx="5">
                  <c:v>58915.714014547921</c:v>
                </c:pt>
                <c:pt idx="6">
                  <c:v>58941.189681249802</c:v>
                </c:pt>
                <c:pt idx="7">
                  <c:v>61753.4710767078</c:v>
                </c:pt>
                <c:pt idx="8">
                  <c:v>70258.939022638442</c:v>
                </c:pt>
                <c:pt idx="9">
                  <c:v>78964.58916427067</c:v>
                </c:pt>
                <c:pt idx="10">
                  <c:v>83797.294124683191</c:v>
                </c:pt>
                <c:pt idx="11">
                  <c:v>86513.426204378236</c:v>
                </c:pt>
                <c:pt idx="12">
                  <c:v>88196.618260373041</c:v>
                </c:pt>
                <c:pt idx="13">
                  <c:v>91072.414016586801</c:v>
                </c:pt>
                <c:pt idx="14">
                  <c:v>94521.826536283421</c:v>
                </c:pt>
                <c:pt idx="15">
                  <c:v>91993.482147295872</c:v>
                </c:pt>
                <c:pt idx="16">
                  <c:v>87938.277033046514</c:v>
                </c:pt>
                <c:pt idx="17">
                  <c:v>83858.632991090053</c:v>
                </c:pt>
                <c:pt idx="18">
                  <c:v>83155.87509836306</c:v>
                </c:pt>
                <c:pt idx="19">
                  <c:v>79310.633897209846</c:v>
                </c:pt>
                <c:pt idx="20">
                  <c:v>78112.010388117225</c:v>
                </c:pt>
                <c:pt idx="21">
                  <c:v>75878.846801639389</c:v>
                </c:pt>
                <c:pt idx="22">
                  <c:v>73327.506062751083</c:v>
                </c:pt>
                <c:pt idx="23">
                  <c:v>70023.815358922075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71646.874239871162</c:v>
                </c:pt>
                <c:pt idx="1">
                  <c:v>67850.943990834814</c:v>
                </c:pt>
                <c:pt idx="2">
                  <c:v>65043.363885444785</c:v>
                </c:pt>
                <c:pt idx="3">
                  <c:v>62744.512466881191</c:v>
                </c:pt>
                <c:pt idx="4">
                  <c:v>60917.030148312115</c:v>
                </c:pt>
                <c:pt idx="5">
                  <c:v>60685.991994850883</c:v>
                </c:pt>
                <c:pt idx="6">
                  <c:v>60649.767727741732</c:v>
                </c:pt>
                <c:pt idx="7">
                  <c:v>63111.607314548717</c:v>
                </c:pt>
                <c:pt idx="8">
                  <c:v>72458.75136361667</c:v>
                </c:pt>
                <c:pt idx="9">
                  <c:v>79292.175700299806</c:v>
                </c:pt>
                <c:pt idx="10">
                  <c:v>82254.942972859571</c:v>
                </c:pt>
                <c:pt idx="11">
                  <c:v>84427.074621454682</c:v>
                </c:pt>
                <c:pt idx="12">
                  <c:v>83412.345704292558</c:v>
                </c:pt>
                <c:pt idx="13">
                  <c:v>88437.980201935454</c:v>
                </c:pt>
                <c:pt idx="14">
                  <c:v>87273.897605617312</c:v>
                </c:pt>
                <c:pt idx="15">
                  <c:v>86113.455439570927</c:v>
                </c:pt>
                <c:pt idx="16">
                  <c:v>85348.04933344372</c:v>
                </c:pt>
                <c:pt idx="17">
                  <c:v>81692.842592736677</c:v>
                </c:pt>
                <c:pt idx="18">
                  <c:v>84696.750383525359</c:v>
                </c:pt>
                <c:pt idx="19">
                  <c:v>81232.045543913278</c:v>
                </c:pt>
                <c:pt idx="20">
                  <c:v>79345.152627651813</c:v>
                </c:pt>
                <c:pt idx="21">
                  <c:v>78172.053136747272</c:v>
                </c:pt>
                <c:pt idx="22">
                  <c:v>74431.25648322326</c:v>
                </c:pt>
                <c:pt idx="23">
                  <c:v>67662.979961847261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67215.435668529331</c:v>
                </c:pt>
                <c:pt idx="1">
                  <c:v>63724.966059136459</c:v>
                </c:pt>
                <c:pt idx="2">
                  <c:v>61062.151867256252</c:v>
                </c:pt>
                <c:pt idx="3">
                  <c:v>58690.39048434388</c:v>
                </c:pt>
                <c:pt idx="4">
                  <c:v>57953.410816977368</c:v>
                </c:pt>
                <c:pt idx="5">
                  <c:v>58513.923992941287</c:v>
                </c:pt>
                <c:pt idx="6">
                  <c:v>58560.187613465125</c:v>
                </c:pt>
                <c:pt idx="7">
                  <c:v>61749.846267948778</c:v>
                </c:pt>
                <c:pt idx="8">
                  <c:v>70574.088413987673</c:v>
                </c:pt>
                <c:pt idx="9">
                  <c:v>78215.705373549747</c:v>
                </c:pt>
                <c:pt idx="10">
                  <c:v>82056.683726506308</c:v>
                </c:pt>
                <c:pt idx="11">
                  <c:v>83494.333214798971</c:v>
                </c:pt>
                <c:pt idx="12">
                  <c:v>83824.159669133238</c:v>
                </c:pt>
                <c:pt idx="13">
                  <c:v>87684.059038977692</c:v>
                </c:pt>
                <c:pt idx="14">
                  <c:v>88802.739643417677</c:v>
                </c:pt>
                <c:pt idx="15">
                  <c:v>86996.526568653455</c:v>
                </c:pt>
                <c:pt idx="16">
                  <c:v>84935.950576654373</c:v>
                </c:pt>
                <c:pt idx="17">
                  <c:v>81144.728744155844</c:v>
                </c:pt>
                <c:pt idx="18">
                  <c:v>83246.884137196001</c:v>
                </c:pt>
                <c:pt idx="19">
                  <c:v>80548.979192034938</c:v>
                </c:pt>
                <c:pt idx="20">
                  <c:v>78069.169045155737</c:v>
                </c:pt>
                <c:pt idx="21">
                  <c:v>76168.533207122106</c:v>
                </c:pt>
                <c:pt idx="22">
                  <c:v>72298.037432052908</c:v>
                </c:pt>
                <c:pt idx="23">
                  <c:v>67378.63761467961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3.7037701266666665</c:v>
                </c:pt>
                <c:pt idx="1">
                  <c:v>3.5504356200000005</c:v>
                </c:pt>
                <c:pt idx="2">
                  <c:v>3.4061144583333336</c:v>
                </c:pt>
                <c:pt idx="3">
                  <c:v>3.3212257666666667</c:v>
                </c:pt>
                <c:pt idx="4">
                  <c:v>3.3725303383333332</c:v>
                </c:pt>
                <c:pt idx="5">
                  <c:v>3.2911599466666663</c:v>
                </c:pt>
                <c:pt idx="6">
                  <c:v>3.5590823083333341</c:v>
                </c:pt>
                <c:pt idx="7">
                  <c:v>2.860212488333334</c:v>
                </c:pt>
                <c:pt idx="8">
                  <c:v>3.2018348899999998</c:v>
                </c:pt>
                <c:pt idx="9">
                  <c:v>3.3018126583333327</c:v>
                </c:pt>
                <c:pt idx="10">
                  <c:v>2.8580888966666671</c:v>
                </c:pt>
                <c:pt idx="11">
                  <c:v>2.2303272416666671</c:v>
                </c:pt>
                <c:pt idx="12">
                  <c:v>1.9151917616666665</c:v>
                </c:pt>
                <c:pt idx="13">
                  <c:v>4.1128054566666652</c:v>
                </c:pt>
                <c:pt idx="14">
                  <c:v>4.2623945549999993</c:v>
                </c:pt>
                <c:pt idx="15">
                  <c:v>3.6892927449999995</c:v>
                </c:pt>
                <c:pt idx="16">
                  <c:v>3.844107361666667</c:v>
                </c:pt>
                <c:pt idx="17">
                  <c:v>5.0713498400000008</c:v>
                </c:pt>
                <c:pt idx="18">
                  <c:v>5.301676651666666</c:v>
                </c:pt>
                <c:pt idx="19">
                  <c:v>4.6870146583333341</c:v>
                </c:pt>
                <c:pt idx="20">
                  <c:v>4.4476637933333336</c:v>
                </c:pt>
                <c:pt idx="21">
                  <c:v>3.6745017749999995</c:v>
                </c:pt>
                <c:pt idx="22">
                  <c:v>3.591688706666667</c:v>
                </c:pt>
                <c:pt idx="23">
                  <c:v>3.1855881283333334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3.8328648266666661</c:v>
                </c:pt>
                <c:pt idx="1">
                  <c:v>3.5615976583333326</c:v>
                </c:pt>
                <c:pt idx="2">
                  <c:v>3.5090654450000001</c:v>
                </c:pt>
                <c:pt idx="3">
                  <c:v>3.4495571850000006</c:v>
                </c:pt>
                <c:pt idx="4">
                  <c:v>3.4248603333333336</c:v>
                </c:pt>
                <c:pt idx="5">
                  <c:v>3.5326190133333335</c:v>
                </c:pt>
                <c:pt idx="6">
                  <c:v>3.3777775983333336</c:v>
                </c:pt>
                <c:pt idx="7">
                  <c:v>3.226679995</c:v>
                </c:pt>
                <c:pt idx="8">
                  <c:v>3.1742074933333333</c:v>
                </c:pt>
                <c:pt idx="9">
                  <c:v>3.8762188633333339</c:v>
                </c:pt>
                <c:pt idx="10">
                  <c:v>4.8359367249999998</c:v>
                </c:pt>
                <c:pt idx="11">
                  <c:v>3.4213819483333339</c:v>
                </c:pt>
                <c:pt idx="12">
                  <c:v>3.0716876433333331</c:v>
                </c:pt>
                <c:pt idx="13">
                  <c:v>3.2484950116666669</c:v>
                </c:pt>
                <c:pt idx="14">
                  <c:v>3.1714647499999997</c:v>
                </c:pt>
                <c:pt idx="15">
                  <c:v>3.7309937949999998</c:v>
                </c:pt>
                <c:pt idx="16">
                  <c:v>3.6714051733333335</c:v>
                </c:pt>
                <c:pt idx="17">
                  <c:v>3.3222140716666666</c:v>
                </c:pt>
                <c:pt idx="18">
                  <c:v>3.5831153033333338</c:v>
                </c:pt>
                <c:pt idx="19">
                  <c:v>3.6069067216666668</c:v>
                </c:pt>
                <c:pt idx="20">
                  <c:v>4.1224531150000008</c:v>
                </c:pt>
                <c:pt idx="21">
                  <c:v>3.1433564583333329</c:v>
                </c:pt>
                <c:pt idx="22">
                  <c:v>3.9717253516666675</c:v>
                </c:pt>
                <c:pt idx="23">
                  <c:v>2.9462993866666665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3.7239365683333334</c:v>
                </c:pt>
                <c:pt idx="1">
                  <c:v>3.5646591095833333</c:v>
                </c:pt>
                <c:pt idx="2">
                  <c:v>3.2499626958333341</c:v>
                </c:pt>
                <c:pt idx="3">
                  <c:v>3.2124664079166667</c:v>
                </c:pt>
                <c:pt idx="4">
                  <c:v>2.7534341679166667</c:v>
                </c:pt>
                <c:pt idx="5">
                  <c:v>3.03120199</c:v>
                </c:pt>
                <c:pt idx="6">
                  <c:v>2.9913310566666671</c:v>
                </c:pt>
                <c:pt idx="7">
                  <c:v>2.5679503508333332</c:v>
                </c:pt>
                <c:pt idx="8">
                  <c:v>2.9159714358333337</c:v>
                </c:pt>
                <c:pt idx="9">
                  <c:v>3.1923393404166664</c:v>
                </c:pt>
                <c:pt idx="10">
                  <c:v>3.2594510654166666</c:v>
                </c:pt>
                <c:pt idx="11">
                  <c:v>2.7161859975000002</c:v>
                </c:pt>
                <c:pt idx="12">
                  <c:v>2.5817097812499998</c:v>
                </c:pt>
                <c:pt idx="13">
                  <c:v>3.3833074513888879</c:v>
                </c:pt>
                <c:pt idx="14">
                  <c:v>3.5251327708333329</c:v>
                </c:pt>
                <c:pt idx="15">
                  <c:v>3.5333185166666667</c:v>
                </c:pt>
                <c:pt idx="16">
                  <c:v>3.7944865158333325</c:v>
                </c:pt>
                <c:pt idx="17">
                  <c:v>4.4206500919444442</c:v>
                </c:pt>
                <c:pt idx="18">
                  <c:v>4.2759821058333332</c:v>
                </c:pt>
                <c:pt idx="19">
                  <c:v>3.9857575566666674</c:v>
                </c:pt>
                <c:pt idx="20">
                  <c:v>4.0285327980555552</c:v>
                </c:pt>
                <c:pt idx="21">
                  <c:v>3.6023343388888889</c:v>
                </c:pt>
                <c:pt idx="22">
                  <c:v>3.6688168563888888</c:v>
                </c:pt>
                <c:pt idx="23">
                  <c:v>3.3502527991666664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5897.0029999999997</c:v>
                </c:pt>
                <c:pt idx="1">
                  <c:v>5743.6469999999999</c:v>
                </c:pt>
                <c:pt idx="2">
                  <c:v>5647.8379999999997</c:v>
                </c:pt>
                <c:pt idx="3">
                  <c:v>5525.869999999999</c:v>
                </c:pt>
                <c:pt idx="4">
                  <c:v>5517.0709999999999</c:v>
                </c:pt>
                <c:pt idx="5">
                  <c:v>5521.7959999999994</c:v>
                </c:pt>
                <c:pt idx="6">
                  <c:v>6208.1110000000008</c:v>
                </c:pt>
                <c:pt idx="7">
                  <c:v>6716.0520000000006</c:v>
                </c:pt>
                <c:pt idx="8">
                  <c:v>7870.0299999999988</c:v>
                </c:pt>
                <c:pt idx="9">
                  <c:v>12866.279999999999</c:v>
                </c:pt>
                <c:pt idx="10">
                  <c:v>14826.755999999999</c:v>
                </c:pt>
                <c:pt idx="11">
                  <c:v>14561.575000000001</c:v>
                </c:pt>
                <c:pt idx="12">
                  <c:v>14860.608</c:v>
                </c:pt>
                <c:pt idx="13">
                  <c:v>15190.672</c:v>
                </c:pt>
                <c:pt idx="14">
                  <c:v>15530.703999999996</c:v>
                </c:pt>
                <c:pt idx="15">
                  <c:v>15502.305</c:v>
                </c:pt>
                <c:pt idx="16">
                  <c:v>15759.030000000002</c:v>
                </c:pt>
                <c:pt idx="17">
                  <c:v>15369.179</c:v>
                </c:pt>
                <c:pt idx="18">
                  <c:v>14871.633000000002</c:v>
                </c:pt>
                <c:pt idx="19">
                  <c:v>13711.725999999999</c:v>
                </c:pt>
                <c:pt idx="20">
                  <c:v>11843.587000000001</c:v>
                </c:pt>
                <c:pt idx="21">
                  <c:v>9328.2839999999997</c:v>
                </c:pt>
                <c:pt idx="22">
                  <c:v>6488.8810000000003</c:v>
                </c:pt>
                <c:pt idx="23">
                  <c:v>5567.0790000000015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5702.5990000000002</c:v>
                </c:pt>
                <c:pt idx="1">
                  <c:v>5554.6260000000002</c:v>
                </c:pt>
                <c:pt idx="2">
                  <c:v>5461.8270000000002</c:v>
                </c:pt>
                <c:pt idx="3">
                  <c:v>5438.09</c:v>
                </c:pt>
                <c:pt idx="4">
                  <c:v>5396.6919999999991</c:v>
                </c:pt>
                <c:pt idx="5">
                  <c:v>5502.9939999999997</c:v>
                </c:pt>
                <c:pt idx="6">
                  <c:v>5438.1529999999993</c:v>
                </c:pt>
                <c:pt idx="7">
                  <c:v>6322.8409999999994</c:v>
                </c:pt>
                <c:pt idx="8">
                  <c:v>7933.1490000000003</c:v>
                </c:pt>
                <c:pt idx="9">
                  <c:v>13237.721</c:v>
                </c:pt>
                <c:pt idx="10">
                  <c:v>14946.841</c:v>
                </c:pt>
                <c:pt idx="11">
                  <c:v>15058.434999999999</c:v>
                </c:pt>
                <c:pt idx="12">
                  <c:v>14538.069000000001</c:v>
                </c:pt>
                <c:pt idx="13">
                  <c:v>15524.6</c:v>
                </c:pt>
                <c:pt idx="14">
                  <c:v>15333.710000000003</c:v>
                </c:pt>
                <c:pt idx="15">
                  <c:v>15175.51</c:v>
                </c:pt>
                <c:pt idx="16">
                  <c:v>16461.445</c:v>
                </c:pt>
                <c:pt idx="17">
                  <c:v>16371.236000000001</c:v>
                </c:pt>
                <c:pt idx="18">
                  <c:v>16042.495000000001</c:v>
                </c:pt>
                <c:pt idx="19">
                  <c:v>14469.370999999997</c:v>
                </c:pt>
                <c:pt idx="20">
                  <c:v>12654.817000000003</c:v>
                </c:pt>
                <c:pt idx="21">
                  <c:v>9718.0019999999986</c:v>
                </c:pt>
                <c:pt idx="22">
                  <c:v>6262.69</c:v>
                </c:pt>
                <c:pt idx="23">
                  <c:v>5422.9140000000007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5799.8009999999995</c:v>
                </c:pt>
                <c:pt idx="1">
                  <c:v>5649.1365000000005</c:v>
                </c:pt>
                <c:pt idx="2">
                  <c:v>5554.8325000000004</c:v>
                </c:pt>
                <c:pt idx="3">
                  <c:v>5481.98</c:v>
                </c:pt>
                <c:pt idx="4">
                  <c:v>5456.8814999999995</c:v>
                </c:pt>
                <c:pt idx="5">
                  <c:v>5512.3949999999995</c:v>
                </c:pt>
                <c:pt idx="6">
                  <c:v>5765.4772277227721</c:v>
                </c:pt>
                <c:pt idx="7">
                  <c:v>6519.4465</c:v>
                </c:pt>
                <c:pt idx="8">
                  <c:v>7901.5895</c:v>
                </c:pt>
                <c:pt idx="9">
                  <c:v>13052.000499999998</c:v>
                </c:pt>
                <c:pt idx="10">
                  <c:v>14886.798500000001</c:v>
                </c:pt>
                <c:pt idx="11">
                  <c:v>14810.005000000001</c:v>
                </c:pt>
                <c:pt idx="12">
                  <c:v>14699.338500000002</c:v>
                </c:pt>
                <c:pt idx="13">
                  <c:v>15357.636</c:v>
                </c:pt>
                <c:pt idx="14">
                  <c:v>15432.206999999999</c:v>
                </c:pt>
                <c:pt idx="15">
                  <c:v>15338.907500000001</c:v>
                </c:pt>
                <c:pt idx="16">
                  <c:v>15792.80217625723</c:v>
                </c:pt>
                <c:pt idx="17">
                  <c:v>15557.501715518087</c:v>
                </c:pt>
                <c:pt idx="18">
                  <c:v>15152.498774629941</c:v>
                </c:pt>
                <c:pt idx="19">
                  <c:v>13812.909028526612</c:v>
                </c:pt>
                <c:pt idx="20">
                  <c:v>12007.844328987354</c:v>
                </c:pt>
                <c:pt idx="21">
                  <c:v>9523.143</c:v>
                </c:pt>
                <c:pt idx="22">
                  <c:v>6375.7855</c:v>
                </c:pt>
                <c:pt idx="23">
                  <c:v>5494.9965000000011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16500</c:v>
                </c:pt>
                <c:pt idx="1">
                  <c:v>13500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22000</c:v>
                </c:pt>
                <c:pt idx="2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20000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715.43566852933145</c:v>
                </c:pt>
                <c:pt idx="1">
                  <c:v>224.96605913645908</c:v>
                </c:pt>
                <c:pt idx="2">
                  <c:v>18562.151867256252</c:v>
                </c:pt>
                <c:pt idx="3">
                  <c:v>16190.39048434388</c:v>
                </c:pt>
                <c:pt idx="4">
                  <c:v>35453.410816977368</c:v>
                </c:pt>
                <c:pt idx="5">
                  <c:v>36013.923992941287</c:v>
                </c:pt>
                <c:pt idx="6">
                  <c:v>36060.187613465125</c:v>
                </c:pt>
                <c:pt idx="7">
                  <c:v>39249.846267948778</c:v>
                </c:pt>
                <c:pt idx="8">
                  <c:v>48074.088413987673</c:v>
                </c:pt>
                <c:pt idx="9">
                  <c:v>45715.705373549747</c:v>
                </c:pt>
                <c:pt idx="10">
                  <c:v>49556.683726506308</c:v>
                </c:pt>
                <c:pt idx="11">
                  <c:v>50994.333214798971</c:v>
                </c:pt>
                <c:pt idx="12">
                  <c:v>51324.159669133238</c:v>
                </c:pt>
                <c:pt idx="13">
                  <c:v>35184.059038977692</c:v>
                </c:pt>
                <c:pt idx="14">
                  <c:v>13802.739643417677</c:v>
                </c:pt>
                <c:pt idx="15">
                  <c:v>11996.526568653455</c:v>
                </c:pt>
                <c:pt idx="16">
                  <c:v>9935.9505766543734</c:v>
                </c:pt>
                <c:pt idx="17">
                  <c:v>6144.7287441558437</c:v>
                </c:pt>
                <c:pt idx="18">
                  <c:v>8246.8841371960007</c:v>
                </c:pt>
                <c:pt idx="19">
                  <c:v>5548.979192034938</c:v>
                </c:pt>
                <c:pt idx="20">
                  <c:v>3069.169045155737</c:v>
                </c:pt>
                <c:pt idx="21">
                  <c:v>1168.5332071221055</c:v>
                </c:pt>
                <c:pt idx="22">
                  <c:v>298.03743205290812</c:v>
                </c:pt>
                <c:pt idx="23">
                  <c:v>14878.63761467961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67215.435668529331</c:v>
                </c:pt>
                <c:pt idx="1">
                  <c:v>63724.966059136459</c:v>
                </c:pt>
                <c:pt idx="2">
                  <c:v>61062.151867256252</c:v>
                </c:pt>
                <c:pt idx="3">
                  <c:v>58690.39048434388</c:v>
                </c:pt>
                <c:pt idx="4">
                  <c:v>57953.410816977368</c:v>
                </c:pt>
                <c:pt idx="5">
                  <c:v>58513.923992941287</c:v>
                </c:pt>
                <c:pt idx="6">
                  <c:v>58560.187613465125</c:v>
                </c:pt>
                <c:pt idx="7">
                  <c:v>61749.846267948778</c:v>
                </c:pt>
                <c:pt idx="8">
                  <c:v>70574.088413987673</c:v>
                </c:pt>
                <c:pt idx="9">
                  <c:v>78215.705373549747</c:v>
                </c:pt>
                <c:pt idx="10">
                  <c:v>82056.683726506308</c:v>
                </c:pt>
                <c:pt idx="11">
                  <c:v>83494.333214798971</c:v>
                </c:pt>
                <c:pt idx="12">
                  <c:v>83824.159669133238</c:v>
                </c:pt>
                <c:pt idx="13">
                  <c:v>87684.059038977692</c:v>
                </c:pt>
                <c:pt idx="14">
                  <c:v>88802.739643417677</c:v>
                </c:pt>
                <c:pt idx="15">
                  <c:v>86996.526568653455</c:v>
                </c:pt>
                <c:pt idx="16">
                  <c:v>84935.950576654373</c:v>
                </c:pt>
                <c:pt idx="17">
                  <c:v>81144.728744155844</c:v>
                </c:pt>
                <c:pt idx="18">
                  <c:v>83246.884137196001</c:v>
                </c:pt>
                <c:pt idx="19">
                  <c:v>80548.979192034938</c:v>
                </c:pt>
                <c:pt idx="20">
                  <c:v>78069.169045155737</c:v>
                </c:pt>
                <c:pt idx="21">
                  <c:v>76168.533207122106</c:v>
                </c:pt>
                <c:pt idx="22">
                  <c:v>72298.037432052908</c:v>
                </c:pt>
                <c:pt idx="23">
                  <c:v>67378.63761467961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715.43566852933145</c:v>
                </c:pt>
                <c:pt idx="1">
                  <c:v>224.96605913645908</c:v>
                </c:pt>
                <c:pt idx="2">
                  <c:v>18562.151867256252</c:v>
                </c:pt>
                <c:pt idx="3">
                  <c:v>16190.39048434388</c:v>
                </c:pt>
                <c:pt idx="4">
                  <c:v>35453.410816977368</c:v>
                </c:pt>
                <c:pt idx="5">
                  <c:v>36013.923992941287</c:v>
                </c:pt>
                <c:pt idx="6">
                  <c:v>36060.187613465125</c:v>
                </c:pt>
                <c:pt idx="7">
                  <c:v>39249.846267948778</c:v>
                </c:pt>
                <c:pt idx="8">
                  <c:v>48074.088413987673</c:v>
                </c:pt>
                <c:pt idx="9">
                  <c:v>45715.705373549747</c:v>
                </c:pt>
                <c:pt idx="10">
                  <c:v>49556.683726506308</c:v>
                </c:pt>
                <c:pt idx="11">
                  <c:v>50994.333214798971</c:v>
                </c:pt>
                <c:pt idx="12">
                  <c:v>51324.159669133238</c:v>
                </c:pt>
                <c:pt idx="13">
                  <c:v>35184.059038977692</c:v>
                </c:pt>
                <c:pt idx="14">
                  <c:v>13802.739643417677</c:v>
                </c:pt>
                <c:pt idx="15">
                  <c:v>11996.526568653455</c:v>
                </c:pt>
                <c:pt idx="16">
                  <c:v>9935.9505766543734</c:v>
                </c:pt>
                <c:pt idx="17">
                  <c:v>6144.7287441558437</c:v>
                </c:pt>
                <c:pt idx="18">
                  <c:v>8246.8841371960007</c:v>
                </c:pt>
                <c:pt idx="19">
                  <c:v>5548.979192034938</c:v>
                </c:pt>
                <c:pt idx="20">
                  <c:v>3069.169045155737</c:v>
                </c:pt>
                <c:pt idx="21">
                  <c:v>1168.5332071221055</c:v>
                </c:pt>
                <c:pt idx="22">
                  <c:v>298.03743205290812</c:v>
                </c:pt>
                <c:pt idx="23">
                  <c:v>14878.63761467961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3.7239365683333334</c:v>
                </c:pt>
                <c:pt idx="1">
                  <c:v>3.5646591095833333</c:v>
                </c:pt>
                <c:pt idx="2">
                  <c:v>3.2499626958333341</c:v>
                </c:pt>
                <c:pt idx="3">
                  <c:v>3.2124664079166667</c:v>
                </c:pt>
                <c:pt idx="4">
                  <c:v>2.7534341679166667</c:v>
                </c:pt>
                <c:pt idx="5">
                  <c:v>3.03120199</c:v>
                </c:pt>
                <c:pt idx="6">
                  <c:v>2.9913310566666671</c:v>
                </c:pt>
                <c:pt idx="7">
                  <c:v>2.5679503508333332</c:v>
                </c:pt>
                <c:pt idx="8">
                  <c:v>2.9159714358333337</c:v>
                </c:pt>
                <c:pt idx="9">
                  <c:v>3.1923393404166664</c:v>
                </c:pt>
                <c:pt idx="10">
                  <c:v>3.2594510654166666</c:v>
                </c:pt>
                <c:pt idx="11">
                  <c:v>2.7161859975000002</c:v>
                </c:pt>
                <c:pt idx="12">
                  <c:v>2.5817097812499998</c:v>
                </c:pt>
                <c:pt idx="13">
                  <c:v>3.3833074513888879</c:v>
                </c:pt>
                <c:pt idx="14">
                  <c:v>3.5251327708333329</c:v>
                </c:pt>
                <c:pt idx="15">
                  <c:v>3.5333185166666667</c:v>
                </c:pt>
                <c:pt idx="16">
                  <c:v>3.7944865158333325</c:v>
                </c:pt>
                <c:pt idx="17">
                  <c:v>4.4206500919444442</c:v>
                </c:pt>
                <c:pt idx="18">
                  <c:v>4.2759821058333332</c:v>
                </c:pt>
                <c:pt idx="19">
                  <c:v>3.9857575566666674</c:v>
                </c:pt>
                <c:pt idx="20">
                  <c:v>4.0285327980555552</c:v>
                </c:pt>
                <c:pt idx="21">
                  <c:v>3.6023343388888889</c:v>
                </c:pt>
                <c:pt idx="22">
                  <c:v>3.6688168563888888</c:v>
                </c:pt>
                <c:pt idx="23">
                  <c:v>3.3502527991666664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67215.435668529331</c:v>
                </c:pt>
                <c:pt idx="1">
                  <c:v>63724.966059136459</c:v>
                </c:pt>
                <c:pt idx="2">
                  <c:v>61062.151867256252</c:v>
                </c:pt>
                <c:pt idx="3">
                  <c:v>58690.39048434388</c:v>
                </c:pt>
                <c:pt idx="4">
                  <c:v>57953.410816977368</c:v>
                </c:pt>
                <c:pt idx="5">
                  <c:v>58513.923992941287</c:v>
                </c:pt>
                <c:pt idx="6">
                  <c:v>58560.187613465125</c:v>
                </c:pt>
                <c:pt idx="7">
                  <c:v>61749.846267948778</c:v>
                </c:pt>
                <c:pt idx="8">
                  <c:v>70574.088413987673</c:v>
                </c:pt>
                <c:pt idx="9">
                  <c:v>78215.705373549747</c:v>
                </c:pt>
                <c:pt idx="10">
                  <c:v>82056.683726506308</c:v>
                </c:pt>
                <c:pt idx="11">
                  <c:v>83494.333214798971</c:v>
                </c:pt>
                <c:pt idx="12">
                  <c:v>83824.159669133238</c:v>
                </c:pt>
                <c:pt idx="13">
                  <c:v>87684.059038977692</c:v>
                </c:pt>
                <c:pt idx="14">
                  <c:v>88802.739643417677</c:v>
                </c:pt>
                <c:pt idx="15">
                  <c:v>86996.526568653455</c:v>
                </c:pt>
                <c:pt idx="16">
                  <c:v>84935.950576654373</c:v>
                </c:pt>
                <c:pt idx="17">
                  <c:v>81144.728744155844</c:v>
                </c:pt>
                <c:pt idx="18">
                  <c:v>83246.884137196001</c:v>
                </c:pt>
                <c:pt idx="19">
                  <c:v>80548.979192034938</c:v>
                </c:pt>
                <c:pt idx="20">
                  <c:v>78069.169045155737</c:v>
                </c:pt>
                <c:pt idx="21">
                  <c:v>76168.533207122106</c:v>
                </c:pt>
                <c:pt idx="22">
                  <c:v>72298.037432052908</c:v>
                </c:pt>
                <c:pt idx="23">
                  <c:v>67378.63761467961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-66500</c:v>
                </c:pt>
                <c:pt idx="1">
                  <c:v>-63500</c:v>
                </c:pt>
                <c:pt idx="2">
                  <c:v>-42500</c:v>
                </c:pt>
                <c:pt idx="3">
                  <c:v>-42500</c:v>
                </c:pt>
                <c:pt idx="4">
                  <c:v>-22500</c:v>
                </c:pt>
                <c:pt idx="5">
                  <c:v>-22500</c:v>
                </c:pt>
                <c:pt idx="6">
                  <c:v>-22500</c:v>
                </c:pt>
                <c:pt idx="7">
                  <c:v>-22500</c:v>
                </c:pt>
                <c:pt idx="8">
                  <c:v>-22500</c:v>
                </c:pt>
                <c:pt idx="9">
                  <c:v>-32500</c:v>
                </c:pt>
                <c:pt idx="10">
                  <c:v>-32500</c:v>
                </c:pt>
                <c:pt idx="11">
                  <c:v>-32500</c:v>
                </c:pt>
                <c:pt idx="12">
                  <c:v>-32500</c:v>
                </c:pt>
                <c:pt idx="13">
                  <c:v>-52500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-72000</c:v>
                </c:pt>
                <c:pt idx="23">
                  <c:v>-52500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715.43566852933145</c:v>
                </c:pt>
                <c:pt idx="1">
                  <c:v>224.96605913645908</c:v>
                </c:pt>
                <c:pt idx="2">
                  <c:v>18562.151867256252</c:v>
                </c:pt>
                <c:pt idx="3">
                  <c:v>16190.39048434388</c:v>
                </c:pt>
                <c:pt idx="4">
                  <c:v>35453.410816977368</c:v>
                </c:pt>
                <c:pt idx="5">
                  <c:v>36013.923992941287</c:v>
                </c:pt>
                <c:pt idx="6">
                  <c:v>36060.187613465125</c:v>
                </c:pt>
                <c:pt idx="7">
                  <c:v>39249.846267948778</c:v>
                </c:pt>
                <c:pt idx="8">
                  <c:v>48074.088413987673</c:v>
                </c:pt>
                <c:pt idx="9">
                  <c:v>45715.705373549747</c:v>
                </c:pt>
                <c:pt idx="10">
                  <c:v>49556.683726506308</c:v>
                </c:pt>
                <c:pt idx="11">
                  <c:v>50994.333214798971</c:v>
                </c:pt>
                <c:pt idx="12">
                  <c:v>51324.159669133238</c:v>
                </c:pt>
                <c:pt idx="13">
                  <c:v>35184.059038977692</c:v>
                </c:pt>
                <c:pt idx="14">
                  <c:v>13802.739643417677</c:v>
                </c:pt>
                <c:pt idx="15">
                  <c:v>11996.526568653455</c:v>
                </c:pt>
                <c:pt idx="16">
                  <c:v>9935.9505766543734</c:v>
                </c:pt>
                <c:pt idx="17">
                  <c:v>6144.7287441558437</c:v>
                </c:pt>
                <c:pt idx="18">
                  <c:v>8246.8841371960007</c:v>
                </c:pt>
                <c:pt idx="19">
                  <c:v>5548.979192034938</c:v>
                </c:pt>
                <c:pt idx="20">
                  <c:v>3069.169045155737</c:v>
                </c:pt>
                <c:pt idx="21">
                  <c:v>1168.5332071221055</c:v>
                </c:pt>
                <c:pt idx="22">
                  <c:v>298.03743205290812</c:v>
                </c:pt>
                <c:pt idx="23">
                  <c:v>14878.63761467961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3.7239365683333334</c:v>
                </c:pt>
                <c:pt idx="1">
                  <c:v>3.5646591095833333</c:v>
                </c:pt>
                <c:pt idx="2">
                  <c:v>3.2499626958333341</c:v>
                </c:pt>
                <c:pt idx="3">
                  <c:v>3.2124664079166667</c:v>
                </c:pt>
                <c:pt idx="4">
                  <c:v>2.7534341679166667</c:v>
                </c:pt>
                <c:pt idx="5">
                  <c:v>3.03120199</c:v>
                </c:pt>
                <c:pt idx="6">
                  <c:v>2.9913310566666671</c:v>
                </c:pt>
                <c:pt idx="7">
                  <c:v>2.5679503508333332</c:v>
                </c:pt>
                <c:pt idx="8">
                  <c:v>2.9159714358333337</c:v>
                </c:pt>
                <c:pt idx="9">
                  <c:v>3.1923393404166664</c:v>
                </c:pt>
                <c:pt idx="10">
                  <c:v>3.2594510654166666</c:v>
                </c:pt>
                <c:pt idx="11">
                  <c:v>2.7161859975000002</c:v>
                </c:pt>
                <c:pt idx="12">
                  <c:v>2.5817097812499998</c:v>
                </c:pt>
                <c:pt idx="13">
                  <c:v>3.3833074513888879</c:v>
                </c:pt>
                <c:pt idx="14">
                  <c:v>3.5251327708333329</c:v>
                </c:pt>
                <c:pt idx="15">
                  <c:v>3.5333185166666667</c:v>
                </c:pt>
                <c:pt idx="16">
                  <c:v>3.7944865158333325</c:v>
                </c:pt>
                <c:pt idx="17">
                  <c:v>4.4206500919444442</c:v>
                </c:pt>
                <c:pt idx="18">
                  <c:v>4.2759821058333332</c:v>
                </c:pt>
                <c:pt idx="19">
                  <c:v>3.9857575566666674</c:v>
                </c:pt>
                <c:pt idx="20">
                  <c:v>4.0285327980555552</c:v>
                </c:pt>
                <c:pt idx="21">
                  <c:v>3.6023343388888889</c:v>
                </c:pt>
                <c:pt idx="22">
                  <c:v>3.6688168563888888</c:v>
                </c:pt>
                <c:pt idx="23">
                  <c:v>3.3502527991666664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4.1896816426159464</c:v>
                </c:pt>
                <c:pt idx="1">
                  <c:v>4.2325300920676909</c:v>
                </c:pt>
                <c:pt idx="2">
                  <c:v>4.6522682165587028</c:v>
                </c:pt>
                <c:pt idx="3">
                  <c:v>4.6522682165587028</c:v>
                </c:pt>
                <c:pt idx="4">
                  <c:v>3.293039964610883</c:v>
                </c:pt>
                <c:pt idx="5">
                  <c:v>3.293039964610883</c:v>
                </c:pt>
                <c:pt idx="6">
                  <c:v>3.293039964610883</c:v>
                </c:pt>
                <c:pt idx="7">
                  <c:v>3.293039964610883</c:v>
                </c:pt>
                <c:pt idx="8">
                  <c:v>3.293039964610883</c:v>
                </c:pt>
                <c:pt idx="9">
                  <c:v>4.1817661293459958</c:v>
                </c:pt>
                <c:pt idx="10">
                  <c:v>4.1817661293459958</c:v>
                </c:pt>
                <c:pt idx="11">
                  <c:v>4.1817661293459958</c:v>
                </c:pt>
                <c:pt idx="12">
                  <c:v>4.1817661293459958</c:v>
                </c:pt>
                <c:pt idx="13">
                  <c:v>4.4271156913382477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4.1204000640464002</c:v>
                </c:pt>
                <c:pt idx="23">
                  <c:v>4.4271156913382477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5.0897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43" t="s">
        <v>1</v>
      </c>
      <c r="H1" s="143"/>
      <c r="I1" s="143"/>
      <c r="J1" s="143"/>
      <c r="K1" s="143"/>
    </row>
    <row r="2" spans="2:39" ht="10.35" customHeight="1" x14ac:dyDescent="0.3"/>
    <row r="3" spans="2:39" ht="22.5" customHeight="1" x14ac:dyDescent="0.3">
      <c r="B3" s="47" t="s">
        <v>2</v>
      </c>
      <c r="G3" s="144" t="s">
        <v>3</v>
      </c>
      <c r="H3" s="144"/>
      <c r="I3" s="144"/>
      <c r="J3" s="45" t="e">
        <f>AM46</f>
        <v>#REF!</v>
      </c>
      <c r="L3" s="144" t="s">
        <v>4</v>
      </c>
      <c r="M3" s="144"/>
      <c r="N3" s="144"/>
      <c r="O3" s="45" t="e">
        <f>AM47</f>
        <v>#REF!</v>
      </c>
      <c r="Q3" s="144" t="s">
        <v>5</v>
      </c>
      <c r="R3" s="144"/>
      <c r="S3" s="144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44" t="s">
        <v>3</v>
      </c>
      <c r="H5" s="144"/>
      <c r="I5" s="144"/>
      <c r="J5" s="45" t="e">
        <f>AM51</f>
        <v>#REF!</v>
      </c>
      <c r="L5" s="144" t="s">
        <v>4</v>
      </c>
      <c r="M5" s="144"/>
      <c r="N5" s="144"/>
      <c r="O5" s="45" t="e">
        <f>AM47</f>
        <v>#REF!</v>
      </c>
      <c r="Q5" s="144" t="s">
        <v>5</v>
      </c>
      <c r="R5" s="144"/>
      <c r="S5" s="144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58" t="s">
        <v>9</v>
      </c>
      <c r="C8" s="150" t="s">
        <v>10</v>
      </c>
      <c r="D8" s="151"/>
      <c r="E8" s="152"/>
      <c r="F8" s="158" t="s">
        <v>11</v>
      </c>
      <c r="G8" s="162" t="s">
        <v>12</v>
      </c>
      <c r="H8" s="162"/>
      <c r="I8" s="162" t="s">
        <v>13</v>
      </c>
      <c r="J8" s="162"/>
      <c r="K8" s="162" t="s">
        <v>14</v>
      </c>
      <c r="L8" s="162"/>
      <c r="M8" s="160" t="s">
        <v>15</v>
      </c>
      <c r="N8" s="160" t="s">
        <v>16</v>
      </c>
      <c r="O8" s="160" t="s">
        <v>17</v>
      </c>
      <c r="P8" s="150" t="s">
        <v>18</v>
      </c>
      <c r="Q8" s="151"/>
      <c r="R8" s="152"/>
      <c r="S8" s="153" t="s">
        <v>19</v>
      </c>
      <c r="T8" s="154"/>
      <c r="U8" s="155"/>
      <c r="V8" s="153" t="s">
        <v>20</v>
      </c>
      <c r="W8" s="154"/>
      <c r="X8" s="155"/>
      <c r="Y8" s="145" t="s">
        <v>21</v>
      </c>
      <c r="Z8" s="146"/>
      <c r="AA8" s="147"/>
      <c r="AB8" s="148" t="s">
        <v>22</v>
      </c>
      <c r="AC8" s="1"/>
      <c r="AE8" s="158" t="s">
        <v>12</v>
      </c>
      <c r="AF8" s="158" t="s">
        <v>23</v>
      </c>
      <c r="AG8" s="158" t="s">
        <v>14</v>
      </c>
      <c r="AH8" s="158" t="s">
        <v>15</v>
      </c>
      <c r="AI8" s="158" t="s">
        <v>16</v>
      </c>
      <c r="AJ8" s="158" t="s">
        <v>17</v>
      </c>
      <c r="AK8" s="148" t="s">
        <v>24</v>
      </c>
      <c r="AL8" s="148" t="s">
        <v>25</v>
      </c>
      <c r="AM8" s="156" t="s">
        <v>26</v>
      </c>
    </row>
    <row r="9" spans="2:39" s="12" customFormat="1" ht="17.850000000000001" customHeight="1" x14ac:dyDescent="0.3">
      <c r="B9" s="159"/>
      <c r="C9" s="13" t="s">
        <v>27</v>
      </c>
      <c r="D9" s="13" t="s">
        <v>28</v>
      </c>
      <c r="E9" s="13" t="s">
        <v>29</v>
      </c>
      <c r="F9" s="159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61"/>
      <c r="N9" s="161"/>
      <c r="O9" s="161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49"/>
      <c r="AC9" s="1"/>
      <c r="AE9" s="159" t="s">
        <v>30</v>
      </c>
      <c r="AF9" s="159" t="s">
        <v>13</v>
      </c>
      <c r="AG9" s="159" t="s">
        <v>14</v>
      </c>
      <c r="AH9" s="159" t="s">
        <v>15</v>
      </c>
      <c r="AI9" s="159" t="s">
        <v>16</v>
      </c>
      <c r="AJ9" s="159"/>
      <c r="AK9" s="149"/>
      <c r="AL9" s="149"/>
      <c r="AM9" s="157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G1:K1"/>
    <mergeCell ref="L3:N3"/>
    <mergeCell ref="Q3:S3"/>
    <mergeCell ref="G5:I5"/>
    <mergeCell ref="L5:N5"/>
    <mergeCell ref="Q5:S5"/>
    <mergeCell ref="G3:I3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-73015.236668529338</v>
      </c>
      <c r="E11" s="65">
        <f>'7. EOD Report'!E11-'6. DAP Report'!E11</f>
        <v>-5799.8009999999995</v>
      </c>
      <c r="F11" s="65">
        <f>'7. EOD Report'!F11-'6. DAP Report'!F11</f>
        <v>-67215.435668529331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-67215.435668529331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-69374.10255913646</v>
      </c>
      <c r="E12" s="65">
        <f>'7. EOD Report'!E12-'6. DAP Report'!E12</f>
        <v>-5649.1365000000005</v>
      </c>
      <c r="F12" s="65">
        <f>'7. EOD Report'!F12-'6. DAP Report'!F12</f>
        <v>-63724.966059136459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-63724.966059136459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-66616.984367256257</v>
      </c>
      <c r="E13" s="65">
        <f>'7. EOD Report'!E13-'6. DAP Report'!E13</f>
        <v>-5554.8325000000004</v>
      </c>
      <c r="F13" s="65">
        <f>'7. EOD Report'!F13-'6. DAP Report'!F13</f>
        <v>-61062.151867256252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-61062.151867256252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-64172.370484343883</v>
      </c>
      <c r="E14" s="65">
        <f>'7. EOD Report'!E14-'6. DAP Report'!E14</f>
        <v>-5481.98</v>
      </c>
      <c r="F14" s="65">
        <f>'7. EOD Report'!F14-'6. DAP Report'!F14</f>
        <v>-58690.39048434388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-58690.39048434388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-63410.292316977371</v>
      </c>
      <c r="E15" s="65">
        <f>'7. EOD Report'!E15-'6. DAP Report'!E15</f>
        <v>-5456.8814999999995</v>
      </c>
      <c r="F15" s="65">
        <f>'7. EOD Report'!F15-'6. DAP Report'!F15</f>
        <v>-57953.410816977368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-57953.410816977368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-64026.318992941284</v>
      </c>
      <c r="E16" s="65">
        <f>'7. EOD Report'!E16-'6. DAP Report'!E16</f>
        <v>-5512.3949999999995</v>
      </c>
      <c r="F16" s="65">
        <f>'7. EOD Report'!F16-'6. DAP Report'!F16</f>
        <v>-58513.923992941287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-58513.923992941287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-64325.6648411879</v>
      </c>
      <c r="E17" s="65">
        <f>'7. EOD Report'!E17-'6. DAP Report'!E17</f>
        <v>-5765.4772277227721</v>
      </c>
      <c r="F17" s="65">
        <f>'7. EOD Report'!F17-'6. DAP Report'!F17</f>
        <v>-58560.187613465125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-58560.187613465125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-68269.292767948777</v>
      </c>
      <c r="E18" s="65">
        <f>'7. EOD Report'!E18-'6. DAP Report'!E18</f>
        <v>-6519.4465</v>
      </c>
      <c r="F18" s="65">
        <f>'7. EOD Report'!F18-'6. DAP Report'!F18</f>
        <v>-61749.846267948778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-61749.846267948778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-78475.677913987674</v>
      </c>
      <c r="E19" s="65">
        <f>'7. EOD Report'!E19-'6. DAP Report'!E19</f>
        <v>-7901.5895</v>
      </c>
      <c r="F19" s="65">
        <f>'7. EOD Report'!F19-'6. DAP Report'!F19</f>
        <v>-70574.088413987673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-70574.088413987673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-91267.705873549741</v>
      </c>
      <c r="E20" s="65">
        <f>'7. EOD Report'!E20-'6. DAP Report'!E20</f>
        <v>-13052.000499999998</v>
      </c>
      <c r="F20" s="65">
        <f>'7. EOD Report'!F20-'6. DAP Report'!F20</f>
        <v>-78215.705373549747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-78215.705373549747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-96943.482226506312</v>
      </c>
      <c r="E21" s="65">
        <f>'7. EOD Report'!E21-'6. DAP Report'!E21</f>
        <v>-14886.798500000001</v>
      </c>
      <c r="F21" s="65">
        <f>'7. EOD Report'!F21-'6. DAP Report'!F21</f>
        <v>-82056.683726506308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-82056.683726506308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-98304.338214798976</v>
      </c>
      <c r="E22" s="65">
        <f>'7. EOD Report'!E22-'6. DAP Report'!E22</f>
        <v>-14810.005000000001</v>
      </c>
      <c r="F22" s="65">
        <f>'7. EOD Report'!F22-'6. DAP Report'!F22</f>
        <v>-83494.333214798971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-83494.333214798971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-98523.498169133236</v>
      </c>
      <c r="E23" s="65">
        <f>'7. EOD Report'!E23-'6. DAP Report'!E23</f>
        <v>-14699.338500000002</v>
      </c>
      <c r="F23" s="65">
        <f>'7. EOD Report'!F23-'6. DAP Report'!F23</f>
        <v>-83824.159669133238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-83824.159669133238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-103041.69503897769</v>
      </c>
      <c r="E24" s="65">
        <f>'7. EOD Report'!E24-'6. DAP Report'!E24</f>
        <v>-15357.636</v>
      </c>
      <c r="F24" s="65">
        <f>'7. EOD Report'!F24-'6. DAP Report'!F24</f>
        <v>-87684.059038977692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-87684.059038977692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-104234.94664341767</v>
      </c>
      <c r="E25" s="65">
        <f>'7. EOD Report'!E25-'6. DAP Report'!E25</f>
        <v>-15432.206999999999</v>
      </c>
      <c r="F25" s="65">
        <f>'7. EOD Report'!F25-'6. DAP Report'!F25</f>
        <v>-88802.739643417677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-88802.739643417677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-102335.43406865346</v>
      </c>
      <c r="E26" s="65">
        <f>'7. EOD Report'!E26-'6. DAP Report'!E26</f>
        <v>-15338.907500000001</v>
      </c>
      <c r="F26" s="65">
        <f>'7. EOD Report'!F26-'6. DAP Report'!F26</f>
        <v>-86996.526568653455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-86996.526568653455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-100728.75275291161</v>
      </c>
      <c r="E27" s="65">
        <f>'7. EOD Report'!E27-'6. DAP Report'!E27</f>
        <v>-15792.80217625723</v>
      </c>
      <c r="F27" s="65">
        <f>'7. EOD Report'!F27-'6. DAP Report'!F27</f>
        <v>-84935.950576654373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-84935.950576654373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-96702.230459673927</v>
      </c>
      <c r="E28" s="65">
        <f>'7. EOD Report'!E28-'6. DAP Report'!E28</f>
        <v>-15557.501715518087</v>
      </c>
      <c r="F28" s="65">
        <f>'7. EOD Report'!F28-'6. DAP Report'!F28</f>
        <v>-81144.728744155844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-81144.728744155844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-98399.382911825945</v>
      </c>
      <c r="E29" s="65">
        <f>'7. EOD Report'!E29-'6. DAP Report'!E29</f>
        <v>-15152.498774629941</v>
      </c>
      <c r="F29" s="65">
        <f>'7. EOD Report'!F29-'6. DAP Report'!F29</f>
        <v>-83246.884137196001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-83246.884137196001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-94361.888220561552</v>
      </c>
      <c r="E30" s="65">
        <f>'7. EOD Report'!E30-'6. DAP Report'!E30</f>
        <v>-13812.909028526612</v>
      </c>
      <c r="F30" s="65">
        <f>'7. EOD Report'!F30-'6. DAP Report'!F30</f>
        <v>-80548.979192034938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-80548.979192034938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-90077.013374143091</v>
      </c>
      <c r="E31" s="65">
        <f>'7. EOD Report'!E31-'6. DAP Report'!E31</f>
        <v>-12007.844328987354</v>
      </c>
      <c r="F31" s="65">
        <f>'7. EOD Report'!F31-'6. DAP Report'!F31</f>
        <v>-78069.169045155737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-78069.169045155737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-85691.676207122102</v>
      </c>
      <c r="E32" s="65">
        <f>'7. EOD Report'!E32-'6. DAP Report'!E32</f>
        <v>-9523.143</v>
      </c>
      <c r="F32" s="65">
        <f>'7. EOD Report'!F32-'6. DAP Report'!F32</f>
        <v>-76168.533207122106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-76168.533207122106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-78673.822932052906</v>
      </c>
      <c r="E33" s="65">
        <f>'7. EOD Report'!E33-'6. DAP Report'!E33</f>
        <v>-6375.7855</v>
      </c>
      <c r="F33" s="65">
        <f>'7. EOD Report'!F33-'6. DAP Report'!F33</f>
        <v>-72298.037432052908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-72298.037432052908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-72873.634114679604</v>
      </c>
      <c r="E34" s="65">
        <f>'7. EOD Report'!E34-'6. DAP Report'!E34</f>
        <v>-5494.9965000000011</v>
      </c>
      <c r="F34" s="65">
        <f>'7. EOD Report'!F34-'6. DAP Report'!F34</f>
        <v>-67378.63761467961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-67378.63761467961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-2023845.4421203171</v>
      </c>
      <c r="E35" s="68">
        <f>SUM(E11:E34)</f>
        <v>-250935.91375164199</v>
      </c>
      <c r="F35" s="68">
        <f>SUM(F11:F34)</f>
        <v>-1772909.5283686747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-1772909.5283686747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1.0107584311057043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1.003542772584826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1.4367565145236765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1.380950364337503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2.5757071474212165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2.6006188441307239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2.6026750050428946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2.7444376119088347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3.1366261517327856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2.4066370884169155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2.5248210377386555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2.569056406609199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2.5792049128964072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1.6701725531233846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1.1840365285789023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1.159953687582046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1.1324793410220584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1.0819297165887445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1.1099584551626134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1.0739863892271324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1.0409222539354099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1.0155804427616282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1.0041394087785127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1.2834026212319927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1.4361357054424257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topLeftCell="Q1" zoomScale="55" zoomScaleNormal="50" workbookViewId="0">
      <selection activeCell="S48" sqref="S48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8">
        <v>45675</v>
      </c>
      <c r="D4" s="169"/>
      <c r="E4" s="170"/>
      <c r="J4" s="88"/>
      <c r="K4" s="89" t="s">
        <v>47</v>
      </c>
      <c r="L4" s="100" t="s">
        <v>106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8" t="s">
        <v>102</v>
      </c>
      <c r="D6" s="169"/>
      <c r="E6" s="170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71" t="s">
        <v>52</v>
      </c>
      <c r="C11" s="164" t="s">
        <v>53</v>
      </c>
      <c r="D11" s="165"/>
      <c r="E11" s="165"/>
      <c r="F11" s="165"/>
      <c r="G11" s="165"/>
      <c r="H11" s="166">
        <f>C4-7</f>
        <v>45668</v>
      </c>
      <c r="I11" s="166"/>
      <c r="J11" s="166"/>
      <c r="K11" s="166"/>
      <c r="L11" s="167"/>
      <c r="N11" s="163" t="s">
        <v>52</v>
      </c>
      <c r="O11" s="164" t="s">
        <v>54</v>
      </c>
      <c r="P11" s="165"/>
      <c r="Q11" s="165"/>
      <c r="R11" s="165"/>
      <c r="S11" s="165"/>
      <c r="T11" s="166">
        <f>C4-2</f>
        <v>45673</v>
      </c>
      <c r="U11" s="166"/>
      <c r="V11" s="166"/>
      <c r="W11" s="166"/>
      <c r="X11" s="167"/>
      <c r="Z11" s="163" t="s">
        <v>52</v>
      </c>
      <c r="AA11" s="164" t="s">
        <v>55</v>
      </c>
      <c r="AB11" s="165"/>
      <c r="AC11" s="165"/>
      <c r="AD11" s="165"/>
      <c r="AE11" s="165"/>
      <c r="AF11" s="166">
        <f>C4</f>
        <v>45675</v>
      </c>
      <c r="AG11" s="166"/>
      <c r="AH11" s="166"/>
      <c r="AI11" s="166"/>
      <c r="AJ11" s="167"/>
    </row>
    <row r="12" spans="2:36" ht="45" customHeight="1" x14ac:dyDescent="0.3">
      <c r="B12" s="171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63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63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3.6835229666666676</v>
      </c>
      <c r="D13" s="101">
        <v>3.741092608333334</v>
      </c>
      <c r="E13" s="101">
        <v>3.7263647916666662</v>
      </c>
      <c r="F13" s="101">
        <v>3.6839351333333328</v>
      </c>
      <c r="G13" s="101">
        <v>3.6839351333333328</v>
      </c>
      <c r="H13" s="101">
        <v>4.2313540666666656</v>
      </c>
      <c r="I13" s="101">
        <v>3.8046205666666664</v>
      </c>
      <c r="J13" s="101">
        <v>4.0690163833333326</v>
      </c>
      <c r="K13" s="101">
        <v>3.6830461833333334</v>
      </c>
      <c r="L13" s="101"/>
      <c r="N13" s="14">
        <v>1</v>
      </c>
      <c r="O13" s="101">
        <v>3.8131353583333336</v>
      </c>
      <c r="P13" s="101">
        <v>3.8900744416666662</v>
      </c>
      <c r="Q13" s="101">
        <v>3.8343878166666667</v>
      </c>
      <c r="R13" s="101">
        <v>3.8133632583333332</v>
      </c>
      <c r="S13" s="101">
        <v>3.8133632583333332</v>
      </c>
      <c r="T13" s="101">
        <v>3.7539715666666664</v>
      </c>
      <c r="U13" s="101">
        <v>3.7513437833333336</v>
      </c>
      <c r="V13" s="101">
        <v>3.9323801083333332</v>
      </c>
      <c r="W13" s="101">
        <v>3.812907099999999</v>
      </c>
      <c r="X13" s="101"/>
      <c r="Z13" s="14">
        <v>1</v>
      </c>
      <c r="AA13" s="101">
        <v>3.6609316999999999</v>
      </c>
      <c r="AB13" s="101">
        <v>3.7133827999999998</v>
      </c>
      <c r="AC13" s="101">
        <v>3.7008402</v>
      </c>
      <c r="AD13" s="101">
        <v>3.6613118</v>
      </c>
      <c r="AE13" s="101">
        <v>3.6613118</v>
      </c>
      <c r="AF13" s="101">
        <v>3.8076426999999997</v>
      </c>
      <c r="AG13" s="101">
        <v>3.8000411000000001</v>
      </c>
      <c r="AH13" s="101">
        <v>3.9912213999999997</v>
      </c>
      <c r="AI13" s="101">
        <v>3.6605517000000001</v>
      </c>
      <c r="AJ13" s="101"/>
    </row>
    <row r="14" spans="2:36" ht="24" customHeight="1" x14ac:dyDescent="0.3">
      <c r="B14" s="51">
        <v>2</v>
      </c>
      <c r="C14" s="101">
        <v>3.5332106416666669</v>
      </c>
      <c r="D14" s="101">
        <v>3.5815546499999997</v>
      </c>
      <c r="E14" s="101">
        <v>3.5703252749999996</v>
      </c>
      <c r="F14" s="101">
        <v>3.5335437666666669</v>
      </c>
      <c r="G14" s="101">
        <v>3.5335437666666669</v>
      </c>
      <c r="H14" s="101">
        <v>4.6817311916666666</v>
      </c>
      <c r="I14" s="101">
        <v>3.6392632833333338</v>
      </c>
      <c r="J14" s="101">
        <v>3.8787569749999999</v>
      </c>
      <c r="K14" s="101">
        <v>3.5328467249999997</v>
      </c>
      <c r="L14" s="101"/>
      <c r="N14" s="14">
        <v>2</v>
      </c>
      <c r="O14" s="101">
        <v>3.5425382916666663</v>
      </c>
      <c r="P14" s="101">
        <v>3.6183986083333335</v>
      </c>
      <c r="Q14" s="101">
        <v>3.5616847583333335</v>
      </c>
      <c r="R14" s="101">
        <v>3.542683316666666</v>
      </c>
      <c r="S14" s="101">
        <v>3.542683316666666</v>
      </c>
      <c r="T14" s="101">
        <v>3.4918749999999998</v>
      </c>
      <c r="U14" s="101">
        <v>3.4894306833333335</v>
      </c>
      <c r="V14" s="101">
        <v>3.6687703000000003</v>
      </c>
      <c r="W14" s="101">
        <v>3.5422758083333332</v>
      </c>
      <c r="X14" s="101"/>
      <c r="Z14" s="14">
        <v>2</v>
      </c>
      <c r="AA14" s="101">
        <v>3.5603654000000002</v>
      </c>
      <c r="AB14" s="101">
        <v>3.5972737000000001</v>
      </c>
      <c r="AC14" s="101">
        <v>3.5881379999999998</v>
      </c>
      <c r="AD14" s="101">
        <v>3.5603654000000002</v>
      </c>
      <c r="AE14" s="101">
        <v>3.5603654000000002</v>
      </c>
      <c r="AF14" s="101">
        <v>3.6749059000000002</v>
      </c>
      <c r="AG14" s="101">
        <v>3.6535495999999998</v>
      </c>
      <c r="AH14" s="101">
        <v>3.9045985999999999</v>
      </c>
      <c r="AI14" s="101">
        <v>3.56</v>
      </c>
      <c r="AJ14" s="101"/>
    </row>
    <row r="15" spans="2:36" ht="24" customHeight="1" x14ac:dyDescent="0.3">
      <c r="B15" s="51">
        <v>3</v>
      </c>
      <c r="C15" s="101">
        <v>3.3917791666666672</v>
      </c>
      <c r="D15" s="101">
        <v>3.4363723333333343</v>
      </c>
      <c r="E15" s="101">
        <v>3.4185329083333325</v>
      </c>
      <c r="F15" s="101">
        <v>3.3919439416666668</v>
      </c>
      <c r="G15" s="101">
        <v>3.3919439416666668</v>
      </c>
      <c r="H15" s="101">
        <v>3.6194772416666661</v>
      </c>
      <c r="I15" s="101">
        <v>3.4533974833333341</v>
      </c>
      <c r="J15" s="101">
        <v>3.6759548999999994</v>
      </c>
      <c r="K15" s="101">
        <v>3.3914643083333336</v>
      </c>
      <c r="L15" s="101"/>
      <c r="N15" s="14">
        <v>3</v>
      </c>
      <c r="O15" s="101">
        <v>3.4908884416666663</v>
      </c>
      <c r="P15" s="101">
        <v>3.5620935249999999</v>
      </c>
      <c r="Q15" s="101">
        <v>3.5103430083333333</v>
      </c>
      <c r="R15" s="101">
        <v>3.4910011250000004</v>
      </c>
      <c r="S15" s="101">
        <v>3.4910011250000004</v>
      </c>
      <c r="T15" s="101">
        <v>3.4547294000000002</v>
      </c>
      <c r="U15" s="101">
        <v>3.4523110916666666</v>
      </c>
      <c r="V15" s="101">
        <v>3.6390750583333333</v>
      </c>
      <c r="W15" s="101">
        <v>3.4906556416666663</v>
      </c>
      <c r="X15" s="101"/>
      <c r="Z15" s="14">
        <v>3</v>
      </c>
      <c r="AA15" s="101">
        <v>3.0345349000000001</v>
      </c>
      <c r="AB15" s="101">
        <v>3.0578751000000004</v>
      </c>
      <c r="AC15" s="101">
        <v>3.0501974000000001</v>
      </c>
      <c r="AD15" s="101">
        <v>3.0345349000000001</v>
      </c>
      <c r="AE15" s="101">
        <v>3.0345349000000001</v>
      </c>
      <c r="AF15" s="101">
        <v>3.5777481999999998</v>
      </c>
      <c r="AG15" s="101">
        <v>3.0704666</v>
      </c>
      <c r="AH15" s="101">
        <v>3.2768431999999996</v>
      </c>
      <c r="AI15" s="101">
        <v>3.0345349000000001</v>
      </c>
      <c r="AJ15" s="101"/>
    </row>
    <row r="16" spans="2:36" ht="24" customHeight="1" x14ac:dyDescent="0.3">
      <c r="B16" s="51">
        <v>4</v>
      </c>
      <c r="C16" s="101">
        <v>3.3093912249999993</v>
      </c>
      <c r="D16" s="101">
        <v>3.3476365083333337</v>
      </c>
      <c r="E16" s="101">
        <v>3.3299930166666667</v>
      </c>
      <c r="F16" s="101">
        <v>3.3095540416666669</v>
      </c>
      <c r="G16" s="101">
        <v>3.3095540416666669</v>
      </c>
      <c r="H16" s="101">
        <v>3.7189739083333331</v>
      </c>
      <c r="I16" s="101">
        <v>3.346078275</v>
      </c>
      <c r="J16" s="101">
        <v>3.5596955083333328</v>
      </c>
      <c r="K16" s="101">
        <v>3.3091633583333331</v>
      </c>
      <c r="L16" s="101"/>
      <c r="N16" s="14">
        <v>4</v>
      </c>
      <c r="O16" s="101">
        <v>3.4316112666666663</v>
      </c>
      <c r="P16" s="101">
        <v>3.5011782333333334</v>
      </c>
      <c r="Q16" s="101">
        <v>3.4513755249999991</v>
      </c>
      <c r="R16" s="101">
        <v>3.4318104500000004</v>
      </c>
      <c r="S16" s="101">
        <v>3.4318104500000004</v>
      </c>
      <c r="T16" s="101">
        <v>3.407578183333333</v>
      </c>
      <c r="U16" s="101">
        <v>3.4051648416666667</v>
      </c>
      <c r="V16" s="101">
        <v>3.6107611833333335</v>
      </c>
      <c r="W16" s="101">
        <v>3.4314128666666672</v>
      </c>
      <c r="X16" s="101"/>
      <c r="Z16" s="14">
        <v>4</v>
      </c>
      <c r="AA16" s="101">
        <v>3.0308301000000002</v>
      </c>
      <c r="AB16" s="101">
        <v>3.0578226000000002</v>
      </c>
      <c r="AC16" s="101">
        <v>3.0467802000000002</v>
      </c>
      <c r="AD16" s="101">
        <v>3.0311368999999999</v>
      </c>
      <c r="AE16" s="101">
        <v>3.0311368999999999</v>
      </c>
      <c r="AF16" s="101">
        <v>3.4093337999999997</v>
      </c>
      <c r="AG16" s="101">
        <v>3.0667179</v>
      </c>
      <c r="AH16" s="101">
        <v>3.2728426000000002</v>
      </c>
      <c r="AI16" s="101">
        <v>3.0308301000000002</v>
      </c>
      <c r="AJ16" s="101"/>
    </row>
    <row r="17" spans="2:36" ht="24" customHeight="1" x14ac:dyDescent="0.3">
      <c r="B17" s="51">
        <v>5</v>
      </c>
      <c r="C17" s="101">
        <v>3.359758816666667</v>
      </c>
      <c r="D17" s="101">
        <v>3.4027750416666671</v>
      </c>
      <c r="E17" s="101">
        <v>3.3802160666666663</v>
      </c>
      <c r="F17" s="101">
        <v>3.3599508833333336</v>
      </c>
      <c r="G17" s="101">
        <v>3.3599508833333336</v>
      </c>
      <c r="H17" s="101">
        <v>3.7422295583333329</v>
      </c>
      <c r="I17" s="101">
        <v>3.3863121249999999</v>
      </c>
      <c r="J17" s="101">
        <v>3.6032561416666669</v>
      </c>
      <c r="K17" s="101">
        <v>3.3595567749999997</v>
      </c>
      <c r="L17" s="101"/>
      <c r="N17" s="14">
        <v>5</v>
      </c>
      <c r="O17" s="101">
        <v>3.4061825750000003</v>
      </c>
      <c r="P17" s="101">
        <v>3.4801961499999998</v>
      </c>
      <c r="Q17" s="101">
        <v>3.4253835583333334</v>
      </c>
      <c r="R17" s="101">
        <v>3.406269691666667</v>
      </c>
      <c r="S17" s="101">
        <v>3.406269691666667</v>
      </c>
      <c r="T17" s="101">
        <v>3.3737088166666669</v>
      </c>
      <c r="U17" s="101">
        <v>3.3710098500000001</v>
      </c>
      <c r="V17" s="101">
        <v>3.5864103583333331</v>
      </c>
      <c r="W17" s="101">
        <v>3.4059031749999997</v>
      </c>
      <c r="X17" s="101"/>
      <c r="Z17" s="14">
        <v>5</v>
      </c>
      <c r="AA17" s="101">
        <v>2.1017147</v>
      </c>
      <c r="AB17" s="101">
        <v>2.1229591000000001</v>
      </c>
      <c r="AC17" s="101">
        <v>2.1127618000000004</v>
      </c>
      <c r="AD17" s="101">
        <v>2.1017147</v>
      </c>
      <c r="AE17" s="101">
        <v>2.1017147</v>
      </c>
      <c r="AF17" s="101">
        <v>3.1028692000000002</v>
      </c>
      <c r="AG17" s="101">
        <v>2.1240214000000002</v>
      </c>
      <c r="AH17" s="101">
        <v>2.2629600999999999</v>
      </c>
      <c r="AI17" s="101">
        <v>2.1017147</v>
      </c>
      <c r="AJ17" s="101"/>
    </row>
    <row r="18" spans="2:36" ht="24" customHeight="1" x14ac:dyDescent="0.3">
      <c r="B18" s="51">
        <v>6</v>
      </c>
      <c r="C18" s="101">
        <v>3.2787700750000002</v>
      </c>
      <c r="D18" s="101">
        <v>3.3205959749999998</v>
      </c>
      <c r="E18" s="101">
        <v>3.2985065999999992</v>
      </c>
      <c r="F18" s="101">
        <v>3.2789635416666667</v>
      </c>
      <c r="G18" s="101">
        <v>3.2789635416666667</v>
      </c>
      <c r="H18" s="101">
        <v>3.6436871583333335</v>
      </c>
      <c r="I18" s="101">
        <v>3.3002216083333331</v>
      </c>
      <c r="J18" s="101">
        <v>3.5090124666666669</v>
      </c>
      <c r="K18" s="101">
        <v>3.2785801916666664</v>
      </c>
      <c r="L18" s="101"/>
      <c r="N18" s="14">
        <v>6</v>
      </c>
      <c r="O18" s="101">
        <v>3.5136916999999999</v>
      </c>
      <c r="P18" s="101">
        <v>3.5883022333333336</v>
      </c>
      <c r="Q18" s="101">
        <v>3.5335419666666663</v>
      </c>
      <c r="R18" s="101">
        <v>3.5137795833333336</v>
      </c>
      <c r="S18" s="101">
        <v>3.5137795833333336</v>
      </c>
      <c r="T18" s="101">
        <v>3.5085981916666666</v>
      </c>
      <c r="U18" s="101">
        <v>3.4742628750000004</v>
      </c>
      <c r="V18" s="101">
        <v>3.7257681750000007</v>
      </c>
      <c r="W18" s="101">
        <v>3.5133735500000003</v>
      </c>
      <c r="X18" s="101"/>
      <c r="Z18" s="14">
        <v>6</v>
      </c>
      <c r="AA18" s="101">
        <v>2.6415239000000001</v>
      </c>
      <c r="AB18" s="101">
        <v>2.6720277000000001</v>
      </c>
      <c r="AC18" s="101">
        <v>2.6559731000000002</v>
      </c>
      <c r="AD18" s="101">
        <v>2.6415239000000001</v>
      </c>
      <c r="AE18" s="101">
        <v>2.6415239000000001</v>
      </c>
      <c r="AF18" s="101">
        <v>2.7179215999999999</v>
      </c>
      <c r="AG18" s="101">
        <v>2.6752386000000001</v>
      </c>
      <c r="AH18" s="101">
        <v>2.8430097000000001</v>
      </c>
      <c r="AI18" s="101">
        <v>2.6415239000000001</v>
      </c>
      <c r="AJ18" s="101"/>
    </row>
    <row r="19" spans="2:36" ht="24" customHeight="1" x14ac:dyDescent="0.3">
      <c r="B19" s="51">
        <v>7</v>
      </c>
      <c r="C19" s="101">
        <v>3.5435909250000006</v>
      </c>
      <c r="D19" s="101">
        <v>3.5973630166666664</v>
      </c>
      <c r="E19" s="101">
        <v>3.5669717666666672</v>
      </c>
      <c r="F19" s="101">
        <v>3.5437429166666674</v>
      </c>
      <c r="G19" s="101">
        <v>3.5437429166666674</v>
      </c>
      <c r="H19" s="101">
        <v>3.5888619333333329</v>
      </c>
      <c r="I19" s="101">
        <v>3.5797419083333328</v>
      </c>
      <c r="J19" s="101">
        <v>3.8364841416666673</v>
      </c>
      <c r="K19" s="101">
        <v>3.543384941666667</v>
      </c>
      <c r="L19" s="101"/>
      <c r="N19" s="14">
        <v>7</v>
      </c>
      <c r="O19" s="101">
        <v>3.3595453416666663</v>
      </c>
      <c r="P19" s="101">
        <v>3.4310244750000005</v>
      </c>
      <c r="Q19" s="101">
        <v>3.3787800416666669</v>
      </c>
      <c r="R19" s="101">
        <v>3.3597690666666664</v>
      </c>
      <c r="S19" s="101">
        <v>3.3597690666666664</v>
      </c>
      <c r="T19" s="101">
        <v>3.6986365166666659</v>
      </c>
      <c r="U19" s="101">
        <v>3.3277853916666666</v>
      </c>
      <c r="V19" s="101">
        <v>3.5668490666666663</v>
      </c>
      <c r="W19" s="101">
        <v>3.359436024999999</v>
      </c>
      <c r="X19" s="101"/>
      <c r="Z19" s="14">
        <v>7</v>
      </c>
      <c r="AA19" s="101">
        <v>2.5053128</v>
      </c>
      <c r="AB19" s="101">
        <v>2.5353836999999997</v>
      </c>
      <c r="AC19" s="101">
        <v>2.5193289000000001</v>
      </c>
      <c r="AD19" s="101">
        <v>2.5055676999999998</v>
      </c>
      <c r="AE19" s="101">
        <v>2.5055676999999998</v>
      </c>
      <c r="AF19" s="101">
        <v>2.7093034999999999</v>
      </c>
      <c r="AG19" s="101">
        <v>2.5478708000000001</v>
      </c>
      <c r="AH19" s="101">
        <v>2.7020477999999999</v>
      </c>
      <c r="AI19" s="101">
        <v>2.5053128</v>
      </c>
      <c r="AJ19" s="101"/>
    </row>
    <row r="20" spans="2:36" ht="24" customHeight="1" x14ac:dyDescent="0.3">
      <c r="B20" s="51">
        <v>8</v>
      </c>
      <c r="C20" s="101">
        <v>2.8548149833333336</v>
      </c>
      <c r="D20" s="101">
        <v>2.8641790500000006</v>
      </c>
      <c r="E20" s="101">
        <v>2.8720962249999999</v>
      </c>
      <c r="F20" s="101">
        <v>2.8549860916666669</v>
      </c>
      <c r="G20" s="101">
        <v>2.8549860916666669</v>
      </c>
      <c r="H20" s="101">
        <v>2.8900382666666671</v>
      </c>
      <c r="I20" s="101">
        <v>2.8900382666666671</v>
      </c>
      <c r="J20" s="101">
        <v>3.0308958750000001</v>
      </c>
      <c r="K20" s="101">
        <v>2.8546431083333332</v>
      </c>
      <c r="L20" s="101"/>
      <c r="N20" s="14">
        <v>8</v>
      </c>
      <c r="O20" s="101">
        <v>3.209916258333334</v>
      </c>
      <c r="P20" s="101">
        <v>3.2752089666666668</v>
      </c>
      <c r="Q20" s="101">
        <v>3.2282798000000001</v>
      </c>
      <c r="R20" s="101">
        <v>3.2099974750000002</v>
      </c>
      <c r="S20" s="101">
        <v>3.2099974750000002</v>
      </c>
      <c r="T20" s="101">
        <v>3.3744888666666664</v>
      </c>
      <c r="U20" s="101">
        <v>3.1948383499999999</v>
      </c>
      <c r="V20" s="101">
        <v>3.4236136416666669</v>
      </c>
      <c r="W20" s="101">
        <v>3.2096777250000001</v>
      </c>
      <c r="X20" s="101"/>
      <c r="Z20" s="14">
        <v>8</v>
      </c>
      <c r="AA20" s="101">
        <v>2.0844969</v>
      </c>
      <c r="AB20" s="101">
        <v>2.1104546999999996</v>
      </c>
      <c r="AC20" s="101">
        <v>2.0983269</v>
      </c>
      <c r="AD20" s="101">
        <v>2.0844969</v>
      </c>
      <c r="AE20" s="101">
        <v>2.0844969</v>
      </c>
      <c r="AF20" s="101">
        <v>2.1283273</v>
      </c>
      <c r="AG20" s="101">
        <v>2.1272635000000002</v>
      </c>
      <c r="AH20" s="101">
        <v>2.2281158999999997</v>
      </c>
      <c r="AI20" s="101">
        <v>2.0842841999999999</v>
      </c>
      <c r="AJ20" s="101"/>
    </row>
    <row r="21" spans="2:36" ht="24" customHeight="1" x14ac:dyDescent="0.3">
      <c r="B21" s="51">
        <v>9</v>
      </c>
      <c r="C21" s="101">
        <v>3.2073308083333334</v>
      </c>
      <c r="D21" s="101">
        <v>3.1608062416666667</v>
      </c>
      <c r="E21" s="101">
        <v>3.2263152833333328</v>
      </c>
      <c r="F21" s="101">
        <v>3.2073610583333334</v>
      </c>
      <c r="G21" s="101">
        <v>3.2073610583333334</v>
      </c>
      <c r="H21" s="101">
        <v>3.2274963583333336</v>
      </c>
      <c r="I21" s="101">
        <v>3.2274963583333336</v>
      </c>
      <c r="J21" s="101">
        <v>3.2817017083333324</v>
      </c>
      <c r="K21" s="101">
        <v>3.2070634333333334</v>
      </c>
      <c r="L21" s="101"/>
      <c r="N21" s="14">
        <v>9</v>
      </c>
      <c r="O21" s="101">
        <v>3.168411966666667</v>
      </c>
      <c r="P21" s="101">
        <v>3.1789627833333345</v>
      </c>
      <c r="Q21" s="101">
        <v>3.1865095000000005</v>
      </c>
      <c r="R21" s="101">
        <v>3.1685766083333329</v>
      </c>
      <c r="S21" s="101">
        <v>3.1685766083333329</v>
      </c>
      <c r="T21" s="101">
        <v>3.1462215666666666</v>
      </c>
      <c r="U21" s="101">
        <v>3.1440192083333338</v>
      </c>
      <c r="V21" s="101">
        <v>3.3066603416666664</v>
      </c>
      <c r="W21" s="101">
        <v>3.1682155666666665</v>
      </c>
      <c r="X21" s="101"/>
      <c r="Z21" s="14">
        <v>9</v>
      </c>
      <c r="AA21" s="101">
        <v>2.6429387000000002</v>
      </c>
      <c r="AB21" s="101">
        <v>2.6213670000000002</v>
      </c>
      <c r="AC21" s="101">
        <v>2.6688793</v>
      </c>
      <c r="AD21" s="101">
        <v>2.6432116999999997</v>
      </c>
      <c r="AE21" s="101">
        <v>2.6432116999999997</v>
      </c>
      <c r="AF21" s="101">
        <v>2.7472471999999999</v>
      </c>
      <c r="AG21" s="101">
        <v>2.7300445</v>
      </c>
      <c r="AH21" s="101">
        <v>2.7994015000000001</v>
      </c>
      <c r="AI21" s="101">
        <v>2.6426655999999999</v>
      </c>
      <c r="AJ21" s="101"/>
    </row>
    <row r="22" spans="2:36" ht="24" customHeight="1" x14ac:dyDescent="0.3">
      <c r="B22" s="51">
        <v>10</v>
      </c>
      <c r="C22" s="101">
        <v>3.2924874416666667</v>
      </c>
      <c r="D22" s="101">
        <v>3.3237246083333325</v>
      </c>
      <c r="E22" s="101">
        <v>3.307601375</v>
      </c>
      <c r="F22" s="101">
        <v>3.2926249333333328</v>
      </c>
      <c r="G22" s="101">
        <v>3.2926249333333328</v>
      </c>
      <c r="H22" s="101">
        <v>3.2835529833333332</v>
      </c>
      <c r="I22" s="101">
        <v>3.2835529833333332</v>
      </c>
      <c r="J22" s="101">
        <v>3.2991059416666668</v>
      </c>
      <c r="K22" s="101">
        <v>3.2922965583333332</v>
      </c>
      <c r="L22" s="101"/>
      <c r="N22" s="14">
        <v>10</v>
      </c>
      <c r="O22" s="101">
        <v>3.8710080833333338</v>
      </c>
      <c r="P22" s="101">
        <v>3.8928720500000011</v>
      </c>
      <c r="Q22" s="101">
        <v>3.8750684000000004</v>
      </c>
      <c r="R22" s="101">
        <v>3.8710728916666666</v>
      </c>
      <c r="S22" s="101">
        <v>3.8710728916666666</v>
      </c>
      <c r="T22" s="101">
        <v>3.9337732833333341</v>
      </c>
      <c r="U22" s="101">
        <v>3.93313405</v>
      </c>
      <c r="V22" s="101">
        <v>3.9575467166666671</v>
      </c>
      <c r="W22" s="101">
        <v>3.95031965</v>
      </c>
      <c r="X22" s="101"/>
      <c r="Z22" s="14">
        <v>10</v>
      </c>
      <c r="AA22" s="101">
        <v>2.7895252999999998</v>
      </c>
      <c r="AB22" s="101">
        <v>2.8061362999999999</v>
      </c>
      <c r="AC22" s="101">
        <v>2.8036024000000004</v>
      </c>
      <c r="AD22" s="101">
        <v>2.7895252999999998</v>
      </c>
      <c r="AE22" s="101">
        <v>2.7895252999999998</v>
      </c>
      <c r="AF22" s="101">
        <v>2.8509016000000003</v>
      </c>
      <c r="AG22" s="101">
        <v>2.8148640999999999</v>
      </c>
      <c r="AH22" s="101">
        <v>2.8416107000000004</v>
      </c>
      <c r="AI22" s="101">
        <v>2.7895252999999998</v>
      </c>
      <c r="AJ22" s="101"/>
    </row>
    <row r="23" spans="2:36" ht="24" customHeight="1" x14ac:dyDescent="0.3">
      <c r="B23" s="51">
        <v>11</v>
      </c>
      <c r="C23" s="101">
        <v>2.8517720750000004</v>
      </c>
      <c r="D23" s="101">
        <v>2.8722032833333326</v>
      </c>
      <c r="E23" s="101">
        <v>2.8628243916666669</v>
      </c>
      <c r="F23" s="101">
        <v>2.8518223666666667</v>
      </c>
      <c r="G23" s="101">
        <v>2.8518223666666667</v>
      </c>
      <c r="H23" s="101">
        <v>2.8387003000000006</v>
      </c>
      <c r="I23" s="101">
        <v>2.8387003000000006</v>
      </c>
      <c r="J23" s="101">
        <v>2.8293524083333335</v>
      </c>
      <c r="K23" s="101">
        <v>2.8515384916666662</v>
      </c>
      <c r="L23" s="101"/>
      <c r="N23" s="14">
        <v>11</v>
      </c>
      <c r="O23" s="101">
        <v>4.8359367249999998</v>
      </c>
      <c r="P23" s="101">
        <v>4.8359367249999998</v>
      </c>
      <c r="Q23" s="101">
        <v>4.8359367249999998</v>
      </c>
      <c r="R23" s="101">
        <v>4.8359367249999998</v>
      </c>
      <c r="S23" s="101">
        <v>4.8359367249999998</v>
      </c>
      <c r="T23" s="101">
        <v>4.959010833333334</v>
      </c>
      <c r="U23" s="101">
        <v>4.959010833333334</v>
      </c>
      <c r="V23" s="101">
        <v>4.959010833333334</v>
      </c>
      <c r="W23" s="101">
        <v>4.959010833333334</v>
      </c>
      <c r="X23" s="101"/>
      <c r="Z23" s="14">
        <v>11</v>
      </c>
      <c r="AA23" s="101">
        <v>2.6592083</v>
      </c>
      <c r="AB23" s="101">
        <v>2.7002991999999999</v>
      </c>
      <c r="AC23" s="101">
        <v>2.6809783</v>
      </c>
      <c r="AD23" s="101">
        <v>2.6594804000000001</v>
      </c>
      <c r="AE23" s="101">
        <v>2.6594804000000001</v>
      </c>
      <c r="AF23" s="101">
        <v>2.7560848999999998</v>
      </c>
      <c r="AG23" s="101">
        <v>2.7207086</v>
      </c>
      <c r="AH23" s="101">
        <v>2.7092792999999999</v>
      </c>
      <c r="AI23" s="101">
        <v>2.6589362000000003</v>
      </c>
      <c r="AJ23" s="101"/>
    </row>
    <row r="24" spans="2:36" ht="24" customHeight="1" x14ac:dyDescent="0.3">
      <c r="B24" s="51">
        <v>12</v>
      </c>
      <c r="C24" s="101">
        <v>2.2262706583333332</v>
      </c>
      <c r="D24" s="101">
        <v>2.236871166666667</v>
      </c>
      <c r="E24" s="101">
        <v>2.2356419000000001</v>
      </c>
      <c r="F24" s="101">
        <v>2.2264262416666667</v>
      </c>
      <c r="G24" s="101">
        <v>2.2264262416666667</v>
      </c>
      <c r="H24" s="101">
        <v>2.2102335333333336</v>
      </c>
      <c r="I24" s="101">
        <v>2.2177391083333333</v>
      </c>
      <c r="J24" s="101">
        <v>2.153337558333333</v>
      </c>
      <c r="K24" s="101">
        <v>2.2262044583333331</v>
      </c>
      <c r="L24" s="101"/>
      <c r="N24" s="14">
        <v>12</v>
      </c>
      <c r="O24" s="101">
        <v>3.4023823583333339</v>
      </c>
      <c r="P24" s="101">
        <v>3.4722782750000003</v>
      </c>
      <c r="Q24" s="101">
        <v>3.4268770416666667</v>
      </c>
      <c r="R24" s="101">
        <v>3.4026860333333335</v>
      </c>
      <c r="S24" s="101">
        <v>3.4026860333333335</v>
      </c>
      <c r="T24" s="101">
        <v>3.9049838500000003</v>
      </c>
      <c r="U24" s="101">
        <v>3.4181278833333342</v>
      </c>
      <c r="V24" s="101">
        <v>3.549185075</v>
      </c>
      <c r="W24" s="101">
        <v>3.4135423750000005</v>
      </c>
      <c r="X24" s="101"/>
      <c r="Z24" s="14">
        <v>12</v>
      </c>
      <c r="AA24" s="101">
        <v>2.5974677000000002</v>
      </c>
      <c r="AB24" s="101">
        <v>2.6288539000000002</v>
      </c>
      <c r="AC24" s="101">
        <v>2.6108067999999998</v>
      </c>
      <c r="AD24" s="101">
        <v>2.5977293000000001</v>
      </c>
      <c r="AE24" s="101">
        <v>2.5977293000000001</v>
      </c>
      <c r="AF24" s="101">
        <v>2.6510857999999997</v>
      </c>
      <c r="AG24" s="101">
        <v>2.6149917</v>
      </c>
      <c r="AH24" s="101">
        <v>2.5592812</v>
      </c>
      <c r="AI24" s="101">
        <v>2.5974677000000002</v>
      </c>
      <c r="AJ24" s="101"/>
    </row>
    <row r="25" spans="2:36" ht="24" customHeight="1" x14ac:dyDescent="0.3">
      <c r="B25" s="51">
        <v>13</v>
      </c>
      <c r="C25" s="101">
        <v>1.9125637500000001</v>
      </c>
      <c r="D25" s="101">
        <v>1.9180743916666663</v>
      </c>
      <c r="E25" s="101">
        <v>1.919962283333333</v>
      </c>
      <c r="F25" s="101">
        <v>1.9126791916666668</v>
      </c>
      <c r="G25" s="101">
        <v>1.9126791916666668</v>
      </c>
      <c r="H25" s="101">
        <v>1.8891273916666667</v>
      </c>
      <c r="I25" s="101">
        <v>1.8977019833333331</v>
      </c>
      <c r="J25" s="101">
        <v>1.7903143666666665</v>
      </c>
      <c r="K25" s="101">
        <v>1.9124894333333331</v>
      </c>
      <c r="L25" s="101"/>
      <c r="N25" s="14">
        <v>13</v>
      </c>
      <c r="O25" s="101">
        <v>3.0574446083333333</v>
      </c>
      <c r="P25" s="101">
        <v>3.1166257750000002</v>
      </c>
      <c r="Q25" s="101">
        <v>3.0691790166666664</v>
      </c>
      <c r="R25" s="101">
        <v>3.0575944083333328</v>
      </c>
      <c r="S25" s="101">
        <v>3.0575944083333328</v>
      </c>
      <c r="T25" s="101">
        <v>2.9771088583333336</v>
      </c>
      <c r="U25" s="101">
        <v>2.9753226166666664</v>
      </c>
      <c r="V25" s="101">
        <v>2.9304199333333329</v>
      </c>
      <c r="W25" s="101">
        <v>3.0572232083333333</v>
      </c>
      <c r="X25" s="101"/>
      <c r="Z25" s="14">
        <v>13</v>
      </c>
      <c r="AA25" s="101">
        <v>2.6624053999999999</v>
      </c>
      <c r="AB25" s="101">
        <v>2.6808003999999999</v>
      </c>
      <c r="AC25" s="101">
        <v>2.6813414999999998</v>
      </c>
      <c r="AD25" s="101">
        <v>2.6626759999999998</v>
      </c>
      <c r="AE25" s="101">
        <v>2.6626759999999998</v>
      </c>
      <c r="AF25" s="101">
        <v>2.7362559000000002</v>
      </c>
      <c r="AG25" s="101">
        <v>2.7046057000000001</v>
      </c>
      <c r="AH25" s="101">
        <v>2.6783657999999999</v>
      </c>
      <c r="AI25" s="101">
        <v>2.6624053999999999</v>
      </c>
      <c r="AJ25" s="101"/>
    </row>
    <row r="26" spans="2:36" ht="24" customHeight="1" x14ac:dyDescent="0.3">
      <c r="B26" s="51">
        <v>14</v>
      </c>
      <c r="C26" s="101">
        <v>4.1073959833333324</v>
      </c>
      <c r="D26" s="101">
        <v>4.1180238666666664</v>
      </c>
      <c r="E26" s="101">
        <v>4.1233560499999991</v>
      </c>
      <c r="F26" s="101">
        <v>4.1076256916666667</v>
      </c>
      <c r="G26" s="101">
        <v>4.1076256916666667</v>
      </c>
      <c r="H26" s="101">
        <v>4.0458778333333338</v>
      </c>
      <c r="I26" s="101">
        <v>4.0708824749999994</v>
      </c>
      <c r="J26" s="101">
        <v>4.0485238666666667</v>
      </c>
      <c r="K26" s="101">
        <v>4.1070742833333345</v>
      </c>
      <c r="L26" s="101"/>
      <c r="N26" s="14">
        <v>14</v>
      </c>
      <c r="O26" s="101">
        <v>3.2342651666666664</v>
      </c>
      <c r="P26" s="101">
        <v>3.2947236749999997</v>
      </c>
      <c r="Q26" s="101">
        <v>3.2446857166666669</v>
      </c>
      <c r="R26" s="101">
        <v>3.2344002500000002</v>
      </c>
      <c r="S26" s="101">
        <v>3.2344002500000002</v>
      </c>
      <c r="T26" s="101">
        <v>3.1232893833333333</v>
      </c>
      <c r="U26" s="101">
        <v>3.121415433333333</v>
      </c>
      <c r="V26" s="101">
        <v>3.0392620000000004</v>
      </c>
      <c r="W26" s="101">
        <v>3.2340580083333332</v>
      </c>
      <c r="X26" s="101"/>
      <c r="Z26" s="14">
        <v>14</v>
      </c>
      <c r="AA26" s="101">
        <v>3.0925165999999997</v>
      </c>
      <c r="AB26" s="101">
        <v>3.1196855000000001</v>
      </c>
      <c r="AC26" s="101">
        <v>3.1200014</v>
      </c>
      <c r="AD26" s="101">
        <v>3.0928325000000001</v>
      </c>
      <c r="AE26" s="101">
        <v>3.0928325000000001</v>
      </c>
      <c r="AF26" s="101">
        <v>3.1983490000000003</v>
      </c>
      <c r="AG26" s="101">
        <v>3.1585432999999998</v>
      </c>
      <c r="AH26" s="101">
        <v>3.1184218000000001</v>
      </c>
      <c r="AI26" s="101">
        <v>3.0925165999999997</v>
      </c>
      <c r="AJ26" s="101"/>
    </row>
    <row r="27" spans="2:36" ht="24" customHeight="1" x14ac:dyDescent="0.3">
      <c r="B27" s="51">
        <v>15</v>
      </c>
      <c r="C27" s="101">
        <v>4.2534697083333333</v>
      </c>
      <c r="D27" s="101">
        <v>4.2745352249999993</v>
      </c>
      <c r="E27" s="101">
        <v>4.2764964416666675</v>
      </c>
      <c r="F27" s="101">
        <v>4.2537356999999991</v>
      </c>
      <c r="G27" s="101">
        <v>4.2537356999999991</v>
      </c>
      <c r="H27" s="101">
        <v>4.2065338666666667</v>
      </c>
      <c r="I27" s="101">
        <v>4.2337481833333337</v>
      </c>
      <c r="J27" s="101">
        <v>4.1929291666666666</v>
      </c>
      <c r="K27" s="101">
        <v>4.2531271833333344</v>
      </c>
      <c r="L27" s="101"/>
      <c r="N27" s="14">
        <v>15</v>
      </c>
      <c r="O27" s="101">
        <v>3.1554622750000005</v>
      </c>
      <c r="P27" s="101">
        <v>3.2217087833333333</v>
      </c>
      <c r="Q27" s="101">
        <v>3.1690688749999993</v>
      </c>
      <c r="R27" s="101">
        <v>3.1555419083333343</v>
      </c>
      <c r="S27" s="101">
        <v>3.1555419083333343</v>
      </c>
      <c r="T27" s="101">
        <v>3.0447812166666668</v>
      </c>
      <c r="U27" s="101">
        <v>3.042954341666666</v>
      </c>
      <c r="V27" s="101">
        <v>2.8918222916666667</v>
      </c>
      <c r="W27" s="101">
        <v>3.1552374333333337</v>
      </c>
      <c r="X27" s="101"/>
      <c r="Z27" s="14">
        <v>15</v>
      </c>
      <c r="AA27" s="101">
        <v>3.1763018999999999</v>
      </c>
      <c r="AB27" s="101">
        <v>3.1987402</v>
      </c>
      <c r="AC27" s="101">
        <v>3.1971374999999997</v>
      </c>
      <c r="AD27" s="101">
        <v>3.1766224000000003</v>
      </c>
      <c r="AE27" s="101">
        <v>3.1766224000000003</v>
      </c>
      <c r="AF27" s="101">
        <v>3.2368853</v>
      </c>
      <c r="AG27" s="101">
        <v>3.2048305999999998</v>
      </c>
      <c r="AH27" s="101">
        <v>3.2295127000000003</v>
      </c>
      <c r="AI27" s="101">
        <v>3.1763018999999999</v>
      </c>
      <c r="AJ27" s="101"/>
    </row>
    <row r="28" spans="2:36" ht="24" customHeight="1" x14ac:dyDescent="0.3">
      <c r="B28" s="51">
        <v>16</v>
      </c>
      <c r="C28" s="101">
        <v>3.6781799916666658</v>
      </c>
      <c r="D28" s="101">
        <v>3.7111152500000006</v>
      </c>
      <c r="E28" s="101">
        <v>3.7003205000000001</v>
      </c>
      <c r="F28" s="101">
        <v>3.6784239916666666</v>
      </c>
      <c r="G28" s="101">
        <v>3.6784239916666666</v>
      </c>
      <c r="H28" s="101">
        <v>3.630825975</v>
      </c>
      <c r="I28" s="101">
        <v>3.6457647500000001</v>
      </c>
      <c r="J28" s="101">
        <v>3.5482284416666663</v>
      </c>
      <c r="K28" s="101">
        <v>3.6778440333333333</v>
      </c>
      <c r="L28" s="101"/>
      <c r="N28" s="14">
        <v>16</v>
      </c>
      <c r="O28" s="101">
        <v>3.7105084833333337</v>
      </c>
      <c r="P28" s="101">
        <v>3.7918977666666671</v>
      </c>
      <c r="Q28" s="101">
        <v>3.7309908249999992</v>
      </c>
      <c r="R28" s="101">
        <v>3.7107859499999996</v>
      </c>
      <c r="S28" s="101">
        <v>3.7107859499999996</v>
      </c>
      <c r="T28" s="101">
        <v>3.6023010749999993</v>
      </c>
      <c r="U28" s="101">
        <v>3.6000512500000004</v>
      </c>
      <c r="V28" s="101">
        <v>3.5228129416666656</v>
      </c>
      <c r="W28" s="101">
        <v>3.7102295750000001</v>
      </c>
      <c r="X28" s="101"/>
      <c r="Z28" s="14">
        <v>16</v>
      </c>
      <c r="AA28" s="101">
        <v>3.3092962000000004</v>
      </c>
      <c r="AB28" s="101">
        <v>3.344163</v>
      </c>
      <c r="AC28" s="101">
        <v>3.3401008000000001</v>
      </c>
      <c r="AD28" s="101">
        <v>3.3096347000000002</v>
      </c>
      <c r="AE28" s="101">
        <v>3.3096347000000002</v>
      </c>
      <c r="AF28" s="101">
        <v>3.4091572999999999</v>
      </c>
      <c r="AG28" s="101">
        <v>3.3844460000000001</v>
      </c>
      <c r="AH28" s="101">
        <v>3.5462548000000003</v>
      </c>
      <c r="AI28" s="101">
        <v>3.3092962000000004</v>
      </c>
      <c r="AJ28" s="101"/>
    </row>
    <row r="29" spans="2:36" ht="24" customHeight="1" x14ac:dyDescent="0.3">
      <c r="B29" s="51">
        <v>17</v>
      </c>
      <c r="C29" s="101">
        <v>3.8267338</v>
      </c>
      <c r="D29" s="101">
        <v>3.8761819416666663</v>
      </c>
      <c r="E29" s="101">
        <v>3.863317966666667</v>
      </c>
      <c r="F29" s="101">
        <v>3.82715155</v>
      </c>
      <c r="G29" s="101">
        <v>3.82715155</v>
      </c>
      <c r="H29" s="101">
        <v>3.844334533333333</v>
      </c>
      <c r="I29" s="101">
        <v>3.8593958333333327</v>
      </c>
      <c r="J29" s="101">
        <v>3.7845032916666672</v>
      </c>
      <c r="K29" s="101">
        <v>3.8261511583333325</v>
      </c>
      <c r="L29" s="101"/>
      <c r="N29" s="14">
        <v>17</v>
      </c>
      <c r="O29" s="101">
        <v>3.6528055249999998</v>
      </c>
      <c r="P29" s="101">
        <v>3.7270757416666669</v>
      </c>
      <c r="Q29" s="101">
        <v>3.671054583333333</v>
      </c>
      <c r="R29" s="101">
        <v>3.6530450083333332</v>
      </c>
      <c r="S29" s="101">
        <v>3.6530450083333332</v>
      </c>
      <c r="T29" s="101">
        <v>3.5438084083333337</v>
      </c>
      <c r="U29" s="101">
        <v>3.541466816666667</v>
      </c>
      <c r="V29" s="101">
        <v>3.5515283416666668</v>
      </c>
      <c r="W29" s="101">
        <v>3.6525378416666667</v>
      </c>
      <c r="X29" s="101"/>
      <c r="Z29" s="14">
        <v>17</v>
      </c>
      <c r="AA29" s="101">
        <v>3.5603585</v>
      </c>
      <c r="AB29" s="101">
        <v>3.6019456000000001</v>
      </c>
      <c r="AC29" s="101">
        <v>3.5854542</v>
      </c>
      <c r="AD29" s="101">
        <v>3.5603585</v>
      </c>
      <c r="AE29" s="101">
        <v>3.5603585</v>
      </c>
      <c r="AF29" s="101">
        <v>3.6144935</v>
      </c>
      <c r="AG29" s="101">
        <v>3.5843787000000003</v>
      </c>
      <c r="AH29" s="101">
        <v>3.6851197999999998</v>
      </c>
      <c r="AI29" s="101">
        <v>3.56</v>
      </c>
      <c r="AJ29" s="101"/>
    </row>
    <row r="30" spans="2:36" ht="24" customHeight="1" x14ac:dyDescent="0.3">
      <c r="B30" s="51">
        <v>18</v>
      </c>
      <c r="C30" s="101">
        <v>5.0447279583333335</v>
      </c>
      <c r="D30" s="101">
        <v>5.1222906833333335</v>
      </c>
      <c r="E30" s="101">
        <v>5.0989244249999999</v>
      </c>
      <c r="F30" s="101">
        <v>5.0454030666666672</v>
      </c>
      <c r="G30" s="101">
        <v>5.0454030666666672</v>
      </c>
      <c r="H30" s="101">
        <v>5.0961362833333332</v>
      </c>
      <c r="I30" s="101">
        <v>5.0961362833333332</v>
      </c>
      <c r="J30" s="101">
        <v>4.9602454916666661</v>
      </c>
      <c r="K30" s="101">
        <v>5.0439399583333335</v>
      </c>
      <c r="L30" s="101"/>
      <c r="N30" s="14">
        <v>18</v>
      </c>
      <c r="O30" s="101">
        <v>3.3063225666666671</v>
      </c>
      <c r="P30" s="101">
        <v>3.369726641666666</v>
      </c>
      <c r="Q30" s="101">
        <v>3.3220163666666669</v>
      </c>
      <c r="R30" s="101">
        <v>3.3065023916666667</v>
      </c>
      <c r="S30" s="101">
        <v>3.3065023916666667</v>
      </c>
      <c r="T30" s="101">
        <v>3.1980877249999997</v>
      </c>
      <c r="U30" s="101">
        <v>3.1961688666666666</v>
      </c>
      <c r="V30" s="101">
        <v>3.0991402166666666</v>
      </c>
      <c r="W30" s="101">
        <v>3.306084816666667</v>
      </c>
      <c r="X30" s="101"/>
      <c r="Z30" s="14">
        <v>18</v>
      </c>
      <c r="AA30" s="101">
        <v>4.4701735999999999</v>
      </c>
      <c r="AB30" s="101">
        <v>4.5836250999999999</v>
      </c>
      <c r="AC30" s="101">
        <v>4.5399183999999995</v>
      </c>
      <c r="AD30" s="101">
        <v>4.4711036000000002</v>
      </c>
      <c r="AE30" s="101">
        <v>4.4711036000000002</v>
      </c>
      <c r="AF30" s="101">
        <v>4.7110254999999999</v>
      </c>
      <c r="AG30" s="101">
        <v>4.6487201999999996</v>
      </c>
      <c r="AH30" s="101">
        <v>4.7761206000000005</v>
      </c>
      <c r="AI30" s="101">
        <v>4.4687787999999999</v>
      </c>
      <c r="AJ30" s="101"/>
    </row>
    <row r="31" spans="2:36" ht="24" customHeight="1" x14ac:dyDescent="0.3">
      <c r="B31" s="51">
        <v>19</v>
      </c>
      <c r="C31" s="101">
        <v>5.2691990333333329</v>
      </c>
      <c r="D31" s="101">
        <v>5.3685050666666667</v>
      </c>
      <c r="E31" s="101">
        <v>5.3307764416666661</v>
      </c>
      <c r="F31" s="101">
        <v>5.2699513583333326</v>
      </c>
      <c r="G31" s="101">
        <v>5.2699513583333326</v>
      </c>
      <c r="H31" s="101">
        <v>5.3202097083333326</v>
      </c>
      <c r="I31" s="101">
        <v>5.3202097083333326</v>
      </c>
      <c r="J31" s="101">
        <v>5.1857365583333328</v>
      </c>
      <c r="K31" s="101">
        <v>5.2680880083333328</v>
      </c>
      <c r="L31" s="101"/>
      <c r="N31" s="14">
        <v>19</v>
      </c>
      <c r="O31" s="101">
        <v>3.5637263000000003</v>
      </c>
      <c r="P31" s="101">
        <v>3.640058475</v>
      </c>
      <c r="Q31" s="101">
        <v>3.5839344583333337</v>
      </c>
      <c r="R31" s="101">
        <v>3.5639286416666671</v>
      </c>
      <c r="S31" s="101">
        <v>3.5639286416666671</v>
      </c>
      <c r="T31" s="101">
        <v>3.4543983249999997</v>
      </c>
      <c r="U31" s="101">
        <v>3.453916116666667</v>
      </c>
      <c r="V31" s="101">
        <v>3.3876255916666662</v>
      </c>
      <c r="W31" s="101">
        <v>3.5634343749999995</v>
      </c>
      <c r="X31" s="101"/>
      <c r="Z31" s="14">
        <v>19</v>
      </c>
      <c r="AA31" s="101">
        <v>3.8275304000000001</v>
      </c>
      <c r="AB31" s="101">
        <v>3.9352583000000001</v>
      </c>
      <c r="AC31" s="101">
        <v>3.8893742000000002</v>
      </c>
      <c r="AD31" s="101">
        <v>3.8283283999999997</v>
      </c>
      <c r="AE31" s="101">
        <v>3.8283283999999997</v>
      </c>
      <c r="AF31" s="101">
        <v>4.0170516999999997</v>
      </c>
      <c r="AG31" s="101">
        <v>3.9891221999999997</v>
      </c>
      <c r="AH31" s="101">
        <v>4.1754515000000003</v>
      </c>
      <c r="AI31" s="101">
        <v>3.8263335000000001</v>
      </c>
      <c r="AJ31" s="101"/>
    </row>
    <row r="32" spans="2:36" ht="24" customHeight="1" x14ac:dyDescent="0.3">
      <c r="B32" s="51">
        <v>20</v>
      </c>
      <c r="C32" s="101">
        <v>4.6592425500000001</v>
      </c>
      <c r="D32" s="101">
        <v>4.7421505999999995</v>
      </c>
      <c r="E32" s="101">
        <v>4.7141652249999995</v>
      </c>
      <c r="F32" s="101">
        <v>4.6597574583333339</v>
      </c>
      <c r="G32" s="101">
        <v>4.6597574583333339</v>
      </c>
      <c r="H32" s="101">
        <v>4.7127944333333334</v>
      </c>
      <c r="I32" s="101">
        <v>4.7252189333333332</v>
      </c>
      <c r="J32" s="101">
        <v>4.6396034583333341</v>
      </c>
      <c r="K32" s="101">
        <v>4.6582227666666665</v>
      </c>
      <c r="L32" s="101"/>
      <c r="N32" s="14">
        <v>20</v>
      </c>
      <c r="O32" s="101">
        <v>3.5863489750000004</v>
      </c>
      <c r="P32" s="101">
        <v>3.6659204166666659</v>
      </c>
      <c r="Q32" s="101">
        <v>3.6090331166666663</v>
      </c>
      <c r="R32" s="101">
        <v>3.5866155500000003</v>
      </c>
      <c r="S32" s="101">
        <v>3.5866155500000003</v>
      </c>
      <c r="T32" s="101">
        <v>3.4458918833333336</v>
      </c>
      <c r="U32" s="101">
        <v>3.5000939166666667</v>
      </c>
      <c r="V32" s="101">
        <v>3.5034899249999993</v>
      </c>
      <c r="W32" s="101">
        <v>3.5860248916666664</v>
      </c>
      <c r="X32" s="101"/>
      <c r="Z32" s="14">
        <v>20</v>
      </c>
      <c r="AA32" s="101">
        <v>3.8115981999999997</v>
      </c>
      <c r="AB32" s="101">
        <v>3.9246676000000003</v>
      </c>
      <c r="AC32" s="101">
        <v>3.8751248</v>
      </c>
      <c r="AD32" s="101">
        <v>3.8123971999999999</v>
      </c>
      <c r="AE32" s="101">
        <v>3.8123971999999999</v>
      </c>
      <c r="AF32" s="101">
        <v>4.0209564000000002</v>
      </c>
      <c r="AG32" s="101">
        <v>3.9945868</v>
      </c>
      <c r="AH32" s="101">
        <v>4.2423007999999998</v>
      </c>
      <c r="AI32" s="101">
        <v>3.81</v>
      </c>
      <c r="AJ32" s="101"/>
    </row>
    <row r="33" spans="2:36" ht="24" customHeight="1" x14ac:dyDescent="0.3">
      <c r="B33" s="51">
        <v>21</v>
      </c>
      <c r="C33" s="101">
        <v>4.4201131</v>
      </c>
      <c r="D33" s="101">
        <v>4.503383275</v>
      </c>
      <c r="E33" s="101">
        <v>4.4735604916666674</v>
      </c>
      <c r="F33" s="101">
        <v>4.4206310499999999</v>
      </c>
      <c r="G33" s="101">
        <v>4.4206310499999999</v>
      </c>
      <c r="H33" s="101">
        <v>4.5121412750000003</v>
      </c>
      <c r="I33" s="101">
        <v>4.5121412750000003</v>
      </c>
      <c r="J33" s="101">
        <v>4.4899429749999999</v>
      </c>
      <c r="K33" s="101">
        <v>4.4192106750000013</v>
      </c>
      <c r="L33" s="101"/>
      <c r="N33" s="14">
        <v>21</v>
      </c>
      <c r="O33" s="101">
        <v>4.0983124333333336</v>
      </c>
      <c r="P33" s="101">
        <v>4.1924632583333326</v>
      </c>
      <c r="Q33" s="101">
        <v>4.1242232666666672</v>
      </c>
      <c r="R33" s="101">
        <v>4.0986333083333326</v>
      </c>
      <c r="S33" s="101">
        <v>4.0986333083333326</v>
      </c>
      <c r="T33" s="101">
        <v>4.0179778833333337</v>
      </c>
      <c r="U33" s="101">
        <v>4.0154393916666669</v>
      </c>
      <c r="V33" s="101">
        <v>4.0325376249999998</v>
      </c>
      <c r="W33" s="101">
        <v>4.0980203666666668</v>
      </c>
      <c r="X33" s="101"/>
      <c r="Z33" s="14">
        <v>21</v>
      </c>
      <c r="AA33" s="101">
        <v>3.8111947000000002</v>
      </c>
      <c r="AB33" s="101">
        <v>3.9175259000000002</v>
      </c>
      <c r="AC33" s="101">
        <v>3.8697366</v>
      </c>
      <c r="AD33" s="101">
        <v>3.8115929999999998</v>
      </c>
      <c r="AE33" s="101">
        <v>3.8115929999999998</v>
      </c>
      <c r="AF33" s="101">
        <v>4.0035466</v>
      </c>
      <c r="AG33" s="101">
        <v>3.9816430999999999</v>
      </c>
      <c r="AH33" s="101">
        <v>4.2373158000000002</v>
      </c>
      <c r="AI33" s="101">
        <v>3.81</v>
      </c>
      <c r="AJ33" s="101"/>
    </row>
    <row r="34" spans="2:36" ht="24" customHeight="1" x14ac:dyDescent="0.3">
      <c r="B34" s="51">
        <v>22</v>
      </c>
      <c r="C34" s="101">
        <v>3.6515786000000001</v>
      </c>
      <c r="D34" s="101">
        <v>3.7241253166666666</v>
      </c>
      <c r="E34" s="101">
        <v>3.6929032916666671</v>
      </c>
      <c r="F34" s="101">
        <v>3.6519508333333328</v>
      </c>
      <c r="G34" s="101">
        <v>3.6519508333333328</v>
      </c>
      <c r="H34" s="101">
        <v>3.7223012416666665</v>
      </c>
      <c r="I34" s="101">
        <v>3.7223012416666665</v>
      </c>
      <c r="J34" s="101">
        <v>3.7210512916666665</v>
      </c>
      <c r="K34" s="101">
        <v>3.6510134083333337</v>
      </c>
      <c r="L34" s="101"/>
      <c r="N34" s="14">
        <v>22</v>
      </c>
      <c r="O34" s="101">
        <v>3.1247854666666668</v>
      </c>
      <c r="P34" s="101">
        <v>3.2005172499999994</v>
      </c>
      <c r="Q34" s="101">
        <v>3.1416294916666665</v>
      </c>
      <c r="R34" s="101">
        <v>3.1249250416666658</v>
      </c>
      <c r="S34" s="101">
        <v>3.1249250416666658</v>
      </c>
      <c r="T34" s="101">
        <v>3.0502468666666664</v>
      </c>
      <c r="U34" s="101">
        <v>3.0482168583333333</v>
      </c>
      <c r="V34" s="101">
        <v>3.0508412583333335</v>
      </c>
      <c r="W34" s="101">
        <v>3.124560708333334</v>
      </c>
      <c r="X34" s="101"/>
      <c r="Z34" s="14">
        <v>22</v>
      </c>
      <c r="AA34" s="101">
        <v>3.7592316000000001</v>
      </c>
      <c r="AB34" s="101">
        <v>3.8419031000000001</v>
      </c>
      <c r="AC34" s="101">
        <v>3.7994083999999999</v>
      </c>
      <c r="AD34" s="101">
        <v>3.7592316000000001</v>
      </c>
      <c r="AE34" s="101">
        <v>3.7592316000000001</v>
      </c>
      <c r="AF34" s="101">
        <v>3.8809209</v>
      </c>
      <c r="AG34" s="101">
        <v>3.8623778000000004</v>
      </c>
      <c r="AH34" s="101">
        <v>4.1277762000000005</v>
      </c>
      <c r="AI34" s="101">
        <v>3.7588452999999999</v>
      </c>
      <c r="AJ34" s="101"/>
    </row>
    <row r="35" spans="2:36" ht="24" customHeight="1" x14ac:dyDescent="0.3">
      <c r="B35" s="51">
        <v>23</v>
      </c>
      <c r="C35" s="101">
        <v>3.5711798166666662</v>
      </c>
      <c r="D35" s="101">
        <v>3.6375371666666672</v>
      </c>
      <c r="E35" s="101">
        <v>3.6067396500000002</v>
      </c>
      <c r="F35" s="101">
        <v>3.5714934499999997</v>
      </c>
      <c r="G35" s="101">
        <v>3.5714934499999997</v>
      </c>
      <c r="H35" s="101">
        <v>3.6301075833333329</v>
      </c>
      <c r="I35" s="101">
        <v>3.6301075833333329</v>
      </c>
      <c r="J35" s="101">
        <v>3.6315708833333322</v>
      </c>
      <c r="K35" s="101">
        <v>3.5708393500000004</v>
      </c>
      <c r="L35" s="101"/>
      <c r="N35" s="14">
        <v>23</v>
      </c>
      <c r="O35" s="101">
        <v>3.9592044583333337</v>
      </c>
      <c r="P35" s="101">
        <v>3.9970309666666668</v>
      </c>
      <c r="Q35" s="101">
        <v>3.9836715500000004</v>
      </c>
      <c r="R35" s="101">
        <v>3.9593598916666668</v>
      </c>
      <c r="S35" s="101">
        <v>3.9593598916666668</v>
      </c>
      <c r="T35" s="101">
        <v>3.9184836750000001</v>
      </c>
      <c r="U35" s="101">
        <v>3.9159011749999997</v>
      </c>
      <c r="V35" s="101">
        <v>3.9848028749999997</v>
      </c>
      <c r="W35" s="101">
        <v>3.9589093333333336</v>
      </c>
      <c r="X35" s="101"/>
      <c r="Z35" s="14">
        <v>23</v>
      </c>
      <c r="AA35" s="101">
        <v>3.5603663000000001</v>
      </c>
      <c r="AB35" s="101">
        <v>3.6310535000000002</v>
      </c>
      <c r="AC35" s="101">
        <v>3.5951605</v>
      </c>
      <c r="AD35" s="101">
        <v>3.5603663000000001</v>
      </c>
      <c r="AE35" s="101">
        <v>3.5603663000000001</v>
      </c>
      <c r="AF35" s="101">
        <v>3.9012096000000001</v>
      </c>
      <c r="AG35" s="101">
        <v>3.6618189000000001</v>
      </c>
      <c r="AH35" s="101">
        <v>3.9306502000000001</v>
      </c>
      <c r="AI35" s="101">
        <v>3.56</v>
      </c>
      <c r="AJ35" s="101"/>
    </row>
    <row r="36" spans="2:36" ht="24" customHeight="1" x14ac:dyDescent="0.3">
      <c r="B36" s="51">
        <v>24</v>
      </c>
      <c r="C36" s="101">
        <v>3.1705463166666665</v>
      </c>
      <c r="D36" s="101">
        <v>3.2253044499999994</v>
      </c>
      <c r="E36" s="101">
        <v>3.1905736916666667</v>
      </c>
      <c r="F36" s="101">
        <v>3.1707580916666664</v>
      </c>
      <c r="G36" s="101">
        <v>3.1707580916666664</v>
      </c>
      <c r="H36" s="101">
        <v>3.1699085500000002</v>
      </c>
      <c r="I36" s="101">
        <v>3.1699085500000002</v>
      </c>
      <c r="J36" s="101">
        <v>3.1347871500000002</v>
      </c>
      <c r="K36" s="101">
        <v>3.1704329666666666</v>
      </c>
      <c r="L36" s="101"/>
      <c r="N36" s="14">
        <v>24</v>
      </c>
      <c r="O36" s="101">
        <v>2.9364132833333332</v>
      </c>
      <c r="P36" s="101">
        <v>2.9694368</v>
      </c>
      <c r="Q36" s="101">
        <v>2.9524781500000006</v>
      </c>
      <c r="R36" s="101">
        <v>2.9365843499999995</v>
      </c>
      <c r="S36" s="101">
        <v>2.9365843499999995</v>
      </c>
      <c r="T36" s="101">
        <v>2.9000516333333328</v>
      </c>
      <c r="U36" s="101">
        <v>2.8983115833333337</v>
      </c>
      <c r="V36" s="101">
        <v>2.9425267583333334</v>
      </c>
      <c r="W36" s="101">
        <v>2.9362943333333327</v>
      </c>
      <c r="X36" s="101"/>
      <c r="Z36" s="14">
        <v>24</v>
      </c>
      <c r="AA36" s="101">
        <v>3.3133192</v>
      </c>
      <c r="AB36" s="101">
        <v>3.3617547000000001</v>
      </c>
      <c r="AC36" s="101">
        <v>3.3310232000000002</v>
      </c>
      <c r="AD36" s="101">
        <v>3.3133192</v>
      </c>
      <c r="AE36" s="101">
        <v>3.3133192</v>
      </c>
      <c r="AF36" s="101">
        <v>3.6921848000000002</v>
      </c>
      <c r="AG36" s="101">
        <v>3.3397082</v>
      </c>
      <c r="AH36" s="101">
        <v>3.5762069000000003</v>
      </c>
      <c r="AI36" s="101">
        <v>3.3133192</v>
      </c>
      <c r="AJ36" s="101"/>
    </row>
    <row r="37" spans="2:36" ht="24" customHeight="1" x14ac:dyDescent="0.3">
      <c r="B37" s="51" t="s">
        <v>66</v>
      </c>
      <c r="C37" s="94">
        <f>IFERROR(AVERAGE(C13:C36),0)</f>
        <v>3.5874012663194446</v>
      </c>
      <c r="D37" s="94">
        <f t="shared" ref="D37:L37" si="0">IFERROR(AVERAGE(D13:D36),0)</f>
        <v>3.629433404861111</v>
      </c>
      <c r="E37" s="94">
        <f t="shared" si="0"/>
        <v>3.6161035857638884</v>
      </c>
      <c r="F37" s="94">
        <f t="shared" si="0"/>
        <v>3.5876840145833335</v>
      </c>
      <c r="G37" s="94">
        <f t="shared" si="0"/>
        <v>3.5876840145833335</v>
      </c>
      <c r="H37" s="94">
        <f t="shared" si="0"/>
        <v>3.727359798958334</v>
      </c>
      <c r="I37" s="94">
        <f t="shared" si="0"/>
        <v>3.6187782944444447</v>
      </c>
      <c r="J37" s="94">
        <f t="shared" si="0"/>
        <v>3.6605836229166671</v>
      </c>
      <c r="K37" s="94">
        <f t="shared" si="0"/>
        <v>3.5870092399305555</v>
      </c>
      <c r="L37" s="94">
        <f t="shared" si="0"/>
        <v>0</v>
      </c>
      <c r="N37" s="14" t="s">
        <v>66</v>
      </c>
      <c r="O37" s="94">
        <f>IFERROR(AVERAGE(O13:O36),0)</f>
        <v>3.5179519961805554</v>
      </c>
      <c r="P37" s="94">
        <f t="shared" ref="P37" si="1">IFERROR(AVERAGE(P13:P36),0)</f>
        <v>3.5797380006944448</v>
      </c>
      <c r="Q37" s="94">
        <f t="shared" ref="Q37" si="2">IFERROR(AVERAGE(Q13:Q36),0)</f>
        <v>3.5354222315972215</v>
      </c>
      <c r="R37" s="94">
        <f t="shared" ref="R37" si="3">IFERROR(AVERAGE(R13:R36),0)</f>
        <v>3.518119288541667</v>
      </c>
      <c r="S37" s="94">
        <f t="shared" ref="S37" si="4">IFERROR(AVERAGE(S13:S36),0)</f>
        <v>3.518119288541667</v>
      </c>
      <c r="T37" s="94">
        <f t="shared" ref="T37" si="5">IFERROR(AVERAGE(T13:T36),0)</f>
        <v>3.511833458680556</v>
      </c>
      <c r="U37" s="94">
        <f t="shared" ref="U37" si="6">IFERROR(AVERAGE(U13:U36),0)</f>
        <v>3.4679040503472227</v>
      </c>
      <c r="V37" s="94">
        <f t="shared" ref="V37" si="7">IFERROR(AVERAGE(V13:V36),0)</f>
        <v>3.535951692361111</v>
      </c>
      <c r="W37" s="94">
        <f t="shared" ref="W37" si="8">IFERROR(AVERAGE(W13:W36),0)</f>
        <v>3.5266393836805552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3.1526309583333334</v>
      </c>
      <c r="AB37" s="94">
        <f t="shared" ref="AB37:AJ37" si="10">IFERROR(AVERAGE(AB13:AB36),0)</f>
        <v>3.1985399458333341</v>
      </c>
      <c r="AC37" s="94">
        <f t="shared" si="10"/>
        <v>3.1816831166666675</v>
      </c>
      <c r="AD37" s="94">
        <f t="shared" si="10"/>
        <v>3.152877595833333</v>
      </c>
      <c r="AE37" s="94">
        <f t="shared" si="10"/>
        <v>3.152877595833333</v>
      </c>
      <c r="AF37" s="94">
        <f t="shared" si="10"/>
        <v>3.3564753416666666</v>
      </c>
      <c r="AG37" s="94">
        <f t="shared" si="10"/>
        <v>3.227523329166667</v>
      </c>
      <c r="AH37" s="94">
        <f t="shared" si="10"/>
        <v>3.363112870833334</v>
      </c>
      <c r="AI37" s="94">
        <f t="shared" si="10"/>
        <v>3.1522976666666662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45675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C4:E4"/>
    <mergeCell ref="C11:G11"/>
    <mergeCell ref="B11:B12"/>
    <mergeCell ref="H11:L11"/>
    <mergeCell ref="N11:N12"/>
    <mergeCell ref="C6:E6"/>
    <mergeCell ref="Z11:Z12"/>
    <mergeCell ref="AA11:AE11"/>
    <mergeCell ref="AF11:AJ11"/>
    <mergeCell ref="O11:S11"/>
    <mergeCell ref="T11:X11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zoomScale="77" zoomScaleNormal="91" workbookViewId="0">
      <selection activeCell="T10" sqref="T10: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78">
        <f>'1. Rates'!C4</f>
        <v>45675</v>
      </c>
      <c r="D2" s="179"/>
      <c r="E2" s="180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81" t="s">
        <v>52</v>
      </c>
      <c r="C7" s="184" t="s">
        <v>109</v>
      </c>
      <c r="D7" s="185"/>
      <c r="E7" s="185"/>
      <c r="F7" s="185"/>
      <c r="G7" s="186"/>
      <c r="H7" s="184" t="s">
        <v>110</v>
      </c>
      <c r="I7" s="185"/>
      <c r="J7" s="185"/>
      <c r="K7" s="185"/>
      <c r="L7" s="186"/>
      <c r="M7" s="172" t="s">
        <v>111</v>
      </c>
      <c r="N7" s="173"/>
      <c r="O7" s="173"/>
      <c r="P7" s="173"/>
      <c r="Q7" s="174"/>
      <c r="S7" s="172" t="s">
        <v>112</v>
      </c>
      <c r="T7" s="173"/>
      <c r="U7" s="173"/>
      <c r="V7" s="173"/>
      <c r="W7" s="174"/>
    </row>
    <row r="8" spans="2:24" ht="32.25" customHeight="1" x14ac:dyDescent="0.3">
      <c r="B8" s="182"/>
      <c r="C8" s="175">
        <f>C2-7</f>
        <v>45668</v>
      </c>
      <c r="D8" s="176"/>
      <c r="E8" s="176"/>
      <c r="F8" s="176"/>
      <c r="G8" s="177"/>
      <c r="H8" s="175">
        <f>C2-2</f>
        <v>45673</v>
      </c>
      <c r="I8" s="176"/>
      <c r="J8" s="176"/>
      <c r="K8" s="176"/>
      <c r="L8" s="177"/>
      <c r="M8" s="175">
        <f>C2</f>
        <v>45675</v>
      </c>
      <c r="N8" s="176"/>
      <c r="O8" s="176"/>
      <c r="P8" s="176"/>
      <c r="Q8" s="177"/>
      <c r="S8" s="175">
        <f>M8</f>
        <v>45675</v>
      </c>
      <c r="T8" s="176"/>
      <c r="U8" s="176"/>
      <c r="V8" s="176"/>
      <c r="W8" s="177"/>
    </row>
    <row r="9" spans="2:24" ht="45" customHeight="1" x14ac:dyDescent="0.3">
      <c r="B9" s="183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3.7037701266666665</v>
      </c>
      <c r="E10" s="116">
        <v>73105.869469773708</v>
      </c>
      <c r="F10" s="116">
        <v>5897.0029999999997</v>
      </c>
      <c r="G10" s="107">
        <f>E10-F10</f>
        <v>67208.866469773711</v>
      </c>
      <c r="H10" s="115"/>
      <c r="I10" s="106">
        <f>IFERROR(AVERAGE('1. Rates'!O13:S13),0)</f>
        <v>3.8328648266666661</v>
      </c>
      <c r="J10" s="116">
        <v>77349.473239871164</v>
      </c>
      <c r="K10" s="116">
        <v>5702.5990000000002</v>
      </c>
      <c r="L10" s="107">
        <f>J10-K10</f>
        <v>71646.874239871162</v>
      </c>
      <c r="M10" s="108" t="e">
        <f>IF(S10="",AVERAGE(C10,H10),S10)</f>
        <v>#DIV/0!</v>
      </c>
      <c r="N10" s="109">
        <f>IF(T10="",(IFERROR(AVERAGE('1. Rates'!AA13:AE13),0)),T10)</f>
        <v>3.7239365683333334</v>
      </c>
      <c r="O10" s="107">
        <f>IF(U10="",AVERAGE(E10,J10),U10)</f>
        <v>73015.236668529338</v>
      </c>
      <c r="P10" s="107">
        <f>IF(V10="",AVERAGE(F10,K10),V10)</f>
        <v>5799.8009999999995</v>
      </c>
      <c r="Q10" s="107">
        <f>O10-P10</f>
        <v>67215.435668529331</v>
      </c>
      <c r="S10" s="117"/>
      <c r="T10" s="118">
        <v>3.7239365683333334</v>
      </c>
      <c r="U10" s="116">
        <v>73015.236668529338</v>
      </c>
      <c r="V10" s="116">
        <v>5799.8009999999995</v>
      </c>
      <c r="W10" s="116"/>
    </row>
    <row r="11" spans="2:24" x14ac:dyDescent="0.3">
      <c r="B11" s="105">
        <v>2</v>
      </c>
      <c r="C11" s="115"/>
      <c r="D11" s="106">
        <f>IFERROR(AVERAGE('1. Rates'!C14:G14),0)</f>
        <v>3.5504356200000005</v>
      </c>
      <c r="E11" s="116">
        <v>69546.8444907269</v>
      </c>
      <c r="F11" s="116">
        <v>5743.6469999999999</v>
      </c>
      <c r="G11" s="107">
        <f t="shared" ref="G11:G33" si="0">E11-F11</f>
        <v>63803.197490726903</v>
      </c>
      <c r="H11" s="115"/>
      <c r="I11" s="106">
        <f>IFERROR(AVERAGE('1. Rates'!O14:S14),0)</f>
        <v>3.5615976583333326</v>
      </c>
      <c r="J11" s="116">
        <v>73405.569990834818</v>
      </c>
      <c r="K11" s="116">
        <v>5554.6260000000002</v>
      </c>
      <c r="L11" s="107">
        <f t="shared" ref="L11:L33" si="1">J11-K11</f>
        <v>67850.943990834814</v>
      </c>
      <c r="M11" s="108" t="e">
        <f t="shared" ref="M11:M33" si="2">IF(S11="",AVERAGE(C11,H11),S11)</f>
        <v>#DIV/0!</v>
      </c>
      <c r="N11" s="109">
        <f>IF(T11="",(IFERROR(AVERAGE('1. Rates'!AA14:AE14),0)),T11)</f>
        <v>3.5646591095833333</v>
      </c>
      <c r="O11" s="107">
        <f t="shared" ref="O11:O33" si="3">IF(U11="",AVERAGE(E11,J11),U11)</f>
        <v>69374.10255913646</v>
      </c>
      <c r="P11" s="107">
        <f t="shared" ref="P11:P33" si="4">IF(V11="",AVERAGE(F11,K11),V11)</f>
        <v>5649.1365000000005</v>
      </c>
      <c r="Q11" s="107">
        <f t="shared" ref="Q11:Q33" si="5">O11-P11</f>
        <v>63724.966059136459</v>
      </c>
      <c r="S11" s="117"/>
      <c r="T11" s="118">
        <v>3.5646591095833333</v>
      </c>
      <c r="U11" s="116">
        <v>69374.10255913646</v>
      </c>
      <c r="V11" s="116">
        <v>5649.1365000000005</v>
      </c>
      <c r="W11" s="116"/>
    </row>
    <row r="12" spans="2:24" x14ac:dyDescent="0.3">
      <c r="B12" s="105">
        <v>3</v>
      </c>
      <c r="C12" s="115"/>
      <c r="D12" s="106">
        <f>IFERROR(AVERAGE('1. Rates'!C15:G15),0)</f>
        <v>3.4061144583333336</v>
      </c>
      <c r="E12" s="116">
        <v>66765.900335692189</v>
      </c>
      <c r="F12" s="116">
        <v>5647.8379999999997</v>
      </c>
      <c r="G12" s="107">
        <f t="shared" si="0"/>
        <v>61118.062335692186</v>
      </c>
      <c r="H12" s="115"/>
      <c r="I12" s="106">
        <f>IFERROR(AVERAGE('1. Rates'!O15:S15),0)</f>
        <v>3.5090654450000001</v>
      </c>
      <c r="J12" s="116">
        <v>70505.190885444783</v>
      </c>
      <c r="K12" s="116">
        <v>5461.8270000000002</v>
      </c>
      <c r="L12" s="107">
        <f t="shared" si="1"/>
        <v>65043.363885444785</v>
      </c>
      <c r="M12" s="108" t="e">
        <f t="shared" si="2"/>
        <v>#DIV/0!</v>
      </c>
      <c r="N12" s="109">
        <f>IF(T12="",(IFERROR(AVERAGE('1. Rates'!AA15:AE15),0)),T12)</f>
        <v>3.2499626958333341</v>
      </c>
      <c r="O12" s="107">
        <f t="shared" si="3"/>
        <v>66616.984367256257</v>
      </c>
      <c r="P12" s="107">
        <f t="shared" si="4"/>
        <v>5554.8325000000004</v>
      </c>
      <c r="Q12" s="107">
        <f t="shared" si="5"/>
        <v>61062.151867256252</v>
      </c>
      <c r="S12" s="117"/>
      <c r="T12" s="118">
        <v>3.2499626958333341</v>
      </c>
      <c r="U12" s="116">
        <v>66616.984367256257</v>
      </c>
      <c r="V12" s="116">
        <v>5554.8325000000004</v>
      </c>
      <c r="W12" s="116"/>
    </row>
    <row r="13" spans="2:24" x14ac:dyDescent="0.3">
      <c r="B13" s="105">
        <v>4</v>
      </c>
      <c r="C13" s="115"/>
      <c r="D13" s="106">
        <f>IFERROR(AVERAGE('1. Rates'!C16:G16),0)</f>
        <v>3.3212257666666667</v>
      </c>
      <c r="E13" s="116">
        <v>64051.112497898786</v>
      </c>
      <c r="F13" s="116">
        <v>5525.869999999999</v>
      </c>
      <c r="G13" s="107">
        <f t="shared" si="0"/>
        <v>58525.242497898784</v>
      </c>
      <c r="H13" s="115"/>
      <c r="I13" s="106">
        <f>IFERROR(AVERAGE('1. Rates'!O16:S16),0)</f>
        <v>3.4495571850000006</v>
      </c>
      <c r="J13" s="116">
        <v>68182.602466881188</v>
      </c>
      <c r="K13" s="116">
        <v>5438.09</v>
      </c>
      <c r="L13" s="107">
        <f t="shared" si="1"/>
        <v>62744.512466881191</v>
      </c>
      <c r="M13" s="108" t="e">
        <f t="shared" si="2"/>
        <v>#DIV/0!</v>
      </c>
      <c r="N13" s="109">
        <f>IF(T13="",(IFERROR(AVERAGE('1. Rates'!AA16:AE16),0)),T13)</f>
        <v>3.2124664079166667</v>
      </c>
      <c r="O13" s="107">
        <f t="shared" si="3"/>
        <v>64172.370484343883</v>
      </c>
      <c r="P13" s="107">
        <f t="shared" si="4"/>
        <v>5481.98</v>
      </c>
      <c r="Q13" s="107">
        <f t="shared" si="5"/>
        <v>58690.39048434388</v>
      </c>
      <c r="S13" s="117"/>
      <c r="T13" s="118">
        <v>3.2124664079166667</v>
      </c>
      <c r="U13" s="116">
        <v>64172.370484343883</v>
      </c>
      <c r="V13" s="116">
        <v>5481.98</v>
      </c>
      <c r="W13" s="116"/>
    </row>
    <row r="14" spans="2:24" x14ac:dyDescent="0.3">
      <c r="B14" s="105">
        <v>5</v>
      </c>
      <c r="C14" s="115"/>
      <c r="D14" s="106">
        <f>IFERROR(AVERAGE('1. Rates'!C17:G17),0)</f>
        <v>3.3725303383333332</v>
      </c>
      <c r="E14" s="116">
        <v>63055.956236785132</v>
      </c>
      <c r="F14" s="116">
        <v>5517.0709999999999</v>
      </c>
      <c r="G14" s="107">
        <f t="shared" si="0"/>
        <v>57538.885236785136</v>
      </c>
      <c r="H14" s="115"/>
      <c r="I14" s="106">
        <f>IFERROR(AVERAGE('1. Rates'!O17:S17),0)</f>
        <v>3.4248603333333336</v>
      </c>
      <c r="J14" s="116">
        <v>66313.72214831211</v>
      </c>
      <c r="K14" s="116">
        <v>5396.6919999999991</v>
      </c>
      <c r="L14" s="107">
        <f t="shared" si="1"/>
        <v>60917.030148312115</v>
      </c>
      <c r="M14" s="108" t="e">
        <f t="shared" si="2"/>
        <v>#DIV/0!</v>
      </c>
      <c r="N14" s="109">
        <f>IF(T14="",(IFERROR(AVERAGE('1. Rates'!AA17:AE17),0)),T14)</f>
        <v>2.7534341679166667</v>
      </c>
      <c r="O14" s="107">
        <f t="shared" si="3"/>
        <v>63410.292316977371</v>
      </c>
      <c r="P14" s="107">
        <f t="shared" si="4"/>
        <v>5456.8814999999995</v>
      </c>
      <c r="Q14" s="107">
        <f t="shared" si="5"/>
        <v>57953.410816977368</v>
      </c>
      <c r="S14" s="117"/>
      <c r="T14" s="118">
        <v>2.7534341679166667</v>
      </c>
      <c r="U14" s="116">
        <v>63410.292316977371</v>
      </c>
      <c r="V14" s="116">
        <v>5456.8814999999995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3.2911599466666663</v>
      </c>
      <c r="E15" s="116">
        <v>64437.510014547923</v>
      </c>
      <c r="F15" s="116">
        <v>5521.7959999999994</v>
      </c>
      <c r="G15" s="107">
        <f t="shared" si="0"/>
        <v>58915.714014547921</v>
      </c>
      <c r="H15" s="115"/>
      <c r="I15" s="106">
        <f>IFERROR(AVERAGE('1. Rates'!O18:S18),0)</f>
        <v>3.5326190133333335</v>
      </c>
      <c r="J15" s="116">
        <v>66188.985994850882</v>
      </c>
      <c r="K15" s="116">
        <v>5502.9939999999997</v>
      </c>
      <c r="L15" s="107">
        <f t="shared" si="1"/>
        <v>60685.991994850883</v>
      </c>
      <c r="M15" s="108" t="e">
        <f t="shared" si="2"/>
        <v>#DIV/0!</v>
      </c>
      <c r="N15" s="109">
        <f>IF(T15="",(IFERROR(AVERAGE('1. Rates'!AA18:AE18),0)),T15)</f>
        <v>3.03120199</v>
      </c>
      <c r="O15" s="107">
        <f t="shared" si="3"/>
        <v>64026.318992941284</v>
      </c>
      <c r="P15" s="107">
        <f t="shared" si="4"/>
        <v>5512.3949999999995</v>
      </c>
      <c r="Q15" s="107">
        <f t="shared" si="5"/>
        <v>58513.923992941287</v>
      </c>
      <c r="S15" s="117"/>
      <c r="T15" s="118">
        <v>3.03120199</v>
      </c>
      <c r="U15" s="116">
        <v>64026.318992941284</v>
      </c>
      <c r="V15" s="116">
        <v>5512.3949999999995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3.5590823083333341</v>
      </c>
      <c r="E16" s="116">
        <v>65149.300681249806</v>
      </c>
      <c r="F16" s="116">
        <v>6208.1110000000008</v>
      </c>
      <c r="G16" s="107">
        <f t="shared" si="0"/>
        <v>58941.189681249802</v>
      </c>
      <c r="H16" s="115"/>
      <c r="I16" s="106">
        <f>IFERROR(AVERAGE('1. Rates'!O19:S19),0)</f>
        <v>3.3777775983333336</v>
      </c>
      <c r="J16" s="116">
        <v>66087.92072774173</v>
      </c>
      <c r="K16" s="116">
        <v>5438.1529999999993</v>
      </c>
      <c r="L16" s="107">
        <f t="shared" si="1"/>
        <v>60649.767727741732</v>
      </c>
      <c r="M16" s="108" t="e">
        <f t="shared" si="2"/>
        <v>#DIV/0!</v>
      </c>
      <c r="N16" s="109">
        <f>IF(T16="",(IFERROR(AVERAGE('1. Rates'!AA19:AE19),0)),T16)</f>
        <v>2.9913310566666671</v>
      </c>
      <c r="O16" s="107">
        <f t="shared" si="3"/>
        <v>64325.6648411879</v>
      </c>
      <c r="P16" s="107">
        <f t="shared" si="4"/>
        <v>5765.4772277227721</v>
      </c>
      <c r="Q16" s="107">
        <f t="shared" si="5"/>
        <v>58560.187613465125</v>
      </c>
      <c r="R16" s="110"/>
      <c r="S16" s="117"/>
      <c r="T16" s="118">
        <v>2.9913310566666671</v>
      </c>
      <c r="U16" s="116">
        <v>64325.6648411879</v>
      </c>
      <c r="V16" s="116">
        <v>5765.4772277227721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2.860212488333334</v>
      </c>
      <c r="E17" s="116">
        <v>68469.523076707803</v>
      </c>
      <c r="F17" s="116">
        <v>6716.0520000000006</v>
      </c>
      <c r="G17" s="107">
        <f t="shared" si="0"/>
        <v>61753.4710767078</v>
      </c>
      <c r="H17" s="115"/>
      <c r="I17" s="106">
        <f>IFERROR(AVERAGE('1. Rates'!O20:S20),0)</f>
        <v>3.226679995</v>
      </c>
      <c r="J17" s="116">
        <v>69434.448314548717</v>
      </c>
      <c r="K17" s="116">
        <v>6322.8409999999994</v>
      </c>
      <c r="L17" s="107">
        <f t="shared" si="1"/>
        <v>63111.607314548717</v>
      </c>
      <c r="M17" s="108" t="e">
        <f t="shared" si="2"/>
        <v>#DIV/0!</v>
      </c>
      <c r="N17" s="109">
        <f>IF(T17="",(IFERROR(AVERAGE('1. Rates'!AA20:AE20),0)),T17)</f>
        <v>2.5679503508333332</v>
      </c>
      <c r="O17" s="107">
        <f t="shared" si="3"/>
        <v>68269.292767948777</v>
      </c>
      <c r="P17" s="107">
        <f t="shared" si="4"/>
        <v>6519.4465</v>
      </c>
      <c r="Q17" s="107">
        <f t="shared" si="5"/>
        <v>61749.846267948778</v>
      </c>
      <c r="R17" s="110"/>
      <c r="S17" s="117"/>
      <c r="T17" s="118">
        <v>2.5679503508333332</v>
      </c>
      <c r="U17" s="116">
        <v>68269.292767948777</v>
      </c>
      <c r="V17" s="116">
        <v>6519.4465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3.2018348899999998</v>
      </c>
      <c r="E18" s="116">
        <v>78128.969022638441</v>
      </c>
      <c r="F18" s="116">
        <v>7870.0299999999988</v>
      </c>
      <c r="G18" s="107">
        <f t="shared" si="0"/>
        <v>70258.939022638442</v>
      </c>
      <c r="H18" s="115"/>
      <c r="I18" s="106">
        <f>IFERROR(AVERAGE('1. Rates'!O21:S21),0)</f>
        <v>3.1742074933333333</v>
      </c>
      <c r="J18" s="116">
        <v>80391.900363616674</v>
      </c>
      <c r="K18" s="116">
        <v>7933.1490000000003</v>
      </c>
      <c r="L18" s="107">
        <f t="shared" si="1"/>
        <v>72458.75136361667</v>
      </c>
      <c r="M18" s="108" t="e">
        <f t="shared" si="2"/>
        <v>#DIV/0!</v>
      </c>
      <c r="N18" s="109">
        <f>IF(T18="",(IFERROR(AVERAGE('1. Rates'!AA21:AE21),0)),T18)</f>
        <v>2.9159714358333337</v>
      </c>
      <c r="O18" s="107">
        <f t="shared" si="3"/>
        <v>78475.677913987674</v>
      </c>
      <c r="P18" s="107">
        <f t="shared" si="4"/>
        <v>7901.5895</v>
      </c>
      <c r="Q18" s="107">
        <f t="shared" si="5"/>
        <v>70574.088413987673</v>
      </c>
      <c r="R18" s="110"/>
      <c r="S18" s="117"/>
      <c r="T18" s="118">
        <v>2.9159714358333337</v>
      </c>
      <c r="U18" s="116">
        <v>78475.677913987674</v>
      </c>
      <c r="V18" s="116">
        <v>7901.5895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3.3018126583333327</v>
      </c>
      <c r="E19" s="116">
        <v>91830.869164270669</v>
      </c>
      <c r="F19" s="116">
        <v>12866.279999999999</v>
      </c>
      <c r="G19" s="107">
        <f t="shared" si="0"/>
        <v>78964.58916427067</v>
      </c>
      <c r="H19" s="115"/>
      <c r="I19" s="106">
        <f>IFERROR(AVERAGE('1. Rates'!O22:S22),0)</f>
        <v>3.8762188633333339</v>
      </c>
      <c r="J19" s="116">
        <v>92529.896700299811</v>
      </c>
      <c r="K19" s="116">
        <v>13237.721</v>
      </c>
      <c r="L19" s="107">
        <f t="shared" si="1"/>
        <v>79292.175700299806</v>
      </c>
      <c r="M19" s="108" t="e">
        <f t="shared" si="2"/>
        <v>#DIV/0!</v>
      </c>
      <c r="N19" s="109">
        <f>IF(T19="",(IFERROR(AVERAGE('1. Rates'!AA22:AE22),0)),T19)</f>
        <v>3.1923393404166664</v>
      </c>
      <c r="O19" s="107">
        <f t="shared" si="3"/>
        <v>91267.705873549741</v>
      </c>
      <c r="P19" s="107">
        <f t="shared" si="4"/>
        <v>13052.000499999998</v>
      </c>
      <c r="Q19" s="107">
        <f t="shared" si="5"/>
        <v>78215.705373549747</v>
      </c>
      <c r="R19" s="110"/>
      <c r="S19" s="117"/>
      <c r="T19" s="118">
        <v>3.1923393404166664</v>
      </c>
      <c r="U19" s="116">
        <v>91267.705873549741</v>
      </c>
      <c r="V19" s="116">
        <v>13052.000499999998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2.8580888966666671</v>
      </c>
      <c r="E20" s="116">
        <v>98624.050124683185</v>
      </c>
      <c r="F20" s="116">
        <v>14826.755999999999</v>
      </c>
      <c r="G20" s="107">
        <f t="shared" si="0"/>
        <v>83797.294124683191</v>
      </c>
      <c r="H20" s="115"/>
      <c r="I20" s="106">
        <f>IFERROR(AVERAGE('1. Rates'!O23:S23),0)</f>
        <v>4.8359367249999998</v>
      </c>
      <c r="J20" s="116">
        <v>97201.783972859572</v>
      </c>
      <c r="K20" s="116">
        <v>14946.841</v>
      </c>
      <c r="L20" s="107">
        <f t="shared" si="1"/>
        <v>82254.942972859571</v>
      </c>
      <c r="M20" s="108" t="e">
        <f t="shared" si="2"/>
        <v>#DIV/0!</v>
      </c>
      <c r="N20" s="109">
        <f>IF(T20="",(IFERROR(AVERAGE('1. Rates'!AA23:AE23),0)),T20)</f>
        <v>3.2594510654166666</v>
      </c>
      <c r="O20" s="107">
        <f t="shared" si="3"/>
        <v>96943.482226506312</v>
      </c>
      <c r="P20" s="107">
        <f t="shared" si="4"/>
        <v>14886.798500000001</v>
      </c>
      <c r="Q20" s="107">
        <f t="shared" si="5"/>
        <v>82056.683726506308</v>
      </c>
      <c r="R20" s="110"/>
      <c r="S20" s="117"/>
      <c r="T20" s="118">
        <v>3.2594510654166666</v>
      </c>
      <c r="U20" s="116">
        <v>96943.482226506312</v>
      </c>
      <c r="V20" s="116">
        <v>14886.798500000001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2.2303272416666671</v>
      </c>
      <c r="E21" s="116">
        <v>101075.00120437823</v>
      </c>
      <c r="F21" s="116">
        <v>14561.575000000001</v>
      </c>
      <c r="G21" s="107">
        <f t="shared" si="0"/>
        <v>86513.426204378236</v>
      </c>
      <c r="H21" s="115"/>
      <c r="I21" s="106">
        <f>IFERROR(AVERAGE('1. Rates'!O24:S24),0)</f>
        <v>3.4213819483333339</v>
      </c>
      <c r="J21" s="116">
        <v>99485.509621454679</v>
      </c>
      <c r="K21" s="116">
        <v>15058.434999999999</v>
      </c>
      <c r="L21" s="107">
        <f t="shared" si="1"/>
        <v>84427.074621454682</v>
      </c>
      <c r="M21" s="108" t="e">
        <f t="shared" si="2"/>
        <v>#DIV/0!</v>
      </c>
      <c r="N21" s="109">
        <f>IF(T21="",(IFERROR(AVERAGE('1. Rates'!AA24:AE24),0)),T21)</f>
        <v>2.7161859975000002</v>
      </c>
      <c r="O21" s="107">
        <f t="shared" si="3"/>
        <v>98304.338214798976</v>
      </c>
      <c r="P21" s="107">
        <f t="shared" si="4"/>
        <v>14810.005000000001</v>
      </c>
      <c r="Q21" s="107">
        <f t="shared" si="5"/>
        <v>83494.333214798971</v>
      </c>
      <c r="R21" s="110"/>
      <c r="S21" s="117"/>
      <c r="T21" s="118">
        <v>2.7161859975000002</v>
      </c>
      <c r="U21" s="116">
        <v>98304.338214798976</v>
      </c>
      <c r="V21" s="116">
        <v>14810.005000000001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1.9151917616666665</v>
      </c>
      <c r="E22" s="116">
        <v>103057.22626037305</v>
      </c>
      <c r="F22" s="116">
        <v>14860.608</v>
      </c>
      <c r="G22" s="107">
        <f t="shared" si="0"/>
        <v>88196.618260373041</v>
      </c>
      <c r="H22" s="115"/>
      <c r="I22" s="106">
        <f>IFERROR(AVERAGE('1. Rates'!O25:S25),0)</f>
        <v>3.0716876433333331</v>
      </c>
      <c r="J22" s="116">
        <v>97950.414704292562</v>
      </c>
      <c r="K22" s="116">
        <v>14538.069000000001</v>
      </c>
      <c r="L22" s="107">
        <f t="shared" si="1"/>
        <v>83412.345704292558</v>
      </c>
      <c r="M22" s="108" t="e">
        <f t="shared" si="2"/>
        <v>#DIV/0!</v>
      </c>
      <c r="N22" s="109">
        <f>IF(T22="",(IFERROR(AVERAGE('1. Rates'!AA25:AE25),0)),T22)</f>
        <v>2.5817097812499998</v>
      </c>
      <c r="O22" s="107">
        <f t="shared" si="3"/>
        <v>98523.498169133236</v>
      </c>
      <c r="P22" s="107">
        <f t="shared" si="4"/>
        <v>14699.338500000002</v>
      </c>
      <c r="Q22" s="107">
        <f t="shared" si="5"/>
        <v>83824.159669133238</v>
      </c>
      <c r="R22" s="110"/>
      <c r="S22" s="117"/>
      <c r="T22" s="118">
        <v>2.5817097812499998</v>
      </c>
      <c r="U22" s="116">
        <v>98523.498169133236</v>
      </c>
      <c r="V22" s="116">
        <v>14699.338500000002</v>
      </c>
      <c r="W22" s="116"/>
    </row>
    <row r="23" spans="2:24" x14ac:dyDescent="0.3">
      <c r="B23" s="105">
        <v>14</v>
      </c>
      <c r="C23" s="115"/>
      <c r="D23" s="106">
        <f>IFERROR(AVERAGE('1. Rates'!C26:G26),0)</f>
        <v>4.1128054566666652</v>
      </c>
      <c r="E23" s="116">
        <v>106263.08601658681</v>
      </c>
      <c r="F23" s="116">
        <v>15190.672</v>
      </c>
      <c r="G23" s="107">
        <f t="shared" si="0"/>
        <v>91072.414016586801</v>
      </c>
      <c r="H23" s="115"/>
      <c r="I23" s="106">
        <f>IFERROR(AVERAGE('1. Rates'!O26:S26),0)</f>
        <v>3.2484950116666669</v>
      </c>
      <c r="J23" s="116">
        <v>103962.58020193546</v>
      </c>
      <c r="K23" s="116">
        <v>15524.6</v>
      </c>
      <c r="L23" s="107">
        <f t="shared" si="1"/>
        <v>88437.980201935454</v>
      </c>
      <c r="M23" s="108" t="e">
        <f t="shared" si="2"/>
        <v>#DIV/0!</v>
      </c>
      <c r="N23" s="109">
        <f>IF(T23="",(IFERROR(AVERAGE('1. Rates'!AA26:AE26),0)),T23)</f>
        <v>3.3833074513888879</v>
      </c>
      <c r="O23" s="107">
        <f t="shared" si="3"/>
        <v>103041.69503897769</v>
      </c>
      <c r="P23" s="107">
        <f t="shared" si="4"/>
        <v>15357.636</v>
      </c>
      <c r="Q23" s="107">
        <f t="shared" si="5"/>
        <v>87684.059038977692</v>
      </c>
      <c r="R23" s="110"/>
      <c r="S23" s="117"/>
      <c r="T23" s="118">
        <v>3.3833074513888879</v>
      </c>
      <c r="U23" s="116">
        <v>103041.69503897769</v>
      </c>
      <c r="V23" s="116">
        <v>15357.636</v>
      </c>
      <c r="W23" s="116"/>
    </row>
    <row r="24" spans="2:24" x14ac:dyDescent="0.3">
      <c r="B24" s="105">
        <v>15</v>
      </c>
      <c r="C24" s="115"/>
      <c r="D24" s="106">
        <f>IFERROR(AVERAGE('1. Rates'!C27:G27),0)</f>
        <v>4.2623945549999993</v>
      </c>
      <c r="E24" s="116">
        <v>110052.53053628342</v>
      </c>
      <c r="F24" s="116">
        <v>15530.703999999996</v>
      </c>
      <c r="G24" s="107">
        <f t="shared" si="0"/>
        <v>94521.826536283421</v>
      </c>
      <c r="H24" s="115"/>
      <c r="I24" s="106">
        <f>IFERROR(AVERAGE('1. Rates'!O27:S27),0)</f>
        <v>3.1714647499999997</v>
      </c>
      <c r="J24" s="116">
        <v>102607.60760561732</v>
      </c>
      <c r="K24" s="116">
        <v>15333.710000000003</v>
      </c>
      <c r="L24" s="107">
        <f t="shared" si="1"/>
        <v>87273.897605617312</v>
      </c>
      <c r="M24" s="108" t="e">
        <f t="shared" si="2"/>
        <v>#DIV/0!</v>
      </c>
      <c r="N24" s="109">
        <f>IF(T24="",(IFERROR(AVERAGE('1. Rates'!AA27:AE27),0)),T24)</f>
        <v>3.5251327708333329</v>
      </c>
      <c r="O24" s="107">
        <f t="shared" si="3"/>
        <v>104234.94664341767</v>
      </c>
      <c r="P24" s="107">
        <f t="shared" si="4"/>
        <v>15432.206999999999</v>
      </c>
      <c r="Q24" s="107">
        <f t="shared" si="5"/>
        <v>88802.739643417677</v>
      </c>
      <c r="R24" s="110"/>
      <c r="S24" s="117"/>
      <c r="T24" s="118">
        <v>3.5251327708333329</v>
      </c>
      <c r="U24" s="116">
        <v>104234.94664341767</v>
      </c>
      <c r="V24" s="116">
        <v>15432.206999999999</v>
      </c>
      <c r="W24" s="116"/>
    </row>
    <row r="25" spans="2:24" x14ac:dyDescent="0.3">
      <c r="B25" s="105">
        <v>16</v>
      </c>
      <c r="C25" s="115"/>
      <c r="D25" s="106">
        <f>IFERROR(AVERAGE('1. Rates'!C28:G28),0)</f>
        <v>3.6892927449999995</v>
      </c>
      <c r="E25" s="116">
        <v>107495.78714729586</v>
      </c>
      <c r="F25" s="116">
        <v>15502.305</v>
      </c>
      <c r="G25" s="107">
        <f t="shared" si="0"/>
        <v>91993.482147295872</v>
      </c>
      <c r="H25" s="115"/>
      <c r="I25" s="106">
        <f>IFERROR(AVERAGE('1. Rates'!O28:S28),0)</f>
        <v>3.7309937949999998</v>
      </c>
      <c r="J25" s="116">
        <v>101288.96543957092</v>
      </c>
      <c r="K25" s="116">
        <v>15175.51</v>
      </c>
      <c r="L25" s="107">
        <f t="shared" si="1"/>
        <v>86113.455439570927</v>
      </c>
      <c r="M25" s="108" t="e">
        <f t="shared" si="2"/>
        <v>#DIV/0!</v>
      </c>
      <c r="N25" s="109">
        <f>IF(T25="",(IFERROR(AVERAGE('1. Rates'!AA28:AE28),0)),T25)</f>
        <v>3.5333185166666667</v>
      </c>
      <c r="O25" s="107">
        <f t="shared" si="3"/>
        <v>102335.43406865346</v>
      </c>
      <c r="P25" s="107">
        <f t="shared" si="4"/>
        <v>15338.907500000001</v>
      </c>
      <c r="Q25" s="107">
        <f t="shared" si="5"/>
        <v>86996.526568653455</v>
      </c>
      <c r="R25" s="110"/>
      <c r="S25" s="117"/>
      <c r="T25" s="118">
        <v>3.5333185166666667</v>
      </c>
      <c r="U25" s="116">
        <v>102335.43406865346</v>
      </c>
      <c r="V25" s="116">
        <v>15338.907500000001</v>
      </c>
      <c r="W25" s="116"/>
    </row>
    <row r="26" spans="2:24" x14ac:dyDescent="0.3">
      <c r="B26" s="105">
        <v>17</v>
      </c>
      <c r="C26" s="115"/>
      <c r="D26" s="106">
        <f>IFERROR(AVERAGE('1. Rates'!C29:G29),0)</f>
        <v>3.844107361666667</v>
      </c>
      <c r="E26" s="116">
        <v>103697.30703304651</v>
      </c>
      <c r="F26" s="116">
        <v>15759.030000000002</v>
      </c>
      <c r="G26" s="107">
        <f t="shared" si="0"/>
        <v>87938.277033046514</v>
      </c>
      <c r="H26" s="115"/>
      <c r="I26" s="106">
        <f>IFERROR(AVERAGE('1. Rates'!O29:S29),0)</f>
        <v>3.6714051733333335</v>
      </c>
      <c r="J26" s="116">
        <v>101809.49433344373</v>
      </c>
      <c r="K26" s="116">
        <v>16461.445</v>
      </c>
      <c r="L26" s="107">
        <f t="shared" si="1"/>
        <v>85348.04933344372</v>
      </c>
      <c r="M26" s="108" t="e">
        <f t="shared" si="2"/>
        <v>#DIV/0!</v>
      </c>
      <c r="N26" s="109">
        <f>IF(T26="",(IFERROR(AVERAGE('1. Rates'!AA29:AE29),0)),T26)</f>
        <v>3.7944865158333325</v>
      </c>
      <c r="O26" s="107">
        <f t="shared" si="3"/>
        <v>100728.75275291161</v>
      </c>
      <c r="P26" s="107">
        <f t="shared" si="4"/>
        <v>15792.80217625723</v>
      </c>
      <c r="Q26" s="107">
        <f t="shared" si="5"/>
        <v>84935.950576654373</v>
      </c>
      <c r="R26" s="110"/>
      <c r="S26" s="117"/>
      <c r="T26" s="118">
        <v>3.7944865158333325</v>
      </c>
      <c r="U26" s="116">
        <v>100728.75275291161</v>
      </c>
      <c r="V26" s="116">
        <v>15792.80217625723</v>
      </c>
      <c r="W26" s="116"/>
    </row>
    <row r="27" spans="2:24" x14ac:dyDescent="0.3">
      <c r="B27" s="105">
        <v>18</v>
      </c>
      <c r="C27" s="115"/>
      <c r="D27" s="106">
        <f>IFERROR(AVERAGE('1. Rates'!C30:G30),0)</f>
        <v>5.0713498400000008</v>
      </c>
      <c r="E27" s="116">
        <v>99227.811991090057</v>
      </c>
      <c r="F27" s="116">
        <v>15369.179</v>
      </c>
      <c r="G27" s="107">
        <f t="shared" si="0"/>
        <v>83858.632991090053</v>
      </c>
      <c r="H27" s="115"/>
      <c r="I27" s="106">
        <f>IFERROR(AVERAGE('1. Rates'!O30:S30),0)</f>
        <v>3.3222140716666666</v>
      </c>
      <c r="J27" s="116">
        <v>98064.078592736681</v>
      </c>
      <c r="K27" s="116">
        <v>16371.236000000001</v>
      </c>
      <c r="L27" s="107">
        <f t="shared" si="1"/>
        <v>81692.842592736677</v>
      </c>
      <c r="M27" s="108" t="e">
        <f t="shared" si="2"/>
        <v>#DIV/0!</v>
      </c>
      <c r="N27" s="109">
        <f>IF(T27="",(IFERROR(AVERAGE('1. Rates'!AA30:AE30),0)),T27)</f>
        <v>4.4206500919444442</v>
      </c>
      <c r="O27" s="107">
        <f t="shared" si="3"/>
        <v>96702.230459673927</v>
      </c>
      <c r="P27" s="107">
        <f t="shared" si="4"/>
        <v>15557.501715518087</v>
      </c>
      <c r="Q27" s="107">
        <f t="shared" si="5"/>
        <v>81144.728744155844</v>
      </c>
      <c r="S27" s="117"/>
      <c r="T27" s="118">
        <v>4.4206500919444442</v>
      </c>
      <c r="U27" s="116">
        <v>96702.230459673927</v>
      </c>
      <c r="V27" s="116">
        <v>15557.501715518087</v>
      </c>
      <c r="W27" s="116"/>
    </row>
    <row r="28" spans="2:24" x14ac:dyDescent="0.3">
      <c r="B28" s="105">
        <v>19</v>
      </c>
      <c r="C28" s="115"/>
      <c r="D28" s="106">
        <f>IFERROR(AVERAGE('1. Rates'!C31:G31),0)</f>
        <v>5.301676651666666</v>
      </c>
      <c r="E28" s="116">
        <v>98027.508098363061</v>
      </c>
      <c r="F28" s="116">
        <v>14871.633000000002</v>
      </c>
      <c r="G28" s="107">
        <f t="shared" si="0"/>
        <v>83155.87509836306</v>
      </c>
      <c r="H28" s="115"/>
      <c r="I28" s="106">
        <f>IFERROR(AVERAGE('1. Rates'!O31:S31),0)</f>
        <v>3.5831153033333338</v>
      </c>
      <c r="J28" s="116">
        <v>100739.24538352535</v>
      </c>
      <c r="K28" s="116">
        <v>16042.495000000001</v>
      </c>
      <c r="L28" s="107">
        <f t="shared" si="1"/>
        <v>84696.750383525359</v>
      </c>
      <c r="M28" s="108" t="e">
        <f t="shared" si="2"/>
        <v>#DIV/0!</v>
      </c>
      <c r="N28" s="109">
        <f>IF(T28="",(IFERROR(AVERAGE('1. Rates'!AA31:AE31),0)),T28)</f>
        <v>4.2759821058333332</v>
      </c>
      <c r="O28" s="107">
        <f t="shared" si="3"/>
        <v>98399.382911825945</v>
      </c>
      <c r="P28" s="107">
        <f t="shared" si="4"/>
        <v>15152.498774629941</v>
      </c>
      <c r="Q28" s="107">
        <f t="shared" si="5"/>
        <v>83246.884137196001</v>
      </c>
      <c r="S28" s="117"/>
      <c r="T28" s="118">
        <v>4.2759821058333332</v>
      </c>
      <c r="U28" s="116">
        <v>98399.382911825945</v>
      </c>
      <c r="V28" s="116">
        <v>15152.498774629941</v>
      </c>
      <c r="W28" s="116"/>
    </row>
    <row r="29" spans="2:24" x14ac:dyDescent="0.3">
      <c r="B29" s="105">
        <v>20</v>
      </c>
      <c r="C29" s="115"/>
      <c r="D29" s="106">
        <f>IFERROR(AVERAGE('1. Rates'!C32:G32),0)</f>
        <v>4.6870146583333341</v>
      </c>
      <c r="E29" s="116">
        <v>93022.359897209841</v>
      </c>
      <c r="F29" s="116">
        <v>13711.725999999999</v>
      </c>
      <c r="G29" s="107">
        <f t="shared" si="0"/>
        <v>79310.633897209846</v>
      </c>
      <c r="H29" s="115"/>
      <c r="I29" s="106">
        <f>IFERROR(AVERAGE('1. Rates'!O32:S32),0)</f>
        <v>3.6069067216666668</v>
      </c>
      <c r="J29" s="116">
        <v>95701.416543913278</v>
      </c>
      <c r="K29" s="116">
        <v>14469.370999999997</v>
      </c>
      <c r="L29" s="107">
        <f t="shared" si="1"/>
        <v>81232.045543913278</v>
      </c>
      <c r="M29" s="108" t="e">
        <f t="shared" si="2"/>
        <v>#DIV/0!</v>
      </c>
      <c r="N29" s="109">
        <f>IF(T29="",(IFERROR(AVERAGE('1. Rates'!AA32:AE32),0)),T29)</f>
        <v>3.9857575566666674</v>
      </c>
      <c r="O29" s="107">
        <f t="shared" si="3"/>
        <v>94361.888220561552</v>
      </c>
      <c r="P29" s="107">
        <f t="shared" si="4"/>
        <v>13812.909028526612</v>
      </c>
      <c r="Q29" s="107">
        <f t="shared" si="5"/>
        <v>80548.979192034938</v>
      </c>
      <c r="S29" s="117"/>
      <c r="T29" s="118">
        <v>3.9857575566666674</v>
      </c>
      <c r="U29" s="116">
        <v>94361.888220561552</v>
      </c>
      <c r="V29" s="116">
        <v>13812.909028526612</v>
      </c>
      <c r="W29" s="116"/>
    </row>
    <row r="30" spans="2:24" x14ac:dyDescent="0.3">
      <c r="B30" s="105">
        <v>21</v>
      </c>
      <c r="C30" s="115"/>
      <c r="D30" s="106">
        <f>IFERROR(AVERAGE('1. Rates'!C33:G33),0)</f>
        <v>4.4476637933333336</v>
      </c>
      <c r="E30" s="116">
        <v>89955.597388117225</v>
      </c>
      <c r="F30" s="116">
        <v>11843.587000000001</v>
      </c>
      <c r="G30" s="107">
        <f t="shared" si="0"/>
        <v>78112.010388117225</v>
      </c>
      <c r="H30" s="115"/>
      <c r="I30" s="106">
        <f>IFERROR(AVERAGE('1. Rates'!O33:S33),0)</f>
        <v>4.1224531150000008</v>
      </c>
      <c r="J30" s="116">
        <v>91999.969627651823</v>
      </c>
      <c r="K30" s="116">
        <v>12654.817000000003</v>
      </c>
      <c r="L30" s="107">
        <f t="shared" si="1"/>
        <v>79345.152627651813</v>
      </c>
      <c r="M30" s="108" t="e">
        <f t="shared" si="2"/>
        <v>#DIV/0!</v>
      </c>
      <c r="N30" s="109">
        <f>IF(T30="",(IFERROR(AVERAGE('1. Rates'!AA33:AE33),0)),T30)</f>
        <v>4.0285327980555552</v>
      </c>
      <c r="O30" s="107">
        <f t="shared" si="3"/>
        <v>90077.013374143091</v>
      </c>
      <c r="P30" s="107">
        <f t="shared" si="4"/>
        <v>12007.844328987354</v>
      </c>
      <c r="Q30" s="107">
        <f t="shared" si="5"/>
        <v>78069.169045155737</v>
      </c>
      <c r="S30" s="117"/>
      <c r="T30" s="118">
        <v>4.0285327980555552</v>
      </c>
      <c r="U30" s="116">
        <v>90077.013374143091</v>
      </c>
      <c r="V30" s="116">
        <v>12007.844328987354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3.6745017749999995</v>
      </c>
      <c r="E31" s="116">
        <v>85207.130801639389</v>
      </c>
      <c r="F31" s="116">
        <v>9328.2839999999997</v>
      </c>
      <c r="G31" s="107">
        <f t="shared" si="0"/>
        <v>75878.846801639389</v>
      </c>
      <c r="H31" s="115"/>
      <c r="I31" s="106">
        <f>IFERROR(AVERAGE('1. Rates'!O34:S34),0)</f>
        <v>3.1433564583333329</v>
      </c>
      <c r="J31" s="116">
        <v>87890.055136747265</v>
      </c>
      <c r="K31" s="116">
        <v>9718.0019999999986</v>
      </c>
      <c r="L31" s="107">
        <f t="shared" si="1"/>
        <v>78172.053136747272</v>
      </c>
      <c r="M31" s="108" t="e">
        <f t="shared" si="2"/>
        <v>#DIV/0!</v>
      </c>
      <c r="N31" s="109">
        <f>IF(T31="",(IFERROR(AVERAGE('1. Rates'!AA34:AE34),0)),T31)</f>
        <v>3.6023343388888889</v>
      </c>
      <c r="O31" s="107">
        <f t="shared" si="3"/>
        <v>85691.676207122102</v>
      </c>
      <c r="P31" s="107">
        <f t="shared" si="4"/>
        <v>9523.143</v>
      </c>
      <c r="Q31" s="107">
        <f t="shared" si="5"/>
        <v>76168.533207122106</v>
      </c>
      <c r="S31" s="117"/>
      <c r="T31" s="118">
        <v>3.6023343388888889</v>
      </c>
      <c r="U31" s="116">
        <v>85691.676207122102</v>
      </c>
      <c r="V31" s="116">
        <v>9523.143</v>
      </c>
      <c r="W31" s="116"/>
    </row>
    <row r="32" spans="2:24" x14ac:dyDescent="0.3">
      <c r="B32" s="105">
        <v>23</v>
      </c>
      <c r="C32" s="115"/>
      <c r="D32" s="106">
        <f>IFERROR(AVERAGE('1. Rates'!C35:G35),0)</f>
        <v>3.591688706666667</v>
      </c>
      <c r="E32" s="116">
        <v>79816.387062751077</v>
      </c>
      <c r="F32" s="116">
        <v>6488.8810000000003</v>
      </c>
      <c r="G32" s="107">
        <f t="shared" si="0"/>
        <v>73327.506062751083</v>
      </c>
      <c r="H32" s="115"/>
      <c r="I32" s="106">
        <f>IFERROR(AVERAGE('1. Rates'!O35:S35),0)</f>
        <v>3.9717253516666675</v>
      </c>
      <c r="J32" s="116">
        <v>80693.946483223262</v>
      </c>
      <c r="K32" s="116">
        <v>6262.69</v>
      </c>
      <c r="L32" s="107">
        <f t="shared" si="1"/>
        <v>74431.25648322326</v>
      </c>
      <c r="M32" s="108" t="e">
        <f t="shared" si="2"/>
        <v>#DIV/0!</v>
      </c>
      <c r="N32" s="109">
        <f>IF(T32="",(IFERROR(AVERAGE('1. Rates'!AA35:AE35),0)),T32)</f>
        <v>3.6688168563888888</v>
      </c>
      <c r="O32" s="107">
        <f t="shared" si="3"/>
        <v>78673.822932052906</v>
      </c>
      <c r="P32" s="107">
        <f t="shared" si="4"/>
        <v>6375.7855</v>
      </c>
      <c r="Q32" s="107">
        <f t="shared" si="5"/>
        <v>72298.037432052908</v>
      </c>
      <c r="S32" s="117"/>
      <c r="T32" s="118">
        <v>3.6688168563888888</v>
      </c>
      <c r="U32" s="116">
        <v>78673.822932052906</v>
      </c>
      <c r="V32" s="116">
        <v>6375.7855</v>
      </c>
      <c r="W32" s="116"/>
    </row>
    <row r="33" spans="2:24" x14ac:dyDescent="0.3">
      <c r="B33" s="105">
        <v>24</v>
      </c>
      <c r="C33" s="115"/>
      <c r="D33" s="106">
        <f>IFERROR(AVERAGE('1. Rates'!C36:G36),0)</f>
        <v>3.1855881283333334</v>
      </c>
      <c r="E33" s="116">
        <v>75590.894358922073</v>
      </c>
      <c r="F33" s="116">
        <v>5567.0790000000015</v>
      </c>
      <c r="G33" s="107">
        <f t="shared" si="0"/>
        <v>70023.815358922075</v>
      </c>
      <c r="H33" s="115"/>
      <c r="I33" s="106">
        <f>IFERROR(AVERAGE('1. Rates'!O36:S36),0)</f>
        <v>2.9462993866666665</v>
      </c>
      <c r="J33" s="116">
        <v>73085.893961847265</v>
      </c>
      <c r="K33" s="116">
        <v>5422.9140000000007</v>
      </c>
      <c r="L33" s="107">
        <f t="shared" si="1"/>
        <v>67662.979961847261</v>
      </c>
      <c r="M33" s="108" t="e">
        <f t="shared" si="2"/>
        <v>#DIV/0!</v>
      </c>
      <c r="N33" s="109">
        <f>IF(T33="",(IFERROR(AVERAGE('1. Rates'!AA36:AE36),0)),T33)</f>
        <v>3.3502527991666664</v>
      </c>
      <c r="O33" s="107">
        <f t="shared" si="3"/>
        <v>72873.634114679604</v>
      </c>
      <c r="P33" s="107">
        <f t="shared" si="4"/>
        <v>5494.9965000000011</v>
      </c>
      <c r="Q33" s="107">
        <f t="shared" si="5"/>
        <v>67378.63761467961</v>
      </c>
      <c r="S33" s="117"/>
      <c r="T33" s="118">
        <v>3.3502527991666664</v>
      </c>
      <c r="U33" s="116">
        <v>72873.634114679604</v>
      </c>
      <c r="V33" s="116">
        <v>5494.9965000000011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1.9151917616666665</v>
      </c>
      <c r="E34" s="114">
        <f t="shared" si="6"/>
        <v>63055.956236785132</v>
      </c>
      <c r="F34" s="114">
        <f t="shared" si="6"/>
        <v>5517.0709999999999</v>
      </c>
      <c r="G34" s="114">
        <f t="shared" ref="G34:K34" si="7">MIN(G10:G33)</f>
        <v>57538.885236785136</v>
      </c>
      <c r="H34" s="112">
        <f t="shared" si="7"/>
        <v>0</v>
      </c>
      <c r="I34" s="113">
        <f t="shared" si="7"/>
        <v>2.9462993866666665</v>
      </c>
      <c r="J34" s="114">
        <f t="shared" si="7"/>
        <v>66087.92072774173</v>
      </c>
      <c r="K34" s="114">
        <f t="shared" si="7"/>
        <v>5396.6919999999991</v>
      </c>
      <c r="L34" s="114">
        <f t="shared" ref="L34:Q34" si="8">MIN(L10:L33)</f>
        <v>60649.767727741732</v>
      </c>
      <c r="M34" s="112" t="e">
        <f t="shared" si="8"/>
        <v>#DIV/0!</v>
      </c>
      <c r="N34" s="113">
        <f t="shared" si="8"/>
        <v>2.5679503508333332</v>
      </c>
      <c r="O34" s="114">
        <f t="shared" si="8"/>
        <v>63410.292316977371</v>
      </c>
      <c r="P34" s="114">
        <f t="shared" si="8"/>
        <v>5456.8814999999995</v>
      </c>
      <c r="Q34" s="114">
        <f t="shared" si="8"/>
        <v>57953.410816977368</v>
      </c>
      <c r="S34" s="112">
        <f>MIN(S10:S33)</f>
        <v>0</v>
      </c>
      <c r="T34" s="113">
        <f t="shared" ref="T34:W34" si="9">MIN(T10:T33)</f>
        <v>2.5679503508333332</v>
      </c>
      <c r="U34" s="114">
        <f t="shared" si="9"/>
        <v>63410.292316977371</v>
      </c>
      <c r="V34" s="114">
        <f t="shared" si="9"/>
        <v>5456.8814999999995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3.6016612572222226</v>
      </c>
      <c r="E35" s="114">
        <f t="shared" si="10"/>
        <v>85652.272204626279</v>
      </c>
      <c r="F35" s="114">
        <f t="shared" si="10"/>
        <v>10455.238208333332</v>
      </c>
      <c r="G35" s="114">
        <f t="shared" ref="G35:K35" si="12">AVERAGE(G10:G33)</f>
        <v>75197.033996292972</v>
      </c>
      <c r="H35" s="112" t="e">
        <f t="shared" si="12"/>
        <v>#DIV/0!</v>
      </c>
      <c r="I35" s="113">
        <f t="shared" si="12"/>
        <v>3.5338701611111105</v>
      </c>
      <c r="J35" s="114">
        <f t="shared" si="12"/>
        <v>85952.944685050868</v>
      </c>
      <c r="K35" s="114">
        <f t="shared" si="12"/>
        <v>10582.034458333334</v>
      </c>
      <c r="L35" s="114">
        <f t="shared" ref="L35:Q35" si="13">AVERAGE(L10:L33)</f>
        <v>75370.910226717533</v>
      </c>
      <c r="M35" s="112" t="e">
        <f t="shared" si="13"/>
        <v>#DIV/0!</v>
      </c>
      <c r="N35" s="113">
        <f t="shared" si="13"/>
        <v>3.3887154903819443</v>
      </c>
      <c r="O35" s="114">
        <f t="shared" si="13"/>
        <v>84326.893421679881</v>
      </c>
      <c r="P35" s="114">
        <f t="shared" si="13"/>
        <v>10455.663072985082</v>
      </c>
      <c r="Q35" s="114">
        <f t="shared" si="13"/>
        <v>73871.230348694779</v>
      </c>
      <c r="S35" s="112" t="str">
        <f>IFERROR(AVERAGE(S10:S33),"")</f>
        <v/>
      </c>
      <c r="T35" s="113">
        <f>IFERROR(AVERAGE(T10:T33),"")</f>
        <v>3.3887154903819443</v>
      </c>
      <c r="U35" s="114">
        <f>IFERROR(AVERAGE(U10:U33),"")</f>
        <v>84326.893421679881</v>
      </c>
      <c r="V35" s="114">
        <f t="shared" ref="V35:W35" si="14">IFERROR(AVERAGE(V10:V33),"")</f>
        <v>10455.663072985082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5.301676651666666</v>
      </c>
      <c r="E36" s="114">
        <f t="shared" si="15"/>
        <v>110052.53053628342</v>
      </c>
      <c r="F36" s="114">
        <f t="shared" si="15"/>
        <v>15759.030000000002</v>
      </c>
      <c r="G36" s="114">
        <f t="shared" ref="G36:K36" si="17">MAX(G10:G33)</f>
        <v>94521.826536283421</v>
      </c>
      <c r="H36" s="112">
        <f t="shared" si="17"/>
        <v>0</v>
      </c>
      <c r="I36" s="113">
        <f t="shared" si="17"/>
        <v>4.8359367249999998</v>
      </c>
      <c r="J36" s="114">
        <f t="shared" si="17"/>
        <v>103962.58020193546</v>
      </c>
      <c r="K36" s="114">
        <f t="shared" si="17"/>
        <v>16461.445</v>
      </c>
      <c r="L36" s="114">
        <f t="shared" ref="L36:Q36" si="18">MAX(L10:L33)</f>
        <v>88437.980201935454</v>
      </c>
      <c r="M36" s="112" t="e">
        <f t="shared" si="18"/>
        <v>#DIV/0!</v>
      </c>
      <c r="N36" s="113">
        <f t="shared" si="18"/>
        <v>4.4206500919444442</v>
      </c>
      <c r="O36" s="114">
        <f t="shared" si="18"/>
        <v>104234.94664341767</v>
      </c>
      <c r="P36" s="114">
        <f t="shared" si="18"/>
        <v>15792.80217625723</v>
      </c>
      <c r="Q36" s="114">
        <f t="shared" si="18"/>
        <v>88802.739643417677</v>
      </c>
      <c r="S36" s="112">
        <f t="shared" ref="S36:W36" si="19">MAX(S10:S33)</f>
        <v>0</v>
      </c>
      <c r="T36" s="113">
        <f t="shared" si="19"/>
        <v>4.4206500919444442</v>
      </c>
      <c r="U36" s="114">
        <f t="shared" si="19"/>
        <v>104234.94664341767</v>
      </c>
      <c r="V36" s="114">
        <f t="shared" si="19"/>
        <v>15792.80217625723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2055654.5329110308</v>
      </c>
      <c r="F37" s="114">
        <f t="shared" ref="F37" si="20">SUM(F10:F33)</f>
        <v>250925.71699999998</v>
      </c>
      <c r="G37" s="114">
        <f t="shared" ref="G37" si="21">SUM(G10:G33)</f>
        <v>1804728.8159110313</v>
      </c>
      <c r="H37" s="112"/>
      <c r="I37" s="112"/>
      <c r="J37" s="114">
        <f t="shared" ref="J37:L37" si="22">SUM(J10:J33)</f>
        <v>2062870.6724412208</v>
      </c>
      <c r="K37" s="114">
        <f t="shared" si="22"/>
        <v>253968.82700000002</v>
      </c>
      <c r="L37" s="114">
        <f t="shared" si="22"/>
        <v>1808901.8454412208</v>
      </c>
      <c r="M37" s="112"/>
      <c r="N37" s="112"/>
      <c r="O37" s="114">
        <f t="shared" ref="O37:P37" si="23">SUM(O10:O33)</f>
        <v>2023845.4421203171</v>
      </c>
      <c r="P37" s="114">
        <f t="shared" si="23"/>
        <v>250935.91375164199</v>
      </c>
      <c r="Q37" s="114">
        <f>SUM(Q10:Q33)</f>
        <v>1772909.5283686747</v>
      </c>
      <c r="S37" s="112"/>
      <c r="T37" s="112"/>
      <c r="U37" s="114">
        <f t="shared" ref="U37:W37" si="24">SUM(U10:U33)</f>
        <v>2023845.4421203171</v>
      </c>
      <c r="V37" s="114">
        <f t="shared" si="24"/>
        <v>250935.91375164199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B7:B9"/>
    <mergeCell ref="C8:G8"/>
    <mergeCell ref="C7:G7"/>
    <mergeCell ref="H7:L7"/>
    <mergeCell ref="M7:Q7"/>
    <mergeCell ref="S7:W7"/>
    <mergeCell ref="S8:W8"/>
    <mergeCell ref="C2:E2"/>
    <mergeCell ref="H8:L8"/>
    <mergeCell ref="M8:Q8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84" zoomScaleNormal="84" workbookViewId="0">
      <pane xSplit="2" ySplit="5" topLeftCell="K6" activePane="bottomRight" state="frozen"/>
      <selection pane="topRight" activeCell="C1" sqref="C1"/>
      <selection pane="bottomLeft" activeCell="A5" sqref="A5"/>
      <selection pane="bottomRight" activeCell="S29" sqref="S19:U29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5.0896922800724802</v>
      </c>
      <c r="P2" s="4" t="s">
        <v>124</v>
      </c>
      <c r="R2" s="59">
        <f>'4.Projected'!BX29</f>
        <v>5.5248575925292718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63" t="s">
        <v>130</v>
      </c>
      <c r="O4" s="163"/>
      <c r="P4" s="163"/>
      <c r="Q4" s="163"/>
      <c r="R4" s="163"/>
      <c r="S4" s="163"/>
      <c r="T4" s="163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73015.236668529338</v>
      </c>
      <c r="D6" s="53">
        <f>'2. Energy'!P10</f>
        <v>5799.8009999999995</v>
      </c>
      <c r="E6" s="53">
        <f>'2. Energy'!Q10</f>
        <v>67215.435668529331</v>
      </c>
      <c r="F6" s="53">
        <f>IF('1. Rates'!$C$62&lt;'2. Energy'!N10*(1+'1. Rates'!$J$60),'1. Rates'!$C$41,'1. Rates'!$C$42)</f>
        <v>20000</v>
      </c>
      <c r="G6" s="53">
        <f>IF('1. Rates'!$D$62&lt;'2. Energy'!N10*(1+'1. Rates'!$J$60),'1. Rates'!$D$41,'1. Rates'!$D$42)</f>
        <v>5000</v>
      </c>
      <c r="H6" s="53">
        <f>IF('1. Rates'!$E$62&lt;'2. Energy'!N10*(1+'1. Rates'!$J$60),'1. Rates'!$E$41,'1. Rates'!$E$42)</f>
        <v>10000</v>
      </c>
      <c r="I6" s="53">
        <f>IF('1. Rates'!F$62&lt;'2. Energy'!$N10*(1+'1. Rates'!$J$60),'1. Rates'!F$41,'1. Rates'!F$42)</f>
        <v>10000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10000</v>
      </c>
      <c r="L6" s="53">
        <f>IF('1. Rates'!Q41&lt;('2. Energy'!N10*(1+'1. Rates'!$J$60)),'1. Rates'!$I$41,0)</f>
        <v>0</v>
      </c>
      <c r="M6" s="53">
        <f>E6-(F6+G6+H6+I6+J6+K6+L6)</f>
        <v>12215.435668529331</v>
      </c>
      <c r="N6" s="119">
        <v>14000</v>
      </c>
      <c r="O6" s="119">
        <v>2500</v>
      </c>
      <c r="P6" s="119">
        <v>10000</v>
      </c>
      <c r="Q6" s="119">
        <v>10000</v>
      </c>
      <c r="R6" s="119">
        <v>20000</v>
      </c>
      <c r="S6" s="119">
        <v>10000</v>
      </c>
      <c r="T6" s="119"/>
      <c r="U6" s="53">
        <f>'2. Energy'!N10*(1+'1. Rates'!$J$60)</f>
        <v>4.0373642421848102</v>
      </c>
      <c r="V6" s="53">
        <f>(SUM('4.Projected'!W5:AC5)+SUM('4.Projected'!AF5:AK5))/(SUM('4.Projected'!F5:K5))</f>
        <v>4.6425311660594524</v>
      </c>
      <c r="W6" s="53">
        <f t="shared" ref="W6:AC6" si="0">IF(N6="",F6,N6)</f>
        <v>14000</v>
      </c>
      <c r="X6" s="53">
        <f t="shared" si="0"/>
        <v>2500</v>
      </c>
      <c r="Y6" s="53">
        <f t="shared" si="0"/>
        <v>10000</v>
      </c>
      <c r="Z6" s="53">
        <f t="shared" si="0"/>
        <v>10000</v>
      </c>
      <c r="AA6" s="53">
        <f t="shared" si="0"/>
        <v>20000</v>
      </c>
      <c r="AB6" s="53">
        <f t="shared" si="0"/>
        <v>10000</v>
      </c>
      <c r="AC6" s="53">
        <f t="shared" si="0"/>
        <v>0</v>
      </c>
      <c r="AD6" s="53">
        <f>E6-(W6+X6+Y6+Z6+AA6+AB6+AC6)</f>
        <v>715.43566852933145</v>
      </c>
    </row>
    <row r="7" spans="2:30" ht="18" customHeight="1" x14ac:dyDescent="0.3">
      <c r="B7" s="14">
        <v>2</v>
      </c>
      <c r="C7" s="53">
        <f>'2. Energy'!O11</f>
        <v>69374.10255913646</v>
      </c>
      <c r="D7" s="53">
        <f>'2. Energy'!P11</f>
        <v>5649.1365000000005</v>
      </c>
      <c r="E7" s="53">
        <f>'2. Energy'!Q11</f>
        <v>63724.966059136459</v>
      </c>
      <c r="F7" s="53">
        <f>IF('1. Rates'!$C$62&lt;'2. Energy'!N11*(1+'1. Rates'!$J$60),'1. Rates'!$C$41,'1. Rates'!$C$42)</f>
        <v>20000</v>
      </c>
      <c r="G7" s="53">
        <f>IF('1. Rates'!$D$62&lt;'2. Energy'!N11*(1+'1. Rates'!$J$60),'1. Rates'!$D$41,'1. Rates'!$D$42)</f>
        <v>5000</v>
      </c>
      <c r="H7" s="53">
        <f>IF('1. Rates'!$E$62&lt;'2. Energy'!N11*(1+'1. Rates'!$J$60),'1. Rates'!$E$41,'1. Rates'!$E$42)</f>
        <v>10000</v>
      </c>
      <c r="I7" s="53">
        <f>IF('1. Rates'!F$62&lt;'2. Energy'!$N11*(1+'1. Rates'!$J$60),'1. Rates'!F$41,'1. Rates'!F$42)</f>
        <v>10000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18724.966059136459</v>
      </c>
      <c r="N7" s="119">
        <v>11000</v>
      </c>
      <c r="O7" s="119">
        <v>2500</v>
      </c>
      <c r="P7" s="119">
        <v>10000</v>
      </c>
      <c r="Q7" s="119">
        <v>10000</v>
      </c>
      <c r="R7" s="119">
        <v>20000</v>
      </c>
      <c r="S7" s="119">
        <v>10000</v>
      </c>
      <c r="T7" s="119"/>
      <c r="U7" s="53">
        <f>'2. Energy'!N11*(1+'1. Rates'!$J$60)</f>
        <v>3.8646810869421522</v>
      </c>
      <c r="V7" s="53">
        <f>(SUM('4.Projected'!W6:AC6)+SUM('4.Projected'!AF6:AK6))/(SUM('4.Projected'!F6:K6))</f>
        <v>4.6881633692720026</v>
      </c>
      <c r="W7" s="53">
        <f t="shared" ref="W7:W29" si="2">IF(N7="",F7,N7)</f>
        <v>11000</v>
      </c>
      <c r="X7" s="53">
        <f t="shared" ref="X7:X29" si="3">IF(O7="",G7,O7)</f>
        <v>2500</v>
      </c>
      <c r="Y7" s="53">
        <f t="shared" ref="Y7:Y29" si="4">IF(P7="",H7,P7)</f>
        <v>10000</v>
      </c>
      <c r="Z7" s="53">
        <f t="shared" ref="Z7:Z29" si="5">IF(Q7="",I7,Q7)</f>
        <v>10000</v>
      </c>
      <c r="AA7" s="53">
        <f t="shared" ref="AA7:AA29" si="6">IF(R7="",J7,R7)</f>
        <v>20000</v>
      </c>
      <c r="AB7" s="53">
        <f t="shared" ref="AB7:AB29" si="7">IF(S7="",K7,S7)</f>
        <v>10000</v>
      </c>
      <c r="AC7" s="53">
        <f t="shared" ref="AC7:AC29" si="8">IF(T7="",L7,T7)</f>
        <v>0</v>
      </c>
      <c r="AD7" s="53">
        <f t="shared" ref="AD7:AD29" si="9">E7-(W7+X7+Y7+Z7+AA7+AB7+AC7)</f>
        <v>224.96605913645908</v>
      </c>
    </row>
    <row r="8" spans="2:30" ht="18" customHeight="1" x14ac:dyDescent="0.3">
      <c r="B8" s="14">
        <v>3</v>
      </c>
      <c r="C8" s="53">
        <f>'2. Energy'!O12</f>
        <v>66616.984367256257</v>
      </c>
      <c r="D8" s="53">
        <f>'2. Energy'!P12</f>
        <v>5554.8325000000004</v>
      </c>
      <c r="E8" s="53">
        <f>'2. Energy'!Q12</f>
        <v>61062.151867256252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38562.151867256252</v>
      </c>
      <c r="N8" s="119">
        <v>10000</v>
      </c>
      <c r="O8" s="119">
        <v>2500</v>
      </c>
      <c r="P8" s="119">
        <v>5000</v>
      </c>
      <c r="Q8" s="119">
        <v>5000</v>
      </c>
      <c r="R8" s="119">
        <v>20000</v>
      </c>
      <c r="S8" s="119">
        <v>0</v>
      </c>
      <c r="T8" s="119"/>
      <c r="U8" s="53">
        <f>'2. Energy'!N12*(1+'1. Rates'!$J$60)</f>
        <v>3.5234980338197728</v>
      </c>
      <c r="V8" s="53">
        <f>(SUM('4.Projected'!W7:AC7)+SUM('4.Projected'!AF7:AK7))/(SUM('4.Projected'!F7:K7))</f>
        <v>5.1324423743320509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20000</v>
      </c>
      <c r="AB8" s="53">
        <f t="shared" si="7"/>
        <v>0</v>
      </c>
      <c r="AC8" s="53">
        <f t="shared" si="8"/>
        <v>0</v>
      </c>
      <c r="AD8" s="53">
        <f t="shared" si="9"/>
        <v>18562.151867256252</v>
      </c>
    </row>
    <row r="9" spans="2:30" ht="18" customHeight="1" x14ac:dyDescent="0.3">
      <c r="B9" s="14">
        <v>4</v>
      </c>
      <c r="C9" s="53">
        <f>'2. Energy'!O13</f>
        <v>64172.370484343883</v>
      </c>
      <c r="D9" s="53">
        <f>'2. Energy'!P13</f>
        <v>5481.98</v>
      </c>
      <c r="E9" s="53">
        <f>'2. Energy'!Q13</f>
        <v>58690.39048434388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36190.39048434388</v>
      </c>
      <c r="N9" s="119">
        <v>10000</v>
      </c>
      <c r="O9" s="119">
        <v>2500</v>
      </c>
      <c r="P9" s="119">
        <v>5000</v>
      </c>
      <c r="Q9" s="119">
        <v>5000</v>
      </c>
      <c r="R9" s="119">
        <v>20000</v>
      </c>
      <c r="S9" s="119">
        <v>0</v>
      </c>
      <c r="T9" s="119"/>
      <c r="U9" s="53">
        <f>'2. Energy'!N13*(1+'1. Rates'!$J$60)</f>
        <v>3.4828458451287143</v>
      </c>
      <c r="V9" s="53">
        <f>(SUM('4.Projected'!W8:AC8)+SUM('4.Projected'!AF8:AK8))/(SUM('4.Projected'!F8:K8))</f>
        <v>5.1324423743320509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20000</v>
      </c>
      <c r="AB9" s="53">
        <f t="shared" si="7"/>
        <v>0</v>
      </c>
      <c r="AC9" s="53">
        <f t="shared" si="8"/>
        <v>0</v>
      </c>
      <c r="AD9" s="53">
        <f t="shared" si="9"/>
        <v>16190.39048434388</v>
      </c>
    </row>
    <row r="10" spans="2:30" ht="18" customHeight="1" x14ac:dyDescent="0.3">
      <c r="B10" s="14">
        <v>5</v>
      </c>
      <c r="C10" s="53">
        <f>'2. Energy'!O14</f>
        <v>63410.292316977371</v>
      </c>
      <c r="D10" s="53">
        <f>'2. Energy'!P14</f>
        <v>5456.8814999999995</v>
      </c>
      <c r="E10" s="53">
        <f>'2. Energy'!Q14</f>
        <v>57953.410816977368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35453.410816977368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2.9851788420048022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35453.410816977368</v>
      </c>
    </row>
    <row r="11" spans="2:30" ht="18" customHeight="1" x14ac:dyDescent="0.3">
      <c r="B11" s="14">
        <v>6</v>
      </c>
      <c r="C11" s="53">
        <f>'2. Energy'!O15</f>
        <v>64026.318992941284</v>
      </c>
      <c r="D11" s="53">
        <f>'2. Energy'!P15</f>
        <v>5512.3949999999995</v>
      </c>
      <c r="E11" s="53">
        <f>'2. Energy'!Q15</f>
        <v>58513.923992941287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36013.923992941287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0</v>
      </c>
      <c r="S11" s="119">
        <v>0</v>
      </c>
      <c r="T11" s="119"/>
      <c r="U11" s="53">
        <f>'2. Energy'!N15*(1+'1. Rates'!$J$60)</f>
        <v>3.2863251832301339</v>
      </c>
      <c r="V11" s="53">
        <f>(SUM('4.Projected'!W10:AC10)+SUM('4.Projected'!AF10:AK10))/(SUM('4.Projected'!F10:K10))</f>
        <v>4.2000355959605411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0</v>
      </c>
      <c r="AB11" s="53">
        <f t="shared" si="7"/>
        <v>0</v>
      </c>
      <c r="AC11" s="53">
        <f t="shared" si="8"/>
        <v>0</v>
      </c>
      <c r="AD11" s="53">
        <f t="shared" si="9"/>
        <v>36013.923992941287</v>
      </c>
    </row>
    <row r="12" spans="2:30" ht="18" customHeight="1" x14ac:dyDescent="0.3">
      <c r="B12" s="14">
        <v>7</v>
      </c>
      <c r="C12" s="53">
        <f>'2. Energy'!O16</f>
        <v>64325.6648411879</v>
      </c>
      <c r="D12" s="53">
        <f>'2. Energy'!P16</f>
        <v>5765.4772277227721</v>
      </c>
      <c r="E12" s="53">
        <f>'2. Energy'!Q16</f>
        <v>58560.187613465125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36060.187613465125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0</v>
      </c>
      <c r="S12" s="119">
        <v>0</v>
      </c>
      <c r="T12" s="119"/>
      <c r="U12" s="53">
        <f>'2. Energy'!N16*(1+'1. Rates'!$J$60)</f>
        <v>3.2430984854632126</v>
      </c>
      <c r="V12" s="53">
        <f>(SUM('4.Projected'!W11:AC11)+SUM('4.Projected'!AF11:AK11))/(SUM('4.Projected'!F11:K11))</f>
        <v>4.2000355959605411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0</v>
      </c>
      <c r="AB12" s="53">
        <f t="shared" si="7"/>
        <v>0</v>
      </c>
      <c r="AC12" s="53">
        <f t="shared" si="8"/>
        <v>0</v>
      </c>
      <c r="AD12" s="53">
        <f t="shared" si="9"/>
        <v>36060.187613465125</v>
      </c>
    </row>
    <row r="13" spans="2:30" ht="18" customHeight="1" x14ac:dyDescent="0.3">
      <c r="B13" s="14">
        <v>8</v>
      </c>
      <c r="C13" s="53">
        <f>'2. Energy'!O17</f>
        <v>68269.292767948777</v>
      </c>
      <c r="D13" s="53">
        <f>'2. Energy'!P17</f>
        <v>6519.4465</v>
      </c>
      <c r="E13" s="53">
        <f>'2. Energy'!Q17</f>
        <v>61749.846267948778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39249.846267948778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0</v>
      </c>
      <c r="S13" s="119">
        <v>0</v>
      </c>
      <c r="T13" s="119"/>
      <c r="U13" s="53">
        <f>'2. Energy'!N17*(1+'1. Rates'!$J$60)</f>
        <v>2.7840836523164993</v>
      </c>
      <c r="V13" s="53">
        <f>(SUM('4.Projected'!W12:AC12)+SUM('4.Projected'!AF12:AK12))/(SUM('4.Projected'!F12:K12))</f>
        <v>4.2000355959605411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0</v>
      </c>
      <c r="AB13" s="53">
        <f t="shared" si="7"/>
        <v>0</v>
      </c>
      <c r="AC13" s="53">
        <f t="shared" si="8"/>
        <v>0</v>
      </c>
      <c r="AD13" s="53">
        <f t="shared" si="9"/>
        <v>39249.846267948778</v>
      </c>
    </row>
    <row r="14" spans="2:30" ht="18" customHeight="1" x14ac:dyDescent="0.3">
      <c r="B14" s="14">
        <v>9</v>
      </c>
      <c r="C14" s="53">
        <f>'2. Energy'!O18</f>
        <v>78475.677913987674</v>
      </c>
      <c r="D14" s="53">
        <f>'2. Energy'!P18</f>
        <v>7901.5895</v>
      </c>
      <c r="E14" s="53">
        <f>'2. Energy'!Q18</f>
        <v>70574.088413987673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48074.088413987673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0</v>
      </c>
      <c r="S14" s="119">
        <v>0</v>
      </c>
      <c r="T14" s="119"/>
      <c r="U14" s="53">
        <f>'2. Energy'!N18*(1+'1. Rates'!$J$60)</f>
        <v>3.1613961704870803</v>
      </c>
      <c r="V14" s="53">
        <f>(SUM('4.Projected'!W13:AC13)+SUM('4.Projected'!AF13:AK13))/(SUM('4.Projected'!F13:K13))</f>
        <v>4.2000355959605411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0</v>
      </c>
      <c r="AB14" s="53">
        <f t="shared" si="7"/>
        <v>0</v>
      </c>
      <c r="AC14" s="53">
        <f t="shared" si="8"/>
        <v>0</v>
      </c>
      <c r="AD14" s="53">
        <f t="shared" si="9"/>
        <v>48074.088413987673</v>
      </c>
    </row>
    <row r="15" spans="2:30" ht="18" customHeight="1" x14ac:dyDescent="0.3">
      <c r="B15" s="14">
        <v>10</v>
      </c>
      <c r="C15" s="53">
        <f>'2. Energy'!O19</f>
        <v>91267.705873549741</v>
      </c>
      <c r="D15" s="53">
        <f>'2. Energy'!P19</f>
        <v>13052.000499999998</v>
      </c>
      <c r="E15" s="53">
        <f>'2. Energy'!Q19</f>
        <v>78215.705373549747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55715.705373549747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10000</v>
      </c>
      <c r="S15" s="119">
        <v>0</v>
      </c>
      <c r="T15" s="119"/>
      <c r="U15" s="53">
        <f>'2. Energy'!N19*(1+'1. Rates'!$J$60)</f>
        <v>3.4610247691964489</v>
      </c>
      <c r="V15" s="53">
        <f>(SUM('4.Projected'!W14:AC14)+SUM('4.Projected'!AF14:AK14))/(SUM('4.Projected'!F14:K14))</f>
        <v>4.8096861818188366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10000</v>
      </c>
      <c r="AB15" s="53">
        <f t="shared" si="7"/>
        <v>0</v>
      </c>
      <c r="AC15" s="53">
        <f t="shared" si="8"/>
        <v>0</v>
      </c>
      <c r="AD15" s="53">
        <f t="shared" si="9"/>
        <v>45715.705373549747</v>
      </c>
    </row>
    <row r="16" spans="2:30" ht="18" customHeight="1" x14ac:dyDescent="0.3">
      <c r="B16" s="14">
        <v>11</v>
      </c>
      <c r="C16" s="53">
        <f>'2. Energy'!O20</f>
        <v>96943.482226506312</v>
      </c>
      <c r="D16" s="53">
        <f>'2. Energy'!P20</f>
        <v>14886.798500000001</v>
      </c>
      <c r="E16" s="53">
        <f>'2. Energy'!Q20</f>
        <v>82056.683726506308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59556.683726506308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10000</v>
      </c>
      <c r="S16" s="119">
        <v>0</v>
      </c>
      <c r="T16" s="119"/>
      <c r="U16" s="53">
        <f>'2. Energy'!N20*(1+'1. Rates'!$J$60)</f>
        <v>3.5337849985329028</v>
      </c>
      <c r="V16" s="53">
        <f>(SUM('4.Projected'!W15:AC15)+SUM('4.Projected'!AF15:AK15))/(SUM('4.Projected'!F15:K15))</f>
        <v>4.8096861818188366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10000</v>
      </c>
      <c r="AB16" s="53">
        <f t="shared" si="7"/>
        <v>0</v>
      </c>
      <c r="AC16" s="53">
        <f t="shared" si="8"/>
        <v>0</v>
      </c>
      <c r="AD16" s="53">
        <f t="shared" si="9"/>
        <v>49556.683726506308</v>
      </c>
    </row>
    <row r="17" spans="2:30" ht="18" customHeight="1" x14ac:dyDescent="0.3">
      <c r="B17" s="14">
        <v>12</v>
      </c>
      <c r="C17" s="53">
        <f>'2. Energy'!O21</f>
        <v>98304.338214798976</v>
      </c>
      <c r="D17" s="53">
        <f>'2. Energy'!P21</f>
        <v>14810.005000000001</v>
      </c>
      <c r="E17" s="53">
        <f>'2. Energy'!Q21</f>
        <v>83494.333214798971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60994.333214798971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10000</v>
      </c>
      <c r="S17" s="119">
        <v>0</v>
      </c>
      <c r="T17" s="119"/>
      <c r="U17" s="53">
        <f>'2. Energy'!N21*(1+'1. Rates'!$J$60)</f>
        <v>2.9447956537932045</v>
      </c>
      <c r="V17" s="53">
        <f>(SUM('4.Projected'!W16:AC16)+SUM('4.Projected'!AF16:AK16))/(SUM('4.Projected'!F16:K16))</f>
        <v>4.8096861818188366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10000</v>
      </c>
      <c r="AB17" s="53">
        <f t="shared" si="7"/>
        <v>0</v>
      </c>
      <c r="AC17" s="53">
        <f t="shared" si="8"/>
        <v>0</v>
      </c>
      <c r="AD17" s="53">
        <f t="shared" si="9"/>
        <v>50994.333214798971</v>
      </c>
    </row>
    <row r="18" spans="2:30" ht="18" customHeight="1" x14ac:dyDescent="0.3">
      <c r="B18" s="14">
        <v>13</v>
      </c>
      <c r="C18" s="53">
        <f>'2. Energy'!O22</f>
        <v>98523.498169133236</v>
      </c>
      <c r="D18" s="53">
        <f>'2. Energy'!P22</f>
        <v>14699.338500000002</v>
      </c>
      <c r="E18" s="53">
        <f>'2. Energy'!Q22</f>
        <v>83824.159669133238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61324.159669133238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10000</v>
      </c>
      <c r="S18" s="119">
        <v>0</v>
      </c>
      <c r="T18" s="119"/>
      <c r="U18" s="53">
        <f>'2. Energy'!N22*(1+'1. Rates'!$J$60)</f>
        <v>2.7990011546256062</v>
      </c>
      <c r="V18" s="53">
        <f>(SUM('4.Projected'!W17:AC17)+SUM('4.Projected'!AF17:AK17))/(SUM('4.Projected'!F17:K17))</f>
        <v>4.8096861818188366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10000</v>
      </c>
      <c r="AB18" s="53">
        <f t="shared" si="7"/>
        <v>0</v>
      </c>
      <c r="AC18" s="53">
        <f t="shared" si="8"/>
        <v>0</v>
      </c>
      <c r="AD18" s="53">
        <f t="shared" si="9"/>
        <v>51324.159669133238</v>
      </c>
    </row>
    <row r="19" spans="2:30" ht="18" customHeight="1" x14ac:dyDescent="0.3">
      <c r="B19" s="14">
        <v>14</v>
      </c>
      <c r="C19" s="53">
        <f>'2. Energy'!O23</f>
        <v>103041.69503897769</v>
      </c>
      <c r="D19" s="53">
        <f>'2. Energy'!P23</f>
        <v>15357.636</v>
      </c>
      <c r="E19" s="53">
        <f>'2. Energy'!Q23</f>
        <v>87684.059038977692</v>
      </c>
      <c r="F19" s="53">
        <f>IF('1. Rates'!$C$62&lt;'2. Energy'!N23*(1+'1. Rates'!$J$60),'1. Rates'!$C$41,'1. Rates'!$C$42)</f>
        <v>10000</v>
      </c>
      <c r="G19" s="53">
        <f>IF('1. Rates'!$D$62&lt;'2. Energy'!N23*(1+'1. Rates'!$J$60),'1. Rates'!$D$41,'1. Rates'!$D$42)</f>
        <v>2500</v>
      </c>
      <c r="H19" s="53">
        <f>IF('1. Rates'!$E$62&lt;'2. Energy'!N23*(1+'1. Rates'!$J$60),'1. Rates'!$E$41,'1. Rates'!$E$42)</f>
        <v>5000</v>
      </c>
      <c r="I19" s="53">
        <f>IF('1. Rates'!F$62&lt;'2. Energy'!$N23*(1+'1. Rates'!$J$60),'1. Rates'!F$41,'1. Rates'!F$42)</f>
        <v>5000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0</v>
      </c>
      <c r="L19" s="53">
        <f>IF('1. Rates'!Q54&lt;('2. Energy'!N23*(1+'1. Rates'!$J$60)),'1. Rates'!$I$42,0)</f>
        <v>0</v>
      </c>
      <c r="M19" s="53">
        <f t="shared" si="1"/>
        <v>65184.059038977692</v>
      </c>
      <c r="N19" s="119">
        <v>10000</v>
      </c>
      <c r="O19" s="119">
        <v>2500</v>
      </c>
      <c r="P19" s="119">
        <v>5000</v>
      </c>
      <c r="Q19" s="119">
        <v>5000</v>
      </c>
      <c r="R19" s="119">
        <v>20000</v>
      </c>
      <c r="S19" s="119">
        <v>10000</v>
      </c>
      <c r="T19" s="119"/>
      <c r="U19" s="53">
        <f>'2. Energy'!N23*(1+'1. Rates'!$J$60)</f>
        <v>3.6680658421280152</v>
      </c>
      <c r="V19" s="53">
        <f>(SUM('4.Projected'!W18:AC18)+SUM('4.Projected'!AF18:AK18))/(SUM('4.Projected'!F18:K18))</f>
        <v>4.895147360982989</v>
      </c>
      <c r="W19" s="53">
        <f t="shared" si="2"/>
        <v>10000</v>
      </c>
      <c r="X19" s="53">
        <f t="shared" si="3"/>
        <v>2500</v>
      </c>
      <c r="Y19" s="53">
        <f t="shared" si="4"/>
        <v>5000</v>
      </c>
      <c r="Z19" s="53">
        <f t="shared" si="5"/>
        <v>5000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35184.059038977692</v>
      </c>
    </row>
    <row r="20" spans="2:30" ht="18" customHeight="1" x14ac:dyDescent="0.3">
      <c r="B20" s="14">
        <v>15</v>
      </c>
      <c r="C20" s="53">
        <f>'2. Energy'!O24</f>
        <v>104234.94664341767</v>
      </c>
      <c r="D20" s="53">
        <f>'2. Energy'!P24</f>
        <v>15432.206999999999</v>
      </c>
      <c r="E20" s="53">
        <f>'2. Energy'!Q24</f>
        <v>88802.739643417677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0</v>
      </c>
      <c r="L20" s="53">
        <f>IF('1. Rates'!Q55&lt;('2. Energy'!N24*(1+'1. Rates'!$J$60)),'1. Rates'!$I$42,0)</f>
        <v>0</v>
      </c>
      <c r="M20" s="53">
        <f t="shared" si="1"/>
        <v>43802.739643417677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3.8218279867978717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13802.739643417677</v>
      </c>
    </row>
    <row r="21" spans="2:30" ht="18" customHeight="1" x14ac:dyDescent="0.3">
      <c r="B21" s="14">
        <v>16</v>
      </c>
      <c r="C21" s="53">
        <f>'2. Energy'!O25</f>
        <v>102335.43406865346</v>
      </c>
      <c r="D21" s="53">
        <f>'2. Energy'!P25</f>
        <v>15338.907500000001</v>
      </c>
      <c r="E21" s="53">
        <f>'2. Energy'!Q25</f>
        <v>86996.526568653455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0</v>
      </c>
      <c r="L21" s="53">
        <f>IF('1. Rates'!Q56&lt;('2. Energy'!N25*(1+'1. Rates'!$J$60)),'1. Rates'!$I$42,0)</f>
        <v>0</v>
      </c>
      <c r="M21" s="53">
        <f t="shared" si="1"/>
        <v>41996.526568653455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3.8307026915401994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11996.526568653455</v>
      </c>
    </row>
    <row r="22" spans="2:30" ht="18" customHeight="1" x14ac:dyDescent="0.3">
      <c r="B22" s="14">
        <v>17</v>
      </c>
      <c r="C22" s="53">
        <f>'2. Energy'!O26</f>
        <v>100728.75275291161</v>
      </c>
      <c r="D22" s="53">
        <f>'2. Energy'!P26</f>
        <v>15792.80217625723</v>
      </c>
      <c r="E22" s="53">
        <f>'2. Energy'!Q26</f>
        <v>84935.950576654373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29935.950576654373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4.1138520743747105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9935.9505766543734</v>
      </c>
    </row>
    <row r="23" spans="2:30" ht="18" customHeight="1" x14ac:dyDescent="0.3">
      <c r="B23" s="14">
        <v>18</v>
      </c>
      <c r="C23" s="53">
        <f>'2. Energy'!O27</f>
        <v>96702.230459673927</v>
      </c>
      <c r="D23" s="53">
        <f>'2. Energy'!P27</f>
        <v>15557.501715518087</v>
      </c>
      <c r="E23" s="53">
        <f>'2. Energy'!Q27</f>
        <v>81144.728744155844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26144.728744155844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4.7927171370739421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6144.7287441558437</v>
      </c>
    </row>
    <row r="24" spans="2:30" ht="18" customHeight="1" x14ac:dyDescent="0.3">
      <c r="B24" s="14">
        <v>19</v>
      </c>
      <c r="C24" s="53">
        <f>'2. Energy'!O28</f>
        <v>98399.382911825945</v>
      </c>
      <c r="D24" s="53">
        <f>'2. Energy'!P28</f>
        <v>15152.498774629941</v>
      </c>
      <c r="E24" s="53">
        <f>'2. Energy'!Q28</f>
        <v>83246.884137196001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28246.884137196001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4.6358730707489091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8246.8841371960007</v>
      </c>
    </row>
    <row r="25" spans="2:30" ht="18" customHeight="1" x14ac:dyDescent="0.3">
      <c r="B25" s="14">
        <v>20</v>
      </c>
      <c r="C25" s="53">
        <f>'2. Energy'!O29</f>
        <v>94361.888220561552</v>
      </c>
      <c r="D25" s="53">
        <f>'2. Energy'!P29</f>
        <v>13812.909028526612</v>
      </c>
      <c r="E25" s="53">
        <f>'2. Energy'!Q29</f>
        <v>80548.979192034938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25548.979192034938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4.3212215734667945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5548.979192034938</v>
      </c>
    </row>
    <row r="26" spans="2:30" ht="18" customHeight="1" x14ac:dyDescent="0.3">
      <c r="B26" s="14">
        <v>21</v>
      </c>
      <c r="C26" s="53">
        <f>'2. Energy'!O30</f>
        <v>90077.013374143091</v>
      </c>
      <c r="D26" s="53">
        <f>'2. Energy'!P30</f>
        <v>12007.844328987354</v>
      </c>
      <c r="E26" s="53">
        <f>'2. Energy'!Q30</f>
        <v>78069.169045155737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23069.169045155737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4.3675970223675282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3069.169045155737</v>
      </c>
    </row>
    <row r="27" spans="2:30" ht="18" customHeight="1" x14ac:dyDescent="0.3">
      <c r="B27" s="14">
        <v>22</v>
      </c>
      <c r="C27" s="53">
        <f>'2. Energy'!O31</f>
        <v>85691.676207122102</v>
      </c>
      <c r="D27" s="53">
        <f>'2. Energy'!P31</f>
        <v>9523.143</v>
      </c>
      <c r="E27" s="53">
        <f>'2. Energy'!Q31</f>
        <v>76168.533207122106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21168.533207122106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3.9055272777467502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1168.5332071221055</v>
      </c>
    </row>
    <row r="28" spans="2:30" ht="18" customHeight="1" x14ac:dyDescent="0.3">
      <c r="B28" s="14">
        <v>23</v>
      </c>
      <c r="C28" s="53">
        <f>'2. Energy'!O32</f>
        <v>78673.822932052906</v>
      </c>
      <c r="D28" s="53">
        <f>'2. Energy'!P32</f>
        <v>6375.7855</v>
      </c>
      <c r="E28" s="53">
        <f>'2. Energy'!Q32</f>
        <v>72298.037432052908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10000</v>
      </c>
      <c r="L28" s="53">
        <f>IF('1. Rates'!Q63&lt;('2. Energy'!N32*(1+'1. Rates'!$J$60)),'1. Rates'!$I$41,0)</f>
        <v>0</v>
      </c>
      <c r="M28" s="53">
        <f t="shared" si="1"/>
        <v>17298.037432052908</v>
      </c>
      <c r="N28" s="119">
        <v>19500</v>
      </c>
      <c r="O28" s="119">
        <v>2500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3.9776053419026751</v>
      </c>
      <c r="V28" s="53">
        <f>(SUM('4.Projected'!W27:AC27)+SUM('4.Projected'!AF27:AK27))/(SUM('4.Projected'!F27:K27))</f>
        <v>4.5687485411891622</v>
      </c>
      <c r="W28" s="53">
        <f t="shared" si="2"/>
        <v>19500</v>
      </c>
      <c r="X28" s="53">
        <f t="shared" si="3"/>
        <v>2500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298.03743205290812</v>
      </c>
    </row>
    <row r="29" spans="2:30" ht="18" customHeight="1" x14ac:dyDescent="0.3">
      <c r="B29" s="14">
        <v>24</v>
      </c>
      <c r="C29" s="53">
        <f>'2. Energy'!O33</f>
        <v>72873.634114679604</v>
      </c>
      <c r="D29" s="53">
        <f>'2. Energy'!P33</f>
        <v>5494.9965000000011</v>
      </c>
      <c r="E29" s="53">
        <f>'2. Energy'!Q33</f>
        <v>67378.63761467961</v>
      </c>
      <c r="F29" s="53">
        <f>IF('1. Rates'!$C$62&lt;'2. Energy'!N33*(1+'1. Rates'!$J$60),'1. Rates'!$C$41,'1. Rates'!$C$42)</f>
        <v>10000</v>
      </c>
      <c r="G29" s="53">
        <f>IF('1. Rates'!$D$62&lt;'2. Energy'!N33*(1+'1. Rates'!$J$60),'1. Rates'!$D$41,'1. Rates'!$D$42)</f>
        <v>2500</v>
      </c>
      <c r="H29" s="53">
        <f>IF('1. Rates'!$E$62&lt;'2. Energy'!N33*(1+'1. Rates'!$J$60),'1. Rates'!$E$41,'1. Rates'!$E$42)</f>
        <v>5000</v>
      </c>
      <c r="I29" s="53">
        <f>IF('1. Rates'!F$62&lt;'2. Energy'!$N33*(1+'1. Rates'!$J$60),'1. Rates'!F$41,'1. Rates'!F$42)</f>
        <v>5000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44878.63761467961</v>
      </c>
      <c r="N29" s="119">
        <v>10000</v>
      </c>
      <c r="O29" s="119">
        <v>2500</v>
      </c>
      <c r="P29" s="119">
        <v>5000</v>
      </c>
      <c r="Q29" s="119">
        <v>5000</v>
      </c>
      <c r="R29" s="119">
        <v>20000</v>
      </c>
      <c r="S29" s="119">
        <v>10000</v>
      </c>
      <c r="T29" s="123"/>
      <c r="U29" s="53">
        <f>'2. Energy'!N33*(1+'1. Rates'!$J$60)</f>
        <v>3.632229122444151</v>
      </c>
      <c r="V29" s="53">
        <f>(SUM('4.Projected'!W28:AC28)+SUM('4.Projected'!AF28:AK28))/(SUM('4.Projected'!F28:K28))</f>
        <v>4.895147360982989</v>
      </c>
      <c r="W29" s="53">
        <f t="shared" si="2"/>
        <v>10000</v>
      </c>
      <c r="X29" s="53">
        <f t="shared" si="3"/>
        <v>2500</v>
      </c>
      <c r="Y29" s="53">
        <f t="shared" si="4"/>
        <v>5000</v>
      </c>
      <c r="Z29" s="53">
        <f t="shared" si="5"/>
        <v>5000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14878.63761467961</v>
      </c>
    </row>
    <row r="30" spans="2:30" ht="21" customHeight="1" x14ac:dyDescent="0.3">
      <c r="B30" s="55" t="s">
        <v>137</v>
      </c>
      <c r="C30" s="56">
        <f t="shared" ref="C30:D30" si="10">SUM(C6:C29)</f>
        <v>2023845.4421203171</v>
      </c>
      <c r="D30" s="56">
        <f t="shared" si="10"/>
        <v>250935.91375164199</v>
      </c>
      <c r="E30" s="56">
        <f>SUM(E6:E29)</f>
        <v>1772909.5283686747</v>
      </c>
      <c r="F30" s="56">
        <f t="shared" ref="F30:M30" si="11">SUM(F6:F29)</f>
        <v>350000</v>
      </c>
      <c r="G30" s="56">
        <f>SUM(G6:G29)</f>
        <v>87500</v>
      </c>
      <c r="H30" s="56">
        <f t="shared" si="11"/>
        <v>175000</v>
      </c>
      <c r="I30" s="56">
        <f t="shared" si="11"/>
        <v>175000</v>
      </c>
      <c r="J30" s="56">
        <f t="shared" si="11"/>
        <v>0</v>
      </c>
      <c r="K30" s="56">
        <f t="shared" si="11"/>
        <v>80000</v>
      </c>
      <c r="L30" s="56">
        <f t="shared" si="11"/>
        <v>0</v>
      </c>
      <c r="M30" s="56">
        <f t="shared" si="11"/>
        <v>905409.5283686748</v>
      </c>
      <c r="N30" s="56">
        <f t="shared" ref="N30:T30" si="12">SUM(N6:N29)</f>
        <v>334500</v>
      </c>
      <c r="O30" s="56">
        <f t="shared" si="12"/>
        <v>80000</v>
      </c>
      <c r="P30" s="56">
        <f t="shared" si="12"/>
        <v>175000</v>
      </c>
      <c r="Q30" s="56">
        <f t="shared" si="12"/>
        <v>175000</v>
      </c>
      <c r="R30" s="56">
        <f t="shared" si="12"/>
        <v>340000</v>
      </c>
      <c r="S30" s="56">
        <f t="shared" si="12"/>
        <v>130000</v>
      </c>
      <c r="T30" s="56">
        <f t="shared" si="12"/>
        <v>0</v>
      </c>
      <c r="U30" s="56">
        <f>AVERAGE(U6:U29)</f>
        <v>3.6739290524298709</v>
      </c>
      <c r="V30" s="56">
        <f>SUM('4.Projected'!W29:AC29)/SUM('4.Projected'!F29:K29)</f>
        <v>4.1073881065332793</v>
      </c>
      <c r="W30" s="56">
        <f t="shared" ref="W30:AD30" si="13">SUM(W6:W29)</f>
        <v>334500</v>
      </c>
      <c r="X30" s="56">
        <f t="shared" si="13"/>
        <v>80000</v>
      </c>
      <c r="Y30" s="56">
        <f t="shared" si="13"/>
        <v>175000</v>
      </c>
      <c r="Z30" s="56">
        <f t="shared" si="13"/>
        <v>175000</v>
      </c>
      <c r="AA30" s="56">
        <f t="shared" si="13"/>
        <v>340000</v>
      </c>
      <c r="AB30" s="56">
        <f t="shared" si="13"/>
        <v>130000</v>
      </c>
      <c r="AC30" s="56">
        <f t="shared" si="13"/>
        <v>0</v>
      </c>
      <c r="AD30" s="56">
        <f t="shared" si="13"/>
        <v>538409.5283686748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73015.236668529338</v>
      </c>
      <c r="D5" s="53">
        <f>'2. Energy'!P10</f>
        <v>5799.8009999999995</v>
      </c>
      <c r="E5" s="53">
        <f>'2. Energy'!Q10</f>
        <v>67215.435668529331</v>
      </c>
      <c r="F5" s="53">
        <f>'3. Nomination'!W6</f>
        <v>14000</v>
      </c>
      <c r="G5" s="53">
        <f>'3. Nomination'!X6</f>
        <v>2500</v>
      </c>
      <c r="H5" s="53">
        <f>'3. Nomination'!Y6</f>
        <v>10000</v>
      </c>
      <c r="I5" s="53">
        <f>'3. Nomination'!Z6</f>
        <v>10000</v>
      </c>
      <c r="J5" s="53">
        <f>'3. Nomination'!AA6</f>
        <v>20000</v>
      </c>
      <c r="K5" s="53">
        <f>'3. Nomination'!AB6</f>
        <v>10000</v>
      </c>
      <c r="L5" s="53">
        <f>'3. Nomination'!AC6</f>
        <v>0</v>
      </c>
      <c r="M5" s="53">
        <f>'3. Nomination'!AD6</f>
        <v>715.43566852933145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45958.11914242286</v>
      </c>
      <c r="X5" s="53">
        <f>G5*'1. Rates'!D$56</f>
        <v>8206.8069897183686</v>
      </c>
      <c r="Y5" s="53">
        <f>H5*'1. Rates'!E$56</f>
        <v>33059.364255153028</v>
      </c>
      <c r="Z5" s="53">
        <f>I5*'1. Rates'!F$56</f>
        <v>33059.364255153028</v>
      </c>
      <c r="AA5" s="53">
        <f>J5*'1. Rates'!G$56</f>
        <v>123628</v>
      </c>
      <c r="AB5" s="53">
        <f>K5*'1. Rates'!H$56</f>
        <v>34702.174591513132</v>
      </c>
      <c r="AC5" s="53">
        <f>L5*'1. Rates'!Q41</f>
        <v>0</v>
      </c>
      <c r="AD5" s="53">
        <f>M5*'2. Energy'!N10</f>
        <v>2664.2370483263826</v>
      </c>
      <c r="AE5" s="53">
        <f>W5+X5+Y5+Z5+AA5+AB5+AC5+AD5</f>
        <v>281278.06628228683</v>
      </c>
      <c r="AF5" s="53">
        <f>(N5+W5)*'1. Rates'!C$60</f>
        <v>9393.6250433593996</v>
      </c>
      <c r="AG5" s="53">
        <f>(O5+X5)*'1. Rates'!D$60</f>
        <v>1954.4795253333684</v>
      </c>
      <c r="AH5" s="53">
        <f>(P5+Y5)*'1. Rates'!E$60</f>
        <v>5889.6838946594207</v>
      </c>
      <c r="AI5" s="53">
        <f>(Q5+Z5)*'1. Rates'!F$60</f>
        <v>5942.7238946594207</v>
      </c>
      <c r="AJ5" s="53">
        <f>(R5+AA5)*'1. Rates'!G$60</f>
        <v>0</v>
      </c>
      <c r="AK5" s="53">
        <f>(S5+AB5)*'1. Rates'!H$60</f>
        <v>6933.9809509815759</v>
      </c>
      <c r="AL5" s="53">
        <f>(T5+AC5)*'1. Rates'!$I$60</f>
        <v>0</v>
      </c>
      <c r="AM5" s="53">
        <f>(U5+AD5)*'1. Rates'!$J$60</f>
        <v>224.23733737752428</v>
      </c>
      <c r="AN5" s="53">
        <f>AF5+AG5+AH5+AI5+AJ5+AK5+AL5+AM5</f>
        <v>30338.73064637071</v>
      </c>
      <c r="AO5" s="53">
        <f>N5+W5</f>
        <v>78280.208694661662</v>
      </c>
      <c r="AP5" s="53">
        <f t="shared" ref="AP5:AV20" si="0">O5+X5</f>
        <v>16287.329377778071</v>
      </c>
      <c r="AQ5" s="53">
        <f t="shared" si="0"/>
        <v>49080.699122161845</v>
      </c>
      <c r="AR5" s="53">
        <f t="shared" si="0"/>
        <v>49522.699122161837</v>
      </c>
      <c r="AS5" s="53">
        <f t="shared" si="0"/>
        <v>123628</v>
      </c>
      <c r="AT5" s="53">
        <f t="shared" si="0"/>
        <v>57783.174591513132</v>
      </c>
      <c r="AU5" s="53">
        <f t="shared" si="0"/>
        <v>0</v>
      </c>
      <c r="AV5" s="53">
        <f t="shared" si="0"/>
        <v>2664.2370483263826</v>
      </c>
      <c r="AW5" s="53">
        <f>AO5+AP5+AQ5+AR5+AS5+AT5+AU5+AV5</f>
        <v>377246.34795660293</v>
      </c>
      <c r="AX5" s="53">
        <f>N5+W5+AF5</f>
        <v>87673.833738021058</v>
      </c>
      <c r="AY5" s="53">
        <f t="shared" ref="AY5:BE5" si="1">O5+X5+AG5</f>
        <v>18241.80890311144</v>
      </c>
      <c r="AZ5" s="53">
        <f t="shared" si="1"/>
        <v>54970.383016821266</v>
      </c>
      <c r="BA5" s="53">
        <f t="shared" si="1"/>
        <v>55465.42301682126</v>
      </c>
      <c r="BB5" s="53">
        <f t="shared" si="1"/>
        <v>123628</v>
      </c>
      <c r="BC5" s="53">
        <f t="shared" si="1"/>
        <v>64717.155542494707</v>
      </c>
      <c r="BD5" s="53">
        <f t="shared" si="1"/>
        <v>0</v>
      </c>
      <c r="BE5" s="53">
        <f t="shared" si="1"/>
        <v>2888.474385703907</v>
      </c>
      <c r="BF5" s="53">
        <f>AX5+AY5+AZ5+BA5+BB5+BC5+BD5+BE5</f>
        <v>407585.07860297366</v>
      </c>
      <c r="BG5" s="54">
        <f>AO5/F5</f>
        <v>5.5914434781901186</v>
      </c>
      <c r="BH5" s="54">
        <f t="shared" ref="BH5:BL20" si="2">AP5/G5</f>
        <v>6.5149317511112281</v>
      </c>
      <c r="BI5" s="54">
        <f t="shared" si="2"/>
        <v>4.9080699122161846</v>
      </c>
      <c r="BJ5" s="54">
        <f t="shared" si="2"/>
        <v>4.9522699122161837</v>
      </c>
      <c r="BK5" s="54">
        <f t="shared" si="2"/>
        <v>6.1814</v>
      </c>
      <c r="BL5" s="54">
        <f>AT5/K5</f>
        <v>5.7783174591513129</v>
      </c>
      <c r="BM5" s="54"/>
      <c r="BN5" s="54">
        <f>AV5/M5</f>
        <v>3.723936568333333</v>
      </c>
      <c r="BO5" s="54">
        <f>AW5/E5</f>
        <v>5.6124957638745459</v>
      </c>
      <c r="BP5" s="54">
        <f>AX5/F5</f>
        <v>6.2624166955729326</v>
      </c>
      <c r="BQ5" s="54">
        <f t="shared" ref="BQ5:BU20" si="3">AY5/G5</f>
        <v>7.2967235612445762</v>
      </c>
      <c r="BR5" s="54">
        <f t="shared" si="3"/>
        <v>5.4970383016821263</v>
      </c>
      <c r="BS5" s="54">
        <f t="shared" si="3"/>
        <v>5.546542301682126</v>
      </c>
      <c r="BT5" s="54">
        <f t="shared" si="3"/>
        <v>6.1814</v>
      </c>
      <c r="BU5" s="54">
        <f>BC5/K5</f>
        <v>6.4717155542494709</v>
      </c>
      <c r="BV5" s="54"/>
      <c r="BW5" s="54">
        <f t="shared" ref="BW5:BW20" si="4">BE5/M5</f>
        <v>4.0373642421848102</v>
      </c>
      <c r="BX5" s="54">
        <f>BF5/E5</f>
        <v>6.0638612924115503</v>
      </c>
    </row>
    <row r="6" spans="2:76" ht="18" customHeight="1" x14ac:dyDescent="0.3">
      <c r="B6" s="14">
        <v>2</v>
      </c>
      <c r="C6" s="53">
        <f>'2. Energy'!O11</f>
        <v>69374.10255913646</v>
      </c>
      <c r="D6" s="53">
        <f>'2. Energy'!P11</f>
        <v>5649.1365000000005</v>
      </c>
      <c r="E6" s="53">
        <f>'2. Energy'!Q11</f>
        <v>63724.966059136459</v>
      </c>
      <c r="F6" s="53">
        <f>'3. Nomination'!W7</f>
        <v>11000</v>
      </c>
      <c r="G6" s="53">
        <f>'3. Nomination'!X7</f>
        <v>2500</v>
      </c>
      <c r="H6" s="53">
        <f>'3. Nomination'!Y7</f>
        <v>10000</v>
      </c>
      <c r="I6" s="53">
        <f>'3. Nomination'!Z7</f>
        <v>10000</v>
      </c>
      <c r="J6" s="53">
        <f>'3. Nomination'!AA7</f>
        <v>20000</v>
      </c>
      <c r="K6" s="53">
        <f>'3. Nomination'!AB7</f>
        <v>10000</v>
      </c>
      <c r="L6" s="53">
        <f>'3. Nomination'!AC7</f>
        <v>0</v>
      </c>
      <c r="M6" s="53">
        <f>'3. Nomination'!AD7</f>
        <v>224.96605913645908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36109.950754760823</v>
      </c>
      <c r="X6" s="53">
        <f>G6*'1. Rates'!D$56</f>
        <v>8206.8069897183686</v>
      </c>
      <c r="Y6" s="53">
        <f>H6*'1. Rates'!E$56</f>
        <v>33059.364255153028</v>
      </c>
      <c r="Z6" s="53">
        <f>I6*'1. Rates'!F$56</f>
        <v>33059.364255153028</v>
      </c>
      <c r="AA6" s="53">
        <f>J6*'1. Rates'!G$56</f>
        <v>123628</v>
      </c>
      <c r="AB6" s="53">
        <f>K6*'1. Rates'!H$56</f>
        <v>34702.174591513132</v>
      </c>
      <c r="AC6" s="53">
        <f>L6*'1. Rates'!Q42</f>
        <v>0</v>
      </c>
      <c r="AD6" s="53">
        <f>M6*'2. Energy'!N11</f>
        <v>801.92731204784172</v>
      </c>
      <c r="AE6" s="53">
        <f t="shared" ref="AE6:AE28" si="6">W6+X6+Y6+Z6+AA6+AB6+AC6+AD6</f>
        <v>269567.58815834625</v>
      </c>
      <c r="AF6" s="53">
        <f>(N6+W6)*'1. Rates'!C$60</f>
        <v>8211.844836839955</v>
      </c>
      <c r="AG6" s="53">
        <f>(O6+X6)*'1. Rates'!D$60</f>
        <v>1954.4795253333684</v>
      </c>
      <c r="AH6" s="53">
        <f>(P6+Y6)*'1. Rates'!E$60</f>
        <v>5889.6838946594207</v>
      </c>
      <c r="AI6" s="53">
        <f>(Q6+Z6)*'1. Rates'!F$60</f>
        <v>5942.7238946594207</v>
      </c>
      <c r="AJ6" s="53">
        <f>(R6+AA6)*'1. Rates'!G$60</f>
        <v>0</v>
      </c>
      <c r="AK6" s="53">
        <f>(S6+AB6)*'1. Rates'!H$60</f>
        <v>6933.9809509815759</v>
      </c>
      <c r="AL6" s="53">
        <f>(T6+AC6)*'1. Rates'!$I$60</f>
        <v>0</v>
      </c>
      <c r="AM6" s="53">
        <f>(U6+AD6)*'1. Rates'!$J$60</f>
        <v>67.494761900741338</v>
      </c>
      <c r="AN6" s="53">
        <f t="shared" ref="AN6:AN28" si="7">AF6+AG6+AH6+AI6+AJ6+AK6+AL6+AM6</f>
        <v>29000.207864374479</v>
      </c>
      <c r="AO6" s="53">
        <f t="shared" ref="AO6:AO28" si="8">N6+W6</f>
        <v>68432.040306999625</v>
      </c>
      <c r="AP6" s="53">
        <f t="shared" si="0"/>
        <v>16287.329377778071</v>
      </c>
      <c r="AQ6" s="53">
        <f t="shared" si="0"/>
        <v>49080.699122161845</v>
      </c>
      <c r="AR6" s="53">
        <f t="shared" si="0"/>
        <v>49522.699122161837</v>
      </c>
      <c r="AS6" s="53">
        <f t="shared" si="0"/>
        <v>123628</v>
      </c>
      <c r="AT6" s="53">
        <f t="shared" si="0"/>
        <v>57783.174591513132</v>
      </c>
      <c r="AU6" s="53">
        <f t="shared" si="0"/>
        <v>0</v>
      </c>
      <c r="AV6" s="53">
        <f t="shared" si="0"/>
        <v>801.92731204784172</v>
      </c>
      <c r="AW6" s="53">
        <f t="shared" ref="AW6:AW28" si="9">AO6+AP6+AQ6+AR6+AS6+AT6+AU6+AV6</f>
        <v>365535.86983266234</v>
      </c>
      <c r="AX6" s="53">
        <f t="shared" ref="AX6:AX28" si="10">N6+W6+AF6</f>
        <v>76643.88514383958</v>
      </c>
      <c r="AY6" s="53">
        <f t="shared" ref="AY6:AY28" si="11">O6+X6+AG6</f>
        <v>18241.80890311144</v>
      </c>
      <c r="AZ6" s="53">
        <f t="shared" ref="AZ6:AZ28" si="12">P6+Y6+AH6</f>
        <v>54970.383016821266</v>
      </c>
      <c r="BA6" s="53">
        <f t="shared" ref="BA6:BA28" si="13">Q6+Z6+AI6</f>
        <v>55465.42301682126</v>
      </c>
      <c r="BB6" s="53">
        <f t="shared" ref="BB6:BC28" si="14">R6+AA6+AJ6</f>
        <v>123628</v>
      </c>
      <c r="BC6" s="53">
        <f t="shared" si="14"/>
        <v>64717.155542494707</v>
      </c>
      <c r="BD6" s="53">
        <f t="shared" ref="BD6:BD28" si="15">T6+AC6+AL6</f>
        <v>0</v>
      </c>
      <c r="BE6" s="53">
        <f t="shared" ref="BE6:BE28" si="16">U6+AD6+AM6</f>
        <v>869.42207394858303</v>
      </c>
      <c r="BF6" s="53">
        <f t="shared" ref="BF6:BF28" si="17">AX6+AY6+AZ6+BA6+BB6+BC6+BD6+BE6</f>
        <v>394536.07769703685</v>
      </c>
      <c r="BG6" s="54">
        <f t="shared" ref="BG6:BG28" si="18">AO6/F6</f>
        <v>6.2210945733636018</v>
      </c>
      <c r="BH6" s="54">
        <f t="shared" si="2"/>
        <v>6.5149317511112281</v>
      </c>
      <c r="BI6" s="54">
        <f t="shared" si="2"/>
        <v>4.9080699122161846</v>
      </c>
      <c r="BJ6" s="54">
        <f t="shared" si="2"/>
        <v>4.9522699122161837</v>
      </c>
      <c r="BK6" s="54">
        <f t="shared" si="2"/>
        <v>6.1814</v>
      </c>
      <c r="BL6" s="54">
        <f t="shared" si="2"/>
        <v>5.7783174591513129</v>
      </c>
      <c r="BM6" s="54"/>
      <c r="BN6" s="54">
        <f t="shared" ref="BN6:BN28" si="19">AV6/M6</f>
        <v>3.5646591095833333</v>
      </c>
      <c r="BO6" s="54">
        <f>AW6/E6</f>
        <v>5.736148521341649</v>
      </c>
      <c r="BP6" s="54">
        <f t="shared" ref="BP6:BP27" si="20">AX6/F6</f>
        <v>6.9676259221672341</v>
      </c>
      <c r="BQ6" s="54">
        <f t="shared" si="3"/>
        <v>7.2967235612445762</v>
      </c>
      <c r="BR6" s="54">
        <f t="shared" si="3"/>
        <v>5.4970383016821263</v>
      </c>
      <c r="BS6" s="54">
        <f t="shared" si="3"/>
        <v>5.546542301682126</v>
      </c>
      <c r="BT6" s="54">
        <f t="shared" si="3"/>
        <v>6.1814</v>
      </c>
      <c r="BU6" s="54">
        <f t="shared" si="3"/>
        <v>6.4717155542494709</v>
      </c>
      <c r="BV6" s="54"/>
      <c r="BW6" s="54">
        <f t="shared" si="4"/>
        <v>3.8646810869421517</v>
      </c>
      <c r="BX6" s="54">
        <f t="shared" ref="BX6:BX28" si="21">BF6/E6</f>
        <v>6.1912324493183615</v>
      </c>
    </row>
    <row r="7" spans="2:76" ht="18" customHeight="1" x14ac:dyDescent="0.3">
      <c r="B7" s="14">
        <v>3</v>
      </c>
      <c r="C7" s="53">
        <f>'2. Energy'!O12</f>
        <v>66616.984367256257</v>
      </c>
      <c r="D7" s="53">
        <f>'2. Energy'!P12</f>
        <v>5554.8325000000004</v>
      </c>
      <c r="E7" s="53">
        <f>'2. Energy'!Q12</f>
        <v>61062.151867256252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20000</v>
      </c>
      <c r="K7" s="53">
        <f>'3. Nomination'!AB8</f>
        <v>0</v>
      </c>
      <c r="L7" s="53">
        <f>'3. Nomination'!AC8</f>
        <v>0</v>
      </c>
      <c r="M7" s="53">
        <f>'3. Nomination'!AD8</f>
        <v>18562.151867256252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123628</v>
      </c>
      <c r="AB7" s="53">
        <f>K7*'1. Rates'!H$56</f>
        <v>0</v>
      </c>
      <c r="AC7" s="53">
        <f>L7*'1. Rates'!Q43</f>
        <v>0</v>
      </c>
      <c r="AD7" s="53">
        <f>M7*'2. Energy'!N12</f>
        <v>60326.301122975885</v>
      </c>
      <c r="AE7" s="53">
        <f t="shared" si="6"/>
        <v>258047.70032672075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5077.404484765535</v>
      </c>
      <c r="AN7" s="53">
        <f t="shared" si="7"/>
        <v>25484.806190132855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123628</v>
      </c>
      <c r="AT7" s="53">
        <f t="shared" si="0"/>
        <v>23081</v>
      </c>
      <c r="AU7" s="53">
        <f t="shared" si="0"/>
        <v>0</v>
      </c>
      <c r="AV7" s="53">
        <f t="shared" si="0"/>
        <v>60326.301122975885</v>
      </c>
      <c r="AW7" s="53">
        <f t="shared" si="9"/>
        <v>354015.98200103687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123628</v>
      </c>
      <c r="BC7" s="53">
        <f t="shared" si="14"/>
        <v>25850.720000000001</v>
      </c>
      <c r="BD7" s="53">
        <f t="shared" si="15"/>
        <v>0</v>
      </c>
      <c r="BE7" s="53">
        <f t="shared" si="16"/>
        <v>65403.705607741416</v>
      </c>
      <c r="BF7" s="53">
        <f t="shared" si="17"/>
        <v>379500.78819116979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>
        <f t="shared" si="2"/>
        <v>6.1814</v>
      </c>
      <c r="BL7" s="54" t="e">
        <f t="shared" si="2"/>
        <v>#DIV/0!</v>
      </c>
      <c r="BM7" s="54"/>
      <c r="BN7" s="54">
        <f t="shared" si="19"/>
        <v>3.2499626958333341</v>
      </c>
      <c r="BO7" s="54">
        <f t="shared" ref="BO7:BO28" si="22">AW7/E7</f>
        <v>5.7976335778443655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>
        <f t="shared" si="3"/>
        <v>6.1814</v>
      </c>
      <c r="BU7" s="54" t="e">
        <f t="shared" si="3"/>
        <v>#DIV/0!</v>
      </c>
      <c r="BV7" s="54"/>
      <c r="BW7" s="54">
        <f t="shared" si="4"/>
        <v>3.5234980338197719</v>
      </c>
      <c r="BX7" s="54">
        <f t="shared" si="21"/>
        <v>6.214992046401691</v>
      </c>
    </row>
    <row r="8" spans="2:76" ht="18" customHeight="1" x14ac:dyDescent="0.3">
      <c r="B8" s="14">
        <v>4</v>
      </c>
      <c r="C8" s="53">
        <f>'2. Energy'!O13</f>
        <v>64172.370484343883</v>
      </c>
      <c r="D8" s="53">
        <f>'2. Energy'!P13</f>
        <v>5481.98</v>
      </c>
      <c r="E8" s="53">
        <f>'2. Energy'!Q13</f>
        <v>58690.39048434388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20000</v>
      </c>
      <c r="K8" s="53">
        <f>'3. Nomination'!AB9</f>
        <v>0</v>
      </c>
      <c r="L8" s="53">
        <f>'3. Nomination'!AC9</f>
        <v>0</v>
      </c>
      <c r="M8" s="53">
        <f>'3. Nomination'!AD9</f>
        <v>16190.39048434388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123628</v>
      </c>
      <c r="AB8" s="53">
        <f>K8*'1. Rates'!H$56</f>
        <v>0</v>
      </c>
      <c r="AC8" s="53">
        <f>L8*'1. Rates'!Q44</f>
        <v>0</v>
      </c>
      <c r="AD8" s="53">
        <f>M8*'2. Energy'!N13</f>
        <v>52011.085562008368</v>
      </c>
      <c r="AE8" s="53">
        <f t="shared" si="6"/>
        <v>249732.48476575324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4377.5486674001831</v>
      </c>
      <c r="AN8" s="53">
        <f t="shared" si="7"/>
        <v>24784.950372767504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123628</v>
      </c>
      <c r="AT8" s="53">
        <f t="shared" si="0"/>
        <v>23081</v>
      </c>
      <c r="AU8" s="53">
        <f t="shared" si="0"/>
        <v>0</v>
      </c>
      <c r="AV8" s="53">
        <f t="shared" si="0"/>
        <v>52011.085562008368</v>
      </c>
      <c r="AW8" s="53">
        <f t="shared" si="9"/>
        <v>345700.76644006936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123628</v>
      </c>
      <c r="BC8" s="53">
        <f t="shared" si="14"/>
        <v>25850.720000000001</v>
      </c>
      <c r="BD8" s="53">
        <f t="shared" si="15"/>
        <v>0</v>
      </c>
      <c r="BE8" s="53">
        <f t="shared" si="16"/>
        <v>56388.634229408548</v>
      </c>
      <c r="BF8" s="53">
        <f t="shared" si="17"/>
        <v>370485.71681283694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>
        <f t="shared" si="2"/>
        <v>6.1814</v>
      </c>
      <c r="BL8" s="54" t="e">
        <f t="shared" si="2"/>
        <v>#DIV/0!</v>
      </c>
      <c r="BM8" s="54"/>
      <c r="BN8" s="54">
        <f t="shared" si="19"/>
        <v>3.2124664079166667</v>
      </c>
      <c r="BO8" s="54">
        <f t="shared" si="22"/>
        <v>5.8902447843192958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>
        <f t="shared" si="3"/>
        <v>6.1814</v>
      </c>
      <c r="BU8" s="54" t="e">
        <f t="shared" si="3"/>
        <v>#DIV/0!</v>
      </c>
      <c r="BV8" s="54"/>
      <c r="BW8" s="54">
        <f t="shared" si="4"/>
        <v>3.4828458451287139</v>
      </c>
      <c r="BX8" s="54">
        <f t="shared" si="21"/>
        <v>6.3125447582712351</v>
      </c>
    </row>
    <row r="9" spans="2:76" ht="18" customHeight="1" x14ac:dyDescent="0.3">
      <c r="B9" s="14">
        <v>5</v>
      </c>
      <c r="C9" s="53">
        <f>'2. Energy'!O14</f>
        <v>63410.292316977371</v>
      </c>
      <c r="D9" s="53">
        <f>'2. Energy'!P14</f>
        <v>5456.8814999999995</v>
      </c>
      <c r="E9" s="53">
        <f>'2. Energy'!Q14</f>
        <v>57953.410816977368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35453.410816977368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97618.63271265183</v>
      </c>
      <c r="AE9" s="53">
        <f t="shared" si="6"/>
        <v>171712.03191639669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8216.1391350931826</v>
      </c>
      <c r="AN9" s="53">
        <f t="shared" si="7"/>
        <v>28623.540840460504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97618.63271265183</v>
      </c>
      <c r="AW9" s="53">
        <f t="shared" si="9"/>
        <v>267680.31359071285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105834.77184774501</v>
      </c>
      <c r="BF9" s="53">
        <f t="shared" si="17"/>
        <v>296303.85443117336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2.7534341679166667</v>
      </c>
      <c r="BO9" s="54">
        <f t="shared" si="22"/>
        <v>4.6188879967060759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2.9851788420048018</v>
      </c>
      <c r="BX9" s="54">
        <f t="shared" si="21"/>
        <v>5.1127940574012181</v>
      </c>
    </row>
    <row r="10" spans="2:76" ht="18" customHeight="1" x14ac:dyDescent="0.3">
      <c r="B10" s="14">
        <v>6</v>
      </c>
      <c r="C10" s="53">
        <f>'2. Energy'!O15</f>
        <v>64026.318992941284</v>
      </c>
      <c r="D10" s="53">
        <f>'2. Energy'!P15</f>
        <v>5512.3949999999995</v>
      </c>
      <c r="E10" s="53">
        <f>'2. Energy'!Q15</f>
        <v>58513.923992941287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0</v>
      </c>
      <c r="K10" s="53">
        <f>'3. Nomination'!AB11</f>
        <v>0</v>
      </c>
      <c r="L10" s="53">
        <f>'3. Nomination'!AC11</f>
        <v>0</v>
      </c>
      <c r="M10" s="53">
        <f>'3. Nomination'!AD11</f>
        <v>36013.923992941287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0</v>
      </c>
      <c r="AB10" s="53">
        <f>K10*'1. Rates'!H$56</f>
        <v>0</v>
      </c>
      <c r="AC10" s="53">
        <f>L10*'1. Rates'!Q46</f>
        <v>0</v>
      </c>
      <c r="AD10" s="53">
        <f>M10*'2. Energy'!N15</f>
        <v>109165.47807511238</v>
      </c>
      <c r="AE10" s="53">
        <f t="shared" si="6"/>
        <v>183258.87727885722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9187.9872898265112</v>
      </c>
      <c r="AN10" s="53">
        <f t="shared" si="7"/>
        <v>29595.388995193833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0</v>
      </c>
      <c r="AT10" s="53">
        <f t="shared" si="0"/>
        <v>23081</v>
      </c>
      <c r="AU10" s="53">
        <f t="shared" si="0"/>
        <v>0</v>
      </c>
      <c r="AV10" s="53">
        <f t="shared" si="0"/>
        <v>109165.47807511238</v>
      </c>
      <c r="AW10" s="53">
        <f t="shared" si="9"/>
        <v>279227.15895317338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0</v>
      </c>
      <c r="BC10" s="53">
        <f t="shared" si="14"/>
        <v>25850.720000000001</v>
      </c>
      <c r="BD10" s="53">
        <f t="shared" si="15"/>
        <v>0</v>
      </c>
      <c r="BE10" s="53">
        <f t="shared" si="16"/>
        <v>118353.46536493889</v>
      </c>
      <c r="BF10" s="53">
        <f t="shared" si="17"/>
        <v>308822.5479483672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 t="e">
        <f t="shared" si="2"/>
        <v>#DIV/0!</v>
      </c>
      <c r="BL10" s="54" t="e">
        <f t="shared" si="2"/>
        <v>#DIV/0!</v>
      </c>
      <c r="BM10" s="54"/>
      <c r="BN10" s="54">
        <f t="shared" si="19"/>
        <v>3.03120199</v>
      </c>
      <c r="BO10" s="54">
        <f t="shared" si="22"/>
        <v>4.7719780164949697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 t="e">
        <f t="shared" si="3"/>
        <v>#DIV/0!</v>
      </c>
      <c r="BU10" s="54" t="e">
        <f t="shared" si="3"/>
        <v>#DIV/0!</v>
      </c>
      <c r="BV10" s="54"/>
      <c r="BW10" s="54">
        <f t="shared" si="4"/>
        <v>3.2863251832301339</v>
      </c>
      <c r="BX10" s="54">
        <f t="shared" si="21"/>
        <v>5.277761716777384</v>
      </c>
    </row>
    <row r="11" spans="2:76" ht="18" customHeight="1" x14ac:dyDescent="0.3">
      <c r="B11" s="14">
        <v>7</v>
      </c>
      <c r="C11" s="53">
        <f>'2. Energy'!O16</f>
        <v>64325.6648411879</v>
      </c>
      <c r="D11" s="53">
        <f>'2. Energy'!P16</f>
        <v>5765.4772277227721</v>
      </c>
      <c r="E11" s="53">
        <f>'2. Energy'!Q16</f>
        <v>58560.187613465125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0</v>
      </c>
      <c r="K11" s="53">
        <f>'3. Nomination'!AB12</f>
        <v>0</v>
      </c>
      <c r="L11" s="53">
        <f>'3. Nomination'!AC12</f>
        <v>0</v>
      </c>
      <c r="M11" s="53">
        <f>'3. Nomination'!AD12</f>
        <v>36060.187613465125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0</v>
      </c>
      <c r="AB11" s="53">
        <f>K11*'1. Rates'!H$56</f>
        <v>0</v>
      </c>
      <c r="AC11" s="53">
        <f>L11*'1. Rates'!Q47</f>
        <v>0</v>
      </c>
      <c r="AD11" s="53">
        <f>M11*'2. Energy'!N16</f>
        <v>107867.95911738489</v>
      </c>
      <c r="AE11" s="53">
        <f t="shared" si="6"/>
        <v>181961.35832112975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9078.7807173631336</v>
      </c>
      <c r="AN11" s="53">
        <f t="shared" si="7"/>
        <v>29486.182422730453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0</v>
      </c>
      <c r="AT11" s="53">
        <f t="shared" si="0"/>
        <v>23081</v>
      </c>
      <c r="AU11" s="53">
        <f t="shared" si="0"/>
        <v>0</v>
      </c>
      <c r="AV11" s="53">
        <f t="shared" si="0"/>
        <v>107867.95911738489</v>
      </c>
      <c r="AW11" s="53">
        <f t="shared" si="9"/>
        <v>277929.6399954459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0</v>
      </c>
      <c r="BC11" s="53">
        <f t="shared" si="14"/>
        <v>25850.720000000001</v>
      </c>
      <c r="BD11" s="53">
        <f t="shared" si="15"/>
        <v>0</v>
      </c>
      <c r="BE11" s="53">
        <f t="shared" si="16"/>
        <v>116946.73983474802</v>
      </c>
      <c r="BF11" s="53">
        <f t="shared" si="17"/>
        <v>307415.82241817634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 t="e">
        <f t="shared" si="2"/>
        <v>#DIV/0!</v>
      </c>
      <c r="BL11" s="54" t="e">
        <f t="shared" si="2"/>
        <v>#DIV/0!</v>
      </c>
      <c r="BM11" s="54"/>
      <c r="BN11" s="54">
        <f t="shared" si="19"/>
        <v>2.9913310566666671</v>
      </c>
      <c r="BO11" s="54">
        <f t="shared" si="22"/>
        <v>4.7460510514406158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 t="e">
        <f t="shared" si="3"/>
        <v>#DIV/0!</v>
      </c>
      <c r="BU11" s="54" t="e">
        <f t="shared" si="3"/>
        <v>#DIV/0!</v>
      </c>
      <c r="BV11" s="54"/>
      <c r="BW11" s="54">
        <f t="shared" si="4"/>
        <v>3.2430984854632121</v>
      </c>
      <c r="BX11" s="54">
        <f t="shared" si="21"/>
        <v>5.2495703129798414</v>
      </c>
    </row>
    <row r="12" spans="2:76" ht="18" customHeight="1" x14ac:dyDescent="0.3">
      <c r="B12" s="14">
        <v>8</v>
      </c>
      <c r="C12" s="53">
        <f>'2. Energy'!O17</f>
        <v>68269.292767948777</v>
      </c>
      <c r="D12" s="53">
        <f>'2. Energy'!P17</f>
        <v>6519.4465</v>
      </c>
      <c r="E12" s="53">
        <f>'2. Energy'!Q17</f>
        <v>61749.846267948778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0</v>
      </c>
      <c r="K12" s="53">
        <f>'3. Nomination'!AB13</f>
        <v>0</v>
      </c>
      <c r="L12" s="53">
        <f>'3. Nomination'!AC13</f>
        <v>0</v>
      </c>
      <c r="M12" s="53">
        <f>'3. Nomination'!AD13</f>
        <v>39249.846267948778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0</v>
      </c>
      <c r="AB12" s="53">
        <f>K12*'1. Rates'!H$56</f>
        <v>0</v>
      </c>
      <c r="AC12" s="53">
        <f>L12*'1. Rates'!Q48</f>
        <v>0</v>
      </c>
      <c r="AD12" s="53">
        <f>M12*'2. Energy'!N17</f>
        <v>100791.65649393346</v>
      </c>
      <c r="AE12" s="53">
        <f t="shared" si="6"/>
        <v>174885.05569767833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8483.1988565984866</v>
      </c>
      <c r="AN12" s="53">
        <f t="shared" si="7"/>
        <v>28890.600561965806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0</v>
      </c>
      <c r="AT12" s="53">
        <f t="shared" si="0"/>
        <v>23081</v>
      </c>
      <c r="AU12" s="53">
        <f t="shared" si="0"/>
        <v>0</v>
      </c>
      <c r="AV12" s="53">
        <f t="shared" si="0"/>
        <v>100791.65649393346</v>
      </c>
      <c r="AW12" s="53">
        <f t="shared" si="9"/>
        <v>270853.33737199451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0</v>
      </c>
      <c r="BC12" s="53">
        <f t="shared" si="14"/>
        <v>25850.720000000001</v>
      </c>
      <c r="BD12" s="53">
        <f t="shared" si="15"/>
        <v>0</v>
      </c>
      <c r="BE12" s="53">
        <f t="shared" si="16"/>
        <v>109274.85535053196</v>
      </c>
      <c r="BF12" s="53">
        <f t="shared" si="17"/>
        <v>299743.93793396029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 t="e">
        <f t="shared" si="2"/>
        <v>#DIV/0!</v>
      </c>
      <c r="BL12" s="54" t="e">
        <f t="shared" si="2"/>
        <v>#DIV/0!</v>
      </c>
      <c r="BM12" s="54"/>
      <c r="BN12" s="54">
        <f t="shared" si="19"/>
        <v>2.5679503508333332</v>
      </c>
      <c r="BO12" s="54">
        <f t="shared" si="22"/>
        <v>4.3862997844025529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 t="e">
        <f t="shared" si="3"/>
        <v>#DIV/0!</v>
      </c>
      <c r="BU12" s="54" t="e">
        <f t="shared" si="3"/>
        <v>#DIV/0!</v>
      </c>
      <c r="BV12" s="54"/>
      <c r="BW12" s="54">
        <f t="shared" si="4"/>
        <v>2.7840836523164993</v>
      </c>
      <c r="BX12" s="54">
        <f t="shared" si="21"/>
        <v>4.8541649259059323</v>
      </c>
    </row>
    <row r="13" spans="2:76" ht="18" customHeight="1" x14ac:dyDescent="0.3">
      <c r="B13" s="14">
        <v>9</v>
      </c>
      <c r="C13" s="53">
        <f>'2. Energy'!O18</f>
        <v>78475.677913987674</v>
      </c>
      <c r="D13" s="53">
        <f>'2. Energy'!P18</f>
        <v>7901.5895</v>
      </c>
      <c r="E13" s="53">
        <f>'2. Energy'!Q18</f>
        <v>70574.088413987673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0</v>
      </c>
      <c r="K13" s="53">
        <f>'3. Nomination'!AB14</f>
        <v>0</v>
      </c>
      <c r="L13" s="53">
        <f>'3. Nomination'!AC14</f>
        <v>0</v>
      </c>
      <c r="M13" s="53">
        <f>'3. Nomination'!AD14</f>
        <v>48074.088413987673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0</v>
      </c>
      <c r="AB13" s="53">
        <f>K13*'1. Rates'!H$56</f>
        <v>0</v>
      </c>
      <c r="AC13" s="53">
        <f>L13*'1. Rates'!Q49</f>
        <v>0</v>
      </c>
      <c r="AD13" s="53">
        <f>M13*'2. Energy'!N18</f>
        <v>140182.66861891426</v>
      </c>
      <c r="AE13" s="53">
        <f t="shared" si="6"/>
        <v>214276.06782265913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11798.570392723672</v>
      </c>
      <c r="AN13" s="53">
        <f t="shared" si="7"/>
        <v>32205.972098090991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0</v>
      </c>
      <c r="AT13" s="53">
        <f t="shared" si="0"/>
        <v>23081</v>
      </c>
      <c r="AU13" s="53">
        <f t="shared" si="0"/>
        <v>0</v>
      </c>
      <c r="AV13" s="53">
        <f t="shared" si="0"/>
        <v>140182.66861891426</v>
      </c>
      <c r="AW13" s="53">
        <f t="shared" si="9"/>
        <v>310244.34949697531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0</v>
      </c>
      <c r="BC13" s="53">
        <f t="shared" si="14"/>
        <v>25850.720000000001</v>
      </c>
      <c r="BD13" s="53">
        <f t="shared" si="15"/>
        <v>0</v>
      </c>
      <c r="BE13" s="53">
        <f t="shared" si="16"/>
        <v>151981.23901163792</v>
      </c>
      <c r="BF13" s="53">
        <f t="shared" si="17"/>
        <v>342450.32159506623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 t="e">
        <f t="shared" si="2"/>
        <v>#DIV/0!</v>
      </c>
      <c r="BL13" s="54" t="e">
        <f t="shared" si="2"/>
        <v>#DIV/0!</v>
      </c>
      <c r="BM13" s="54"/>
      <c r="BN13" s="54">
        <f t="shared" si="19"/>
        <v>2.9159714358333337</v>
      </c>
      <c r="BO13" s="54">
        <f t="shared" si="22"/>
        <v>4.3960093069439541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 t="e">
        <f t="shared" si="3"/>
        <v>#DIV/0!</v>
      </c>
      <c r="BU13" s="54" t="e">
        <f t="shared" si="3"/>
        <v>#DIV/0!</v>
      </c>
      <c r="BV13" s="54"/>
      <c r="BW13" s="54">
        <f t="shared" si="4"/>
        <v>3.1613961704870799</v>
      </c>
      <c r="BX13" s="54">
        <f t="shared" si="21"/>
        <v>4.8523520358669359</v>
      </c>
    </row>
    <row r="14" spans="2:76" ht="18" customHeight="1" x14ac:dyDescent="0.3">
      <c r="B14" s="14">
        <v>10</v>
      </c>
      <c r="C14" s="53">
        <f>'2. Energy'!O19</f>
        <v>91267.705873549741</v>
      </c>
      <c r="D14" s="53">
        <f>'2. Energy'!P19</f>
        <v>13052.000499999998</v>
      </c>
      <c r="E14" s="53">
        <f>'2. Energy'!Q19</f>
        <v>78215.705373549747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10000</v>
      </c>
      <c r="K14" s="53">
        <f>'3. Nomination'!AB15</f>
        <v>0</v>
      </c>
      <c r="L14" s="53">
        <f>'3. Nomination'!AC15</f>
        <v>0</v>
      </c>
      <c r="M14" s="53">
        <f>'3. Nomination'!AD15</f>
        <v>45715.705373549747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61814</v>
      </c>
      <c r="AB14" s="53">
        <f>K14*'1. Rates'!H$56</f>
        <v>0</v>
      </c>
      <c r="AC14" s="53">
        <f>L14*'1. Rates'!Q50</f>
        <v>0</v>
      </c>
      <c r="AD14" s="53">
        <f>M14*'2. Energy'!N19</f>
        <v>145940.04473888045</v>
      </c>
      <c r="AE14" s="53">
        <f t="shared" si="6"/>
        <v>281847.44394262531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12283.143900262407</v>
      </c>
      <c r="AN14" s="53">
        <f t="shared" si="7"/>
        <v>32690.545605629726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61814</v>
      </c>
      <c r="AT14" s="53">
        <f t="shared" si="0"/>
        <v>23081</v>
      </c>
      <c r="AU14" s="53">
        <f t="shared" si="0"/>
        <v>0</v>
      </c>
      <c r="AV14" s="53">
        <f t="shared" si="0"/>
        <v>145940.04473888045</v>
      </c>
      <c r="AW14" s="53">
        <f t="shared" si="9"/>
        <v>377815.72561694146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61814</v>
      </c>
      <c r="BC14" s="53">
        <f t="shared" si="14"/>
        <v>25850.720000000001</v>
      </c>
      <c r="BD14" s="53">
        <f t="shared" si="15"/>
        <v>0</v>
      </c>
      <c r="BE14" s="53">
        <f t="shared" si="16"/>
        <v>158223.18863914284</v>
      </c>
      <c r="BF14" s="53">
        <f t="shared" si="17"/>
        <v>410506.27122257114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3.1923393404166664</v>
      </c>
      <c r="BO14" s="54">
        <f t="shared" si="22"/>
        <v>4.8304330161383113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3.4610247691964484</v>
      </c>
      <c r="BX14" s="54">
        <f t="shared" si="21"/>
        <v>5.2483867435834988</v>
      </c>
    </row>
    <row r="15" spans="2:76" ht="18" customHeight="1" x14ac:dyDescent="0.3">
      <c r="B15" s="14">
        <v>11</v>
      </c>
      <c r="C15" s="53">
        <f>'2. Energy'!O20</f>
        <v>96943.482226506312</v>
      </c>
      <c r="D15" s="53">
        <f>'2. Energy'!P20</f>
        <v>14886.798500000001</v>
      </c>
      <c r="E15" s="53">
        <f>'2. Energy'!Q20</f>
        <v>82056.683726506308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10000</v>
      </c>
      <c r="K15" s="53">
        <f>'3. Nomination'!AB16</f>
        <v>0</v>
      </c>
      <c r="L15" s="53">
        <f>'3. Nomination'!AC16</f>
        <v>0</v>
      </c>
      <c r="M15" s="53">
        <f>'3. Nomination'!AD16</f>
        <v>49556.683726506308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61814</v>
      </c>
      <c r="AB15" s="53">
        <f>K15*'1. Rates'!H$56</f>
        <v>0</v>
      </c>
      <c r="AC15" s="53">
        <f>L15*'1. Rates'!Q51</f>
        <v>0</v>
      </c>
      <c r="AD15" s="53">
        <f>M15*'2. Energy'!N20</f>
        <v>161527.58557087777</v>
      </c>
      <c r="AE15" s="53">
        <f t="shared" si="6"/>
        <v>297434.9847746226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2769.72</v>
      </c>
      <c r="AL15" s="53">
        <f>(T15+AC15)*'1. Rates'!$I$60</f>
        <v>0</v>
      </c>
      <c r="AM15" s="53">
        <f>(U15+AD15)*'1. Rates'!$J$60</f>
        <v>13595.079958889846</v>
      </c>
      <c r="AN15" s="53">
        <f t="shared" si="7"/>
        <v>34002.481664257168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61814</v>
      </c>
      <c r="AT15" s="53">
        <f t="shared" si="0"/>
        <v>23081</v>
      </c>
      <c r="AU15" s="53">
        <f t="shared" si="0"/>
        <v>0</v>
      </c>
      <c r="AV15" s="53">
        <f t="shared" si="0"/>
        <v>161527.58557087777</v>
      </c>
      <c r="AW15" s="53">
        <f t="shared" si="9"/>
        <v>393403.26644893875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61814</v>
      </c>
      <c r="BC15" s="53">
        <f t="shared" si="14"/>
        <v>25850.720000000001</v>
      </c>
      <c r="BD15" s="53">
        <f t="shared" si="15"/>
        <v>0</v>
      </c>
      <c r="BE15" s="53">
        <f t="shared" si="16"/>
        <v>175122.6655297676</v>
      </c>
      <c r="BF15" s="53">
        <f t="shared" si="17"/>
        <v>427405.74811319594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 t="e">
        <f t="shared" si="2"/>
        <v>#DIV/0!</v>
      </c>
      <c r="BM15" s="54"/>
      <c r="BN15" s="54">
        <f t="shared" si="19"/>
        <v>3.2594510654166666</v>
      </c>
      <c r="BO15" s="54">
        <f t="shared" si="22"/>
        <v>4.7942866879698176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 t="e">
        <f t="shared" si="3"/>
        <v>#DIV/0!</v>
      </c>
      <c r="BV15" s="54"/>
      <c r="BW15" s="54">
        <f t="shared" si="4"/>
        <v>3.5337849985329024</v>
      </c>
      <c r="BX15" s="54">
        <f t="shared" si="21"/>
        <v>5.2086646535428223</v>
      </c>
    </row>
    <row r="16" spans="2:76" ht="18" customHeight="1" x14ac:dyDescent="0.3">
      <c r="B16" s="14">
        <v>12</v>
      </c>
      <c r="C16" s="53">
        <f>'2. Energy'!O21</f>
        <v>98304.338214798976</v>
      </c>
      <c r="D16" s="53">
        <f>'2. Energy'!P21</f>
        <v>14810.005000000001</v>
      </c>
      <c r="E16" s="53">
        <f>'2. Energy'!Q21</f>
        <v>83494.333214798971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10000</v>
      </c>
      <c r="K16" s="53">
        <f>'3. Nomination'!AB17</f>
        <v>0</v>
      </c>
      <c r="L16" s="53">
        <f>'3. Nomination'!AC17</f>
        <v>0</v>
      </c>
      <c r="M16" s="53">
        <f>'3. Nomination'!AD17</f>
        <v>50994.333214798971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61814</v>
      </c>
      <c r="AB16" s="53">
        <f>K16*'1. Rates'!H$56</f>
        <v>0</v>
      </c>
      <c r="AC16" s="53">
        <f>L16*'1. Rates'!Q52</f>
        <v>0</v>
      </c>
      <c r="AD16" s="53">
        <f>M16*'2. Energy'!N21</f>
        <v>138510.09382988614</v>
      </c>
      <c r="AE16" s="53">
        <f t="shared" si="6"/>
        <v>274417.49303363101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2769.72</v>
      </c>
      <c r="AL16" s="53">
        <f>(T16+AC16)*'1. Rates'!$I$60</f>
        <v>0</v>
      </c>
      <c r="AM16" s="53">
        <f>(U16+AD16)*'1. Rates'!$J$60</f>
        <v>11657.796989136314</v>
      </c>
      <c r="AN16" s="53">
        <f t="shared" si="7"/>
        <v>32065.198694503633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61814</v>
      </c>
      <c r="AT16" s="53">
        <f t="shared" si="0"/>
        <v>23081</v>
      </c>
      <c r="AU16" s="53">
        <f t="shared" si="0"/>
        <v>0</v>
      </c>
      <c r="AV16" s="53">
        <f t="shared" si="0"/>
        <v>138510.09382988614</v>
      </c>
      <c r="AW16" s="53">
        <f t="shared" si="9"/>
        <v>370385.77470794716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61814</v>
      </c>
      <c r="BC16" s="53">
        <f t="shared" si="14"/>
        <v>25850.720000000001</v>
      </c>
      <c r="BD16" s="53">
        <f t="shared" si="15"/>
        <v>0</v>
      </c>
      <c r="BE16" s="53">
        <f t="shared" si="16"/>
        <v>150167.89081902246</v>
      </c>
      <c r="BF16" s="53">
        <f t="shared" si="17"/>
        <v>402450.97340245079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 t="e">
        <f t="shared" si="2"/>
        <v>#DIV/0!</v>
      </c>
      <c r="BM16" s="54"/>
      <c r="BN16" s="54">
        <f t="shared" si="19"/>
        <v>2.7161859975000002</v>
      </c>
      <c r="BO16" s="54">
        <f t="shared" si="22"/>
        <v>4.4360588371319318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 t="e">
        <f t="shared" si="3"/>
        <v>#DIV/0!</v>
      </c>
      <c r="BV16" s="54"/>
      <c r="BW16" s="54">
        <f t="shared" si="4"/>
        <v>2.9447956537932045</v>
      </c>
      <c r="BX16" s="54">
        <f t="shared" si="21"/>
        <v>4.820099255923135</v>
      </c>
    </row>
    <row r="17" spans="2:76" ht="18" customHeight="1" x14ac:dyDescent="0.3">
      <c r="B17" s="14">
        <v>13</v>
      </c>
      <c r="C17" s="53">
        <f>'2. Energy'!O22</f>
        <v>98523.498169133236</v>
      </c>
      <c r="D17" s="53">
        <f>'2. Energy'!P22</f>
        <v>14699.338500000002</v>
      </c>
      <c r="E17" s="53">
        <f>'2. Energy'!Q22</f>
        <v>83824.159669133238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10000</v>
      </c>
      <c r="K17" s="53">
        <f>'3. Nomination'!AB18</f>
        <v>0</v>
      </c>
      <c r="L17" s="53">
        <f>'3. Nomination'!AC18</f>
        <v>0</v>
      </c>
      <c r="M17" s="53">
        <f>'3. Nomination'!AD18</f>
        <v>51324.159669133238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61814</v>
      </c>
      <c r="AB17" s="53">
        <f>K17*'1. Rates'!H$56</f>
        <v>0</v>
      </c>
      <c r="AC17" s="53">
        <f>L17*'1. Rates'!Q53</f>
        <v>0</v>
      </c>
      <c r="AD17" s="53">
        <f>M17*'2. Energy'!N22</f>
        <v>132504.08503223804</v>
      </c>
      <c r="AE17" s="53">
        <f t="shared" si="6"/>
        <v>268411.48423598288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2769.72</v>
      </c>
      <c r="AL17" s="53">
        <f>(T17+AC17)*'1. Rates'!$I$60</f>
        <v>0</v>
      </c>
      <c r="AM17" s="53">
        <f>(U17+AD17)*'1. Rates'!$J$60</f>
        <v>11152.297141854853</v>
      </c>
      <c r="AN17" s="53">
        <f t="shared" si="7"/>
        <v>31559.698847222171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61814</v>
      </c>
      <c r="AT17" s="53">
        <f t="shared" si="0"/>
        <v>23081</v>
      </c>
      <c r="AU17" s="53">
        <f t="shared" si="0"/>
        <v>0</v>
      </c>
      <c r="AV17" s="53">
        <f t="shared" si="0"/>
        <v>132504.08503223804</v>
      </c>
      <c r="AW17" s="53">
        <f t="shared" si="9"/>
        <v>364379.76591029903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61814</v>
      </c>
      <c r="BC17" s="53">
        <f t="shared" si="14"/>
        <v>25850.720000000001</v>
      </c>
      <c r="BD17" s="53">
        <f t="shared" si="15"/>
        <v>0</v>
      </c>
      <c r="BE17" s="53">
        <f t="shared" si="16"/>
        <v>143656.3821740929</v>
      </c>
      <c r="BF17" s="53">
        <f t="shared" si="17"/>
        <v>395939.46475752123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 t="e">
        <f t="shared" si="2"/>
        <v>#DIV/0!</v>
      </c>
      <c r="BM17" s="54"/>
      <c r="BN17" s="54">
        <f t="shared" si="19"/>
        <v>2.5817097812499998</v>
      </c>
      <c r="BO17" s="54">
        <f t="shared" si="22"/>
        <v>4.3469539968973336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 t="e">
        <f t="shared" si="3"/>
        <v>#DIV/0!</v>
      </c>
      <c r="BV17" s="54"/>
      <c r="BW17" s="54">
        <f t="shared" si="4"/>
        <v>2.7990011546256062</v>
      </c>
      <c r="BX17" s="54">
        <f t="shared" si="21"/>
        <v>4.7234528365134203</v>
      </c>
    </row>
    <row r="18" spans="2:76" ht="18" customHeight="1" x14ac:dyDescent="0.3">
      <c r="B18" s="14">
        <v>14</v>
      </c>
      <c r="C18" s="53">
        <f>'2. Energy'!O23</f>
        <v>103041.69503897769</v>
      </c>
      <c r="D18" s="53">
        <f>'2. Energy'!P23</f>
        <v>15357.636</v>
      </c>
      <c r="E18" s="53">
        <f>'2. Energy'!Q23</f>
        <v>87684.059038977692</v>
      </c>
      <c r="F18" s="53">
        <f>'3. Nomination'!W19</f>
        <v>10000</v>
      </c>
      <c r="G18" s="53">
        <f>'3. Nomination'!X19</f>
        <v>2500</v>
      </c>
      <c r="H18" s="53">
        <f>'3. Nomination'!Y19</f>
        <v>5000</v>
      </c>
      <c r="I18" s="53">
        <f>'3. Nomination'!Z19</f>
        <v>5000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35184.059038977692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32827.227958873475</v>
      </c>
      <c r="X18" s="53">
        <f>G18*'1. Rates'!D$56</f>
        <v>8206.8069897183686</v>
      </c>
      <c r="Y18" s="53">
        <f>H18*'1. Rates'!E$56</f>
        <v>16529.682127576514</v>
      </c>
      <c r="Z18" s="53">
        <f>I18*'1. Rates'!F$56</f>
        <v>16529.682127576514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119038.48911667978</v>
      </c>
      <c r="AE18" s="53">
        <f t="shared" si="6"/>
        <v>351462.06291193777</v>
      </c>
      <c r="AF18" s="53">
        <f>(N18+W18)*'1. Rates'!C$60</f>
        <v>7817.9181013334737</v>
      </c>
      <c r="AG18" s="53">
        <f>(O18+X18)*'1. Rates'!D$60</f>
        <v>1954.4795253333684</v>
      </c>
      <c r="AH18" s="53">
        <f>(P18+Y18)*'1. Rates'!E$60</f>
        <v>3906.122039350239</v>
      </c>
      <c r="AI18" s="53">
        <f>(Q18+Z18)*'1. Rates'!F$60</f>
        <v>3959.162039350239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10018.956031609716</v>
      </c>
      <c r="AN18" s="53">
        <f t="shared" si="7"/>
        <v>34590.618687958609</v>
      </c>
      <c r="AO18" s="53">
        <f t="shared" si="8"/>
        <v>65149.317511112284</v>
      </c>
      <c r="AP18" s="53">
        <f t="shared" si="0"/>
        <v>16287.329377778071</v>
      </c>
      <c r="AQ18" s="53">
        <f t="shared" si="0"/>
        <v>32551.016994585327</v>
      </c>
      <c r="AR18" s="53">
        <f t="shared" si="0"/>
        <v>32993.016994585327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119038.48911667978</v>
      </c>
      <c r="AW18" s="53">
        <f t="shared" si="9"/>
        <v>447430.34458625386</v>
      </c>
      <c r="AX18" s="53">
        <f t="shared" si="10"/>
        <v>72967.235612445758</v>
      </c>
      <c r="AY18" s="53">
        <f t="shared" si="11"/>
        <v>18241.80890311144</v>
      </c>
      <c r="AZ18" s="53">
        <f t="shared" si="12"/>
        <v>36457.139033935564</v>
      </c>
      <c r="BA18" s="53">
        <f t="shared" si="13"/>
        <v>36952.179033935565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129057.44514828949</v>
      </c>
      <c r="BF18" s="53">
        <f t="shared" si="17"/>
        <v>482020.96327421255</v>
      </c>
      <c r="BG18" s="54">
        <f t="shared" si="18"/>
        <v>6.5149317511112281</v>
      </c>
      <c r="BH18" s="54">
        <f t="shared" si="2"/>
        <v>6.5149317511112281</v>
      </c>
      <c r="BI18" s="54">
        <f t="shared" si="2"/>
        <v>6.5102033989170653</v>
      </c>
      <c r="BJ18" s="54">
        <f t="shared" si="2"/>
        <v>6.5986033989170654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3.3833074513888879</v>
      </c>
      <c r="BO18" s="54">
        <f t="shared" si="22"/>
        <v>5.1027558428534912</v>
      </c>
      <c r="BP18" s="54">
        <f t="shared" si="20"/>
        <v>7.2967235612445762</v>
      </c>
      <c r="BQ18" s="54">
        <f t="shared" si="3"/>
        <v>7.2967235612445762</v>
      </c>
      <c r="BR18" s="54">
        <f t="shared" si="3"/>
        <v>7.2914278067871132</v>
      </c>
      <c r="BS18" s="54">
        <f t="shared" si="3"/>
        <v>7.3904358067871128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3.6680658421280148</v>
      </c>
      <c r="BX18" s="54">
        <f t="shared" si="21"/>
        <v>5.4972473737779692</v>
      </c>
    </row>
    <row r="19" spans="2:76" ht="18" customHeight="1" x14ac:dyDescent="0.3">
      <c r="B19" s="14">
        <v>15</v>
      </c>
      <c r="C19" s="53">
        <f>'2. Energy'!O24</f>
        <v>104234.94664341767</v>
      </c>
      <c r="D19" s="53">
        <f>'2. Energy'!P24</f>
        <v>15432.206999999999</v>
      </c>
      <c r="E19" s="53">
        <f>'2. Energy'!Q24</f>
        <v>88802.739643417677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13802.739643417677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48656.489844292046</v>
      </c>
      <c r="AE19" s="53">
        <f t="shared" si="6"/>
        <v>355173.4628432949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4095.2068194061067</v>
      </c>
      <c r="AN19" s="53">
        <f t="shared" si="7"/>
        <v>37558.077380204384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48656.489844292046</v>
      </c>
      <c r="AW19" s="53">
        <f t="shared" si="9"/>
        <v>451141.74451761105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52751.696663698152</v>
      </c>
      <c r="BF19" s="53">
        <f t="shared" si="17"/>
        <v>488699.82189781545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3.5251327708333329</v>
      </c>
      <c r="BO19" s="54">
        <f t="shared" si="22"/>
        <v>5.0802683152473103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3.8218279867978717</v>
      </c>
      <c r="BX19" s="54">
        <f t="shared" si="21"/>
        <v>5.5032065886723949</v>
      </c>
    </row>
    <row r="20" spans="2:76" ht="18" customHeight="1" x14ac:dyDescent="0.3">
      <c r="B20" s="14">
        <v>16</v>
      </c>
      <c r="C20" s="53">
        <f>'2. Energy'!O25</f>
        <v>102335.43406865346</v>
      </c>
      <c r="D20" s="53">
        <f>'2. Energy'!P25</f>
        <v>15338.907500000001</v>
      </c>
      <c r="E20" s="53">
        <f>'2. Energy'!Q25</f>
        <v>86996.526568653455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11996.526568653455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42387.549460706883</v>
      </c>
      <c r="AE20" s="53">
        <f t="shared" si="6"/>
        <v>348904.52245970973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3567.5771549674178</v>
      </c>
      <c r="AN20" s="53">
        <f t="shared" si="7"/>
        <v>37030.447715765695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42387.549460706883</v>
      </c>
      <c r="AW20" s="53">
        <f t="shared" si="9"/>
        <v>444872.80413402588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45955.1266156743</v>
      </c>
      <c r="BF20" s="53">
        <f t="shared" si="17"/>
        <v>481903.25184979156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3.5333185166666667</v>
      </c>
      <c r="BO20" s="54">
        <f t="shared" si="22"/>
        <v>5.1136846685821844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3.8307026915401994</v>
      </c>
      <c r="BX20" s="54">
        <f t="shared" si="21"/>
        <v>5.5393389926837688</v>
      </c>
    </row>
    <row r="21" spans="2:76" ht="18" customHeight="1" x14ac:dyDescent="0.3">
      <c r="B21" s="14">
        <v>17</v>
      </c>
      <c r="C21" s="53">
        <f>'2. Energy'!O26</f>
        <v>100728.75275291161</v>
      </c>
      <c r="D21" s="53">
        <f>'2. Energy'!P26</f>
        <v>15792.80217625723</v>
      </c>
      <c r="E21" s="53">
        <f>'2. Energy'!Q26</f>
        <v>84935.950576654373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9935.9505766543734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37701.830485101447</v>
      </c>
      <c r="AE21" s="53">
        <f t="shared" si="6"/>
        <v>344218.80348410428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3173.2004055527441</v>
      </c>
      <c r="AN21" s="53">
        <f t="shared" si="7"/>
        <v>36636.070966351021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37701.830485101447</v>
      </c>
      <c r="AW21" s="53">
        <f t="shared" si="9"/>
        <v>440187.08515842044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40875.03089065419</v>
      </c>
      <c r="BF21" s="53">
        <f t="shared" si="17"/>
        <v>476823.15612477146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3.794486515833333</v>
      </c>
      <c r="BO21" s="54">
        <f t="shared" si="22"/>
        <v>5.1825767789712707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4.1138520743747105</v>
      </c>
      <c r="BX21" s="54">
        <f t="shared" si="21"/>
        <v>5.6139144012339086</v>
      </c>
    </row>
    <row r="22" spans="2:76" ht="18" customHeight="1" x14ac:dyDescent="0.3">
      <c r="B22" s="14">
        <v>18</v>
      </c>
      <c r="C22" s="53">
        <f>'2. Energy'!O27</f>
        <v>96702.230459673927</v>
      </c>
      <c r="D22" s="53">
        <f>'2. Energy'!P27</f>
        <v>15557.501715518087</v>
      </c>
      <c r="E22" s="53">
        <f>'2. Energy'!Q27</f>
        <v>81144.728744155844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6144.7287441558437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27163.695687826199</v>
      </c>
      <c r="AE22" s="53">
        <f t="shared" si="6"/>
        <v>333680.66868682904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2286.2510669603498</v>
      </c>
      <c r="AN22" s="53">
        <f t="shared" si="7"/>
        <v>35749.121627758628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27163.695687826199</v>
      </c>
      <c r="AW22" s="53">
        <f t="shared" si="9"/>
        <v>429648.95036114519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29449.94675478655</v>
      </c>
      <c r="BF22" s="53">
        <f t="shared" si="17"/>
        <v>465398.0719889038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4.4206500919444442</v>
      </c>
      <c r="BO22" s="54">
        <f t="shared" si="22"/>
        <v>5.2948473303275305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4.7927171370739412</v>
      </c>
      <c r="BX22" s="54">
        <f t="shared" si="21"/>
        <v>5.7354073294923973</v>
      </c>
    </row>
    <row r="23" spans="2:76" ht="18" customHeight="1" x14ac:dyDescent="0.3">
      <c r="B23" s="14">
        <v>19</v>
      </c>
      <c r="C23" s="53">
        <f>'2. Energy'!O28</f>
        <v>98399.382911825945</v>
      </c>
      <c r="D23" s="53">
        <f>'2. Energy'!P28</f>
        <v>15152.498774629941</v>
      </c>
      <c r="E23" s="53">
        <f>'2. Energy'!Q28</f>
        <v>83246.884137196001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8246.8841371960007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35263.528999530863</v>
      </c>
      <c r="AE23" s="53">
        <f t="shared" si="6"/>
        <v>341780.50199853373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2967.9790896824197</v>
      </c>
      <c r="AN23" s="53">
        <f t="shared" si="7"/>
        <v>36430.849650480697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35263.528999530863</v>
      </c>
      <c r="AW23" s="53">
        <f t="shared" si="9"/>
        <v>437748.78367284988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38231.508089213283</v>
      </c>
      <c r="BF23" s="53">
        <f t="shared" si="17"/>
        <v>474179.63332333055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4.2759821058333332</v>
      </c>
      <c r="BO23" s="54">
        <f t="shared" si="22"/>
        <v>5.2584404594820979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4.6358730707489082</v>
      </c>
      <c r="BX23" s="54">
        <f t="shared" si="21"/>
        <v>5.6960646423937416</v>
      </c>
    </row>
    <row r="24" spans="2:76" ht="18" customHeight="1" x14ac:dyDescent="0.3">
      <c r="B24" s="14">
        <v>20</v>
      </c>
      <c r="C24" s="53">
        <f>'2. Energy'!O29</f>
        <v>94361.888220561552</v>
      </c>
      <c r="D24" s="53">
        <f>'2. Energy'!P29</f>
        <v>13812.909028526612</v>
      </c>
      <c r="E24" s="53">
        <f>'2. Energy'!Q29</f>
        <v>80548.979192034938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5548.979192034938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22116.885746439351</v>
      </c>
      <c r="AE24" s="53">
        <f t="shared" si="6"/>
        <v>328633.85874544218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1861.4828489003592</v>
      </c>
      <c r="AN24" s="53">
        <f t="shared" si="7"/>
        <v>35324.353409698633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22116.885746439351</v>
      </c>
      <c r="AW24" s="53">
        <f t="shared" si="9"/>
        <v>424602.14041975833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23978.368595339711</v>
      </c>
      <c r="BF24" s="53">
        <f t="shared" si="17"/>
        <v>459926.49382945697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3.985757556666667</v>
      </c>
      <c r="BO24" s="54">
        <f t="shared" si="22"/>
        <v>5.2713534631826224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4.3212215734667936</v>
      </c>
      <c r="BX24" s="54">
        <f t="shared" si="21"/>
        <v>5.7098984796934174</v>
      </c>
    </row>
    <row r="25" spans="2:76" ht="18" customHeight="1" x14ac:dyDescent="0.3">
      <c r="B25" s="14">
        <v>21</v>
      </c>
      <c r="C25" s="53">
        <f>'2. Energy'!O30</f>
        <v>90077.013374143091</v>
      </c>
      <c r="D25" s="53">
        <f>'2. Energy'!P30</f>
        <v>12007.844328987354</v>
      </c>
      <c r="E25" s="53">
        <f>'2. Energy'!Q30</f>
        <v>78069.169045155737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3069.169045155737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12364.248161186737</v>
      </c>
      <c r="AE25" s="53">
        <f t="shared" si="6"/>
        <v>318881.2211601896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1040.6454215780486</v>
      </c>
      <c r="AN25" s="53">
        <f t="shared" si="7"/>
        <v>34503.515982376324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12364.248161186737</v>
      </c>
      <c r="AW25" s="53">
        <f t="shared" si="9"/>
        <v>414849.50283450575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13404.893582764786</v>
      </c>
      <c r="BF25" s="53">
        <f t="shared" si="17"/>
        <v>449353.01881688205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4.0285327980555552</v>
      </c>
      <c r="BO25" s="54">
        <f t="shared" si="22"/>
        <v>5.3138711210638601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4.3675970223675282</v>
      </c>
      <c r="BX25" s="54">
        <f t="shared" si="21"/>
        <v>5.7558319668673965</v>
      </c>
    </row>
    <row r="26" spans="2:76" ht="18" customHeight="1" x14ac:dyDescent="0.3">
      <c r="B26" s="14">
        <v>22</v>
      </c>
      <c r="C26" s="53">
        <f>'2. Energy'!O31</f>
        <v>85691.676207122102</v>
      </c>
      <c r="D26" s="53">
        <f>'2. Energy'!P31</f>
        <v>9523.143</v>
      </c>
      <c r="E26" s="53">
        <f>'2. Energy'!Q31</f>
        <v>76168.533207122106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1168.5332071221055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4209.447298147923</v>
      </c>
      <c r="AE26" s="53">
        <f t="shared" si="6"/>
        <v>310726.42029715079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354.29101722035261</v>
      </c>
      <c r="AN26" s="53">
        <f t="shared" si="7"/>
        <v>33817.161578018633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4209.447298147923</v>
      </c>
      <c r="AW26" s="53">
        <f t="shared" si="9"/>
        <v>406694.70197146694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4563.7383153682758</v>
      </c>
      <c r="BF26" s="53">
        <f t="shared" si="17"/>
        <v>440511.86354948557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3.6023343388888889</v>
      </c>
      <c r="BO26" s="54">
        <f t="shared" si="22"/>
        <v>5.3394057210680161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3.9055272777467498</v>
      </c>
      <c r="BX26" s="54">
        <f t="shared" si="21"/>
        <v>5.7833838332112677</v>
      </c>
    </row>
    <row r="27" spans="2:76" ht="18" customHeight="1" x14ac:dyDescent="0.3">
      <c r="B27" s="14">
        <v>23</v>
      </c>
      <c r="C27" s="53">
        <f>'2. Energy'!O32</f>
        <v>78673.822932052906</v>
      </c>
      <c r="D27" s="53">
        <f>'2. Energy'!P32</f>
        <v>6375.7855</v>
      </c>
      <c r="E27" s="53">
        <f>'2. Energy'!Q32</f>
        <v>72298.037432052908</v>
      </c>
      <c r="F27" s="53">
        <f>'3. Nomination'!W28</f>
        <v>19500</v>
      </c>
      <c r="G27" s="53">
        <f>'3. Nomination'!X28</f>
        <v>2500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298.03743205290812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64013.094519803271</v>
      </c>
      <c r="X27" s="53">
        <f>G27*'1. Rates'!D$56</f>
        <v>8206.8069897183686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1093.4447545505675</v>
      </c>
      <c r="AE27" s="53">
        <f t="shared" si="6"/>
        <v>297762.24936589139</v>
      </c>
      <c r="AF27" s="53">
        <f>(N27+W27)*'1. Rates'!C$60</f>
        <v>11560.222088645049</v>
      </c>
      <c r="AG27" s="53">
        <f>(O27+X27)*'1. Rates'!D$60</f>
        <v>1954.4795253333684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92.030527270035421</v>
      </c>
      <c r="AN27" s="53">
        <f t="shared" si="7"/>
        <v>32373.120881548872</v>
      </c>
      <c r="AO27" s="53">
        <f t="shared" si="8"/>
        <v>96335.184072042073</v>
      </c>
      <c r="AP27" s="53">
        <f t="shared" si="23"/>
        <v>16287.329377778071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1093.4447545505675</v>
      </c>
      <c r="AW27" s="53">
        <f t="shared" si="9"/>
        <v>393730.53104020748</v>
      </c>
      <c r="AX27" s="53">
        <f t="shared" si="10"/>
        <v>107895.40616068713</v>
      </c>
      <c r="AY27" s="53">
        <f t="shared" si="11"/>
        <v>18241.80890311144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1185.475281820603</v>
      </c>
      <c r="BF27" s="53">
        <f t="shared" si="17"/>
        <v>426103.65192175639</v>
      </c>
      <c r="BG27" s="54">
        <f t="shared" si="18"/>
        <v>4.9402658498483119</v>
      </c>
      <c r="BH27" s="54">
        <f t="shared" si="29"/>
        <v>6.5149317511112281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3.6688168563888892</v>
      </c>
      <c r="BO27" s="54">
        <f t="shared" si="22"/>
        <v>5.4459366398464555</v>
      </c>
      <c r="BP27" s="54">
        <f t="shared" si="20"/>
        <v>5.533097751830109</v>
      </c>
      <c r="BQ27" s="54">
        <f t="shared" si="32"/>
        <v>7.2967235612445762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3.9776053419026756</v>
      </c>
      <c r="BX27" s="54">
        <f t="shared" si="21"/>
        <v>5.893709802596188</v>
      </c>
    </row>
    <row r="28" spans="2:76" ht="18" customHeight="1" x14ac:dyDescent="0.3">
      <c r="B28" s="14">
        <v>24</v>
      </c>
      <c r="C28" s="53">
        <f>'2. Energy'!O33</f>
        <v>72873.634114679604</v>
      </c>
      <c r="D28" s="53">
        <f>'2. Energy'!P33</f>
        <v>5494.9965000000011</v>
      </c>
      <c r="E28" s="53">
        <f>'2. Energy'!Q33</f>
        <v>67378.63761467961</v>
      </c>
      <c r="F28" s="53">
        <f>'3. Nomination'!W29</f>
        <v>10000</v>
      </c>
      <c r="G28" s="53">
        <f>'3. Nomination'!X29</f>
        <v>2500</v>
      </c>
      <c r="H28" s="53">
        <f>'3. Nomination'!Y29</f>
        <v>5000</v>
      </c>
      <c r="I28" s="53">
        <f>'3. Nomination'!Z29</f>
        <v>5000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14878.63761467961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32827.227958873475</v>
      </c>
      <c r="X28" s="53">
        <f>G28*'1. Rates'!D$56</f>
        <v>8206.8069897183686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49847.197316366815</v>
      </c>
      <c r="AE28" s="53">
        <f t="shared" si="6"/>
        <v>282270.77111162484</v>
      </c>
      <c r="AF28" s="53">
        <f>(N28+W28)*'1. Rates'!C$60</f>
        <v>7817.9181013334737</v>
      </c>
      <c r="AG28" s="53">
        <f>(O28+X28)*'1. Rates'!D$60</f>
        <v>1954.4795253333684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4195.4235299654374</v>
      </c>
      <c r="AN28" s="53">
        <f t="shared" si="7"/>
        <v>28767.086186314329</v>
      </c>
      <c r="AO28" s="53">
        <f t="shared" si="8"/>
        <v>65149.317511112284</v>
      </c>
      <c r="AP28" s="53">
        <f t="shared" si="23"/>
        <v>16287.329377778071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49847.197316366815</v>
      </c>
      <c r="AW28" s="53">
        <f t="shared" si="9"/>
        <v>378239.05278594093</v>
      </c>
      <c r="AX28" s="53">
        <f t="shared" si="10"/>
        <v>72967.235612445758</v>
      </c>
      <c r="AY28" s="53">
        <f t="shared" si="11"/>
        <v>18241.80890311144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54042.620846332255</v>
      </c>
      <c r="BF28" s="53">
        <f t="shared" si="17"/>
        <v>407006.13897225528</v>
      </c>
      <c r="BG28" s="54">
        <f t="shared" si="18"/>
        <v>6.5149317511112281</v>
      </c>
      <c r="BH28" s="54">
        <f t="shared" si="29"/>
        <v>6.5149317511112281</v>
      </c>
      <c r="BI28" s="54">
        <f t="shared" si="30"/>
        <v>6.5102033989170653</v>
      </c>
      <c r="BJ28" s="54">
        <f t="shared" si="31"/>
        <v>6.5986033989170654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3.3502527991666664</v>
      </c>
      <c r="BO28" s="54">
        <f t="shared" si="22"/>
        <v>5.6136346203523555</v>
      </c>
      <c r="BP28" s="54">
        <f>AX28/F28</f>
        <v>7.2967235612445762</v>
      </c>
      <c r="BQ28" s="54">
        <f t="shared" si="32"/>
        <v>7.2967235612445762</v>
      </c>
      <c r="BR28" s="54">
        <f t="shared" si="33"/>
        <v>7.2914278067871132</v>
      </c>
      <c r="BS28" s="54">
        <f t="shared" si="34"/>
        <v>7.3904358067871128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3.632229122444151</v>
      </c>
      <c r="BX28" s="54">
        <f t="shared" si="21"/>
        <v>6.0405813085716344</v>
      </c>
    </row>
    <row r="29" spans="2:76" ht="21" customHeight="1" x14ac:dyDescent="0.3">
      <c r="B29" s="55" t="s">
        <v>137</v>
      </c>
      <c r="C29" s="56">
        <f t="shared" ref="C29:D29" si="36">SUM(C5:C28)</f>
        <v>2023845.4421203171</v>
      </c>
      <c r="D29" s="56">
        <f t="shared" si="36"/>
        <v>250935.91375164199</v>
      </c>
      <c r="E29" s="56">
        <f>SUM(E5:E28)</f>
        <v>1772909.5283686747</v>
      </c>
      <c r="F29" s="56">
        <f t="shared" ref="F29:L29" si="37">SUM(F5:F28)</f>
        <v>334500</v>
      </c>
      <c r="G29" s="56">
        <f t="shared" si="37"/>
        <v>80000</v>
      </c>
      <c r="H29" s="56">
        <f t="shared" si="37"/>
        <v>175000</v>
      </c>
      <c r="I29" s="56">
        <f t="shared" si="37"/>
        <v>175000</v>
      </c>
      <c r="J29" s="56">
        <f t="shared" si="37"/>
        <v>340000</v>
      </c>
      <c r="K29" s="56">
        <f t="shared" si="37"/>
        <v>130000</v>
      </c>
      <c r="L29" s="56">
        <f t="shared" si="37"/>
        <v>0</v>
      </c>
      <c r="M29" s="56">
        <f>SUM(M5:M28)</f>
        <v>538409.5283686748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1098070.775224318</v>
      </c>
      <c r="X29" s="56">
        <f t="shared" ref="X29" si="45">SUM(X5:X28)</f>
        <v>262617.82367098791</v>
      </c>
      <c r="Y29" s="56">
        <f t="shared" ref="Y29" si="46">SUM(Y5:Y28)</f>
        <v>578538.87446517823</v>
      </c>
      <c r="Z29" s="56">
        <f t="shared" ref="Z29" si="47">SUM(Z5:Z28)</f>
        <v>578538.87446517823</v>
      </c>
      <c r="AA29" s="56">
        <f t="shared" ref="AA29" si="48">SUM(AA5:AA28)</f>
        <v>2101676</v>
      </c>
      <c r="AB29" s="56">
        <f t="shared" ref="AB29" si="49">SUM(AB5:AB28)</f>
        <v>451128.26968967059</v>
      </c>
      <c r="AC29" s="56">
        <f t="shared" ref="AC29" si="50">SUM(AC5:AC28)</f>
        <v>0</v>
      </c>
      <c r="AD29" s="56">
        <f t="shared" ref="AD29" si="51">SUM(AD5:AD28)</f>
        <v>1649754.5621060662</v>
      </c>
      <c r="AE29" s="56">
        <f t="shared" ref="AE29" si="52">SUM(AE5:AE28)</f>
        <v>6720325.1796213966</v>
      </c>
      <c r="AF29" s="56">
        <f t="shared" ref="AF29" si="53">SUM(AF5:AF28)</f>
        <v>224856.11093736588</v>
      </c>
      <c r="AG29" s="56">
        <f t="shared" ref="AG29" si="54">SUM(AG5:AG28)</f>
        <v>54786.043318130469</v>
      </c>
      <c r="AH29" s="56">
        <f t="shared" ref="AH29" si="55">SUM(AH5:AH28)</f>
        <v>115566.10935280673</v>
      </c>
      <c r="AI29" s="56">
        <f t="shared" ref="AI29" si="56">SUM(AI5:AI28)</f>
        <v>116839.06935280669</v>
      </c>
      <c r="AJ29" s="56">
        <f t="shared" ref="AJ29" si="57">SUM(AJ5:AJ28)</f>
        <v>0</v>
      </c>
      <c r="AK29" s="56">
        <f t="shared" ref="AK29" si="58">SUM(AK5:AK28)</f>
        <v>120608.67236276054</v>
      </c>
      <c r="AL29" s="56">
        <f t="shared" ref="AL29" si="59">SUM(AL5:AL28)</f>
        <v>0</v>
      </c>
      <c r="AM29" s="56">
        <f t="shared" ref="AM29" si="60">SUM(AM5:AM28)</f>
        <v>138852.72354630544</v>
      </c>
      <c r="AN29" s="56">
        <f t="shared" ref="AN29" si="61">SUM(AN5:AN28)</f>
        <v>771508.72887017566</v>
      </c>
      <c r="AO29" s="56">
        <f t="shared" ref="AO29" si="62">SUM(AO5:AO28)</f>
        <v>1873800.9244780496</v>
      </c>
      <c r="AP29" s="56">
        <f t="shared" ref="AP29" si="63">SUM(AP5:AP28)</f>
        <v>456550.36098442075</v>
      </c>
      <c r="AQ29" s="56">
        <f t="shared" ref="AQ29" si="64">SUM(AQ5:AQ28)</f>
        <v>963050.91127338959</v>
      </c>
      <c r="AR29" s="56">
        <f t="shared" ref="AR29" si="65">SUM(AR5:AR28)</f>
        <v>973658.91127338959</v>
      </c>
      <c r="AS29" s="56">
        <f t="shared" ref="AS29" si="66">SUM(AS5:AS28)</f>
        <v>2101676</v>
      </c>
      <c r="AT29" s="56">
        <f t="shared" ref="AT29" si="67">SUM(AT5:AT28)</f>
        <v>1005072.2696896705</v>
      </c>
      <c r="AU29" s="56">
        <f t="shared" ref="AU29" si="68">SUM(AU5:AU28)</f>
        <v>0</v>
      </c>
      <c r="AV29" s="56">
        <f t="shared" ref="AV29" si="69">SUM(AV5:AV28)</f>
        <v>1649754.5621060662</v>
      </c>
      <c r="AW29" s="56">
        <f t="shared" ref="AW29" si="70">SUM(AW5:AW28)</f>
        <v>9023563.9398049861</v>
      </c>
      <c r="AX29" s="56">
        <f t="shared" ref="AX29" si="71">SUM(AX5:AX28)</f>
        <v>2098657.0354154147</v>
      </c>
      <c r="AY29" s="56">
        <f t="shared" ref="AY29" si="72">SUM(AY5:AY28)</f>
        <v>511336.404302551</v>
      </c>
      <c r="AZ29" s="56">
        <f t="shared" ref="AZ29" si="73">SUM(AZ5:AZ28)</f>
        <v>1078617.0206261959</v>
      </c>
      <c r="BA29" s="56">
        <f t="shared" ref="BA29" si="74">SUM(BA5:BA28)</f>
        <v>1090497.9806261959</v>
      </c>
      <c r="BB29" s="56">
        <f t="shared" ref="BB29" si="75">SUM(BB5:BB28)</f>
        <v>2101676</v>
      </c>
      <c r="BC29" s="56">
        <f t="shared" ref="BC29" si="76">SUM(BC5:BC28)</f>
        <v>1125680.9420524312</v>
      </c>
      <c r="BD29" s="56">
        <f t="shared" ref="BD29" si="77">SUM(BD5:BD28)</f>
        <v>0</v>
      </c>
      <c r="BE29" s="56">
        <f t="shared" ref="BE29" si="78">SUM(BE5:BE28)</f>
        <v>1788607.2856523714</v>
      </c>
      <c r="BF29" s="56">
        <f t="shared" ref="BF29" si="79">SUM(BF5:BF28)</f>
        <v>9795072.6686751619</v>
      </c>
      <c r="BG29" s="58">
        <f t="shared" ref="BG29" si="80">AO29/F29</f>
        <v>5.6017964857340798</v>
      </c>
      <c r="BH29" s="58">
        <f t="shared" si="29"/>
        <v>5.7068795123052594</v>
      </c>
      <c r="BI29" s="58">
        <f t="shared" si="30"/>
        <v>5.5031480644193689</v>
      </c>
      <c r="BJ29" s="58">
        <f t="shared" si="31"/>
        <v>5.5637652072765116</v>
      </c>
      <c r="BK29" s="58">
        <f t="shared" si="31"/>
        <v>6.1814</v>
      </c>
      <c r="BL29" s="58">
        <f t="shared" si="31"/>
        <v>7.7313251514590045</v>
      </c>
      <c r="BM29" s="58"/>
      <c r="BN29" s="58">
        <f t="shared" ref="BN29" si="81">AV29/M29</f>
        <v>3.0641258654999142</v>
      </c>
      <c r="BO29" s="59">
        <f t="shared" ref="BO29" si="82">AW29/E29</f>
        <v>5.0896922800724802</v>
      </c>
      <c r="BP29" s="58">
        <f>AX29/F29</f>
        <v>6.2740120640221662</v>
      </c>
      <c r="BQ29" s="58">
        <f t="shared" ref="BQ29:BV29" si="83">AY29/G29</f>
        <v>6.3917050537818874</v>
      </c>
      <c r="BR29" s="58">
        <f t="shared" si="83"/>
        <v>6.1635258321496913</v>
      </c>
      <c r="BS29" s="58">
        <f>BA29/I29</f>
        <v>6.2314170321496904</v>
      </c>
      <c r="BT29" s="58">
        <f t="shared" si="83"/>
        <v>6.1814</v>
      </c>
      <c r="BU29" s="58">
        <f t="shared" si="83"/>
        <v>8.6590841696340863</v>
      </c>
      <c r="BV29" s="58" t="e">
        <f t="shared" si="83"/>
        <v>#DIV/0!</v>
      </c>
      <c r="BW29" s="58">
        <f t="shared" ref="BW29" si="84">BE29/M29</f>
        <v>3.3220201192792156</v>
      </c>
      <c r="BX29" s="59">
        <f>BF29/E29</f>
        <v>5.5248575925292718</v>
      </c>
    </row>
  </sheetData>
  <mergeCells count="18">
    <mergeCell ref="C3:E3"/>
    <mergeCell ref="F3:L3"/>
    <mergeCell ref="M3:M4"/>
    <mergeCell ref="B3:B4"/>
    <mergeCell ref="N3:U3"/>
    <mergeCell ref="V3:V4"/>
    <mergeCell ref="AE3:AE4"/>
    <mergeCell ref="AN3:AN4"/>
    <mergeCell ref="AF3:AM3"/>
    <mergeCell ref="W3:AD3"/>
    <mergeCell ref="AO3:AV3"/>
    <mergeCell ref="AW3:AW4"/>
    <mergeCell ref="BX3:BX4"/>
    <mergeCell ref="AX3:BE3"/>
    <mergeCell ref="BF3:BF4"/>
    <mergeCell ref="BG3:BN3"/>
    <mergeCell ref="BO3:BO4"/>
    <mergeCell ref="BP3:BW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tabSelected="1" zoomScale="80" zoomScaleNormal="80" zoomScaleSheetLayoutView="70" workbookViewId="0">
      <selection activeCell="J11" sqref="J11:J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73015.236668529338</v>
      </c>
      <c r="E11" s="65">
        <f>'4.Projected'!D5</f>
        <v>5799.8009999999995</v>
      </c>
      <c r="F11" s="65">
        <f>'4.Projected'!E5</f>
        <v>67215.435668529331</v>
      </c>
      <c r="G11" s="80">
        <f>'4.Projected'!F5+'4.Projected'!G5</f>
        <v>16500</v>
      </c>
      <c r="H11" s="80">
        <f>'4.Projected'!H5+'4.Projected'!I5</f>
        <v>20000</v>
      </c>
      <c r="I11" s="80">
        <f>'4.Projected'!J5</f>
        <v>20000</v>
      </c>
      <c r="J11" s="80">
        <f>'4.Projected'!K5</f>
        <v>10000</v>
      </c>
      <c r="K11" s="80">
        <f>'4.Projected'!L5</f>
        <v>0</v>
      </c>
      <c r="L11" s="65">
        <f>'4.Projected'!M5</f>
        <v>715.43566852933145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3.7239365683333334</v>
      </c>
      <c r="S11" s="77">
        <f>SUM('5. Actual'!AH5:AN5)/SUM('5. Actual'!Q5:V5)</f>
        <v>4.1896816426159464</v>
      </c>
      <c r="T11" s="66">
        <f>'4.Projected'!AW5</f>
        <v>377246.34795660293</v>
      </c>
      <c r="U11" s="66">
        <f>'4.Projected'!BF5</f>
        <v>407585.07860297366</v>
      </c>
      <c r="V11" s="77">
        <f>T11/F11</f>
        <v>5.6124957638745459</v>
      </c>
      <c r="W11" s="77">
        <f>U11/F11</f>
        <v>6.0638612924115503</v>
      </c>
    </row>
    <row r="12" spans="3:23" ht="19.350000000000001" customHeight="1" x14ac:dyDescent="0.3">
      <c r="C12" s="64">
        <v>2</v>
      </c>
      <c r="D12" s="65">
        <f>'4.Projected'!C6</f>
        <v>69374.10255913646</v>
      </c>
      <c r="E12" s="65">
        <f>'4.Projected'!D6</f>
        <v>5649.1365000000005</v>
      </c>
      <c r="F12" s="65">
        <f>'4.Projected'!E6</f>
        <v>63724.966059136459</v>
      </c>
      <c r="G12" s="80">
        <f>'4.Projected'!F6+'4.Projected'!G6</f>
        <v>13500</v>
      </c>
      <c r="H12" s="80">
        <f>'4.Projected'!H6+'4.Projected'!I6</f>
        <v>20000</v>
      </c>
      <c r="I12" s="80">
        <f>'4.Projected'!J6</f>
        <v>20000</v>
      </c>
      <c r="J12" s="80">
        <f>'4.Projected'!K6</f>
        <v>10000</v>
      </c>
      <c r="K12" s="80">
        <f>'4.Projected'!L6</f>
        <v>0</v>
      </c>
      <c r="L12" s="65">
        <f>'4.Projected'!M6</f>
        <v>224.96605913645908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3.5646591095833333</v>
      </c>
      <c r="S12" s="77">
        <f>SUM('5. Actual'!AH6:AN6)/SUM('5. Actual'!Q6:V6)</f>
        <v>4.2325300920676909</v>
      </c>
      <c r="T12" s="66">
        <f>'4.Projected'!AW6</f>
        <v>365535.86983266234</v>
      </c>
      <c r="U12" s="66">
        <f>'4.Projected'!BF6</f>
        <v>394536.07769703685</v>
      </c>
      <c r="V12" s="77">
        <f t="shared" ref="V12:V34" si="0">T12/F12</f>
        <v>5.736148521341649</v>
      </c>
      <c r="W12" s="77">
        <f t="shared" ref="W12:W34" si="1">U12/F12</f>
        <v>6.1912324493183615</v>
      </c>
    </row>
    <row r="13" spans="3:23" ht="19.350000000000001" customHeight="1" x14ac:dyDescent="0.3">
      <c r="C13" s="64">
        <v>3</v>
      </c>
      <c r="D13" s="65">
        <f>'4.Projected'!C7</f>
        <v>66616.984367256257</v>
      </c>
      <c r="E13" s="65">
        <f>'4.Projected'!D7</f>
        <v>5554.8325000000004</v>
      </c>
      <c r="F13" s="65">
        <f>'4.Projected'!E7</f>
        <v>61062.151867256252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20000</v>
      </c>
      <c r="J13" s="80">
        <f>'4.Projected'!K7</f>
        <v>0</v>
      </c>
      <c r="K13" s="80">
        <f>'4.Projected'!L7</f>
        <v>0</v>
      </c>
      <c r="L13" s="65">
        <f>'4.Projected'!M7</f>
        <v>18562.151867256252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3.2499626958333341</v>
      </c>
      <c r="S13" s="77">
        <f>SUM('5. Actual'!AH7:AN7)/SUM('5. Actual'!Q7:V7)</f>
        <v>4.6522682165587028</v>
      </c>
      <c r="T13" s="66">
        <f>'4.Projected'!AW7</f>
        <v>354015.98200103687</v>
      </c>
      <c r="U13" s="66">
        <f>'4.Projected'!BF7</f>
        <v>379500.78819116979</v>
      </c>
      <c r="V13" s="77">
        <f t="shared" si="0"/>
        <v>5.7976335778443655</v>
      </c>
      <c r="W13" s="77">
        <f t="shared" si="1"/>
        <v>6.214992046401691</v>
      </c>
    </row>
    <row r="14" spans="3:23" ht="19.350000000000001" customHeight="1" x14ac:dyDescent="0.3">
      <c r="C14" s="64">
        <v>4</v>
      </c>
      <c r="D14" s="65">
        <f>'4.Projected'!C8</f>
        <v>64172.370484343883</v>
      </c>
      <c r="E14" s="65">
        <f>'4.Projected'!D8</f>
        <v>5481.98</v>
      </c>
      <c r="F14" s="65">
        <f>'4.Projected'!E8</f>
        <v>58690.39048434388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20000</v>
      </c>
      <c r="J14" s="80">
        <f>'4.Projected'!K8</f>
        <v>0</v>
      </c>
      <c r="K14" s="80">
        <f>'4.Projected'!L8</f>
        <v>0</v>
      </c>
      <c r="L14" s="65">
        <f>'4.Projected'!M8</f>
        <v>16190.39048434388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3.2124664079166667</v>
      </c>
      <c r="S14" s="77">
        <f>SUM('5. Actual'!AH8:AN8)/SUM('5. Actual'!Q8:V8)</f>
        <v>4.6522682165587028</v>
      </c>
      <c r="T14" s="66">
        <f>'4.Projected'!AW8</f>
        <v>345700.76644006936</v>
      </c>
      <c r="U14" s="66">
        <f>'4.Projected'!BF8</f>
        <v>370485.71681283694</v>
      </c>
      <c r="V14" s="77">
        <f t="shared" si="0"/>
        <v>5.8902447843192958</v>
      </c>
      <c r="W14" s="77">
        <f t="shared" si="1"/>
        <v>6.3125447582712351</v>
      </c>
    </row>
    <row r="15" spans="3:23" ht="19.350000000000001" customHeight="1" x14ac:dyDescent="0.3">
      <c r="C15" s="64">
        <v>5</v>
      </c>
      <c r="D15" s="65">
        <f>'4.Projected'!C9</f>
        <v>63410.292316977371</v>
      </c>
      <c r="E15" s="65">
        <f>'4.Projected'!D9</f>
        <v>5456.8814999999995</v>
      </c>
      <c r="F15" s="65">
        <f>'4.Projected'!E9</f>
        <v>57953.410816977368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35453.410816977368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2.7534341679166667</v>
      </c>
      <c r="S15" s="77">
        <f>SUM('5. Actual'!AH9:AN9)/SUM('5. Actual'!Q9:V9)</f>
        <v>3.293039964610883</v>
      </c>
      <c r="T15" s="66">
        <f>'4.Projected'!AW9</f>
        <v>267680.31359071285</v>
      </c>
      <c r="U15" s="66">
        <f>'4.Projected'!BF9</f>
        <v>296303.85443117336</v>
      </c>
      <c r="V15" s="77">
        <f t="shared" si="0"/>
        <v>4.6188879967060759</v>
      </c>
      <c r="W15" s="77">
        <f t="shared" si="1"/>
        <v>5.1127940574012181</v>
      </c>
    </row>
    <row r="16" spans="3:23" ht="19.350000000000001" customHeight="1" x14ac:dyDescent="0.3">
      <c r="C16" s="64">
        <v>6</v>
      </c>
      <c r="D16" s="65">
        <f>'4.Projected'!C10</f>
        <v>64026.318992941284</v>
      </c>
      <c r="E16" s="65">
        <f>'4.Projected'!D10</f>
        <v>5512.3949999999995</v>
      </c>
      <c r="F16" s="65">
        <f>'4.Projected'!E10</f>
        <v>58513.923992941287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0</v>
      </c>
      <c r="J16" s="80">
        <f>'4.Projected'!K10</f>
        <v>0</v>
      </c>
      <c r="K16" s="80">
        <f>'4.Projected'!L10</f>
        <v>0</v>
      </c>
      <c r="L16" s="65">
        <f>'4.Projected'!M10</f>
        <v>36013.923992941287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3.03120199</v>
      </c>
      <c r="S16" s="77">
        <f>SUM('5. Actual'!AH10:AN10)/SUM('5. Actual'!Q10:V10)</f>
        <v>3.293039964610883</v>
      </c>
      <c r="T16" s="66">
        <f>'4.Projected'!AW10</f>
        <v>279227.15895317338</v>
      </c>
      <c r="U16" s="66">
        <f>'4.Projected'!BF10</f>
        <v>308822.5479483672</v>
      </c>
      <c r="V16" s="77">
        <f t="shared" si="0"/>
        <v>4.7719780164949697</v>
      </c>
      <c r="W16" s="77">
        <f t="shared" si="1"/>
        <v>5.277761716777384</v>
      </c>
    </row>
    <row r="17" spans="3:23" ht="19.350000000000001" customHeight="1" x14ac:dyDescent="0.3">
      <c r="C17" s="64">
        <v>7</v>
      </c>
      <c r="D17" s="65">
        <f>'4.Projected'!C11</f>
        <v>64325.6648411879</v>
      </c>
      <c r="E17" s="65">
        <f>'4.Projected'!D11</f>
        <v>5765.4772277227721</v>
      </c>
      <c r="F17" s="65">
        <f>'4.Projected'!E11</f>
        <v>58560.187613465125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0</v>
      </c>
      <c r="J17" s="80">
        <f>'4.Projected'!K11</f>
        <v>0</v>
      </c>
      <c r="K17" s="80">
        <f>'4.Projected'!L11</f>
        <v>0</v>
      </c>
      <c r="L17" s="65">
        <f>'4.Projected'!M11</f>
        <v>36060.187613465125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2.9913310566666671</v>
      </c>
      <c r="S17" s="77">
        <f>SUM('5. Actual'!AH11:AN11)/SUM('5. Actual'!Q11:V11)</f>
        <v>3.293039964610883</v>
      </c>
      <c r="T17" s="66">
        <f>'4.Projected'!AW11</f>
        <v>277929.6399954459</v>
      </c>
      <c r="U17" s="66">
        <f>'4.Projected'!BF11</f>
        <v>307415.82241817634</v>
      </c>
      <c r="V17" s="77">
        <f t="shared" si="0"/>
        <v>4.7460510514406158</v>
      </c>
      <c r="W17" s="77">
        <f t="shared" si="1"/>
        <v>5.2495703129798414</v>
      </c>
    </row>
    <row r="18" spans="3:23" ht="19.350000000000001" customHeight="1" x14ac:dyDescent="0.3">
      <c r="C18" s="64">
        <v>8</v>
      </c>
      <c r="D18" s="65">
        <f>'4.Projected'!C12</f>
        <v>68269.292767948777</v>
      </c>
      <c r="E18" s="65">
        <f>'4.Projected'!D12</f>
        <v>6519.4465</v>
      </c>
      <c r="F18" s="65">
        <f>'4.Projected'!E12</f>
        <v>61749.846267948778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0</v>
      </c>
      <c r="J18" s="80">
        <f>'4.Projected'!K12</f>
        <v>0</v>
      </c>
      <c r="K18" s="80">
        <f>'4.Projected'!L12</f>
        <v>0</v>
      </c>
      <c r="L18" s="65">
        <f>'4.Projected'!M12</f>
        <v>39249.846267948778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2.5679503508333332</v>
      </c>
      <c r="S18" s="77">
        <f>SUM('5. Actual'!AH12:AN12)/SUM('5. Actual'!Q12:V12)</f>
        <v>3.293039964610883</v>
      </c>
      <c r="T18" s="66">
        <f>'4.Projected'!AW12</f>
        <v>270853.33737199451</v>
      </c>
      <c r="U18" s="66">
        <f>'4.Projected'!BF12</f>
        <v>299743.93793396029</v>
      </c>
      <c r="V18" s="77">
        <f t="shared" si="0"/>
        <v>4.3862997844025529</v>
      </c>
      <c r="W18" s="77">
        <f t="shared" si="1"/>
        <v>4.8541649259059323</v>
      </c>
    </row>
    <row r="19" spans="3:23" ht="19.350000000000001" customHeight="1" x14ac:dyDescent="0.3">
      <c r="C19" s="64">
        <v>9</v>
      </c>
      <c r="D19" s="65">
        <f>'4.Projected'!C13</f>
        <v>78475.677913987674</v>
      </c>
      <c r="E19" s="65">
        <f>'4.Projected'!D13</f>
        <v>7901.5895</v>
      </c>
      <c r="F19" s="65">
        <f>'4.Projected'!E13</f>
        <v>70574.088413987673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0</v>
      </c>
      <c r="J19" s="80">
        <f>'4.Projected'!K13</f>
        <v>0</v>
      </c>
      <c r="K19" s="80">
        <f>'4.Projected'!L13</f>
        <v>0</v>
      </c>
      <c r="L19" s="65">
        <f>'4.Projected'!M13</f>
        <v>48074.088413987673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2.9159714358333337</v>
      </c>
      <c r="S19" s="77">
        <f>SUM('5. Actual'!AH13:AN13)/SUM('5. Actual'!Q13:V13)</f>
        <v>3.293039964610883</v>
      </c>
      <c r="T19" s="66">
        <f>'4.Projected'!AW13</f>
        <v>310244.34949697531</v>
      </c>
      <c r="U19" s="66">
        <f>'4.Projected'!BF13</f>
        <v>342450.32159506623</v>
      </c>
      <c r="V19" s="77">
        <f t="shared" si="0"/>
        <v>4.3960093069439541</v>
      </c>
      <c r="W19" s="77">
        <f t="shared" si="1"/>
        <v>4.8523520358669359</v>
      </c>
    </row>
    <row r="20" spans="3:23" ht="19.350000000000001" customHeight="1" x14ac:dyDescent="0.3">
      <c r="C20" s="64">
        <v>10</v>
      </c>
      <c r="D20" s="65">
        <f>'4.Projected'!C14</f>
        <v>91267.705873549741</v>
      </c>
      <c r="E20" s="65">
        <f>'4.Projected'!D14</f>
        <v>13052.000499999998</v>
      </c>
      <c r="F20" s="65">
        <f>'4.Projected'!E14</f>
        <v>78215.705373549747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10000</v>
      </c>
      <c r="J20" s="80">
        <f>'4.Projected'!K14</f>
        <v>0</v>
      </c>
      <c r="K20" s="80">
        <f>'4.Projected'!L14</f>
        <v>0</v>
      </c>
      <c r="L20" s="65">
        <f>'4.Projected'!M14</f>
        <v>45715.705373549747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3.1923393404166664</v>
      </c>
      <c r="S20" s="77">
        <f>SUM('5. Actual'!AH14:AN14)/SUM('5. Actual'!Q14:V14)</f>
        <v>4.1817661293459958</v>
      </c>
      <c r="T20" s="66">
        <f>'4.Projected'!AW14</f>
        <v>377815.72561694146</v>
      </c>
      <c r="U20" s="66">
        <f>'4.Projected'!BF14</f>
        <v>410506.27122257114</v>
      </c>
      <c r="V20" s="77">
        <f t="shared" si="0"/>
        <v>4.8304330161383113</v>
      </c>
      <c r="W20" s="77">
        <f t="shared" si="1"/>
        <v>5.2483867435834988</v>
      </c>
    </row>
    <row r="21" spans="3:23" ht="19.350000000000001" customHeight="1" x14ac:dyDescent="0.3">
      <c r="C21" s="64">
        <v>11</v>
      </c>
      <c r="D21" s="65">
        <f>'4.Projected'!C15</f>
        <v>96943.482226506312</v>
      </c>
      <c r="E21" s="65">
        <f>'4.Projected'!D15</f>
        <v>14886.798500000001</v>
      </c>
      <c r="F21" s="65">
        <f>'4.Projected'!E15</f>
        <v>82056.683726506308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10000</v>
      </c>
      <c r="J21" s="80">
        <f>'4.Projected'!K15</f>
        <v>0</v>
      </c>
      <c r="K21" s="80">
        <f>'4.Projected'!L15</f>
        <v>0</v>
      </c>
      <c r="L21" s="65">
        <f>'4.Projected'!M15</f>
        <v>49556.683726506308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3.2594510654166666</v>
      </c>
      <c r="S21" s="77">
        <f>SUM('5. Actual'!AH15:AN15)/SUM('5. Actual'!Q15:V15)</f>
        <v>4.1817661293459958</v>
      </c>
      <c r="T21" s="66">
        <f>'4.Projected'!AW15</f>
        <v>393403.26644893875</v>
      </c>
      <c r="U21" s="66">
        <f>'4.Projected'!BF15</f>
        <v>427405.74811319594</v>
      </c>
      <c r="V21" s="77">
        <f t="shared" si="0"/>
        <v>4.7942866879698176</v>
      </c>
      <c r="W21" s="77">
        <f t="shared" si="1"/>
        <v>5.2086646535428223</v>
      </c>
    </row>
    <row r="22" spans="3:23" ht="19.350000000000001" customHeight="1" x14ac:dyDescent="0.3">
      <c r="C22" s="64">
        <v>12</v>
      </c>
      <c r="D22" s="65">
        <f>'4.Projected'!C16</f>
        <v>98304.338214798976</v>
      </c>
      <c r="E22" s="65">
        <f>'4.Projected'!D16</f>
        <v>14810.005000000001</v>
      </c>
      <c r="F22" s="65">
        <f>'4.Projected'!E16</f>
        <v>83494.333214798971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10000</v>
      </c>
      <c r="J22" s="80">
        <f>'4.Projected'!K16</f>
        <v>0</v>
      </c>
      <c r="K22" s="80">
        <f>'4.Projected'!L16</f>
        <v>0</v>
      </c>
      <c r="L22" s="65">
        <f>'4.Projected'!M16</f>
        <v>50994.333214798971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2.7161859975000002</v>
      </c>
      <c r="S22" s="77">
        <f>SUM('5. Actual'!AH16:AN16)/SUM('5. Actual'!Q16:V16)</f>
        <v>4.1817661293459958</v>
      </c>
      <c r="T22" s="66">
        <f>'4.Projected'!AW16</f>
        <v>370385.77470794716</v>
      </c>
      <c r="U22" s="66">
        <f>'4.Projected'!BF16</f>
        <v>402450.97340245079</v>
      </c>
      <c r="V22" s="77">
        <f t="shared" si="0"/>
        <v>4.4360588371319318</v>
      </c>
      <c r="W22" s="77">
        <f t="shared" si="1"/>
        <v>4.820099255923135</v>
      </c>
    </row>
    <row r="23" spans="3:23" ht="19.350000000000001" customHeight="1" x14ac:dyDescent="0.3">
      <c r="C23" s="64">
        <v>13</v>
      </c>
      <c r="D23" s="65">
        <f>'4.Projected'!C17</f>
        <v>98523.498169133236</v>
      </c>
      <c r="E23" s="65">
        <f>'4.Projected'!D17</f>
        <v>14699.338500000002</v>
      </c>
      <c r="F23" s="65">
        <f>'4.Projected'!E17</f>
        <v>83824.159669133238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10000</v>
      </c>
      <c r="J23" s="80">
        <f>'4.Projected'!K17</f>
        <v>0</v>
      </c>
      <c r="K23" s="80">
        <f>'4.Projected'!L17</f>
        <v>0</v>
      </c>
      <c r="L23" s="65">
        <f>'4.Projected'!M17</f>
        <v>51324.159669133238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2.5817097812499998</v>
      </c>
      <c r="S23" s="77">
        <f>SUM('5. Actual'!AH17:AN17)/SUM('5. Actual'!Q17:V17)</f>
        <v>4.1817661293459958</v>
      </c>
      <c r="T23" s="66">
        <f>'4.Projected'!AW17</f>
        <v>364379.76591029903</v>
      </c>
      <c r="U23" s="66">
        <f>'4.Projected'!BF17</f>
        <v>395939.46475752123</v>
      </c>
      <c r="V23" s="77">
        <f t="shared" si="0"/>
        <v>4.3469539968973336</v>
      </c>
      <c r="W23" s="77">
        <f t="shared" si="1"/>
        <v>4.7234528365134203</v>
      </c>
    </row>
    <row r="24" spans="3:23" ht="19.350000000000001" customHeight="1" x14ac:dyDescent="0.3">
      <c r="C24" s="64">
        <v>14</v>
      </c>
      <c r="D24" s="65">
        <f>'4.Projected'!C18</f>
        <v>103041.69503897769</v>
      </c>
      <c r="E24" s="65">
        <f>'4.Projected'!D18</f>
        <v>15357.636</v>
      </c>
      <c r="F24" s="65">
        <f>'4.Projected'!E18</f>
        <v>87684.059038977692</v>
      </c>
      <c r="G24" s="80">
        <f>'4.Projected'!F18+'4.Projected'!G18</f>
        <v>12500</v>
      </c>
      <c r="H24" s="80">
        <f>'4.Projected'!H18+'4.Projected'!I18</f>
        <v>10000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35184.059038977692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3.3833074513888879</v>
      </c>
      <c r="S24" s="77">
        <f>SUM('5. Actual'!AH18:AN18)/SUM('5. Actual'!Q18:V18)</f>
        <v>4.4271156913382477</v>
      </c>
      <c r="T24" s="66">
        <f>'4.Projected'!AW18</f>
        <v>447430.34458625386</v>
      </c>
      <c r="U24" s="66">
        <f>'4.Projected'!BF18</f>
        <v>482020.96327421255</v>
      </c>
      <c r="V24" s="77">
        <f t="shared" si="0"/>
        <v>5.1027558428534912</v>
      </c>
      <c r="W24" s="77">
        <f t="shared" si="1"/>
        <v>5.4972473737779692</v>
      </c>
    </row>
    <row r="25" spans="3:23" ht="19.350000000000001" customHeight="1" x14ac:dyDescent="0.3">
      <c r="C25" s="64">
        <v>15</v>
      </c>
      <c r="D25" s="65">
        <f>'4.Projected'!C19</f>
        <v>104234.94664341767</v>
      </c>
      <c r="E25" s="65">
        <f>'4.Projected'!D19</f>
        <v>15432.206999999999</v>
      </c>
      <c r="F25" s="65">
        <f>'4.Projected'!E19</f>
        <v>88802.739643417677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13802.739643417677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3.5251327708333329</v>
      </c>
      <c r="S25" s="77">
        <f>SUM('5. Actual'!AH19:AN19)/SUM('5. Actual'!Q19:V19)</f>
        <v>4.0868929733200376</v>
      </c>
      <c r="T25" s="66">
        <f>'4.Projected'!AW19</f>
        <v>451141.74451761105</v>
      </c>
      <c r="U25" s="66">
        <f>'4.Projected'!BF19</f>
        <v>488699.82189781545</v>
      </c>
      <c r="V25" s="77">
        <f t="shared" si="0"/>
        <v>5.0802683152473103</v>
      </c>
      <c r="W25" s="77">
        <f t="shared" si="1"/>
        <v>5.5032065886723949</v>
      </c>
    </row>
    <row r="26" spans="3:23" ht="19.350000000000001" customHeight="1" x14ac:dyDescent="0.3">
      <c r="C26" s="64">
        <v>16</v>
      </c>
      <c r="D26" s="65">
        <f>'4.Projected'!C20</f>
        <v>102335.43406865346</v>
      </c>
      <c r="E26" s="65">
        <f>'4.Projected'!D20</f>
        <v>15338.907500000001</v>
      </c>
      <c r="F26" s="65">
        <f>'4.Projected'!E20</f>
        <v>86996.526568653455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11996.526568653455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3.5333185166666667</v>
      </c>
      <c r="S26" s="77">
        <f>SUM('5. Actual'!AH20:AN20)/SUM('5. Actual'!Q20:V20)</f>
        <v>4.0868929733200376</v>
      </c>
      <c r="T26" s="66">
        <f>'4.Projected'!AW20</f>
        <v>444872.80413402588</v>
      </c>
      <c r="U26" s="66">
        <f>'4.Projected'!BF20</f>
        <v>481903.25184979156</v>
      </c>
      <c r="V26" s="77">
        <f t="shared" si="0"/>
        <v>5.1136846685821844</v>
      </c>
      <c r="W26" s="77">
        <f t="shared" si="1"/>
        <v>5.5393389926837688</v>
      </c>
    </row>
    <row r="27" spans="3:23" ht="19.350000000000001" customHeight="1" x14ac:dyDescent="0.3">
      <c r="C27" s="64">
        <v>17</v>
      </c>
      <c r="D27" s="65">
        <f>'4.Projected'!C21</f>
        <v>100728.75275291161</v>
      </c>
      <c r="E27" s="65">
        <f>'4.Projected'!D21</f>
        <v>15792.80217625723</v>
      </c>
      <c r="F27" s="65">
        <f>'4.Projected'!E21</f>
        <v>84935.950576654373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9935.9505766543734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3.7944865158333325</v>
      </c>
      <c r="S27" s="77">
        <f>SUM('5. Actual'!AH21:AN21)/SUM('5. Actual'!Q21:V21)</f>
        <v>4.0868929733200376</v>
      </c>
      <c r="T27" s="66">
        <f>'4.Projected'!AW21</f>
        <v>440187.08515842044</v>
      </c>
      <c r="U27" s="66">
        <f>'4.Projected'!BF21</f>
        <v>476823.15612477146</v>
      </c>
      <c r="V27" s="77">
        <f t="shared" si="0"/>
        <v>5.1825767789712707</v>
      </c>
      <c r="W27" s="77">
        <f t="shared" si="1"/>
        <v>5.6139144012339086</v>
      </c>
    </row>
    <row r="28" spans="3:23" ht="19.350000000000001" customHeight="1" x14ac:dyDescent="0.3">
      <c r="C28" s="64">
        <v>18</v>
      </c>
      <c r="D28" s="65">
        <f>'4.Projected'!C22</f>
        <v>96702.230459673927</v>
      </c>
      <c r="E28" s="65">
        <f>'4.Projected'!D22</f>
        <v>15557.501715518087</v>
      </c>
      <c r="F28" s="65">
        <f>'4.Projected'!E22</f>
        <v>81144.728744155844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6144.7287441558437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4.4206500919444442</v>
      </c>
      <c r="S28" s="77">
        <f>SUM('5. Actual'!AH22:AN22)/SUM('5. Actual'!Q22:V22)</f>
        <v>4.0868929733200376</v>
      </c>
      <c r="T28" s="66">
        <f>'4.Projected'!AW22</f>
        <v>429648.95036114519</v>
      </c>
      <c r="U28" s="66">
        <f>'4.Projected'!BF22</f>
        <v>465398.0719889038</v>
      </c>
      <c r="V28" s="77">
        <f t="shared" si="0"/>
        <v>5.2948473303275305</v>
      </c>
      <c r="W28" s="77">
        <f t="shared" si="1"/>
        <v>5.7354073294923973</v>
      </c>
    </row>
    <row r="29" spans="3:23" ht="19.350000000000001" customHeight="1" x14ac:dyDescent="0.3">
      <c r="C29" s="64">
        <v>19</v>
      </c>
      <c r="D29" s="65">
        <f>'4.Projected'!C23</f>
        <v>98399.382911825945</v>
      </c>
      <c r="E29" s="65">
        <f>'4.Projected'!D23</f>
        <v>15152.498774629941</v>
      </c>
      <c r="F29" s="65">
        <f>'4.Projected'!E23</f>
        <v>83246.884137196001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8246.8841371960007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4.2759821058333332</v>
      </c>
      <c r="S29" s="77">
        <f>SUM('5. Actual'!AH23:AN23)/SUM('5. Actual'!Q23:V23)</f>
        <v>4.0868929733200376</v>
      </c>
      <c r="T29" s="66">
        <f>'4.Projected'!AW23</f>
        <v>437748.78367284988</v>
      </c>
      <c r="U29" s="66">
        <f>'4.Projected'!BF23</f>
        <v>474179.63332333055</v>
      </c>
      <c r="V29" s="77">
        <f t="shared" si="0"/>
        <v>5.2584404594820979</v>
      </c>
      <c r="W29" s="77">
        <f t="shared" si="1"/>
        <v>5.6960646423937416</v>
      </c>
    </row>
    <row r="30" spans="3:23" ht="19.350000000000001" customHeight="1" x14ac:dyDescent="0.3">
      <c r="C30" s="64">
        <v>20</v>
      </c>
      <c r="D30" s="65">
        <f>'4.Projected'!C24</f>
        <v>94361.888220561552</v>
      </c>
      <c r="E30" s="65">
        <f>'4.Projected'!D24</f>
        <v>13812.909028526612</v>
      </c>
      <c r="F30" s="65">
        <f>'4.Projected'!E24</f>
        <v>80548.979192034938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5548.979192034938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3.9857575566666674</v>
      </c>
      <c r="S30" s="77">
        <f>SUM('5. Actual'!AH24:AN24)/SUM('5. Actual'!Q24:V24)</f>
        <v>4.0868929733200376</v>
      </c>
      <c r="T30" s="66">
        <f>'4.Projected'!AW24</f>
        <v>424602.14041975833</v>
      </c>
      <c r="U30" s="66">
        <f>'4.Projected'!BF24</f>
        <v>459926.49382945697</v>
      </c>
      <c r="V30" s="77">
        <f t="shared" si="0"/>
        <v>5.2713534631826224</v>
      </c>
      <c r="W30" s="77">
        <f t="shared" si="1"/>
        <v>5.7098984796934174</v>
      </c>
    </row>
    <row r="31" spans="3:23" ht="19.350000000000001" customHeight="1" x14ac:dyDescent="0.3">
      <c r="C31" s="64">
        <v>21</v>
      </c>
      <c r="D31" s="65">
        <f>'4.Projected'!C25</f>
        <v>90077.013374143091</v>
      </c>
      <c r="E31" s="65">
        <f>'4.Projected'!D25</f>
        <v>12007.844328987354</v>
      </c>
      <c r="F31" s="65">
        <f>'4.Projected'!E25</f>
        <v>78069.169045155737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3069.169045155737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4.0285327980555552</v>
      </c>
      <c r="S31" s="77">
        <f>SUM('5. Actual'!AH25:AN25)/SUM('5. Actual'!Q25:V25)</f>
        <v>4.0868929733200376</v>
      </c>
      <c r="T31" s="66">
        <f>'4.Projected'!AW25</f>
        <v>414849.50283450575</v>
      </c>
      <c r="U31" s="66">
        <f>'4.Projected'!BF25</f>
        <v>449353.01881688205</v>
      </c>
      <c r="V31" s="77">
        <f t="shared" si="0"/>
        <v>5.3138711210638601</v>
      </c>
      <c r="W31" s="77">
        <f t="shared" si="1"/>
        <v>5.7558319668673965</v>
      </c>
    </row>
    <row r="32" spans="3:23" ht="19.350000000000001" customHeight="1" x14ac:dyDescent="0.3">
      <c r="C32" s="64">
        <v>22</v>
      </c>
      <c r="D32" s="65">
        <f>'4.Projected'!C26</f>
        <v>85691.676207122102</v>
      </c>
      <c r="E32" s="65">
        <f>'4.Projected'!D26</f>
        <v>9523.143</v>
      </c>
      <c r="F32" s="65">
        <f>'4.Projected'!E26</f>
        <v>76168.533207122106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1168.5332071221055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3.6023343388888889</v>
      </c>
      <c r="S32" s="77">
        <f>SUM('5. Actual'!AH26:AN26)/SUM('5. Actual'!Q26:V26)</f>
        <v>4.0868929733200376</v>
      </c>
      <c r="T32" s="66">
        <f>'4.Projected'!AW26</f>
        <v>406694.70197146694</v>
      </c>
      <c r="U32" s="66">
        <f>'4.Projected'!BF26</f>
        <v>440511.86354948557</v>
      </c>
      <c r="V32" s="77">
        <f t="shared" si="0"/>
        <v>5.3394057210680161</v>
      </c>
      <c r="W32" s="77">
        <f t="shared" si="1"/>
        <v>5.7833838332112677</v>
      </c>
    </row>
    <row r="33" spans="1:27" ht="19.350000000000001" customHeight="1" x14ac:dyDescent="0.3">
      <c r="C33" s="64">
        <v>23</v>
      </c>
      <c r="D33" s="65">
        <f>'4.Projected'!C27</f>
        <v>78673.822932052906</v>
      </c>
      <c r="E33" s="65">
        <f>'4.Projected'!D27</f>
        <v>6375.7855</v>
      </c>
      <c r="F33" s="65">
        <f>'4.Projected'!E27</f>
        <v>72298.037432052908</v>
      </c>
      <c r="G33" s="80">
        <f>'4.Projected'!F27+'4.Projected'!G27</f>
        <v>22000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298.03743205290812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3.6688168563888888</v>
      </c>
      <c r="S33" s="77">
        <f>SUM('5. Actual'!AH27:AN27)/SUM('5. Actual'!Q27:V27)</f>
        <v>4.1204000640464002</v>
      </c>
      <c r="T33" s="66">
        <f>'4.Projected'!AW27</f>
        <v>393730.53104020748</v>
      </c>
      <c r="U33" s="66">
        <f>'4.Projected'!BF27</f>
        <v>426103.65192175639</v>
      </c>
      <c r="V33" s="77">
        <f t="shared" si="0"/>
        <v>5.4459366398464555</v>
      </c>
      <c r="W33" s="77">
        <f t="shared" si="1"/>
        <v>5.893709802596188</v>
      </c>
    </row>
    <row r="34" spans="1:27" ht="20.85" customHeight="1" x14ac:dyDescent="0.3">
      <c r="C34" s="64">
        <v>24</v>
      </c>
      <c r="D34" s="65">
        <f>'4.Projected'!C28</f>
        <v>72873.634114679604</v>
      </c>
      <c r="E34" s="65">
        <f>'4.Projected'!D28</f>
        <v>5494.9965000000011</v>
      </c>
      <c r="F34" s="65">
        <f>'4.Projected'!E28</f>
        <v>67378.63761467961</v>
      </c>
      <c r="G34" s="80">
        <f>'4.Projected'!F28+'4.Projected'!G28</f>
        <v>12500</v>
      </c>
      <c r="H34" s="80">
        <f>'4.Projected'!H28+'4.Projected'!I28</f>
        <v>10000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14878.63761467961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3.3502527991666664</v>
      </c>
      <c r="S34" s="77">
        <f>SUM('5. Actual'!AH28:AN28)/SUM('5. Actual'!Q28:V28)</f>
        <v>4.4271156913382477</v>
      </c>
      <c r="T34" s="66">
        <f>'4.Projected'!AW28</f>
        <v>378239.05278594093</v>
      </c>
      <c r="U34" s="66">
        <f>'4.Projected'!BF28</f>
        <v>407006.13897225528</v>
      </c>
      <c r="V34" s="77">
        <f t="shared" si="0"/>
        <v>5.6136346203523555</v>
      </c>
      <c r="W34" s="77">
        <f t="shared" si="1"/>
        <v>6.0405813085716344</v>
      </c>
    </row>
    <row r="35" spans="1:27" ht="23.85" customHeight="1" x14ac:dyDescent="0.3">
      <c r="C35" s="67" t="s">
        <v>92</v>
      </c>
      <c r="D35" s="68">
        <f>SUM(D11:D34)</f>
        <v>2023845.4421203171</v>
      </c>
      <c r="E35" s="68">
        <f>SUM(E11:E34)</f>
        <v>250935.91375164199</v>
      </c>
      <c r="F35" s="68">
        <f t="shared" ref="F35:L35" si="2">SUM(F11:F34)</f>
        <v>1772909.5283686747</v>
      </c>
      <c r="G35" s="82">
        <f t="shared" si="2"/>
        <v>414500</v>
      </c>
      <c r="H35" s="82">
        <f t="shared" si="2"/>
        <v>350000</v>
      </c>
      <c r="I35" s="82">
        <f t="shared" si="2"/>
        <v>340000</v>
      </c>
      <c r="J35" s="82">
        <f t="shared" ref="J35" si="3">SUM(J11:J34)</f>
        <v>130000</v>
      </c>
      <c r="K35" s="82">
        <f t="shared" si="2"/>
        <v>0</v>
      </c>
      <c r="L35" s="68">
        <f t="shared" si="2"/>
        <v>538409.5283686748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3.3887154903819443</v>
      </c>
      <c r="S35" s="79">
        <f>'3. Nomination'!V30</f>
        <v>4.1073881065332793</v>
      </c>
      <c r="T35" s="68">
        <f>SUM(T11:T34)</f>
        <v>9023563.9398049861</v>
      </c>
      <c r="U35" s="68">
        <f t="shared" ref="U35" si="6">SUM(U11:U34)</f>
        <v>9795072.6686751619</v>
      </c>
      <c r="V35" s="79">
        <f t="shared" ref="V35" si="7">T35/F35</f>
        <v>5.0896922800724802</v>
      </c>
      <c r="W35" s="79">
        <f t="shared" ref="W35" si="8">U35/F35</f>
        <v>5.5248575925292718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0.6908333333333333</v>
      </c>
      <c r="H38" s="124">
        <f>H35/(20*24*1000)</f>
        <v>0.72916666666666663</v>
      </c>
      <c r="I38" s="124">
        <f>I35/(20*24*1000)</f>
        <v>0.70833333333333337</v>
      </c>
      <c r="J38" s="124">
        <f>J35/(10*24*1000)</f>
        <v>0.54166666666666663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0.23379647600032818</v>
      </c>
      <c r="H39" s="126">
        <f t="shared" si="9"/>
        <v>0.1974156009652952</v>
      </c>
      <c r="I39" s="126">
        <f t="shared" si="9"/>
        <v>0.19177515522342964</v>
      </c>
      <c r="J39" s="126">
        <f>J35/$F$35</f>
        <v>7.3325794644252498E-2</v>
      </c>
      <c r="K39" s="126">
        <f t="shared" si="9"/>
        <v>0</v>
      </c>
      <c r="L39" s="127">
        <f t="shared" si="9"/>
        <v>0.30368697316669457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4" t="s">
        <v>187</v>
      </c>
      <c r="G3" s="165"/>
      <c r="H3" s="165"/>
      <c r="I3" s="165"/>
      <c r="J3" s="165"/>
      <c r="K3" s="166">
        <f>'1. Rates'!C4</f>
        <v>45675</v>
      </c>
      <c r="L3" s="166"/>
      <c r="M3" s="166"/>
      <c r="N3" s="166"/>
      <c r="O3" s="167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14000</v>
      </c>
      <c r="R5" s="53">
        <f>'3. Nomination'!X6</f>
        <v>2500</v>
      </c>
      <c r="S5" s="53">
        <f>'3. Nomination'!Y6</f>
        <v>10000</v>
      </c>
      <c r="T5" s="53">
        <f>'3. Nomination'!Z6</f>
        <v>10000</v>
      </c>
      <c r="U5" s="53">
        <f>'3. Nomination'!AA6</f>
        <v>20000</v>
      </c>
      <c r="V5" s="53">
        <f>'3. Nomination'!AB6</f>
        <v>10000</v>
      </c>
      <c r="W5" s="53">
        <f>'3. Nomination'!AC6</f>
        <v>0</v>
      </c>
      <c r="X5" s="53">
        <f>E5-Q5-R5-S5-T5-U5-V5-W5</f>
        <v>-66500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45958.11914242286</v>
      </c>
      <c r="AI5" s="53">
        <f>R5*'1. Rates'!D$56</f>
        <v>8206.8069897183686</v>
      </c>
      <c r="AJ5" s="53">
        <f>S5*'1. Rates'!E$56</f>
        <v>33059.364255153028</v>
      </c>
      <c r="AK5" s="53">
        <f>T5*'1. Rates'!F$56</f>
        <v>33059.364255153028</v>
      </c>
      <c r="AL5" s="53">
        <f>U5*'1. Rates'!G$56</f>
        <v>123628</v>
      </c>
      <c r="AM5" s="53">
        <f>V5*'1. Rates'!H$56</f>
        <v>34702.174591513132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9393.6250433593996</v>
      </c>
      <c r="AR5" s="53">
        <f>(Z5+AI5)*'1. Rates'!D$60</f>
        <v>1954.4795253333684</v>
      </c>
      <c r="AS5" s="53">
        <f>(AA5+AJ5)*'1. Rates'!E$60</f>
        <v>5889.6838946594207</v>
      </c>
      <c r="AT5" s="53">
        <f>(AB5+AK5)*'1. Rates'!F$60</f>
        <v>5942.7238946594207</v>
      </c>
      <c r="AU5" s="53">
        <f>(AC5+AL5)*'1. Rates'!G$60</f>
        <v>0</v>
      </c>
      <c r="AV5" s="53">
        <f>(AD5+AM5)*'1. Rates'!H$60</f>
        <v>6933.9809509815759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78280.208694661662</v>
      </c>
      <c r="BA5" s="53">
        <f t="shared" ref="BA5:BG20" si="0">Z5+AI5</f>
        <v>16287.329377778071</v>
      </c>
      <c r="BB5" s="53">
        <f t="shared" si="0"/>
        <v>49080.699122161845</v>
      </c>
      <c r="BC5" s="53">
        <f t="shared" si="0"/>
        <v>49522.699122161837</v>
      </c>
      <c r="BD5" s="53">
        <f t="shared" si="0"/>
        <v>123628</v>
      </c>
      <c r="BE5" s="53">
        <f t="shared" si="0"/>
        <v>57783.174591513132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87673.833738021058</v>
      </c>
      <c r="BJ5" s="53">
        <f t="shared" ref="BJ5:BP20" si="1">Z5+AI5+AR5</f>
        <v>18241.80890311144</v>
      </c>
      <c r="BK5" s="53">
        <f t="shared" si="1"/>
        <v>54970.383016821266</v>
      </c>
      <c r="BL5" s="53">
        <f t="shared" si="1"/>
        <v>55465.42301682126</v>
      </c>
      <c r="BM5" s="53">
        <f t="shared" si="1"/>
        <v>123628</v>
      </c>
      <c r="BN5" s="53">
        <f t="shared" si="1"/>
        <v>64717.155542494707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5.5914434781901186</v>
      </c>
      <c r="BS5" s="54">
        <f t="shared" ref="BS5:BW20" si="2">BA5/R5</f>
        <v>6.5149317511112281</v>
      </c>
      <c r="BT5" s="54">
        <f t="shared" si="2"/>
        <v>4.9080699122161846</v>
      </c>
      <c r="BU5" s="54">
        <f t="shared" si="2"/>
        <v>4.9522699122161837</v>
      </c>
      <c r="BV5" s="54">
        <f t="shared" si="2"/>
        <v>6.1814</v>
      </c>
      <c r="BW5" s="54">
        <f t="shared" si="2"/>
        <v>5.7783174591513129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6.2624166955729326</v>
      </c>
      <c r="CB5" s="54">
        <f t="shared" ref="CB5:CF20" si="5">BJ5/R5</f>
        <v>7.2967235612445762</v>
      </c>
      <c r="CC5" s="54">
        <f t="shared" si="5"/>
        <v>5.4970383016821263</v>
      </c>
      <c r="CD5" s="54">
        <f t="shared" si="5"/>
        <v>5.546542301682126</v>
      </c>
      <c r="CE5" s="54">
        <f t="shared" si="5"/>
        <v>6.1814</v>
      </c>
      <c r="CF5" s="54">
        <f t="shared" si="5"/>
        <v>6.4717155542494709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11000</v>
      </c>
      <c r="R6" s="53">
        <f>'3. Nomination'!X7</f>
        <v>2500</v>
      </c>
      <c r="S6" s="53">
        <f>'3. Nomination'!Y7</f>
        <v>10000</v>
      </c>
      <c r="T6" s="53">
        <f>'3. Nomination'!Z7</f>
        <v>10000</v>
      </c>
      <c r="U6" s="53">
        <f>'3. Nomination'!AA7</f>
        <v>20000</v>
      </c>
      <c r="V6" s="53">
        <f>'3. Nomination'!AB7</f>
        <v>10000</v>
      </c>
      <c r="W6" s="53">
        <f>'3. Nomination'!AC7</f>
        <v>0</v>
      </c>
      <c r="X6" s="53">
        <f>E6-Q6-R6-S6-T6-U6-V6-W6</f>
        <v>-63500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36109.950754760823</v>
      </c>
      <c r="AI6" s="53">
        <f>R6*'1. Rates'!D$56</f>
        <v>8206.8069897183686</v>
      </c>
      <c r="AJ6" s="53">
        <f>S6*'1. Rates'!E$56</f>
        <v>33059.364255153028</v>
      </c>
      <c r="AK6" s="53">
        <f>T6*'1. Rates'!F$56</f>
        <v>33059.364255153028</v>
      </c>
      <c r="AL6" s="53">
        <f>U6*'1. Rates'!G$56</f>
        <v>123628</v>
      </c>
      <c r="AM6" s="53">
        <f>V6*'1. Rates'!H$56</f>
        <v>34702.174591513132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8211.844836839955</v>
      </c>
      <c r="AR6" s="53">
        <f>(Z6+AI6)*'1. Rates'!D$60</f>
        <v>1954.4795253333684</v>
      </c>
      <c r="AS6" s="53">
        <f>(AA6+AJ6)*'1. Rates'!E$60</f>
        <v>5889.6838946594207</v>
      </c>
      <c r="AT6" s="53">
        <f>(AB6+AK6)*'1. Rates'!F$60</f>
        <v>5942.7238946594207</v>
      </c>
      <c r="AU6" s="53">
        <f>(AC6+AL6)*'1. Rates'!G$60</f>
        <v>0</v>
      </c>
      <c r="AV6" s="53">
        <f>(AD6+AM6)*'1. Rates'!H$60</f>
        <v>6933.9809509815759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68432.040306999625</v>
      </c>
      <c r="BA6" s="53">
        <f t="shared" si="0"/>
        <v>16287.329377778071</v>
      </c>
      <c r="BB6" s="53">
        <f t="shared" si="0"/>
        <v>49080.699122161845</v>
      </c>
      <c r="BC6" s="53">
        <f t="shared" si="0"/>
        <v>49522.699122161837</v>
      </c>
      <c r="BD6" s="53">
        <f t="shared" si="0"/>
        <v>123628</v>
      </c>
      <c r="BE6" s="53">
        <f t="shared" si="0"/>
        <v>57783.174591513132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76643.88514383958</v>
      </c>
      <c r="BJ6" s="53">
        <f t="shared" si="1"/>
        <v>18241.80890311144</v>
      </c>
      <c r="BK6" s="53">
        <f t="shared" si="1"/>
        <v>54970.383016821266</v>
      </c>
      <c r="BL6" s="53">
        <f t="shared" si="1"/>
        <v>55465.42301682126</v>
      </c>
      <c r="BM6" s="53">
        <f t="shared" si="1"/>
        <v>123628</v>
      </c>
      <c r="BN6" s="53">
        <f t="shared" si="1"/>
        <v>64717.155542494707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6.2210945733636018</v>
      </c>
      <c r="BS6" s="54">
        <f t="shared" si="2"/>
        <v>6.5149317511112281</v>
      </c>
      <c r="BT6" s="54">
        <f t="shared" si="2"/>
        <v>4.9080699122161846</v>
      </c>
      <c r="BU6" s="54">
        <f t="shared" si="2"/>
        <v>4.9522699122161837</v>
      </c>
      <c r="BV6" s="54">
        <f t="shared" si="2"/>
        <v>6.1814</v>
      </c>
      <c r="BW6" s="54">
        <f t="shared" si="2"/>
        <v>5.7783174591513129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6.9676259221672341</v>
      </c>
      <c r="CB6" s="54">
        <f t="shared" si="5"/>
        <v>7.2967235612445762</v>
      </c>
      <c r="CC6" s="54">
        <f t="shared" si="5"/>
        <v>5.4970383016821263</v>
      </c>
      <c r="CD6" s="54">
        <f t="shared" si="5"/>
        <v>5.546542301682126</v>
      </c>
      <c r="CE6" s="54">
        <f t="shared" si="5"/>
        <v>6.1814</v>
      </c>
      <c r="CF6" s="54">
        <f t="shared" si="5"/>
        <v>6.4717155542494709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20000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-42500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123628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123628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123628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>
        <f t="shared" si="2"/>
        <v>6.1814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>
        <f t="shared" si="5"/>
        <v>6.1814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20000</v>
      </c>
      <c r="V8" s="53">
        <f>'3. Nomination'!AB9</f>
        <v>0</v>
      </c>
      <c r="W8" s="53">
        <f>'3. Nomination'!AC9</f>
        <v>0</v>
      </c>
      <c r="X8" s="53">
        <f t="shared" si="19"/>
        <v>-42500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123628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123628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123628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>
        <f t="shared" si="2"/>
        <v>6.1814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>
        <f t="shared" si="5"/>
        <v>6.1814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0</v>
      </c>
      <c r="V10" s="53">
        <f>'3. Nomination'!AB11</f>
        <v>0</v>
      </c>
      <c r="W10" s="53">
        <f>'3. Nomination'!AC11</f>
        <v>0</v>
      </c>
      <c r="X10" s="53">
        <f t="shared" si="19"/>
        <v>-22500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0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0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0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 t="e">
        <f t="shared" si="2"/>
        <v>#DIV/0!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 t="e">
        <f t="shared" si="5"/>
        <v>#DIV/0!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0</v>
      </c>
      <c r="V11" s="53">
        <f>'3. Nomination'!AB12</f>
        <v>0</v>
      </c>
      <c r="W11" s="53">
        <f>'3. Nomination'!AC12</f>
        <v>0</v>
      </c>
      <c r="X11" s="53">
        <f t="shared" si="19"/>
        <v>-22500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0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0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0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 t="e">
        <f t="shared" si="2"/>
        <v>#DIV/0!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 t="e">
        <f t="shared" si="5"/>
        <v>#DIV/0!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0</v>
      </c>
      <c r="V12" s="53">
        <f>'3. Nomination'!AB13</f>
        <v>0</v>
      </c>
      <c r="W12" s="53">
        <f>'3. Nomination'!AC13</f>
        <v>0</v>
      </c>
      <c r="X12" s="53">
        <f t="shared" si="19"/>
        <v>-22500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0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0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0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 t="e">
        <f t="shared" si="2"/>
        <v>#DIV/0!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 t="e">
        <f t="shared" si="5"/>
        <v>#DIV/0!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0</v>
      </c>
      <c r="V13" s="53">
        <f>'3. Nomination'!AB14</f>
        <v>0</v>
      </c>
      <c r="W13" s="53">
        <f>'3. Nomination'!AC14</f>
        <v>0</v>
      </c>
      <c r="X13" s="53">
        <f t="shared" si="19"/>
        <v>-22500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0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0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0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 t="e">
        <f t="shared" si="2"/>
        <v>#DIV/0!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 t="e">
        <f t="shared" si="5"/>
        <v>#DIV/0!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10000</v>
      </c>
      <c r="V14" s="53">
        <f>'3. Nomination'!AB15</f>
        <v>0</v>
      </c>
      <c r="W14" s="53">
        <f>'3. Nomination'!AC15</f>
        <v>0</v>
      </c>
      <c r="X14" s="53">
        <f t="shared" si="19"/>
        <v>-32500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61814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61814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61814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10000</v>
      </c>
      <c r="V15" s="53">
        <f>'3. Nomination'!AB16</f>
        <v>0</v>
      </c>
      <c r="W15" s="53">
        <f>'3. Nomination'!AC16</f>
        <v>0</v>
      </c>
      <c r="X15" s="53">
        <f t="shared" si="19"/>
        <v>-32500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61814</v>
      </c>
      <c r="AM15" s="53">
        <f>V15*'1. Rates'!H$56</f>
        <v>0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2769.72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61814</v>
      </c>
      <c r="BE15" s="53">
        <f t="shared" si="0"/>
        <v>23081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61814</v>
      </c>
      <c r="BN15" s="53">
        <f t="shared" si="1"/>
        <v>25850.720000000001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 t="e">
        <f t="shared" si="2"/>
        <v>#DIV/0!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 t="e">
        <f t="shared" si="5"/>
        <v>#DIV/0!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10000</v>
      </c>
      <c r="V16" s="53">
        <f>'3. Nomination'!AB17</f>
        <v>0</v>
      </c>
      <c r="W16" s="53">
        <f>'3. Nomination'!AC17</f>
        <v>0</v>
      </c>
      <c r="X16" s="53">
        <f t="shared" si="19"/>
        <v>-32500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61814</v>
      </c>
      <c r="AM16" s="53">
        <f>V16*'1. Rates'!H$56</f>
        <v>0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2769.72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61814</v>
      </c>
      <c r="BE16" s="53">
        <f t="shared" si="0"/>
        <v>23081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61814</v>
      </c>
      <c r="BN16" s="53">
        <f t="shared" si="1"/>
        <v>25850.720000000001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 t="e">
        <f t="shared" si="2"/>
        <v>#DIV/0!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 t="e">
        <f t="shared" si="5"/>
        <v>#DIV/0!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10000</v>
      </c>
      <c r="V17" s="53">
        <f>'3. Nomination'!AB18</f>
        <v>0</v>
      </c>
      <c r="W17" s="53">
        <f>'3. Nomination'!AC18</f>
        <v>0</v>
      </c>
      <c r="X17" s="53">
        <f t="shared" si="19"/>
        <v>-32500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61814</v>
      </c>
      <c r="AM17" s="53">
        <f>V17*'1. Rates'!H$56</f>
        <v>0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2769.72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61814</v>
      </c>
      <c r="BE17" s="53">
        <f t="shared" si="0"/>
        <v>23081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61814</v>
      </c>
      <c r="BN17" s="53">
        <f t="shared" si="1"/>
        <v>25850.720000000001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 t="e">
        <f t="shared" si="2"/>
        <v>#DIV/0!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 t="e">
        <f t="shared" si="5"/>
        <v>#DIV/0!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10000</v>
      </c>
      <c r="R18" s="53">
        <f>'3. Nomination'!X19</f>
        <v>2500</v>
      </c>
      <c r="S18" s="53">
        <f>'3. Nomination'!Y19</f>
        <v>5000</v>
      </c>
      <c r="T18" s="53">
        <f>'3. Nomination'!Z19</f>
        <v>5000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-52500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32827.227958873475</v>
      </c>
      <c r="AI18" s="53">
        <f>R18*'1. Rates'!D$56</f>
        <v>8206.8069897183686</v>
      </c>
      <c r="AJ18" s="53">
        <f>S18*'1. Rates'!E$56</f>
        <v>16529.682127576514</v>
      </c>
      <c r="AK18" s="53">
        <f>T18*'1. Rates'!F$56</f>
        <v>16529.682127576514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7817.9181013334737</v>
      </c>
      <c r="AR18" s="53">
        <f>(Z18+AI18)*'1. Rates'!D$60</f>
        <v>1954.4795253333684</v>
      </c>
      <c r="AS18" s="53">
        <f>(AA18+AJ18)*'1. Rates'!E$60</f>
        <v>3906.122039350239</v>
      </c>
      <c r="AT18" s="53">
        <f>(AB18+AK18)*'1. Rates'!F$60</f>
        <v>3959.162039350239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65149.317511112284</v>
      </c>
      <c r="BA18" s="53">
        <f t="shared" si="0"/>
        <v>16287.329377778071</v>
      </c>
      <c r="BB18" s="53">
        <f t="shared" si="0"/>
        <v>32551.016994585327</v>
      </c>
      <c r="BC18" s="53">
        <f t="shared" si="0"/>
        <v>32993.016994585327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72967.235612445758</v>
      </c>
      <c r="BJ18" s="53">
        <f t="shared" si="1"/>
        <v>18241.80890311144</v>
      </c>
      <c r="BK18" s="53">
        <f t="shared" si="1"/>
        <v>36457.139033935564</v>
      </c>
      <c r="BL18" s="53">
        <f t="shared" si="1"/>
        <v>36952.179033935565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6.5149317511112281</v>
      </c>
      <c r="BS18" s="54">
        <f t="shared" si="2"/>
        <v>6.5149317511112281</v>
      </c>
      <c r="BT18" s="54">
        <f t="shared" si="2"/>
        <v>6.5102033989170653</v>
      </c>
      <c r="BU18" s="54">
        <f t="shared" si="2"/>
        <v>6.5986033989170654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7.2967235612445762</v>
      </c>
      <c r="CB18" s="54">
        <f t="shared" si="5"/>
        <v>7.2967235612445762</v>
      </c>
      <c r="CC18" s="54">
        <f t="shared" si="5"/>
        <v>7.2914278067871132</v>
      </c>
      <c r="CD18" s="54">
        <f t="shared" si="5"/>
        <v>7.3904358067871128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19500</v>
      </c>
      <c r="R27" s="53">
        <f>'3. Nomination'!X28</f>
        <v>2500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-72000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64013.094519803271</v>
      </c>
      <c r="AI27" s="53">
        <f>R27*'1. Rates'!D$56</f>
        <v>8206.8069897183686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11560.222088645049</v>
      </c>
      <c r="AR27" s="53">
        <f>(Z27+AI27)*'1. Rates'!D$60</f>
        <v>1954.4795253333684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96335.184072042073</v>
      </c>
      <c r="BA27" s="53">
        <f t="shared" si="12"/>
        <v>16287.329377778071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107895.40616068713</v>
      </c>
      <c r="BJ27" s="53">
        <f t="shared" si="14"/>
        <v>18241.80890311144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4.9402658498483119</v>
      </c>
      <c r="BS27" s="54">
        <f t="shared" si="20"/>
        <v>6.5149317511112281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5.533097751830109</v>
      </c>
      <c r="CB27" s="54">
        <f t="shared" si="23"/>
        <v>7.2967235612445762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10000</v>
      </c>
      <c r="R28" s="53">
        <f>'3. Nomination'!X29</f>
        <v>2500</v>
      </c>
      <c r="S28" s="53">
        <f>'3. Nomination'!Y29</f>
        <v>5000</v>
      </c>
      <c r="T28" s="53">
        <f>'3. Nomination'!Z29</f>
        <v>5000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-52500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32827.227958873475</v>
      </c>
      <c r="AI28" s="53">
        <f>R28*'1. Rates'!D$56</f>
        <v>8206.8069897183686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7817.9181013334737</v>
      </c>
      <c r="AR28" s="53">
        <f>(Z28+AI28)*'1. Rates'!D$60</f>
        <v>1954.4795253333684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65149.317511112284</v>
      </c>
      <c r="BA28" s="53">
        <f t="shared" si="12"/>
        <v>16287.329377778071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72967.235612445758</v>
      </c>
      <c r="BJ28" s="53">
        <f t="shared" si="14"/>
        <v>18241.80890311144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6.5149317511112281</v>
      </c>
      <c r="BS28" s="54">
        <f t="shared" si="20"/>
        <v>6.5149317511112281</v>
      </c>
      <c r="BT28" s="54">
        <f t="shared" si="21"/>
        <v>6.5102033989170653</v>
      </c>
      <c r="BU28" s="54">
        <f t="shared" si="22"/>
        <v>6.5986033989170654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7.2967235612445762</v>
      </c>
      <c r="CB28" s="54">
        <f t="shared" si="23"/>
        <v>7.2967235612445762</v>
      </c>
      <c r="CC28" s="54">
        <f t="shared" si="24"/>
        <v>7.2914278067871132</v>
      </c>
      <c r="CD28" s="54">
        <f t="shared" si="25"/>
        <v>7.3904358067871128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334500</v>
      </c>
      <c r="R29" s="56">
        <f t="shared" si="28"/>
        <v>80000</v>
      </c>
      <c r="S29" s="56">
        <f t="shared" si="28"/>
        <v>175000</v>
      </c>
      <c r="T29" s="56">
        <f t="shared" si="28"/>
        <v>175000</v>
      </c>
      <c r="U29" s="56">
        <f t="shared" si="28"/>
        <v>340000</v>
      </c>
      <c r="V29" s="56">
        <f t="shared" si="28"/>
        <v>130000</v>
      </c>
      <c r="W29" s="56">
        <f t="shared" si="28"/>
        <v>0</v>
      </c>
      <c r="X29" s="56">
        <f>SUM(X5:X28)</f>
        <v>-1234500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1098070.775224318</v>
      </c>
      <c r="AI29" s="56">
        <f t="shared" si="29"/>
        <v>262617.82367098791</v>
      </c>
      <c r="AJ29" s="56">
        <f t="shared" si="29"/>
        <v>578538.87446517823</v>
      </c>
      <c r="AK29" s="56">
        <f t="shared" si="29"/>
        <v>578538.87446517823</v>
      </c>
      <c r="AL29" s="56">
        <f t="shared" si="29"/>
        <v>2101676</v>
      </c>
      <c r="AM29" s="56">
        <f t="shared" si="29"/>
        <v>451128.26968967059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224856.11093736588</v>
      </c>
      <c r="AR29" s="56">
        <f t="shared" si="29"/>
        <v>54786.043318130469</v>
      </c>
      <c r="AS29" s="56">
        <f t="shared" si="29"/>
        <v>115566.10935280673</v>
      </c>
      <c r="AT29" s="56">
        <f t="shared" si="29"/>
        <v>116839.06935280669</v>
      </c>
      <c r="AU29" s="56">
        <f t="shared" si="29"/>
        <v>0</v>
      </c>
      <c r="AV29" s="56">
        <f t="shared" si="29"/>
        <v>120608.67236276054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1873800.9244780496</v>
      </c>
      <c r="BA29" s="56">
        <f t="shared" si="29"/>
        <v>456550.36098442075</v>
      </c>
      <c r="BB29" s="56">
        <f t="shared" si="29"/>
        <v>963050.91127338959</v>
      </c>
      <c r="BC29" s="56">
        <f t="shared" si="29"/>
        <v>973658.91127338959</v>
      </c>
      <c r="BD29" s="56">
        <f t="shared" si="29"/>
        <v>2101676</v>
      </c>
      <c r="BE29" s="56">
        <f t="shared" si="29"/>
        <v>1005072.2696896705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2098657.0354154147</v>
      </c>
      <c r="BJ29" s="56">
        <f t="shared" si="29"/>
        <v>511336.404302551</v>
      </c>
      <c r="BK29" s="56">
        <f t="shared" si="29"/>
        <v>1078617.0206261959</v>
      </c>
      <c r="BL29" s="56">
        <f t="shared" si="29"/>
        <v>1090497.9806261959</v>
      </c>
      <c r="BM29" s="56">
        <f t="shared" si="29"/>
        <v>2101676</v>
      </c>
      <c r="BN29" s="56">
        <f t="shared" si="29"/>
        <v>1125680.9420524312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5.6017964857340798</v>
      </c>
      <c r="BS29" s="58">
        <f t="shared" si="20"/>
        <v>5.7068795123052594</v>
      </c>
      <c r="BT29" s="58">
        <f t="shared" si="21"/>
        <v>5.5031480644193689</v>
      </c>
      <c r="BU29" s="58">
        <f t="shared" si="22"/>
        <v>5.5637652072765116</v>
      </c>
      <c r="BV29" s="58">
        <f t="shared" si="22"/>
        <v>6.1814</v>
      </c>
      <c r="BW29" s="58">
        <f t="shared" si="22"/>
        <v>7.7313251514590045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6.2740120640221662</v>
      </c>
      <c r="CB29" s="58">
        <f>BJ29/R29</f>
        <v>6.3917050537818874</v>
      </c>
      <c r="CC29" s="58">
        <f t="shared" ref="CC29:CG29" si="31">BK29/S29</f>
        <v>6.1635258321496913</v>
      </c>
      <c r="CD29" s="58">
        <f>BL29/T29</f>
        <v>6.2314170321496904</v>
      </c>
      <c r="CE29" s="58">
        <f>BM29/U29</f>
        <v>6.1814</v>
      </c>
      <c r="CF29" s="58">
        <f t="shared" si="31"/>
        <v>8.6590841696340863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AG3:AG4"/>
    <mergeCell ref="F3:J3"/>
    <mergeCell ref="K3:O3"/>
    <mergeCell ref="P3:P4"/>
    <mergeCell ref="B3:B4"/>
    <mergeCell ref="C3:E3"/>
    <mergeCell ref="Q3:W3"/>
    <mergeCell ref="X3:X4"/>
    <mergeCell ref="Y3:AF3"/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45675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16500</v>
      </c>
      <c r="H11" s="80">
        <f>'5. Actual'!S5+'5. Actual'!T5</f>
        <v>20000</v>
      </c>
      <c r="I11" s="80">
        <f>'5. Actual'!U5</f>
        <v>20000</v>
      </c>
      <c r="J11" s="80">
        <f>'5. Actual'!V5</f>
        <v>10000</v>
      </c>
      <c r="K11" s="81">
        <f>'5. Actual'!W5</f>
        <v>0</v>
      </c>
      <c r="L11" s="65">
        <f>'5. Actual'!X5</f>
        <v>-66500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4.1896816426159464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13500</v>
      </c>
      <c r="H12" s="80">
        <f>'5. Actual'!S6+'5. Actual'!T6</f>
        <v>20000</v>
      </c>
      <c r="I12" s="80">
        <f>'5. Actual'!U6</f>
        <v>20000</v>
      </c>
      <c r="J12" s="80">
        <f>'5. Actual'!V6</f>
        <v>10000</v>
      </c>
      <c r="K12" s="81">
        <f>'5. Actual'!W6</f>
        <v>0</v>
      </c>
      <c r="L12" s="65">
        <f>'5. Actual'!X6</f>
        <v>-63500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4.2325300920676909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20000</v>
      </c>
      <c r="J13" s="80">
        <f>'5. Actual'!V7</f>
        <v>0</v>
      </c>
      <c r="K13" s="81">
        <f>'5. Actual'!W7</f>
        <v>0</v>
      </c>
      <c r="L13" s="65">
        <f>'5. Actual'!X7</f>
        <v>-42500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4.6522682165587028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20000</v>
      </c>
      <c r="J14" s="80">
        <f>'5. Actual'!V8</f>
        <v>0</v>
      </c>
      <c r="K14" s="81">
        <f>'5. Actual'!W8</f>
        <v>0</v>
      </c>
      <c r="L14" s="65">
        <f>'5. Actual'!X8</f>
        <v>-42500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4.6522682165587028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0</v>
      </c>
      <c r="J16" s="80">
        <f>'5. Actual'!V10</f>
        <v>0</v>
      </c>
      <c r="K16" s="81">
        <f>'5. Actual'!W10</f>
        <v>0</v>
      </c>
      <c r="L16" s="65">
        <f>'5. Actual'!X10</f>
        <v>-22500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3.293039964610883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0</v>
      </c>
      <c r="J17" s="80">
        <f>'5. Actual'!V11</f>
        <v>0</v>
      </c>
      <c r="K17" s="81">
        <f>'5. Actual'!W11</f>
        <v>0</v>
      </c>
      <c r="L17" s="65">
        <f>'5. Actual'!X11</f>
        <v>-22500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3.293039964610883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0</v>
      </c>
      <c r="J18" s="80">
        <f>'5. Actual'!V12</f>
        <v>0</v>
      </c>
      <c r="K18" s="81">
        <f>'5. Actual'!W12</f>
        <v>0</v>
      </c>
      <c r="L18" s="65">
        <f>'5. Actual'!X12</f>
        <v>-22500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3.293039964610883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0</v>
      </c>
      <c r="J19" s="80">
        <f>'5. Actual'!V13</f>
        <v>0</v>
      </c>
      <c r="K19" s="81">
        <f>'5. Actual'!W13</f>
        <v>0</v>
      </c>
      <c r="L19" s="65">
        <f>'5. Actual'!X13</f>
        <v>-22500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3.293039964610883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10000</v>
      </c>
      <c r="J20" s="80">
        <f>'5. Actual'!V14</f>
        <v>0</v>
      </c>
      <c r="K20" s="81">
        <f>'5. Actual'!W14</f>
        <v>0</v>
      </c>
      <c r="L20" s="65">
        <f>'5. Actual'!X14</f>
        <v>-32500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4.1817661293459958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10000</v>
      </c>
      <c r="J21" s="80">
        <f>'5. Actual'!V15</f>
        <v>0</v>
      </c>
      <c r="K21" s="81">
        <f>'5. Actual'!W15</f>
        <v>0</v>
      </c>
      <c r="L21" s="65">
        <f>'5. Actual'!X15</f>
        <v>-32500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4.1817661293459958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10000</v>
      </c>
      <c r="J22" s="80">
        <f>'5. Actual'!V16</f>
        <v>0</v>
      </c>
      <c r="K22" s="81">
        <f>'5. Actual'!W16</f>
        <v>0</v>
      </c>
      <c r="L22" s="65">
        <f>'5. Actual'!X16</f>
        <v>-32500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4.1817661293459958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10000</v>
      </c>
      <c r="J23" s="80">
        <f>'5. Actual'!V17</f>
        <v>0</v>
      </c>
      <c r="K23" s="81">
        <f>'5. Actual'!W17</f>
        <v>0</v>
      </c>
      <c r="L23" s="65">
        <f>'5. Actual'!X17</f>
        <v>-32500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4.1817661293459958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12500</v>
      </c>
      <c r="H24" s="80">
        <f>'5. Actual'!S18+'5. Actual'!T18</f>
        <v>10000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-52500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4.4271156913382477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5.0897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22000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-72000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4.1204000640464002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12500</v>
      </c>
      <c r="H34" s="80">
        <f>'5. Actual'!S28+'5. Actual'!T28</f>
        <v>10000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-52500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4.4271156913382477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414500</v>
      </c>
      <c r="H35" s="82">
        <f t="shared" si="2"/>
        <v>350000</v>
      </c>
      <c r="I35" s="82">
        <f t="shared" si="2"/>
        <v>340000</v>
      </c>
      <c r="J35" s="82">
        <f t="shared" ref="J35" si="3">SUM(J11:J34)</f>
        <v>130000</v>
      </c>
      <c r="K35" s="82">
        <f t="shared" si="2"/>
        <v>0</v>
      </c>
      <c r="L35" s="68">
        <f t="shared" si="2"/>
        <v>-1234500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4.1073881065332793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0.6908333333333333</v>
      </c>
      <c r="H38" s="124">
        <f>H35/(20*24*1000)</f>
        <v>0.72916666666666663</v>
      </c>
      <c r="I38" s="124">
        <f>I35/(20*24*1000)</f>
        <v>0.70833333333333337</v>
      </c>
      <c r="J38" s="124">
        <f>J35/(10*24*1000)</f>
        <v>0.54166666666666663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customXml/itemProps3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2025-01-17T06:06:48Z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