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64" documentId="8_{5C37C7B2-90A3-4335-9B21-4196413D294F}" xr6:coauthVersionLast="47" xr6:coauthVersionMax="47" xr10:uidLastSave="{C959EE34-BCDC-4D57-BA16-007F9BCF23EF}"/>
  <bookViews>
    <workbookView xWindow="28680" yWindow="-45" windowWidth="29040" windowHeight="15720" tabRatio="674" firstSheet="1" activeTab="3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<sst xmlns="http://schemas.openxmlformats.org/spreadsheetml/2006/main" count="599" uniqueCount="194">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</sst>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0" fontId="37" fillId="40" borderId="1" xfId="0" applyFont="1" applyFill="1" applyBorder="1" applyAlignment="1">
      <alignment horizontal="center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0.91721420506089668</c:v>
                </c:pt>
                <c:pt idx="1">
                  <c:v>2.9109133965716341</c:v>
                </c:pt>
                <c:pt idx="2">
                  <c:v>2.7850657407482888</c:v>
                </c:pt>
                <c:pt idx="3">
                  <c:v>2.6777829826340738</c:v>
                </c:pt>
                <c:pt idx="4">
                  <c:v>2.6228945351237534</c:v>
                </c:pt>
                <c:pt idx="5">
                  <c:v>1.4059523188250542</c:v>
                </c:pt>
                <c:pt idx="6">
                  <c:v>1.4325408218756199</c:v>
                </c:pt>
                <c:pt idx="7">
                  <c:v>1.5289987321303034</c:v>
                </c:pt>
                <c:pt idx="8">
                  <c:v>1.8544808895857148</c:v>
                </c:pt>
                <c:pt idx="9">
                  <c:v>2.0302098427170225</c:v>
                </c:pt>
                <c:pt idx="10">
                  <c:v>2.1540880758955749</c:v>
                </c:pt>
                <c:pt idx="11">
                  <c:v>2.2075297380685153</c:v>
                </c:pt>
                <c:pt idx="12">
                  <c:v>2.2284858267847065</c:v>
                </c:pt>
                <c:pt idx="13">
                  <c:v>1.3070080677166205</c:v>
                </c:pt>
                <c:pt idx="14">
                  <c:v>1.3403704670194108</c:v>
                </c:pt>
                <c:pt idx="15">
                  <c:v>1.3236073979526053</c:v>
                </c:pt>
                <c:pt idx="16">
                  <c:v>1.2811691653751422</c:v>
                </c:pt>
                <c:pt idx="17">
                  <c:v>1.1986717744252451</c:v>
                </c:pt>
                <c:pt idx="18">
                  <c:v>1.2018098346226926</c:v>
                </c:pt>
                <c:pt idx="19">
                  <c:v>1.1432835738905336</c:v>
                </c:pt>
                <c:pt idx="20">
                  <c:v>1.1077812121088242</c:v>
                </c:pt>
                <c:pt idx="21">
                  <c:v>1.0901083277262549</c:v>
                </c:pt>
                <c:pt idx="22">
                  <c:v>1.0521854848112979</c:v>
                </c:pt>
                <c:pt idx="23">
                  <c:v>1.1557759806871442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68016.145429335476</c:v>
                </c:pt>
                <c:pt idx="1">
                  <c:v>64579.691987764498</c:v>
                </c:pt>
                <c:pt idx="2">
                  <c:v>61781.062598575358</c:v>
                </c:pt>
                <c:pt idx="3">
                  <c:v>59669.848654069589</c:v>
                </c:pt>
                <c:pt idx="4">
                  <c:v>59580.354257429623</c:v>
                </c:pt>
                <c:pt idx="5">
                  <c:v>62225.075123477232</c:v>
                </c:pt>
                <c:pt idx="6">
                  <c:v>63442.907364822524</c:v>
                </c:pt>
                <c:pt idx="7">
                  <c:v>66231.383894822124</c:v>
                </c:pt>
                <c:pt idx="8">
                  <c:v>81462.724170004061</c:v>
                </c:pt>
                <c:pt idx="9">
                  <c:v>86889.106152702559</c:v>
                </c:pt>
                <c:pt idx="10">
                  <c:v>94665.126268002685</c:v>
                </c:pt>
                <c:pt idx="11">
                  <c:v>95361.226127122092</c:v>
                </c:pt>
                <c:pt idx="12">
                  <c:v>94132.359811525253</c:v>
                </c:pt>
                <c:pt idx="13">
                  <c:v>95923.011772338912</c:v>
                </c:pt>
                <c:pt idx="14">
                  <c:v>100954.0191283489</c:v>
                </c:pt>
                <c:pt idx="15">
                  <c:v>99914.849824042278</c:v>
                </c:pt>
                <c:pt idx="16">
                  <c:v>94854.679432985329</c:v>
                </c:pt>
                <c:pt idx="17">
                  <c:v>88063.860405990461</c:v>
                </c:pt>
                <c:pt idx="18">
                  <c:v>88034.712975689326</c:v>
                </c:pt>
                <c:pt idx="19">
                  <c:v>82812.529422847467</c:v>
                </c:pt>
                <c:pt idx="20">
                  <c:v>80888.692195334806</c:v>
                </c:pt>
                <c:pt idx="21">
                  <c:v>80453.516382575021</c:v>
                </c:pt>
                <c:pt idx="22">
                  <c:v>76810.773352377888</c:v>
                </c:pt>
                <c:pt idx="23">
                  <c:v>72964.559016005427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68088.911005451169</c:v>
                </c:pt>
                <c:pt idx="1">
                  <c:v>65002.752037704333</c:v>
                </c:pt>
                <c:pt idx="2">
                  <c:v>62196.300216942458</c:v>
                </c:pt>
                <c:pt idx="3">
                  <c:v>59528.080671210904</c:v>
                </c:pt>
                <c:pt idx="4">
                  <c:v>58449.899823139298</c:v>
                </c:pt>
                <c:pt idx="5">
                  <c:v>58591.159407653693</c:v>
                </c:pt>
                <c:pt idx="6">
                  <c:v>59662.789873199465</c:v>
                </c:pt>
                <c:pt idx="7">
                  <c:v>65171.329118564427</c:v>
                </c:pt>
                <c:pt idx="8">
                  <c:v>77912.888770929567</c:v>
                </c:pt>
                <c:pt idx="9">
                  <c:v>85678.730478244368</c:v>
                </c:pt>
                <c:pt idx="10">
                  <c:v>90562.735607632436</c:v>
                </c:pt>
                <c:pt idx="11">
                  <c:v>92278.801608701702</c:v>
                </c:pt>
                <c:pt idx="12">
                  <c:v>93107.824165405473</c:v>
                </c:pt>
                <c:pt idx="13">
                  <c:v>97871.571175674035</c:v>
                </c:pt>
                <c:pt idx="14">
                  <c:v>100101.55092456272</c:v>
                </c:pt>
                <c:pt idx="15">
                  <c:v>99783.321557312956</c:v>
                </c:pt>
                <c:pt idx="16">
                  <c:v>96199.251116819316</c:v>
                </c:pt>
                <c:pt idx="17">
                  <c:v>89621.274350234045</c:v>
                </c:pt>
                <c:pt idx="18">
                  <c:v>90121.482611839281</c:v>
                </c:pt>
                <c:pt idx="19">
                  <c:v>86681.12142228127</c:v>
                </c:pt>
                <c:pt idx="20">
                  <c:v>83369.06415746086</c:v>
                </c:pt>
                <c:pt idx="21">
                  <c:v>81251.34633914601</c:v>
                </c:pt>
                <c:pt idx="22">
                  <c:v>79327.827362171316</c:v>
                </c:pt>
                <c:pt idx="23">
                  <c:v>75682.880141745787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68791.065379567255</c:v>
                </c:pt>
                <c:pt idx="1">
                  <c:v>65495.551422861769</c:v>
                </c:pt>
                <c:pt idx="2">
                  <c:v>62663.9791668365</c:v>
                </c:pt>
                <c:pt idx="3">
                  <c:v>60250.117109266663</c:v>
                </c:pt>
                <c:pt idx="4">
                  <c:v>59015.127040284453</c:v>
                </c:pt>
                <c:pt idx="5">
                  <c:v>59752.973550064802</c:v>
                </c:pt>
                <c:pt idx="6">
                  <c:v>60882.98492971385</c:v>
                </c:pt>
                <c:pt idx="7">
                  <c:v>64982.446115537889</c:v>
                </c:pt>
                <c:pt idx="8">
                  <c:v>78815.437807392882</c:v>
                </c:pt>
                <c:pt idx="9">
                  <c:v>86283.918315473464</c:v>
                </c:pt>
                <c:pt idx="10">
                  <c:v>91548.743225561935</c:v>
                </c:pt>
                <c:pt idx="11">
                  <c:v>93820.013867911897</c:v>
                </c:pt>
                <c:pt idx="12">
                  <c:v>94710.647638350027</c:v>
                </c:pt>
                <c:pt idx="13">
                  <c:v>98025.605078746536</c:v>
                </c:pt>
                <c:pt idx="14">
                  <c:v>100527.78502645581</c:v>
                </c:pt>
                <c:pt idx="15">
                  <c:v>99270.554846445404</c:v>
                </c:pt>
                <c:pt idx="16">
                  <c:v>96087.687403135671</c:v>
                </c:pt>
                <c:pt idx="17">
                  <c:v>89900.383081893378</c:v>
                </c:pt>
                <c:pt idx="18">
                  <c:v>90135.737596701947</c:v>
                </c:pt>
                <c:pt idx="19">
                  <c:v>85746.268041790026</c:v>
                </c:pt>
                <c:pt idx="20">
                  <c:v>83083.590908161816</c:v>
                </c:pt>
                <c:pt idx="21">
                  <c:v>81758.12457946912</c:v>
                </c:pt>
                <c:pt idx="22">
                  <c:v>78913.911360847342</c:v>
                </c:pt>
                <c:pt idx="23">
                  <c:v>75125.438744664367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3.0308530449999997</c:v>
                </c:pt>
                <c:pt idx="1">
                  <c:v>2.7884749483333331</c:v>
                </c:pt>
                <c:pt idx="2">
                  <c:v>2.3732842783333332</c:v>
                </c:pt>
                <c:pt idx="3">
                  <c:v>2.4677158349999999</c:v>
                </c:pt>
                <c:pt idx="4">
                  <c:v>2.8093155999999997</c:v>
                </c:pt>
                <c:pt idx="5">
                  <c:v>2.9351346666666664</c:v>
                </c:pt>
                <c:pt idx="6">
                  <c:v>3.5966188899999998</c:v>
                </c:pt>
                <c:pt idx="7">
                  <c:v>2.4681066083333332</c:v>
                </c:pt>
                <c:pt idx="8">
                  <c:v>2.7753320833333337</c:v>
                </c:pt>
                <c:pt idx="9">
                  <c:v>2.7932825616666661</c:v>
                </c:pt>
                <c:pt idx="10">
                  <c:v>3.1582357766666673</c:v>
                </c:pt>
                <c:pt idx="11">
                  <c:v>2.9597700083333338</c:v>
                </c:pt>
                <c:pt idx="12">
                  <c:v>3.254511373333334</c:v>
                </c:pt>
                <c:pt idx="13">
                  <c:v>3.379267281666666</c:v>
                </c:pt>
                <c:pt idx="14">
                  <c:v>4.3234331066666662</c:v>
                </c:pt>
                <c:pt idx="15">
                  <c:v>3.8714224033333329</c:v>
                </c:pt>
                <c:pt idx="16">
                  <c:v>3.9877476566666665</c:v>
                </c:pt>
                <c:pt idx="17">
                  <c:v>5.7525521850000008</c:v>
                </c:pt>
                <c:pt idx="18">
                  <c:v>5.7310927316666662</c:v>
                </c:pt>
                <c:pt idx="19">
                  <c:v>4.8298814016666665</c:v>
                </c:pt>
                <c:pt idx="20">
                  <c:v>3.9940185850000001</c:v>
                </c:pt>
                <c:pt idx="21">
                  <c:v>4.352574203333333</c:v>
                </c:pt>
                <c:pt idx="22">
                  <c:v>3.6684116716666666</c:v>
                </c:pt>
                <c:pt idx="23">
                  <c:v>3.9429726450000002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3.7843357316666668</c:v>
                </c:pt>
                <c:pt idx="1">
                  <c:v>3.5701725500000001</c:v>
                </c:pt>
                <c:pt idx="2">
                  <c:v>2.767274056666666</c:v>
                </c:pt>
                <c:pt idx="3">
                  <c:v>2.8224030383333334</c:v>
                </c:pt>
                <c:pt idx="4">
                  <c:v>3.227774721666667</c:v>
                </c:pt>
                <c:pt idx="5">
                  <c:v>3.4149325416666665</c:v>
                </c:pt>
                <c:pt idx="6">
                  <c:v>3.4744300066666667</c:v>
                </c:pt>
                <c:pt idx="7">
                  <c:v>2.6686039433333333</c:v>
                </c:pt>
                <c:pt idx="8">
                  <c:v>3.5165618366666664</c:v>
                </c:pt>
                <c:pt idx="9">
                  <c:v>2.9814681599999999</c:v>
                </c:pt>
                <c:pt idx="10">
                  <c:v>2.8178889566666667</c:v>
                </c:pt>
                <c:pt idx="11">
                  <c:v>2.8414285850000001</c:v>
                </c:pt>
                <c:pt idx="12">
                  <c:v>2.9950821750000003</c:v>
                </c:pt>
                <c:pt idx="13">
                  <c:v>3.461685871666667</c:v>
                </c:pt>
                <c:pt idx="14">
                  <c:v>3.9111590666666673</c:v>
                </c:pt>
                <c:pt idx="15">
                  <c:v>3.9959631966666671</c:v>
                </c:pt>
                <c:pt idx="16">
                  <c:v>3.8327921733333334</c:v>
                </c:pt>
                <c:pt idx="17">
                  <c:v>4.1688476766666662</c:v>
                </c:pt>
                <c:pt idx="18">
                  <c:v>5.6561967933333337</c:v>
                </c:pt>
                <c:pt idx="19">
                  <c:v>3.8650127466666668</c:v>
                </c:pt>
                <c:pt idx="20">
                  <c:v>3.9685398266666665</c:v>
                </c:pt>
                <c:pt idx="21">
                  <c:v>7.4844983216666678</c:v>
                </c:pt>
                <c:pt idx="22">
                  <c:v>5.1319654133333339</c:v>
                </c:pt>
                <c:pt idx="23">
                  <c:v>3.8397008216666664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3.432319308611111</c:v>
                </c:pt>
                <c:pt idx="1">
                  <c:v>3.1433788605555555</c:v>
                </c:pt>
                <c:pt idx="2">
                  <c:v>2.7841620736111108</c:v>
                </c:pt>
                <c:pt idx="3">
                  <c:v>2.6715373602777777</c:v>
                </c:pt>
                <c:pt idx="4">
                  <c:v>3.1040687224999997</c:v>
                </c:pt>
                <c:pt idx="5">
                  <c:v>3.4127072652777777</c:v>
                </c:pt>
                <c:pt idx="6">
                  <c:v>3.3229126908333328</c:v>
                </c:pt>
                <c:pt idx="7">
                  <c:v>3.0966381145833339</c:v>
                </c:pt>
                <c:pt idx="8">
                  <c:v>3.2634190037500002</c:v>
                </c:pt>
                <c:pt idx="9">
                  <c:v>3.319708233333333</c:v>
                </c:pt>
                <c:pt idx="10">
                  <c:v>3.4475412289583334</c:v>
                </c:pt>
                <c:pt idx="11">
                  <c:v>3.1062268195833336</c:v>
                </c:pt>
                <c:pt idx="12">
                  <c:v>3.1527922942613635</c:v>
                </c:pt>
                <c:pt idx="13">
                  <c:v>3.7214425680555561</c:v>
                </c:pt>
                <c:pt idx="14">
                  <c:v>3.7203301572222229</c:v>
                </c:pt>
                <c:pt idx="15">
                  <c:v>3.9827945230555564</c:v>
                </c:pt>
                <c:pt idx="16">
                  <c:v>3.8700235222222221</c:v>
                </c:pt>
                <c:pt idx="17">
                  <c:v>6.4382223941666661</c:v>
                </c:pt>
                <c:pt idx="18">
                  <c:v>5.4333298911111108</c:v>
                </c:pt>
                <c:pt idx="19">
                  <c:v>4.2111304944444461</c:v>
                </c:pt>
                <c:pt idx="20">
                  <c:v>4.1285086880555548</c:v>
                </c:pt>
                <c:pt idx="21">
                  <c:v>4.326647062777778</c:v>
                </c:pt>
                <c:pt idx="22">
                  <c:v>4.3159079233333335</c:v>
                </c:pt>
                <c:pt idx="23">
                  <c:v>3.660626089444444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5798.1720000000005</c:v>
                </c:pt>
                <c:pt idx="1">
                  <c:v>5614.0080000000007</c:v>
                </c:pt>
                <c:pt idx="2">
                  <c:v>5481.5949999999993</c:v>
                </c:pt>
                <c:pt idx="3">
                  <c:v>5463.7430000000004</c:v>
                </c:pt>
                <c:pt idx="4">
                  <c:v>5467.7550000000001</c:v>
                </c:pt>
                <c:pt idx="5">
                  <c:v>5585.5410000000002</c:v>
                </c:pt>
                <c:pt idx="6">
                  <c:v>5965.4230000000007</c:v>
                </c:pt>
                <c:pt idx="7">
                  <c:v>6821.5779999999995</c:v>
                </c:pt>
                <c:pt idx="8">
                  <c:v>8318.7610000000004</c:v>
                </c:pt>
                <c:pt idx="9">
                  <c:v>15221.222000000002</c:v>
                </c:pt>
                <c:pt idx="10">
                  <c:v>15132.909</c:v>
                </c:pt>
                <c:pt idx="11">
                  <c:v>15601.411</c:v>
                </c:pt>
                <c:pt idx="12">
                  <c:v>15911.889000000001</c:v>
                </c:pt>
                <c:pt idx="13">
                  <c:v>16641.813999999998</c:v>
                </c:pt>
                <c:pt idx="14">
                  <c:v>16285.310999999998</c:v>
                </c:pt>
                <c:pt idx="15">
                  <c:v>16458.113000000001</c:v>
                </c:pt>
                <c:pt idx="16">
                  <c:v>17199.812000000002</c:v>
                </c:pt>
                <c:pt idx="17">
                  <c:v>16871.974000000002</c:v>
                </c:pt>
                <c:pt idx="18">
                  <c:v>16782.423000000003</c:v>
                </c:pt>
                <c:pt idx="19">
                  <c:v>15454.733000000002</c:v>
                </c:pt>
                <c:pt idx="20">
                  <c:v>13369.279</c:v>
                </c:pt>
                <c:pt idx="21">
                  <c:v>9026.7510000000002</c:v>
                </c:pt>
                <c:pt idx="22">
                  <c:v>6217.7459999999992</c:v>
                </c:pt>
                <c:pt idx="23">
                  <c:v>5829.991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5804.2039999999997</c:v>
                </c:pt>
                <c:pt idx="1">
                  <c:v>5669.43</c:v>
                </c:pt>
                <c:pt idx="2">
                  <c:v>5600.594000000001</c:v>
                </c:pt>
                <c:pt idx="3">
                  <c:v>5568.8170000000009</c:v>
                </c:pt>
                <c:pt idx="4">
                  <c:v>5526.2470000000003</c:v>
                </c:pt>
                <c:pt idx="5">
                  <c:v>5937.2549999999992</c:v>
                </c:pt>
                <c:pt idx="6">
                  <c:v>6241.3450000000003</c:v>
                </c:pt>
                <c:pt idx="7">
                  <c:v>6995.6080000000002</c:v>
                </c:pt>
                <c:pt idx="8">
                  <c:v>8524.0960000000014</c:v>
                </c:pt>
                <c:pt idx="9">
                  <c:v>14776.649000000001</c:v>
                </c:pt>
                <c:pt idx="10">
                  <c:v>14807.147000000001</c:v>
                </c:pt>
                <c:pt idx="11">
                  <c:v>14861.003000000001</c:v>
                </c:pt>
                <c:pt idx="12">
                  <c:v>14959.057000000001</c:v>
                </c:pt>
                <c:pt idx="13">
                  <c:v>15226.323999999999</c:v>
                </c:pt>
                <c:pt idx="14">
                  <c:v>15717.980000000001</c:v>
                </c:pt>
                <c:pt idx="15">
                  <c:v>16413.115000000002</c:v>
                </c:pt>
                <c:pt idx="16">
                  <c:v>17156.553</c:v>
                </c:pt>
                <c:pt idx="17">
                  <c:v>17006.031999999999</c:v>
                </c:pt>
                <c:pt idx="18">
                  <c:v>16589.342000000001</c:v>
                </c:pt>
                <c:pt idx="19">
                  <c:v>14940.140000000001</c:v>
                </c:pt>
                <c:pt idx="20">
                  <c:v>13315.511</c:v>
                </c:pt>
                <c:pt idx="21">
                  <c:v>10407.030000000001</c:v>
                </c:pt>
                <c:pt idx="22">
                  <c:v>6565.8539999999994</c:v>
                </c:pt>
                <c:pt idx="23">
                  <c:v>5866.4030000000002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5801.1880000000001</c:v>
                </c:pt>
                <c:pt idx="1">
                  <c:v>5641.719000000001</c:v>
                </c:pt>
                <c:pt idx="2">
                  <c:v>5541.0945000000002</c:v>
                </c:pt>
                <c:pt idx="3">
                  <c:v>5516.2800000000007</c:v>
                </c:pt>
                <c:pt idx="4">
                  <c:v>5497.0010000000002</c:v>
                </c:pt>
                <c:pt idx="5">
                  <c:v>5761.3979999999992</c:v>
                </c:pt>
                <c:pt idx="6">
                  <c:v>6103.384</c:v>
                </c:pt>
                <c:pt idx="7">
                  <c:v>6908.5929999999998</c:v>
                </c:pt>
                <c:pt idx="8">
                  <c:v>8421.4285000000018</c:v>
                </c:pt>
                <c:pt idx="9">
                  <c:v>14998.935500000001</c:v>
                </c:pt>
                <c:pt idx="10">
                  <c:v>14970.028</c:v>
                </c:pt>
                <c:pt idx="11">
                  <c:v>15231.207</c:v>
                </c:pt>
                <c:pt idx="12">
                  <c:v>15435.473000000002</c:v>
                </c:pt>
                <c:pt idx="13">
                  <c:v>15934.069</c:v>
                </c:pt>
                <c:pt idx="14">
                  <c:v>16001.645499999999</c:v>
                </c:pt>
                <c:pt idx="15">
                  <c:v>16435.614000000001</c:v>
                </c:pt>
                <c:pt idx="16">
                  <c:v>17178.182500000003</c:v>
                </c:pt>
                <c:pt idx="17">
                  <c:v>16939.003000000001</c:v>
                </c:pt>
                <c:pt idx="18">
                  <c:v>16685.8825</c:v>
                </c:pt>
                <c:pt idx="19">
                  <c:v>15197.436500000002</c:v>
                </c:pt>
                <c:pt idx="20">
                  <c:v>13342.395</c:v>
                </c:pt>
                <c:pt idx="21">
                  <c:v>9716.8905000000013</c:v>
                </c:pt>
                <c:pt idx="22">
                  <c:v>6391.7999999999993</c:v>
                </c:pt>
                <c:pt idx="23">
                  <c:v>5848.1970000000001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25000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20000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-6208.9346204327449</c:v>
                </c:pt>
                <c:pt idx="1">
                  <c:v>42995.551422861769</c:v>
                </c:pt>
                <c:pt idx="2">
                  <c:v>40163.9791668365</c:v>
                </c:pt>
                <c:pt idx="3">
                  <c:v>37750.117109266663</c:v>
                </c:pt>
                <c:pt idx="4">
                  <c:v>36515.127040284453</c:v>
                </c:pt>
                <c:pt idx="5">
                  <c:v>17252.973550064802</c:v>
                </c:pt>
                <c:pt idx="6">
                  <c:v>18382.98492971385</c:v>
                </c:pt>
                <c:pt idx="7">
                  <c:v>22482.446115537889</c:v>
                </c:pt>
                <c:pt idx="8">
                  <c:v>36315.437807392882</c:v>
                </c:pt>
                <c:pt idx="9">
                  <c:v>43783.918315473464</c:v>
                </c:pt>
                <c:pt idx="10">
                  <c:v>49048.743225561935</c:v>
                </c:pt>
                <c:pt idx="11">
                  <c:v>51320.013867911897</c:v>
                </c:pt>
                <c:pt idx="12">
                  <c:v>52210.647638350027</c:v>
                </c:pt>
                <c:pt idx="13">
                  <c:v>23025.605078746536</c:v>
                </c:pt>
                <c:pt idx="14">
                  <c:v>25527.785026455807</c:v>
                </c:pt>
                <c:pt idx="15">
                  <c:v>24270.554846445404</c:v>
                </c:pt>
                <c:pt idx="16">
                  <c:v>21087.687403135671</c:v>
                </c:pt>
                <c:pt idx="17">
                  <c:v>14900.383081893378</c:v>
                </c:pt>
                <c:pt idx="18">
                  <c:v>15135.737596701947</c:v>
                </c:pt>
                <c:pt idx="19">
                  <c:v>10746.268041790026</c:v>
                </c:pt>
                <c:pt idx="20">
                  <c:v>8083.5909081618156</c:v>
                </c:pt>
                <c:pt idx="21">
                  <c:v>6758.1245794691204</c:v>
                </c:pt>
                <c:pt idx="22">
                  <c:v>3913.9113608473417</c:v>
                </c:pt>
                <c:pt idx="23">
                  <c:v>10125.438744664367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68791.065379567255</c:v>
                </c:pt>
                <c:pt idx="1">
                  <c:v>65495.551422861769</c:v>
                </c:pt>
                <c:pt idx="2">
                  <c:v>62663.9791668365</c:v>
                </c:pt>
                <c:pt idx="3">
                  <c:v>60250.117109266663</c:v>
                </c:pt>
                <c:pt idx="4">
                  <c:v>59015.127040284453</c:v>
                </c:pt>
                <c:pt idx="5">
                  <c:v>59752.973550064802</c:v>
                </c:pt>
                <c:pt idx="6">
                  <c:v>60882.98492971385</c:v>
                </c:pt>
                <c:pt idx="7">
                  <c:v>64982.446115537889</c:v>
                </c:pt>
                <c:pt idx="8">
                  <c:v>78815.437807392882</c:v>
                </c:pt>
                <c:pt idx="9">
                  <c:v>86283.918315473464</c:v>
                </c:pt>
                <c:pt idx="10">
                  <c:v>91548.743225561935</c:v>
                </c:pt>
                <c:pt idx="11">
                  <c:v>93820.013867911897</c:v>
                </c:pt>
                <c:pt idx="12">
                  <c:v>94710.647638350027</c:v>
                </c:pt>
                <c:pt idx="13">
                  <c:v>98025.605078746536</c:v>
                </c:pt>
                <c:pt idx="14">
                  <c:v>100527.78502645581</c:v>
                </c:pt>
                <c:pt idx="15">
                  <c:v>99270.554846445404</c:v>
                </c:pt>
                <c:pt idx="16">
                  <c:v>96087.687403135671</c:v>
                </c:pt>
                <c:pt idx="17">
                  <c:v>89900.383081893378</c:v>
                </c:pt>
                <c:pt idx="18">
                  <c:v>90135.737596701947</c:v>
                </c:pt>
                <c:pt idx="19">
                  <c:v>85746.268041790026</c:v>
                </c:pt>
                <c:pt idx="20">
                  <c:v>83083.590908161816</c:v>
                </c:pt>
                <c:pt idx="21">
                  <c:v>81758.12457946912</c:v>
                </c:pt>
                <c:pt idx="22">
                  <c:v>78913.911360847342</c:v>
                </c:pt>
                <c:pt idx="23">
                  <c:v>75125.438744664367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-6208.9346204327449</c:v>
                </c:pt>
                <c:pt idx="1">
                  <c:v>42995.551422861769</c:v>
                </c:pt>
                <c:pt idx="2">
                  <c:v>40163.9791668365</c:v>
                </c:pt>
                <c:pt idx="3">
                  <c:v>37750.117109266663</c:v>
                </c:pt>
                <c:pt idx="4">
                  <c:v>36515.127040284453</c:v>
                </c:pt>
                <c:pt idx="5">
                  <c:v>17252.973550064802</c:v>
                </c:pt>
                <c:pt idx="6">
                  <c:v>18382.98492971385</c:v>
                </c:pt>
                <c:pt idx="7">
                  <c:v>22482.446115537889</c:v>
                </c:pt>
                <c:pt idx="8">
                  <c:v>36315.437807392882</c:v>
                </c:pt>
                <c:pt idx="9">
                  <c:v>43783.918315473464</c:v>
                </c:pt>
                <c:pt idx="10">
                  <c:v>49048.743225561935</c:v>
                </c:pt>
                <c:pt idx="11">
                  <c:v>51320.013867911897</c:v>
                </c:pt>
                <c:pt idx="12">
                  <c:v>52210.647638350027</c:v>
                </c:pt>
                <c:pt idx="13">
                  <c:v>23025.605078746536</c:v>
                </c:pt>
                <c:pt idx="14">
                  <c:v>25527.785026455807</c:v>
                </c:pt>
                <c:pt idx="15">
                  <c:v>24270.554846445404</c:v>
                </c:pt>
                <c:pt idx="16">
                  <c:v>21087.687403135671</c:v>
                </c:pt>
                <c:pt idx="17">
                  <c:v>14900.383081893378</c:v>
                </c:pt>
                <c:pt idx="18">
                  <c:v>15135.737596701947</c:v>
                </c:pt>
                <c:pt idx="19">
                  <c:v>10746.268041790026</c:v>
                </c:pt>
                <c:pt idx="20">
                  <c:v>8083.5909081618156</c:v>
                </c:pt>
                <c:pt idx="21">
                  <c:v>6758.1245794691204</c:v>
                </c:pt>
                <c:pt idx="22">
                  <c:v>3913.9113608473417</c:v>
                </c:pt>
                <c:pt idx="23">
                  <c:v>10125.438744664367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3.432319308611111</c:v>
                </c:pt>
                <c:pt idx="1">
                  <c:v>3.1433788605555555</c:v>
                </c:pt>
                <c:pt idx="2">
                  <c:v>2.7841620736111108</c:v>
                </c:pt>
                <c:pt idx="3">
                  <c:v>2.6715373602777777</c:v>
                </c:pt>
                <c:pt idx="4">
                  <c:v>3.1040687224999997</c:v>
                </c:pt>
                <c:pt idx="5">
                  <c:v>3.4127072652777777</c:v>
                </c:pt>
                <c:pt idx="6">
                  <c:v>3.3229126908333328</c:v>
                </c:pt>
                <c:pt idx="7">
                  <c:v>3.0966381145833339</c:v>
                </c:pt>
                <c:pt idx="8">
                  <c:v>3.2634190037500002</c:v>
                </c:pt>
                <c:pt idx="9">
                  <c:v>3.319708233333333</c:v>
                </c:pt>
                <c:pt idx="10">
                  <c:v>3.4475412289583334</c:v>
                </c:pt>
                <c:pt idx="11">
                  <c:v>3.1062268195833336</c:v>
                </c:pt>
                <c:pt idx="12">
                  <c:v>3.1527922942613635</c:v>
                </c:pt>
                <c:pt idx="13">
                  <c:v>3.7214425680555561</c:v>
                </c:pt>
                <c:pt idx="14">
                  <c:v>3.7203301572222229</c:v>
                </c:pt>
                <c:pt idx="15">
                  <c:v>3.9827945230555564</c:v>
                </c:pt>
                <c:pt idx="16">
                  <c:v>3.8700235222222221</c:v>
                </c:pt>
                <c:pt idx="17">
                  <c:v>6.4382223941666661</c:v>
                </c:pt>
                <c:pt idx="18">
                  <c:v>5.4333298911111108</c:v>
                </c:pt>
                <c:pt idx="19">
                  <c:v>4.2111304944444461</c:v>
                </c:pt>
                <c:pt idx="20">
                  <c:v>4.1285086880555548</c:v>
                </c:pt>
                <c:pt idx="21">
                  <c:v>4.326647062777778</c:v>
                </c:pt>
                <c:pt idx="22">
                  <c:v>4.3159079233333335</c:v>
                </c:pt>
                <c:pt idx="23">
                  <c:v>3.660626089444444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68791.065379567255</c:v>
                </c:pt>
                <c:pt idx="1">
                  <c:v>65495.551422861769</c:v>
                </c:pt>
                <c:pt idx="2">
                  <c:v>62663.9791668365</c:v>
                </c:pt>
                <c:pt idx="3">
                  <c:v>60250.117109266663</c:v>
                </c:pt>
                <c:pt idx="4">
                  <c:v>59015.127040284453</c:v>
                </c:pt>
                <c:pt idx="5">
                  <c:v>59752.973550064802</c:v>
                </c:pt>
                <c:pt idx="6">
                  <c:v>60882.98492971385</c:v>
                </c:pt>
                <c:pt idx="7">
                  <c:v>64982.446115537889</c:v>
                </c:pt>
                <c:pt idx="8">
                  <c:v>78815.437807392882</c:v>
                </c:pt>
                <c:pt idx="9">
                  <c:v>86283.918315473464</c:v>
                </c:pt>
                <c:pt idx="10">
                  <c:v>91548.743225561935</c:v>
                </c:pt>
                <c:pt idx="11">
                  <c:v>93820.013867911897</c:v>
                </c:pt>
                <c:pt idx="12">
                  <c:v>94710.647638350027</c:v>
                </c:pt>
                <c:pt idx="13">
                  <c:v>98025.605078746536</c:v>
                </c:pt>
                <c:pt idx="14">
                  <c:v>100527.78502645581</c:v>
                </c:pt>
                <c:pt idx="15">
                  <c:v>99270.554846445404</c:v>
                </c:pt>
                <c:pt idx="16">
                  <c:v>96087.687403135671</c:v>
                </c:pt>
                <c:pt idx="17">
                  <c:v>89900.383081893378</c:v>
                </c:pt>
                <c:pt idx="18">
                  <c:v>90135.737596701947</c:v>
                </c:pt>
                <c:pt idx="19">
                  <c:v>85746.268041790026</c:v>
                </c:pt>
                <c:pt idx="20">
                  <c:v>83083.590908161816</c:v>
                </c:pt>
                <c:pt idx="21">
                  <c:v>81758.12457946912</c:v>
                </c:pt>
                <c:pt idx="22">
                  <c:v>78913.911360847342</c:v>
                </c:pt>
                <c:pt idx="23">
                  <c:v>75125.438744664367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-75000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-42500</c:v>
                </c:pt>
                <c:pt idx="6">
                  <c:v>-42500</c:v>
                </c:pt>
                <c:pt idx="7">
                  <c:v>-42500</c:v>
                </c:pt>
                <c:pt idx="8">
                  <c:v>-42500</c:v>
                </c:pt>
                <c:pt idx="9">
                  <c:v>-42500</c:v>
                </c:pt>
                <c:pt idx="10">
                  <c:v>-42500</c:v>
                </c:pt>
                <c:pt idx="11">
                  <c:v>-42500</c:v>
                </c:pt>
                <c:pt idx="12">
                  <c:v>-42500</c:v>
                </c:pt>
                <c:pt idx="13">
                  <c:v>-75000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-75000</c:v>
                </c:pt>
                <c:pt idx="23">
                  <c:v>-65000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-6208.9346204327449</c:v>
                </c:pt>
                <c:pt idx="1">
                  <c:v>42995.551422861769</c:v>
                </c:pt>
                <c:pt idx="2">
                  <c:v>40163.9791668365</c:v>
                </c:pt>
                <c:pt idx="3">
                  <c:v>37750.117109266663</c:v>
                </c:pt>
                <c:pt idx="4">
                  <c:v>36515.127040284453</c:v>
                </c:pt>
                <c:pt idx="5">
                  <c:v>17252.973550064802</c:v>
                </c:pt>
                <c:pt idx="6">
                  <c:v>18382.98492971385</c:v>
                </c:pt>
                <c:pt idx="7">
                  <c:v>22482.446115537889</c:v>
                </c:pt>
                <c:pt idx="8">
                  <c:v>36315.437807392882</c:v>
                </c:pt>
                <c:pt idx="9">
                  <c:v>43783.918315473464</c:v>
                </c:pt>
                <c:pt idx="10">
                  <c:v>49048.743225561935</c:v>
                </c:pt>
                <c:pt idx="11">
                  <c:v>51320.013867911897</c:v>
                </c:pt>
                <c:pt idx="12">
                  <c:v>52210.647638350027</c:v>
                </c:pt>
                <c:pt idx="13">
                  <c:v>23025.605078746536</c:v>
                </c:pt>
                <c:pt idx="14">
                  <c:v>25527.785026455807</c:v>
                </c:pt>
                <c:pt idx="15">
                  <c:v>24270.554846445404</c:v>
                </c:pt>
                <c:pt idx="16">
                  <c:v>21087.687403135671</c:v>
                </c:pt>
                <c:pt idx="17">
                  <c:v>14900.383081893378</c:v>
                </c:pt>
                <c:pt idx="18">
                  <c:v>15135.737596701947</c:v>
                </c:pt>
                <c:pt idx="19">
                  <c:v>10746.268041790026</c:v>
                </c:pt>
                <c:pt idx="20">
                  <c:v>8083.5909081618156</c:v>
                </c:pt>
                <c:pt idx="21">
                  <c:v>6758.1245794691204</c:v>
                </c:pt>
                <c:pt idx="22">
                  <c:v>3913.9113608473417</c:v>
                </c:pt>
                <c:pt idx="23">
                  <c:v>10125.438744664367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3.432319308611111</c:v>
                </c:pt>
                <c:pt idx="1">
                  <c:v>3.1433788605555555</c:v>
                </c:pt>
                <c:pt idx="2">
                  <c:v>2.7841620736111108</c:v>
                </c:pt>
                <c:pt idx="3">
                  <c:v>2.6715373602777777</c:v>
                </c:pt>
                <c:pt idx="4">
                  <c:v>3.1040687224999997</c:v>
                </c:pt>
                <c:pt idx="5">
                  <c:v>3.4127072652777777</c:v>
                </c:pt>
                <c:pt idx="6">
                  <c:v>3.3229126908333328</c:v>
                </c:pt>
                <c:pt idx="7">
                  <c:v>3.0966381145833339</c:v>
                </c:pt>
                <c:pt idx="8">
                  <c:v>3.2634190037500002</c:v>
                </c:pt>
                <c:pt idx="9">
                  <c:v>3.319708233333333</c:v>
                </c:pt>
                <c:pt idx="10">
                  <c:v>3.4475412289583334</c:v>
                </c:pt>
                <c:pt idx="11">
                  <c:v>3.1062268195833336</c:v>
                </c:pt>
                <c:pt idx="12">
                  <c:v>3.1527922942613635</c:v>
                </c:pt>
                <c:pt idx="13">
                  <c:v>3.7214425680555561</c:v>
                </c:pt>
                <c:pt idx="14">
                  <c:v>3.7203301572222229</c:v>
                </c:pt>
                <c:pt idx="15">
                  <c:v>3.9827945230555564</c:v>
                </c:pt>
                <c:pt idx="16">
                  <c:v>3.8700235222222221</c:v>
                </c:pt>
                <c:pt idx="17">
                  <c:v>6.4382223941666661</c:v>
                </c:pt>
                <c:pt idx="18">
                  <c:v>5.4333298911111108</c:v>
                </c:pt>
                <c:pt idx="19">
                  <c:v>4.2111304944444461</c:v>
                </c:pt>
                <c:pt idx="20">
                  <c:v>4.1285086880555548</c:v>
                </c:pt>
                <c:pt idx="21">
                  <c:v>4.326647062777778</c:v>
                </c:pt>
                <c:pt idx="22">
                  <c:v>4.3159079233333335</c:v>
                </c:pt>
                <c:pt idx="23">
                  <c:v>3.660626089444444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4.0868929733200376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4.6522682165587028</c:v>
                </c:pt>
                <c:pt idx="6">
                  <c:v>4.6522682165587028</c:v>
                </c:pt>
                <c:pt idx="7">
                  <c:v>4.6522682165587028</c:v>
                </c:pt>
                <c:pt idx="8">
                  <c:v>4.6522682165587028</c:v>
                </c:pt>
                <c:pt idx="9">
                  <c:v>4.6522682165587028</c:v>
                </c:pt>
                <c:pt idx="10">
                  <c:v>4.6522682165587028</c:v>
                </c:pt>
                <c:pt idx="11">
                  <c:v>4.6522682165587028</c:v>
                </c:pt>
                <c:pt idx="12">
                  <c:v>4.6522682165587028</c:v>
                </c:pt>
                <c:pt idx="13">
                  <c:v>4.0868929733200376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4.0868929733200376</c:v>
                </c:pt>
                <c:pt idx="23">
                  <c:v>4.2070401345207671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5.1475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61" t="s">
        <v>1</v>
      </c>
      <c r="H1" s="161"/>
      <c r="I1" s="161"/>
      <c r="J1" s="161"/>
      <c r="K1" s="161"/>
    </row>
    <row r="2" spans="2:39" ht="10.35" customHeight="1" x14ac:dyDescent="0.3"/>
    <row r="3" spans="2:39" ht="22.5" customHeight="1" x14ac:dyDescent="0.3">
      <c r="B3" s="47" t="s">
        <v>2</v>
      </c>
      <c r="G3" s="162" t="s">
        <v>3</v>
      </c>
      <c r="H3" s="162"/>
      <c r="I3" s="162"/>
      <c r="J3" s="45" t="e">
        <f>AM46</f>
        <v>#REF!</v>
      </c>
      <c r="L3" s="162" t="s">
        <v>4</v>
      </c>
      <c r="M3" s="162"/>
      <c r="N3" s="162"/>
      <c r="O3" s="45" t="e">
        <f>AM47</f>
        <v>#REF!</v>
      </c>
      <c r="Q3" s="162" t="s">
        <v>5</v>
      </c>
      <c r="R3" s="162"/>
      <c r="S3" s="162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62" t="s">
        <v>3</v>
      </c>
      <c r="H5" s="162"/>
      <c r="I5" s="162"/>
      <c r="J5" s="45" t="e">
        <f>AM51</f>
        <v>#REF!</v>
      </c>
      <c r="L5" s="162" t="s">
        <v>4</v>
      </c>
      <c r="M5" s="162"/>
      <c r="N5" s="162"/>
      <c r="O5" s="45" t="e">
        <f>AM47</f>
        <v>#REF!</v>
      </c>
      <c r="Q5" s="162" t="s">
        <v>5</v>
      </c>
      <c r="R5" s="162"/>
      <c r="S5" s="162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43" t="s">
        <v>9</v>
      </c>
      <c r="C8" s="145" t="s">
        <v>10</v>
      </c>
      <c r="D8" s="146"/>
      <c r="E8" s="147"/>
      <c r="F8" s="143" t="s">
        <v>11</v>
      </c>
      <c r="G8" s="153" t="s">
        <v>12</v>
      </c>
      <c r="H8" s="153"/>
      <c r="I8" s="153" t="s">
        <v>13</v>
      </c>
      <c r="J8" s="153"/>
      <c r="K8" s="153" t="s">
        <v>14</v>
      </c>
      <c r="L8" s="153"/>
      <c r="M8" s="148" t="s">
        <v>15</v>
      </c>
      <c r="N8" s="148" t="s">
        <v>16</v>
      </c>
      <c r="O8" s="148" t="s">
        <v>17</v>
      </c>
      <c r="P8" s="145" t="s">
        <v>18</v>
      </c>
      <c r="Q8" s="146"/>
      <c r="R8" s="147"/>
      <c r="S8" s="150" t="s">
        <v>19</v>
      </c>
      <c r="T8" s="151"/>
      <c r="U8" s="152"/>
      <c r="V8" s="150" t="s">
        <v>20</v>
      </c>
      <c r="W8" s="151"/>
      <c r="X8" s="152"/>
      <c r="Y8" s="154" t="s">
        <v>21</v>
      </c>
      <c r="Z8" s="155"/>
      <c r="AA8" s="156"/>
      <c r="AB8" s="157" t="s">
        <v>22</v>
      </c>
      <c r="AC8" s="1"/>
      <c r="AE8" s="143" t="s">
        <v>12</v>
      </c>
      <c r="AF8" s="143" t="s">
        <v>23</v>
      </c>
      <c r="AG8" s="143" t="s">
        <v>14</v>
      </c>
      <c r="AH8" s="143" t="s">
        <v>15</v>
      </c>
      <c r="AI8" s="143" t="s">
        <v>16</v>
      </c>
      <c r="AJ8" s="143" t="s">
        <v>17</v>
      </c>
      <c r="AK8" s="157" t="s">
        <v>24</v>
      </c>
      <c r="AL8" s="157" t="s">
        <v>25</v>
      </c>
      <c r="AM8" s="159" t="s">
        <v>26</v>
      </c>
    </row>
    <row r="9" spans="2:39" s="12" customFormat="1" ht="17.850000000000001" customHeight="1" x14ac:dyDescent="0.3">
      <c r="B9" s="144"/>
      <c r="C9" s="13" t="s">
        <v>27</v>
      </c>
      <c r="D9" s="13" t="s">
        <v>28</v>
      </c>
      <c r="E9" s="13" t="s">
        <v>29</v>
      </c>
      <c r="F9" s="144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49"/>
      <c r="N9" s="149"/>
      <c r="O9" s="149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58"/>
      <c r="AC9" s="1"/>
      <c r="AE9" s="144" t="s">
        <v>30</v>
      </c>
      <c r="AF9" s="144" t="s">
        <v>13</v>
      </c>
      <c r="AG9" s="144" t="s">
        <v>14</v>
      </c>
      <c r="AH9" s="144" t="s">
        <v>15</v>
      </c>
      <c r="AI9" s="144" t="s">
        <v>16</v>
      </c>
      <c r="AJ9" s="144"/>
      <c r="AK9" s="158"/>
      <c r="AL9" s="158"/>
      <c r="AM9" s="160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G1:K1"/>
    <mergeCell ref="L3:N3"/>
    <mergeCell ref="Q3:S3"/>
    <mergeCell ref="G5:I5"/>
    <mergeCell ref="L5:N5"/>
    <mergeCell ref="Q5:S5"/>
    <mergeCell ref="G3:I3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-74592.25337956725</v>
      </c>
      <c r="E11" s="65">
        <f>'7. EOD Report'!E11-'6. DAP Report'!E11</f>
        <v>-5801.1880000000001</v>
      </c>
      <c r="F11" s="65">
        <f>'7. EOD Report'!F11-'6. DAP Report'!F11</f>
        <v>-68791.065379567255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-68791.065379567255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-71137.270422861766</v>
      </c>
      <c r="E12" s="65">
        <f>'7. EOD Report'!E12-'6. DAP Report'!E12</f>
        <v>-5641.719000000001</v>
      </c>
      <c r="F12" s="65">
        <f>'7. EOD Report'!F12-'6. DAP Report'!F12</f>
        <v>-65495.551422861769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-65495.551422861769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-68205.073666836499</v>
      </c>
      <c r="E13" s="65">
        <f>'7. EOD Report'!E13-'6. DAP Report'!E13</f>
        <v>-5541.0945000000002</v>
      </c>
      <c r="F13" s="65">
        <f>'7. EOD Report'!F13-'6. DAP Report'!F13</f>
        <v>-62663.9791668365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-62663.9791668365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-65766.397109266662</v>
      </c>
      <c r="E14" s="65">
        <f>'7. EOD Report'!E14-'6. DAP Report'!E14</f>
        <v>-5516.2800000000007</v>
      </c>
      <c r="F14" s="65">
        <f>'7. EOD Report'!F14-'6. DAP Report'!F14</f>
        <v>-60250.117109266663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-60250.117109266663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-64512.128040284457</v>
      </c>
      <c r="E15" s="65">
        <f>'7. EOD Report'!E15-'6. DAP Report'!E15</f>
        <v>-5497.0010000000002</v>
      </c>
      <c r="F15" s="65">
        <f>'7. EOD Report'!F15-'6. DAP Report'!F15</f>
        <v>-59015.127040284453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-59015.127040284453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-65514.371550064803</v>
      </c>
      <c r="E16" s="65">
        <f>'7. EOD Report'!E16-'6. DAP Report'!E16</f>
        <v>-5761.3979999999992</v>
      </c>
      <c r="F16" s="65">
        <f>'7. EOD Report'!F16-'6. DAP Report'!F16</f>
        <v>-59752.973550064802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-59752.973550064802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-66986.368929713848</v>
      </c>
      <c r="E17" s="65">
        <f>'7. EOD Report'!E17-'6. DAP Report'!E17</f>
        <v>-6103.384</v>
      </c>
      <c r="F17" s="65">
        <f>'7. EOD Report'!F17-'6. DAP Report'!F17</f>
        <v>-60882.98492971385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-60882.98492971385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-71891.039115537889</v>
      </c>
      <c r="E18" s="65">
        <f>'7. EOD Report'!E18-'6. DAP Report'!E18</f>
        <v>-6908.5929999999998</v>
      </c>
      <c r="F18" s="65">
        <f>'7. EOD Report'!F18-'6. DAP Report'!F18</f>
        <v>-64982.446115537889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-64982.446115537889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-87236.866307392891</v>
      </c>
      <c r="E19" s="65">
        <f>'7. EOD Report'!E19-'6. DAP Report'!E19</f>
        <v>-8421.4285000000018</v>
      </c>
      <c r="F19" s="65">
        <f>'7. EOD Report'!F19-'6. DAP Report'!F19</f>
        <v>-78815.437807392882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-78815.437807392882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-101282.85381547347</v>
      </c>
      <c r="E20" s="65">
        <f>'7. EOD Report'!E20-'6. DAP Report'!E20</f>
        <v>-14998.935500000001</v>
      </c>
      <c r="F20" s="65">
        <f>'7. EOD Report'!F20-'6. DAP Report'!F20</f>
        <v>-86283.918315473464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-86283.918315473464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-106518.77122556194</v>
      </c>
      <c r="E21" s="65">
        <f>'7. EOD Report'!E21-'6. DAP Report'!E21</f>
        <v>-14970.028</v>
      </c>
      <c r="F21" s="65">
        <f>'7. EOD Report'!F21-'6. DAP Report'!F21</f>
        <v>-91548.743225561935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-91548.743225561935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-109051.22086791189</v>
      </c>
      <c r="E22" s="65">
        <f>'7. EOD Report'!E22-'6. DAP Report'!E22</f>
        <v>-15231.207</v>
      </c>
      <c r="F22" s="65">
        <f>'7. EOD Report'!F22-'6. DAP Report'!F22</f>
        <v>-93820.013867911897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-93820.013867911897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-110146.12063835002</v>
      </c>
      <c r="E23" s="65">
        <f>'7. EOD Report'!E23-'6. DAP Report'!E23</f>
        <v>-15435.473000000002</v>
      </c>
      <c r="F23" s="65">
        <f>'7. EOD Report'!F23-'6. DAP Report'!F23</f>
        <v>-94710.647638350027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-94710.647638350027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-113959.67407874654</v>
      </c>
      <c r="E24" s="65">
        <f>'7. EOD Report'!E24-'6. DAP Report'!E24</f>
        <v>-15934.069</v>
      </c>
      <c r="F24" s="65">
        <f>'7. EOD Report'!F24-'6. DAP Report'!F24</f>
        <v>-98025.605078746536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-98025.605078746536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-116529.43052645581</v>
      </c>
      <c r="E25" s="65">
        <f>'7. EOD Report'!E25-'6. DAP Report'!E25</f>
        <v>-16001.645499999999</v>
      </c>
      <c r="F25" s="65">
        <f>'7. EOD Report'!F25-'6. DAP Report'!F25</f>
        <v>-100527.78502645581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-100527.78502645581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-115706.16884644541</v>
      </c>
      <c r="E26" s="65">
        <f>'7. EOD Report'!E26-'6. DAP Report'!E26</f>
        <v>-16435.614000000001</v>
      </c>
      <c r="F26" s="65">
        <f>'7. EOD Report'!F26-'6. DAP Report'!F26</f>
        <v>-99270.554846445404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-99270.554846445404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-113265.86990313567</v>
      </c>
      <c r="E27" s="65">
        <f>'7. EOD Report'!E27-'6. DAP Report'!E27</f>
        <v>-17178.182500000003</v>
      </c>
      <c r="F27" s="65">
        <f>'7. EOD Report'!F27-'6. DAP Report'!F27</f>
        <v>-96087.687403135671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-96087.687403135671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-106839.38608189338</v>
      </c>
      <c r="E28" s="65">
        <f>'7. EOD Report'!E28-'6. DAP Report'!E28</f>
        <v>-16939.003000000001</v>
      </c>
      <c r="F28" s="65">
        <f>'7. EOD Report'!F28-'6. DAP Report'!F28</f>
        <v>-89900.383081893378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-89900.383081893378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-106821.62009670195</v>
      </c>
      <c r="E29" s="65">
        <f>'7. EOD Report'!E29-'6. DAP Report'!E29</f>
        <v>-16685.8825</v>
      </c>
      <c r="F29" s="65">
        <f>'7. EOD Report'!F29-'6. DAP Report'!F29</f>
        <v>-90135.737596701947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-90135.737596701947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-100943.70454179002</v>
      </c>
      <c r="E30" s="65">
        <f>'7. EOD Report'!E30-'6. DAP Report'!E30</f>
        <v>-15197.436500000002</v>
      </c>
      <c r="F30" s="65">
        <f>'7. EOD Report'!F30-'6. DAP Report'!F30</f>
        <v>-85746.268041790026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-85746.268041790026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-96425.98590816182</v>
      </c>
      <c r="E31" s="65">
        <f>'7. EOD Report'!E31-'6. DAP Report'!E31</f>
        <v>-13342.395</v>
      </c>
      <c r="F31" s="65">
        <f>'7. EOD Report'!F31-'6. DAP Report'!F31</f>
        <v>-83083.590908161816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-83083.590908161816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-91475.015079469114</v>
      </c>
      <c r="E32" s="65">
        <f>'7. EOD Report'!E32-'6. DAP Report'!E32</f>
        <v>-9716.8905000000013</v>
      </c>
      <c r="F32" s="65">
        <f>'7. EOD Report'!F32-'6. DAP Report'!F32</f>
        <v>-81758.12457946912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-81758.12457946912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-85305.711360847345</v>
      </c>
      <c r="E33" s="65">
        <f>'7. EOD Report'!E33-'6. DAP Report'!E33</f>
        <v>-6391.7999999999993</v>
      </c>
      <c r="F33" s="65">
        <f>'7. EOD Report'!F33-'6. DAP Report'!F33</f>
        <v>-78913.911360847342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-78913.911360847342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-80973.635744664367</v>
      </c>
      <c r="E34" s="65">
        <f>'7. EOD Report'!E34-'6. DAP Report'!E34</f>
        <v>-5848.1970000000001</v>
      </c>
      <c r="F34" s="65">
        <f>'7. EOD Report'!F34-'6. DAP Report'!F34</f>
        <v>-75125.438744664367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-75125.438744664367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-2191086.9372371351</v>
      </c>
      <c r="E35" s="68">
        <f>SUM(E11:E34)</f>
        <v>-265498.84500000003</v>
      </c>
      <c r="F35" s="68">
        <f>SUM(F11:F34)</f>
        <v>-1925588.0922371347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-1925588.0922371347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0.91721420506089668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2.9109133965716341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2.7850657407482888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2.6777829826340738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2.6228945351237534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1.4059523188250542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1.4325408218756199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1.5289987321303034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1.8544808895857148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2.0302098427170225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2.1540880758955749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2.2075297380685153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2.2284858267847065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1.3070080677166205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1.3403704670194108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1.3236073979526053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1.2811691653751422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1.1986717744252451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1.2018098346226926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1.1432835738905336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1.1077812121088242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1.0901083277262549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1.0521854848112979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1.1557759806871442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1.4587788577554051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zoomScale="55" zoomScaleNormal="50" workbookViewId="0">
      <selection activeCell="O13" sqref="O13:W36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3">
        <v>45671</v>
      </c>
      <c r="D4" s="164"/>
      <c r="E4" s="165"/>
      <c r="J4" s="88"/>
      <c r="K4" s="89" t="s">
        <v>47</v>
      </c>
      <c r="L4" s="100" t="s">
        <v>101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3" t="s">
        <v>102</v>
      </c>
      <c r="D6" s="164"/>
      <c r="E6" s="165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68" t="s">
        <v>52</v>
      </c>
      <c r="C11" s="166" t="s">
        <v>53</v>
      </c>
      <c r="D11" s="167"/>
      <c r="E11" s="167"/>
      <c r="F11" s="167"/>
      <c r="G11" s="167"/>
      <c r="H11" s="169">
        <f>C4-7</f>
        <v>45664</v>
      </c>
      <c r="I11" s="169"/>
      <c r="J11" s="169"/>
      <c r="K11" s="169"/>
      <c r="L11" s="170"/>
      <c r="N11" s="171" t="s">
        <v>52</v>
      </c>
      <c r="O11" s="166" t="s">
        <v>54</v>
      </c>
      <c r="P11" s="167"/>
      <c r="Q11" s="167"/>
      <c r="R11" s="167"/>
      <c r="S11" s="167"/>
      <c r="T11" s="169">
        <f>C4-2</f>
        <v>45669</v>
      </c>
      <c r="U11" s="169"/>
      <c r="V11" s="169"/>
      <c r="W11" s="169"/>
      <c r="X11" s="170"/>
      <c r="Z11" s="171" t="s">
        <v>52</v>
      </c>
      <c r="AA11" s="166" t="s">
        <v>55</v>
      </c>
      <c r="AB11" s="167"/>
      <c r="AC11" s="167"/>
      <c r="AD11" s="167"/>
      <c r="AE11" s="167"/>
      <c r="AF11" s="169">
        <f>C4</f>
        <v>45671</v>
      </c>
      <c r="AG11" s="169"/>
      <c r="AH11" s="169"/>
      <c r="AI11" s="169"/>
      <c r="AJ11" s="170"/>
    </row>
    <row r="12" spans="2:36" ht="45" customHeight="1" x14ac:dyDescent="0.3">
      <c r="B12" s="168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71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71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3.0158730166666667</v>
      </c>
      <c r="D13" s="101">
        <v>3.0711221833333333</v>
      </c>
      <c r="E13" s="101">
        <v>3.0352682416666661</v>
      </c>
      <c r="F13" s="101">
        <v>3.0160008916666667</v>
      </c>
      <c r="G13" s="101">
        <v>3.0160008916666667</v>
      </c>
      <c r="H13" s="101">
        <v>2.9971961416666666</v>
      </c>
      <c r="I13" s="101">
        <v>2.9950981083333335</v>
      </c>
      <c r="J13" s="101">
        <v>3.1274190833333328</v>
      </c>
      <c r="K13" s="101">
        <v>3.0155712249999995</v>
      </c>
      <c r="L13" s="101"/>
      <c r="N13" s="14">
        <v>1</v>
      </c>
      <c r="O13" s="101">
        <v>3.7625713583333331</v>
      </c>
      <c r="P13" s="101">
        <v>3.8431535916666668</v>
      </c>
      <c r="Q13" s="101">
        <v>3.7902706749999999</v>
      </c>
      <c r="R13" s="101">
        <v>3.7628415166666667</v>
      </c>
      <c r="S13" s="101">
        <v>3.7628415166666667</v>
      </c>
      <c r="T13" s="101">
        <v>3.7594260416666669</v>
      </c>
      <c r="U13" s="101">
        <v>3.7567628333333327</v>
      </c>
      <c r="V13" s="101">
        <v>3.9805010750000003</v>
      </c>
      <c r="W13" s="101">
        <v>3.7621954166666658</v>
      </c>
      <c r="X13" s="101"/>
      <c r="Z13" s="14">
        <v>1</v>
      </c>
      <c r="AA13" s="101">
        <v>3.3260000000000001</v>
      </c>
      <c r="AB13" s="101">
        <v>3.3504999999999998</v>
      </c>
      <c r="AC13" s="101">
        <v>3.3418899999999998</v>
      </c>
      <c r="AD13" s="101">
        <v>3.32633</v>
      </c>
      <c r="AE13" s="101">
        <v>3.32633</v>
      </c>
      <c r="AF13" s="101">
        <v>3.2733400000000001</v>
      </c>
      <c r="AG13" s="101">
        <v>3.3107600000000001</v>
      </c>
      <c r="AH13" s="101">
        <v>3.38063</v>
      </c>
      <c r="AI13" s="101">
        <v>3.3260000000000001</v>
      </c>
      <c r="AJ13" s="101"/>
    </row>
    <row r="14" spans="2:36" ht="24" customHeight="1" x14ac:dyDescent="0.3">
      <c r="B14" s="51">
        <v>2</v>
      </c>
      <c r="C14" s="101">
        <v>2.7824056833333328</v>
      </c>
      <c r="D14" s="101">
        <v>2.7980572749999997</v>
      </c>
      <c r="E14" s="101">
        <v>2.7967730666666668</v>
      </c>
      <c r="F14" s="101">
        <v>2.7825693583333337</v>
      </c>
      <c r="G14" s="101">
        <v>2.7825693583333337</v>
      </c>
      <c r="H14" s="101">
        <v>2.7636135833333331</v>
      </c>
      <c r="I14" s="101">
        <v>2.761679075</v>
      </c>
      <c r="J14" s="101">
        <v>2.8653128833333334</v>
      </c>
      <c r="K14" s="101">
        <v>2.7822698249999998</v>
      </c>
      <c r="L14" s="101"/>
      <c r="N14" s="14">
        <v>2</v>
      </c>
      <c r="O14" s="101">
        <v>3.5535732583333339</v>
      </c>
      <c r="P14" s="101">
        <v>3.6144114333333341</v>
      </c>
      <c r="Q14" s="101">
        <v>3.5752594416666668</v>
      </c>
      <c r="R14" s="101">
        <v>3.5538093083333333</v>
      </c>
      <c r="S14" s="101">
        <v>3.5538093083333333</v>
      </c>
      <c r="T14" s="101">
        <v>3.5433060999999997</v>
      </c>
      <c r="U14" s="101">
        <v>3.5404714416666665</v>
      </c>
      <c r="V14" s="101">
        <v>3.7756752333333332</v>
      </c>
      <c r="W14" s="101">
        <v>3.5533659500000008</v>
      </c>
      <c r="X14" s="101"/>
      <c r="Z14" s="14">
        <v>2</v>
      </c>
      <c r="AA14" s="101">
        <v>3.03017</v>
      </c>
      <c r="AB14" s="101">
        <v>3.05199</v>
      </c>
      <c r="AC14" s="101">
        <v>3.0453200000000002</v>
      </c>
      <c r="AD14" s="101">
        <v>3.03017</v>
      </c>
      <c r="AE14" s="101">
        <v>3.03017</v>
      </c>
      <c r="AF14" s="101">
        <v>2.9968400000000002</v>
      </c>
      <c r="AG14" s="101">
        <v>3.0298699999999998</v>
      </c>
      <c r="AH14" s="101">
        <v>3.05593</v>
      </c>
      <c r="AI14" s="101">
        <v>3.03017</v>
      </c>
      <c r="AJ14" s="101"/>
    </row>
    <row r="15" spans="2:36" ht="24" customHeight="1" x14ac:dyDescent="0.3">
      <c r="B15" s="51">
        <v>3</v>
      </c>
      <c r="C15" s="101">
        <v>2.3674925749999995</v>
      </c>
      <c r="D15" s="101">
        <v>2.3837148500000001</v>
      </c>
      <c r="E15" s="101">
        <v>2.3800117333333333</v>
      </c>
      <c r="F15" s="101">
        <v>2.3676011166666666</v>
      </c>
      <c r="G15" s="101">
        <v>2.3676011166666666</v>
      </c>
      <c r="H15" s="101">
        <v>2.3546867416666668</v>
      </c>
      <c r="I15" s="101">
        <v>2.3530609666666673</v>
      </c>
      <c r="J15" s="101">
        <v>2.4444804833333333</v>
      </c>
      <c r="K15" s="101">
        <v>2.3673656416666669</v>
      </c>
      <c r="L15" s="101"/>
      <c r="N15" s="14">
        <v>3</v>
      </c>
      <c r="O15" s="101">
        <v>2.756813208333333</v>
      </c>
      <c r="P15" s="101">
        <v>2.793960175</v>
      </c>
      <c r="Q15" s="101">
        <v>2.7715442833333341</v>
      </c>
      <c r="R15" s="101">
        <v>2.7570263083333324</v>
      </c>
      <c r="S15" s="101">
        <v>2.7570263083333324</v>
      </c>
      <c r="T15" s="101">
        <v>2.7442270583333332</v>
      </c>
      <c r="U15" s="101">
        <v>2.7423061083333335</v>
      </c>
      <c r="V15" s="101">
        <v>2.8870535166666662</v>
      </c>
      <c r="W15" s="101">
        <v>2.7566081749999998</v>
      </c>
      <c r="X15" s="101"/>
      <c r="Z15" s="14">
        <v>3</v>
      </c>
      <c r="AA15" s="101">
        <v>2.83833</v>
      </c>
      <c r="AB15" s="101">
        <v>2.8608500000000001</v>
      </c>
      <c r="AC15" s="101">
        <v>2.8531500000000003</v>
      </c>
      <c r="AD15" s="101">
        <v>2.83833</v>
      </c>
      <c r="AE15" s="101">
        <v>2.83833</v>
      </c>
      <c r="AF15" s="101">
        <v>2.8152499999999998</v>
      </c>
      <c r="AG15" s="101">
        <v>2.84945</v>
      </c>
      <c r="AH15" s="101">
        <v>2.8873500000000001</v>
      </c>
      <c r="AI15" s="101">
        <v>2.83833</v>
      </c>
      <c r="AJ15" s="101"/>
    </row>
    <row r="16" spans="2:36" ht="24" customHeight="1" x14ac:dyDescent="0.3">
      <c r="B16" s="51">
        <v>4</v>
      </c>
      <c r="C16" s="101">
        <v>2.4640903416666666</v>
      </c>
      <c r="D16" s="101">
        <v>2.4688018416666666</v>
      </c>
      <c r="E16" s="101">
        <v>2.4772605749999999</v>
      </c>
      <c r="F16" s="101">
        <v>2.4642132083333332</v>
      </c>
      <c r="G16" s="101">
        <v>2.4642132083333332</v>
      </c>
      <c r="H16" s="101">
        <v>2.4579040500000007</v>
      </c>
      <c r="I16" s="101">
        <v>2.4563882999999995</v>
      </c>
      <c r="J16" s="101">
        <v>2.5393860583333336</v>
      </c>
      <c r="K16" s="101">
        <v>2.4639674166666667</v>
      </c>
      <c r="L16" s="101"/>
      <c r="N16" s="14">
        <v>4</v>
      </c>
      <c r="O16" s="101">
        <v>2.8107936499999999</v>
      </c>
      <c r="P16" s="101">
        <v>2.853023316666667</v>
      </c>
      <c r="Q16" s="101">
        <v>2.8262360416666668</v>
      </c>
      <c r="R16" s="101">
        <v>2.8109810916666667</v>
      </c>
      <c r="S16" s="101">
        <v>2.8109810916666667</v>
      </c>
      <c r="T16" s="101">
        <v>2.8034749166666666</v>
      </c>
      <c r="U16" s="101">
        <v>2.8015124749999996</v>
      </c>
      <c r="V16" s="101">
        <v>2.960984508333333</v>
      </c>
      <c r="W16" s="101">
        <v>2.8106063833333335</v>
      </c>
      <c r="X16" s="101"/>
      <c r="Z16" s="14">
        <v>4</v>
      </c>
      <c r="AA16" s="101">
        <v>2.7256300000000002</v>
      </c>
      <c r="AB16" s="101">
        <v>2.75081</v>
      </c>
      <c r="AC16" s="101">
        <v>2.7395900000000002</v>
      </c>
      <c r="AD16" s="101">
        <v>2.7256300000000002</v>
      </c>
      <c r="AE16" s="101">
        <v>2.7256300000000002</v>
      </c>
      <c r="AF16" s="101">
        <v>2.7026500000000002</v>
      </c>
      <c r="AG16" s="101">
        <v>2.7360300000000004</v>
      </c>
      <c r="AH16" s="101">
        <v>2.7680500000000001</v>
      </c>
      <c r="AI16" s="101">
        <v>2.7256300000000002</v>
      </c>
      <c r="AJ16" s="101"/>
    </row>
    <row r="17" spans="2:36" ht="24" customHeight="1" x14ac:dyDescent="0.3">
      <c r="B17" s="51">
        <v>5</v>
      </c>
      <c r="C17" s="101">
        <v>2.8027008916666669</v>
      </c>
      <c r="D17" s="101">
        <v>2.8206206499999995</v>
      </c>
      <c r="E17" s="101">
        <v>2.8176668083333336</v>
      </c>
      <c r="F17" s="101">
        <v>2.8027948249999994</v>
      </c>
      <c r="G17" s="101">
        <v>2.8027948249999994</v>
      </c>
      <c r="H17" s="101">
        <v>2.7803584166666666</v>
      </c>
      <c r="I17" s="101">
        <v>2.7786902083333334</v>
      </c>
      <c r="J17" s="101">
        <v>2.8634295999999999</v>
      </c>
      <c r="K17" s="101">
        <v>2.8025399000000002</v>
      </c>
      <c r="L17" s="101"/>
      <c r="N17" s="14">
        <v>5</v>
      </c>
      <c r="O17" s="101">
        <v>3.212045925</v>
      </c>
      <c r="P17" s="101">
        <v>3.2720453166666665</v>
      </c>
      <c r="Q17" s="101">
        <v>3.2303752999999995</v>
      </c>
      <c r="R17" s="101">
        <v>3.2122035333333332</v>
      </c>
      <c r="S17" s="101">
        <v>3.2122035333333332</v>
      </c>
      <c r="T17" s="101">
        <v>3.2048879333333331</v>
      </c>
      <c r="U17" s="101">
        <v>3.1949320250000004</v>
      </c>
      <c r="V17" s="101">
        <v>3.3923933083333329</v>
      </c>
      <c r="W17" s="101">
        <v>3.2118049833333333</v>
      </c>
      <c r="X17" s="101"/>
      <c r="Z17" s="14">
        <v>5</v>
      </c>
      <c r="AA17" s="101">
        <v>3.18363</v>
      </c>
      <c r="AB17" s="101">
        <v>3.2224299999999997</v>
      </c>
      <c r="AC17" s="101">
        <v>3.1998500000000001</v>
      </c>
      <c r="AD17" s="101">
        <v>3.18363</v>
      </c>
      <c r="AE17" s="101">
        <v>3.18363</v>
      </c>
      <c r="AF17" s="101">
        <v>3.14039</v>
      </c>
      <c r="AG17" s="101">
        <v>3.1791799999999997</v>
      </c>
      <c r="AH17" s="101">
        <v>3.2472300000000001</v>
      </c>
      <c r="AI17" s="101">
        <v>3.18363</v>
      </c>
      <c r="AJ17" s="101"/>
    </row>
    <row r="18" spans="2:36" ht="24" customHeight="1" x14ac:dyDescent="0.3">
      <c r="B18" s="51">
        <v>6</v>
      </c>
      <c r="C18" s="101">
        <v>2.9249878833333334</v>
      </c>
      <c r="D18" s="101">
        <v>2.9601917666666666</v>
      </c>
      <c r="E18" s="101">
        <v>2.9401664333333333</v>
      </c>
      <c r="F18" s="101">
        <v>2.9251636249999997</v>
      </c>
      <c r="G18" s="101">
        <v>2.9251636249999997</v>
      </c>
      <c r="H18" s="101">
        <v>2.8813696333333336</v>
      </c>
      <c r="I18" s="101">
        <v>2.8793888333333331</v>
      </c>
      <c r="J18" s="101">
        <v>2.9789400416666663</v>
      </c>
      <c r="K18" s="101">
        <v>2.924875491666667</v>
      </c>
      <c r="L18" s="101"/>
      <c r="N18" s="14">
        <v>6</v>
      </c>
      <c r="O18" s="101">
        <v>3.3939433416666667</v>
      </c>
      <c r="P18" s="101">
        <v>3.4717730499999995</v>
      </c>
      <c r="Q18" s="101">
        <v>3.4206728833333329</v>
      </c>
      <c r="R18" s="101">
        <v>3.3941367166666661</v>
      </c>
      <c r="S18" s="101">
        <v>3.3941367166666661</v>
      </c>
      <c r="T18" s="101">
        <v>3.3943615166666672</v>
      </c>
      <c r="U18" s="101">
        <v>3.3919854583333331</v>
      </c>
      <c r="V18" s="101">
        <v>3.5907990250000004</v>
      </c>
      <c r="W18" s="101">
        <v>3.3936328500000004</v>
      </c>
      <c r="X18" s="101"/>
      <c r="Z18" s="14">
        <v>6</v>
      </c>
      <c r="AA18" s="101">
        <v>3.54704</v>
      </c>
      <c r="AB18" s="101">
        <v>3.6167500000000001</v>
      </c>
      <c r="AC18" s="101">
        <v>3.58352</v>
      </c>
      <c r="AD18" s="101">
        <v>3.5474000000000001</v>
      </c>
      <c r="AE18" s="101">
        <v>3.5474000000000001</v>
      </c>
      <c r="AF18" s="101">
        <v>3.5604</v>
      </c>
      <c r="AG18" s="101">
        <v>3.6113299999999997</v>
      </c>
      <c r="AH18" s="101">
        <v>3.7388400000000002</v>
      </c>
      <c r="AI18" s="101">
        <v>3.5466799999999998</v>
      </c>
      <c r="AJ18" s="101"/>
    </row>
    <row r="19" spans="2:36" ht="24" customHeight="1" x14ac:dyDescent="0.3">
      <c r="B19" s="51">
        <v>7</v>
      </c>
      <c r="C19" s="101">
        <v>3.5824503916666672</v>
      </c>
      <c r="D19" s="101">
        <v>3.6319730749999999</v>
      </c>
      <c r="E19" s="101">
        <v>3.6032236499999999</v>
      </c>
      <c r="F19" s="101">
        <v>3.5827236666666673</v>
      </c>
      <c r="G19" s="101">
        <v>3.5827236666666673</v>
      </c>
      <c r="H19" s="101">
        <v>3.5649855499999998</v>
      </c>
      <c r="I19" s="101">
        <v>3.5625106166666671</v>
      </c>
      <c r="J19" s="101">
        <v>3.7133597999999997</v>
      </c>
      <c r="K19" s="101">
        <v>3.5822328083333326</v>
      </c>
      <c r="L19" s="101"/>
      <c r="N19" s="14">
        <v>7</v>
      </c>
      <c r="O19" s="101">
        <v>3.4513257500000001</v>
      </c>
      <c r="P19" s="101">
        <v>3.5307358499999997</v>
      </c>
      <c r="Q19" s="101">
        <v>3.4867900666666665</v>
      </c>
      <c r="R19" s="101">
        <v>3.4516491833333336</v>
      </c>
      <c r="S19" s="101">
        <v>3.4516491833333336</v>
      </c>
      <c r="T19" s="101">
        <v>3.5695697500000003</v>
      </c>
      <c r="U19" s="101">
        <v>3.5087911499999995</v>
      </c>
      <c r="V19" s="101">
        <v>3.7440187166666661</v>
      </c>
      <c r="W19" s="101">
        <v>3.4509133499999995</v>
      </c>
      <c r="X19" s="101"/>
      <c r="Z19" s="14">
        <v>7</v>
      </c>
      <c r="AA19" s="101">
        <v>3.1847500000000002</v>
      </c>
      <c r="AB19" s="101">
        <v>3.21312</v>
      </c>
      <c r="AC19" s="101">
        <v>3.1994099999999999</v>
      </c>
      <c r="AD19" s="101">
        <v>3.1847500000000002</v>
      </c>
      <c r="AE19" s="101">
        <v>3.1847500000000002</v>
      </c>
      <c r="AF19" s="101">
        <v>3.1551199999999997</v>
      </c>
      <c r="AG19" s="101">
        <v>3.1860300000000001</v>
      </c>
      <c r="AH19" s="101">
        <v>3.2902300000000002</v>
      </c>
      <c r="AI19" s="101">
        <v>3.1847500000000002</v>
      </c>
      <c r="AJ19" s="101"/>
    </row>
    <row r="20" spans="2:36" ht="24" customHeight="1" x14ac:dyDescent="0.3">
      <c r="B20" s="51">
        <v>8</v>
      </c>
      <c r="C20" s="101">
        <v>2.4583958166666662</v>
      </c>
      <c r="D20" s="101">
        <v>2.4936239833333333</v>
      </c>
      <c r="E20" s="101">
        <v>2.4715285583333331</v>
      </c>
      <c r="F20" s="101">
        <v>2.4584923416666666</v>
      </c>
      <c r="G20" s="101">
        <v>2.4584923416666666</v>
      </c>
      <c r="H20" s="101">
        <v>2.4395822750000002</v>
      </c>
      <c r="I20" s="101">
        <v>2.4380878333333333</v>
      </c>
      <c r="J20" s="101">
        <v>2.492731041666667</v>
      </c>
      <c r="K20" s="101">
        <v>2.4582007416666665</v>
      </c>
      <c r="L20" s="101"/>
      <c r="N20" s="14">
        <v>8</v>
      </c>
      <c r="O20" s="101">
        <v>2.6580129916666659</v>
      </c>
      <c r="P20" s="101">
        <v>2.695809941666667</v>
      </c>
      <c r="Q20" s="101">
        <v>2.6727468000000001</v>
      </c>
      <c r="R20" s="101">
        <v>2.6582249916666667</v>
      </c>
      <c r="S20" s="101">
        <v>2.6582249916666667</v>
      </c>
      <c r="T20" s="101">
        <v>2.65054225</v>
      </c>
      <c r="U20" s="101">
        <v>2.6486868583333329</v>
      </c>
      <c r="V20" s="101">
        <v>2.7487404750000004</v>
      </c>
      <c r="W20" s="101">
        <v>2.6579236916666669</v>
      </c>
      <c r="X20" s="101"/>
      <c r="Z20" s="14">
        <v>8</v>
      </c>
      <c r="AA20" s="101">
        <v>3.2307299999999999</v>
      </c>
      <c r="AB20" s="101">
        <v>3.2641100000000001</v>
      </c>
      <c r="AC20" s="101">
        <v>3.2438899999999999</v>
      </c>
      <c r="AD20" s="101">
        <v>3.2307299999999999</v>
      </c>
      <c r="AE20" s="101">
        <v>3.2307299999999999</v>
      </c>
      <c r="AF20" s="101">
        <v>3.1857899999999999</v>
      </c>
      <c r="AG20" s="101">
        <v>3.2092199999999997</v>
      </c>
      <c r="AH20" s="101">
        <v>3.26058</v>
      </c>
      <c r="AI20" s="101">
        <v>3.2307299999999999</v>
      </c>
      <c r="AJ20" s="101"/>
    </row>
    <row r="21" spans="2:36" ht="24" customHeight="1" x14ac:dyDescent="0.3">
      <c r="B21" s="51">
        <v>9</v>
      </c>
      <c r="C21" s="101">
        <v>2.7623324916666667</v>
      </c>
      <c r="D21" s="101">
        <v>2.8148676583333341</v>
      </c>
      <c r="E21" s="101">
        <v>2.7745922999999988</v>
      </c>
      <c r="F21" s="101">
        <v>2.762433983333334</v>
      </c>
      <c r="G21" s="101">
        <v>2.762433983333334</v>
      </c>
      <c r="H21" s="101">
        <v>2.6840181166666661</v>
      </c>
      <c r="I21" s="101">
        <v>2.6938215083333339</v>
      </c>
      <c r="J21" s="101">
        <v>2.5935781250000005</v>
      </c>
      <c r="K21" s="101">
        <v>2.7621644166666659</v>
      </c>
      <c r="L21" s="101"/>
      <c r="N21" s="14">
        <v>9</v>
      </c>
      <c r="O21" s="101">
        <v>3.5007674833333335</v>
      </c>
      <c r="P21" s="101">
        <v>3.5574414249999995</v>
      </c>
      <c r="Q21" s="101">
        <v>3.5226431416666659</v>
      </c>
      <c r="R21" s="101">
        <v>3.5009785666666673</v>
      </c>
      <c r="S21" s="101">
        <v>3.5009785666666673</v>
      </c>
      <c r="T21" s="101">
        <v>3.492187266666666</v>
      </c>
      <c r="U21" s="101">
        <v>3.4897427416666664</v>
      </c>
      <c r="V21" s="101">
        <v>3.5900387749999996</v>
      </c>
      <c r="W21" s="101">
        <v>3.5005371833333334</v>
      </c>
      <c r="X21" s="101"/>
      <c r="Z21" s="14">
        <v>9</v>
      </c>
      <c r="AA21" s="101">
        <v>3.23767</v>
      </c>
      <c r="AB21" s="101">
        <v>3.2579799999999999</v>
      </c>
      <c r="AC21" s="101">
        <v>3.2484600000000001</v>
      </c>
      <c r="AD21" s="101">
        <v>3.23767</v>
      </c>
      <c r="AE21" s="101">
        <v>3.23767</v>
      </c>
      <c r="AF21" s="101">
        <v>3.1520199999999998</v>
      </c>
      <c r="AG21" s="101">
        <v>3.1716899999999999</v>
      </c>
      <c r="AH21" s="101">
        <v>2.9842</v>
      </c>
      <c r="AI21" s="101">
        <v>3.23767</v>
      </c>
      <c r="AJ21" s="101"/>
    </row>
    <row r="22" spans="2:36" ht="24" customHeight="1" x14ac:dyDescent="0.3">
      <c r="B22" s="51">
        <v>10</v>
      </c>
      <c r="C22" s="101">
        <v>2.785445975</v>
      </c>
      <c r="D22" s="101">
        <v>2.8149910833333327</v>
      </c>
      <c r="E22" s="101">
        <v>2.7947849166666661</v>
      </c>
      <c r="F22" s="101">
        <v>2.7855954166666668</v>
      </c>
      <c r="G22" s="101">
        <v>2.7855954166666668</v>
      </c>
      <c r="H22" s="101">
        <v>2.3508060333333338</v>
      </c>
      <c r="I22" s="101">
        <v>2.6884974083333333</v>
      </c>
      <c r="J22" s="101">
        <v>2.5199645333333334</v>
      </c>
      <c r="K22" s="101">
        <v>2.7853263833333335</v>
      </c>
      <c r="L22" s="101"/>
      <c r="N22" s="14">
        <v>10</v>
      </c>
      <c r="O22" s="101">
        <v>2.9694684083333338</v>
      </c>
      <c r="P22" s="101">
        <v>3.0128998166666667</v>
      </c>
      <c r="Q22" s="101">
        <v>2.9855547583333331</v>
      </c>
      <c r="R22" s="101">
        <v>2.9697089083333337</v>
      </c>
      <c r="S22" s="101">
        <v>2.9697089083333337</v>
      </c>
      <c r="T22" s="101">
        <v>2.9155386166666664</v>
      </c>
      <c r="U22" s="101">
        <v>2.9137597333333329</v>
      </c>
      <c r="V22" s="101">
        <v>2.8759216583333331</v>
      </c>
      <c r="W22" s="101">
        <v>2.9693338666666662</v>
      </c>
      <c r="X22" s="101"/>
      <c r="Z22" s="14">
        <v>10</v>
      </c>
      <c r="AA22" s="101">
        <v>3.3393999999999999</v>
      </c>
      <c r="AB22" s="101">
        <v>3.3481799999999997</v>
      </c>
      <c r="AC22" s="101">
        <v>3.3478499999999998</v>
      </c>
      <c r="AD22" s="101">
        <v>3.3397299999999999</v>
      </c>
      <c r="AE22" s="101">
        <v>3.3397299999999999</v>
      </c>
      <c r="AF22" s="101">
        <v>3.2451999999999996</v>
      </c>
      <c r="AG22" s="101">
        <v>3.2478000000000002</v>
      </c>
      <c r="AH22" s="101">
        <v>3.0639400000000001</v>
      </c>
      <c r="AI22" s="101">
        <v>3.3393999999999999</v>
      </c>
      <c r="AJ22" s="101"/>
    </row>
    <row r="23" spans="2:36" ht="24" customHeight="1" x14ac:dyDescent="0.3">
      <c r="B23" s="51">
        <v>11</v>
      </c>
      <c r="C23" s="101">
        <v>3.1515061666666657</v>
      </c>
      <c r="D23" s="101">
        <v>3.1751663333333342</v>
      </c>
      <c r="E23" s="101">
        <v>3.1611043833333334</v>
      </c>
      <c r="F23" s="101">
        <v>3.1517010000000005</v>
      </c>
      <c r="G23" s="101">
        <v>3.1517010000000005</v>
      </c>
      <c r="H23" s="101">
        <v>3.0259421583333332</v>
      </c>
      <c r="I23" s="101">
        <v>3.0381631749999998</v>
      </c>
      <c r="J23" s="101">
        <v>2.9063634833333341</v>
      </c>
      <c r="K23" s="101">
        <v>3.1513969916666666</v>
      </c>
      <c r="L23" s="101"/>
      <c r="N23" s="14">
        <v>11</v>
      </c>
      <c r="O23" s="101">
        <v>2.8137863583333331</v>
      </c>
      <c r="P23" s="101">
        <v>2.8260865916666669</v>
      </c>
      <c r="Q23" s="101">
        <v>2.8217755333333336</v>
      </c>
      <c r="R23" s="101">
        <v>2.8138981500000004</v>
      </c>
      <c r="S23" s="101">
        <v>2.8138981500000004</v>
      </c>
      <c r="T23" s="101">
        <v>2.7259837166666667</v>
      </c>
      <c r="U23" s="101">
        <v>2.7243481083333334</v>
      </c>
      <c r="V23" s="101">
        <v>2.6236927250000002</v>
      </c>
      <c r="W23" s="101">
        <v>2.8136152833333341</v>
      </c>
      <c r="X23" s="101"/>
      <c r="Z23" s="14">
        <v>11</v>
      </c>
      <c r="AA23" s="101">
        <v>3.6029100000000001</v>
      </c>
      <c r="AB23" s="101">
        <v>3.65991</v>
      </c>
      <c r="AC23" s="101">
        <v>3.6213200000000003</v>
      </c>
      <c r="AD23" s="101">
        <v>3.6032600000000001</v>
      </c>
      <c r="AE23" s="101">
        <v>3.6032600000000001</v>
      </c>
      <c r="AF23" s="101">
        <v>3.5402499999999999</v>
      </c>
      <c r="AG23" s="101">
        <v>3.5395400000000001</v>
      </c>
      <c r="AH23" s="101">
        <v>3.3391599999999997</v>
      </c>
      <c r="AI23" s="101">
        <v>3.6029100000000001</v>
      </c>
      <c r="AJ23" s="101"/>
    </row>
    <row r="24" spans="2:36" ht="24" customHeight="1" x14ac:dyDescent="0.3">
      <c r="B24" s="51">
        <v>12</v>
      </c>
      <c r="C24" s="101">
        <v>2.9519697750000002</v>
      </c>
      <c r="D24" s="101">
        <v>2.9818728166666664</v>
      </c>
      <c r="E24" s="101">
        <v>2.9606905499999998</v>
      </c>
      <c r="F24" s="101">
        <v>2.9521584500000002</v>
      </c>
      <c r="G24" s="101">
        <v>2.9521584500000002</v>
      </c>
      <c r="H24" s="101">
        <v>2.8017641583333335</v>
      </c>
      <c r="I24" s="101">
        <v>2.8358668416666664</v>
      </c>
      <c r="J24" s="101">
        <v>2.6712149416666664</v>
      </c>
      <c r="K24" s="101">
        <v>2.9519259500000006</v>
      </c>
      <c r="L24" s="101"/>
      <c r="N24" s="14">
        <v>12</v>
      </c>
      <c r="O24" s="101">
        <v>2.8387057499999995</v>
      </c>
      <c r="P24" s="101">
        <v>2.844603333333334</v>
      </c>
      <c r="Q24" s="101">
        <v>2.8462619583333337</v>
      </c>
      <c r="R24" s="101">
        <v>2.8387859416666665</v>
      </c>
      <c r="S24" s="101">
        <v>2.8387859416666665</v>
      </c>
      <c r="T24" s="101">
        <v>2.4273557416666667</v>
      </c>
      <c r="U24" s="101">
        <v>2.7467674999999998</v>
      </c>
      <c r="V24" s="101">
        <v>2.5500000333333332</v>
      </c>
      <c r="W24" s="101">
        <v>2.8385824749999995</v>
      </c>
      <c r="X24" s="101"/>
      <c r="Z24" s="14">
        <v>12</v>
      </c>
      <c r="AA24" s="101">
        <v>3.3093400000000002</v>
      </c>
      <c r="AB24" s="101">
        <v>3.3597899999999998</v>
      </c>
      <c r="AC24" s="101">
        <v>3.3176900000000002</v>
      </c>
      <c r="AD24" s="101">
        <v>3.3093400000000002</v>
      </c>
      <c r="AE24" s="101">
        <v>3.3093400000000002</v>
      </c>
      <c r="AF24" s="101">
        <v>2.74953</v>
      </c>
      <c r="AG24" s="101">
        <v>3.2129299999999996</v>
      </c>
      <c r="AH24" s="101">
        <v>2.9809099999999997</v>
      </c>
      <c r="AI24" s="101">
        <v>3.3093400000000002</v>
      </c>
      <c r="AJ24" s="101"/>
    </row>
    <row r="25" spans="2:36" ht="24" customHeight="1" x14ac:dyDescent="0.3">
      <c r="B25" s="51">
        <v>13</v>
      </c>
      <c r="C25" s="101">
        <v>3.2449406416666666</v>
      </c>
      <c r="D25" s="101">
        <v>3.2820024333333326</v>
      </c>
      <c r="E25" s="101">
        <v>3.2554398583333333</v>
      </c>
      <c r="F25" s="101">
        <v>3.2450869666666673</v>
      </c>
      <c r="G25" s="101">
        <v>3.2450869666666673</v>
      </c>
      <c r="H25" s="101">
        <v>2.6077897000000005</v>
      </c>
      <c r="I25" s="101">
        <v>3.1222972416666668</v>
      </c>
      <c r="J25" s="101">
        <v>2.9471562749999998</v>
      </c>
      <c r="K25" s="101">
        <v>3.2447745500000003</v>
      </c>
      <c r="L25" s="101"/>
      <c r="N25" s="14">
        <v>13</v>
      </c>
      <c r="O25" s="101">
        <v>2.9894175083333336</v>
      </c>
      <c r="P25" s="101">
        <v>3.0093410916666667</v>
      </c>
      <c r="Q25" s="101">
        <v>2.9975752249999998</v>
      </c>
      <c r="R25" s="101">
        <v>2.9895385249999999</v>
      </c>
      <c r="S25" s="101">
        <v>2.9895385249999999</v>
      </c>
      <c r="T25" s="101">
        <v>2.5865433166666665</v>
      </c>
      <c r="U25" s="101">
        <v>2.8932275583333333</v>
      </c>
      <c r="V25" s="101">
        <v>2.6928533333333333</v>
      </c>
      <c r="W25" s="101">
        <v>2.9892759916666667</v>
      </c>
      <c r="X25" s="101"/>
      <c r="Z25" s="14">
        <v>13</v>
      </c>
      <c r="AA25" s="101">
        <v>3.3180399999999999</v>
      </c>
      <c r="AB25" s="101">
        <v>3.3209499999999998</v>
      </c>
      <c r="AC25" s="101">
        <v>3.3258000000000001</v>
      </c>
      <c r="AD25" s="101">
        <v>3.3183600000000002</v>
      </c>
      <c r="AE25" s="101">
        <v>3.3183600000000002</v>
      </c>
      <c r="AF25" s="101">
        <v>2.7462499999999999</v>
      </c>
      <c r="AG25" s="101">
        <v>3.23394</v>
      </c>
      <c r="AH25" s="101">
        <v>2.98455</v>
      </c>
      <c r="AI25" s="101">
        <v>3.3180399999999999</v>
      </c>
      <c r="AJ25" s="101"/>
    </row>
    <row r="26" spans="2:36" ht="24" customHeight="1" x14ac:dyDescent="0.3">
      <c r="B26" s="51">
        <v>14</v>
      </c>
      <c r="C26" s="101">
        <v>3.3674513083333326</v>
      </c>
      <c r="D26" s="101">
        <v>3.4136633166666668</v>
      </c>
      <c r="E26" s="101">
        <v>3.379939283333333</v>
      </c>
      <c r="F26" s="101">
        <v>3.3676412499999993</v>
      </c>
      <c r="G26" s="101">
        <v>3.3676412499999993</v>
      </c>
      <c r="H26" s="101">
        <v>3.1972386166666662</v>
      </c>
      <c r="I26" s="101">
        <v>3.2352926000000006</v>
      </c>
      <c r="J26" s="101">
        <v>3.056390233333333</v>
      </c>
      <c r="K26" s="101">
        <v>3.3672114416666665</v>
      </c>
      <c r="L26" s="101"/>
      <c r="N26" s="14">
        <v>14</v>
      </c>
      <c r="O26" s="101">
        <v>3.4554484416666673</v>
      </c>
      <c r="P26" s="101">
        <v>3.4746918000000004</v>
      </c>
      <c r="Q26" s="101">
        <v>3.4669788833333337</v>
      </c>
      <c r="R26" s="101">
        <v>3.4556551166666667</v>
      </c>
      <c r="S26" s="101">
        <v>3.4556551166666667</v>
      </c>
      <c r="T26" s="101">
        <v>3.3459633833333333</v>
      </c>
      <c r="U26" s="101">
        <v>3.3442860666666663</v>
      </c>
      <c r="V26" s="101">
        <v>3.1457779333333331</v>
      </c>
      <c r="W26" s="101">
        <v>3.4553165833333335</v>
      </c>
      <c r="X26" s="101"/>
      <c r="Z26" s="14">
        <v>14</v>
      </c>
      <c r="AA26" s="101">
        <v>3.7171599999999998</v>
      </c>
      <c r="AB26" s="101">
        <v>3.75962</v>
      </c>
      <c r="AC26" s="101">
        <v>3.7626500000000003</v>
      </c>
      <c r="AD26" s="101">
        <v>3.7179099999999998</v>
      </c>
      <c r="AE26" s="101">
        <v>3.7179099999999998</v>
      </c>
      <c r="AF26" s="101">
        <v>3.6388000000000003</v>
      </c>
      <c r="AG26" s="101">
        <v>3.7907100000000002</v>
      </c>
      <c r="AH26" s="101">
        <v>3.5105200000000001</v>
      </c>
      <c r="AI26" s="101">
        <v>3.7164000000000001</v>
      </c>
      <c r="AJ26" s="101"/>
    </row>
    <row r="27" spans="2:36" ht="24" customHeight="1" x14ac:dyDescent="0.3">
      <c r="B27" s="51">
        <v>15</v>
      </c>
      <c r="C27" s="101">
        <v>4.3047969750000004</v>
      </c>
      <c r="D27" s="101">
        <v>4.3709373583333324</v>
      </c>
      <c r="E27" s="101">
        <v>4.3309983166666655</v>
      </c>
      <c r="F27" s="101">
        <v>4.3052164416666665</v>
      </c>
      <c r="G27" s="101">
        <v>4.3052164416666665</v>
      </c>
      <c r="H27" s="101">
        <v>4.1944799333333327</v>
      </c>
      <c r="I27" s="101">
        <v>4.1916862249999998</v>
      </c>
      <c r="J27" s="101">
        <v>4.0829604083333342</v>
      </c>
      <c r="K27" s="101">
        <v>4.3042750666666674</v>
      </c>
      <c r="L27" s="101"/>
      <c r="N27" s="14">
        <v>15</v>
      </c>
      <c r="O27" s="101">
        <v>3.8944348749999995</v>
      </c>
      <c r="P27" s="101">
        <v>3.9521667500000004</v>
      </c>
      <c r="Q27" s="101">
        <v>3.9195494583333335</v>
      </c>
      <c r="R27" s="101">
        <v>3.8948221250000006</v>
      </c>
      <c r="S27" s="101">
        <v>3.8948221250000006</v>
      </c>
      <c r="T27" s="101">
        <v>3.8347456916666669</v>
      </c>
      <c r="U27" s="101">
        <v>3.8323482333333327</v>
      </c>
      <c r="V27" s="101">
        <v>3.631205183333333</v>
      </c>
      <c r="W27" s="101">
        <v>3.8941079166666674</v>
      </c>
      <c r="X27" s="101"/>
      <c r="Z27" s="14">
        <v>15</v>
      </c>
      <c r="AA27" s="101">
        <v>3.7467299999999999</v>
      </c>
      <c r="AB27" s="101">
        <v>3.79033</v>
      </c>
      <c r="AC27" s="101">
        <v>3.7873000000000001</v>
      </c>
      <c r="AD27" s="101">
        <v>3.7471100000000002</v>
      </c>
      <c r="AE27" s="101">
        <v>3.7471100000000002</v>
      </c>
      <c r="AF27" s="101">
        <v>3.6410399999999998</v>
      </c>
      <c r="AG27" s="101">
        <v>3.7907100000000002</v>
      </c>
      <c r="AH27" s="101">
        <v>3.52569</v>
      </c>
      <c r="AI27" s="101">
        <v>3.7459699999999998</v>
      </c>
      <c r="AJ27" s="101"/>
    </row>
    <row r="28" spans="2:36" ht="24" customHeight="1" x14ac:dyDescent="0.3">
      <c r="B28" s="51">
        <v>16</v>
      </c>
      <c r="C28" s="101">
        <v>3.8564319999999994</v>
      </c>
      <c r="D28" s="101">
        <v>3.9027355500000001</v>
      </c>
      <c r="E28" s="101">
        <v>3.8842557333333336</v>
      </c>
      <c r="F28" s="101">
        <v>3.8568443666666665</v>
      </c>
      <c r="G28" s="101">
        <v>3.8568443666666665</v>
      </c>
      <c r="H28" s="101">
        <v>3.7840648333333338</v>
      </c>
      <c r="I28" s="101">
        <v>3.7975668333333337</v>
      </c>
      <c r="J28" s="101">
        <v>3.7947093083333332</v>
      </c>
      <c r="K28" s="101">
        <v>3.8560519750000002</v>
      </c>
      <c r="L28" s="101"/>
      <c r="N28" s="14">
        <v>16</v>
      </c>
      <c r="O28" s="101">
        <v>3.9702725249999999</v>
      </c>
      <c r="P28" s="101">
        <v>4.0602795916666672</v>
      </c>
      <c r="Q28" s="101">
        <v>4.0077169999999995</v>
      </c>
      <c r="R28" s="101">
        <v>3.9707734333333335</v>
      </c>
      <c r="S28" s="101">
        <v>3.9707734333333335</v>
      </c>
      <c r="T28" s="101">
        <v>3.9677372500000003</v>
      </c>
      <c r="U28" s="101">
        <v>3.9653565833333326</v>
      </c>
      <c r="V28" s="101">
        <v>3.8686728583333334</v>
      </c>
      <c r="W28" s="101">
        <v>3.969638583333333</v>
      </c>
      <c r="X28" s="101"/>
      <c r="Z28" s="14">
        <v>16</v>
      </c>
      <c r="AA28" s="101">
        <v>3.7420900000000001</v>
      </c>
      <c r="AB28" s="101">
        <v>3.7960100000000003</v>
      </c>
      <c r="AC28" s="101">
        <v>3.7925500000000003</v>
      </c>
      <c r="AD28" s="101">
        <v>3.7428600000000003</v>
      </c>
      <c r="AE28" s="101">
        <v>3.7428600000000003</v>
      </c>
      <c r="AF28" s="101">
        <v>3.8460799999999997</v>
      </c>
      <c r="AG28" s="101">
        <v>3.8506999999999998</v>
      </c>
      <c r="AH28" s="101">
        <v>3.7109000000000001</v>
      </c>
      <c r="AI28" s="101">
        <v>3.74132</v>
      </c>
      <c r="AJ28" s="101"/>
    </row>
    <row r="29" spans="2:36" ht="24" customHeight="1" x14ac:dyDescent="0.3">
      <c r="B29" s="51">
        <v>17</v>
      </c>
      <c r="C29" s="101">
        <v>3.9702787916666678</v>
      </c>
      <c r="D29" s="101">
        <v>4.0218434583333336</v>
      </c>
      <c r="E29" s="101">
        <v>4.0051435666666659</v>
      </c>
      <c r="F29" s="101">
        <v>3.9707362333333331</v>
      </c>
      <c r="G29" s="101">
        <v>3.9707362333333331</v>
      </c>
      <c r="H29" s="101">
        <v>3.9411084249999999</v>
      </c>
      <c r="I29" s="101">
        <v>3.9383496333333339</v>
      </c>
      <c r="J29" s="101">
        <v>3.9349782000000011</v>
      </c>
      <c r="K29" s="101">
        <v>3.9696878749999995</v>
      </c>
      <c r="L29" s="101"/>
      <c r="N29" s="14">
        <v>17</v>
      </c>
      <c r="O29" s="101">
        <v>3.8128274416666663</v>
      </c>
      <c r="P29" s="101">
        <v>3.8753573416666662</v>
      </c>
      <c r="Q29" s="101">
        <v>3.8492916166666671</v>
      </c>
      <c r="R29" s="101">
        <v>3.8132422333333338</v>
      </c>
      <c r="S29" s="101">
        <v>3.8132422333333338</v>
      </c>
      <c r="T29" s="101">
        <v>3.8242136583333335</v>
      </c>
      <c r="U29" s="101">
        <v>3.8219191500000003</v>
      </c>
      <c r="V29" s="101">
        <v>3.807712225</v>
      </c>
      <c r="W29" s="101">
        <v>3.8122214583333336</v>
      </c>
      <c r="X29" s="101"/>
      <c r="Z29" s="14">
        <v>17</v>
      </c>
      <c r="AA29" s="101">
        <v>3.7304499999999998</v>
      </c>
      <c r="AB29" s="101">
        <v>3.7952199999999996</v>
      </c>
      <c r="AC29" s="101">
        <v>3.78443</v>
      </c>
      <c r="AD29" s="101">
        <v>3.73122</v>
      </c>
      <c r="AE29" s="101">
        <v>3.73122</v>
      </c>
      <c r="AF29" s="101">
        <v>3.8438000000000003</v>
      </c>
      <c r="AG29" s="101">
        <v>3.8546</v>
      </c>
      <c r="AH29" s="101">
        <v>3.7100200000000001</v>
      </c>
      <c r="AI29" s="101">
        <v>3.7293000000000003</v>
      </c>
      <c r="AJ29" s="101"/>
    </row>
    <row r="30" spans="2:36" ht="24" customHeight="1" x14ac:dyDescent="0.3">
      <c r="B30" s="51">
        <v>18</v>
      </c>
      <c r="C30" s="101">
        <v>5.7176443166666679</v>
      </c>
      <c r="D30" s="101">
        <v>5.8307734166666672</v>
      </c>
      <c r="E30" s="101">
        <v>5.7771683750000005</v>
      </c>
      <c r="F30" s="101">
        <v>5.7185874083333328</v>
      </c>
      <c r="G30" s="101">
        <v>5.7185874083333328</v>
      </c>
      <c r="H30" s="101">
        <v>5.684660375</v>
      </c>
      <c r="I30" s="101">
        <v>5.6806810999999993</v>
      </c>
      <c r="J30" s="101">
        <v>5.6623340916666667</v>
      </c>
      <c r="K30" s="101">
        <v>5.7166800583333339</v>
      </c>
      <c r="L30" s="101"/>
      <c r="N30" s="14">
        <v>18</v>
      </c>
      <c r="O30" s="101">
        <v>4.1457732833333329</v>
      </c>
      <c r="P30" s="101">
        <v>4.2167530583333335</v>
      </c>
      <c r="Q30" s="101">
        <v>4.1893340416666662</v>
      </c>
      <c r="R30" s="101">
        <v>4.1461890000000006</v>
      </c>
      <c r="S30" s="101">
        <v>4.1461890000000006</v>
      </c>
      <c r="T30" s="101">
        <v>4.1572729833333337</v>
      </c>
      <c r="U30" s="101">
        <v>4.1547786333333345</v>
      </c>
      <c r="V30" s="101">
        <v>4.1586230666666664</v>
      </c>
      <c r="W30" s="101">
        <v>4.145036366666667</v>
      </c>
      <c r="X30" s="101"/>
      <c r="Z30" s="14">
        <v>18</v>
      </c>
      <c r="AA30" s="101">
        <v>12.079750000000001</v>
      </c>
      <c r="AB30" s="101">
        <v>12.37607</v>
      </c>
      <c r="AC30" s="101">
        <v>12.25507</v>
      </c>
      <c r="AD30" s="101">
        <v>12.08222</v>
      </c>
      <c r="AE30" s="101">
        <v>12.08222</v>
      </c>
      <c r="AF30" s="101">
        <v>4.6369300000000004</v>
      </c>
      <c r="AG30" s="101">
        <v>12.343969999999999</v>
      </c>
      <c r="AH30" s="101">
        <v>11.609360000000001</v>
      </c>
      <c r="AI30" s="101">
        <v>12.076049999999999</v>
      </c>
      <c r="AJ30" s="101"/>
    </row>
    <row r="31" spans="2:36" ht="24" customHeight="1" x14ac:dyDescent="0.3">
      <c r="B31" s="51">
        <v>19</v>
      </c>
      <c r="C31" s="101">
        <v>5.6950278416666658</v>
      </c>
      <c r="D31" s="101">
        <v>5.8083062916666668</v>
      </c>
      <c r="E31" s="101">
        <v>5.7605079083333344</v>
      </c>
      <c r="F31" s="101">
        <v>5.6958108083333325</v>
      </c>
      <c r="G31" s="101">
        <v>5.6958108083333325</v>
      </c>
      <c r="H31" s="101">
        <v>5.6790085333333336</v>
      </c>
      <c r="I31" s="101">
        <v>5.6750332416666671</v>
      </c>
      <c r="J31" s="101">
        <v>5.6647313166666668</v>
      </c>
      <c r="K31" s="101">
        <v>5.6937172250000003</v>
      </c>
      <c r="L31" s="101"/>
      <c r="N31" s="14">
        <v>19</v>
      </c>
      <c r="O31" s="101">
        <v>5.6259961083333332</v>
      </c>
      <c r="P31" s="101">
        <v>5.7096946500000003</v>
      </c>
      <c r="Q31" s="101">
        <v>5.6918761416666666</v>
      </c>
      <c r="R31" s="101">
        <v>5.6267085333333338</v>
      </c>
      <c r="S31" s="101">
        <v>5.6267085333333338</v>
      </c>
      <c r="T31" s="101">
        <v>5.672621266666666</v>
      </c>
      <c r="U31" s="101">
        <v>5.6690446666666672</v>
      </c>
      <c r="V31" s="101">
        <v>5.6341959749999999</v>
      </c>
      <c r="W31" s="101">
        <v>5.6246961166666658</v>
      </c>
      <c r="X31" s="101"/>
      <c r="Z31" s="14">
        <v>19</v>
      </c>
      <c r="AA31" s="101">
        <v>4.5629499999999998</v>
      </c>
      <c r="AB31" s="101">
        <v>4.68093</v>
      </c>
      <c r="AC31" s="101">
        <v>4.6305699999999996</v>
      </c>
      <c r="AD31" s="101">
        <v>4.5634199999999998</v>
      </c>
      <c r="AE31" s="101">
        <v>4.5634199999999998</v>
      </c>
      <c r="AF31" s="101">
        <v>4.6408300000000002</v>
      </c>
      <c r="AG31" s="101">
        <v>4.66228</v>
      </c>
      <c r="AH31" s="101">
        <v>4.3955399999999996</v>
      </c>
      <c r="AI31" s="101">
        <v>4.5615500000000004</v>
      </c>
      <c r="AJ31" s="101"/>
    </row>
    <row r="32" spans="2:36" ht="24" customHeight="1" x14ac:dyDescent="0.3">
      <c r="B32" s="51">
        <v>20</v>
      </c>
      <c r="C32" s="101">
        <v>4.7934165250000005</v>
      </c>
      <c r="D32" s="101">
        <v>4.9190358000000005</v>
      </c>
      <c r="E32" s="101">
        <v>4.8486188166666659</v>
      </c>
      <c r="F32" s="101">
        <v>4.794167933333334</v>
      </c>
      <c r="G32" s="101">
        <v>4.794167933333334</v>
      </c>
      <c r="H32" s="101">
        <v>4.7822139749999995</v>
      </c>
      <c r="I32" s="101">
        <v>4.7788664333333335</v>
      </c>
      <c r="J32" s="101">
        <v>4.8205476750000011</v>
      </c>
      <c r="K32" s="101">
        <v>4.7924001750000009</v>
      </c>
      <c r="L32" s="101"/>
      <c r="N32" s="14">
        <v>20</v>
      </c>
      <c r="O32" s="101">
        <v>3.8450098833333328</v>
      </c>
      <c r="P32" s="101">
        <v>3.8981944583333332</v>
      </c>
      <c r="Q32" s="101">
        <v>3.8907333416666674</v>
      </c>
      <c r="R32" s="101">
        <v>3.8455630250000001</v>
      </c>
      <c r="S32" s="101">
        <v>3.8455630250000001</v>
      </c>
      <c r="T32" s="101">
        <v>3.9060623333333333</v>
      </c>
      <c r="U32" s="101">
        <v>3.9034230166666672</v>
      </c>
      <c r="V32" s="101">
        <v>4.0411124499999991</v>
      </c>
      <c r="W32" s="101">
        <v>3.8441928833333332</v>
      </c>
      <c r="X32" s="101"/>
      <c r="Z32" s="14">
        <v>20</v>
      </c>
      <c r="AA32" s="101">
        <v>4.5198</v>
      </c>
      <c r="AB32" s="101">
        <v>4.6572899999999997</v>
      </c>
      <c r="AC32" s="101">
        <v>4.5887799999999999</v>
      </c>
      <c r="AD32" s="101">
        <v>4.5202600000000004</v>
      </c>
      <c r="AE32" s="101">
        <v>4.5202600000000004</v>
      </c>
      <c r="AF32" s="101">
        <v>4.6049799999999994</v>
      </c>
      <c r="AG32" s="101">
        <v>4.62859</v>
      </c>
      <c r="AH32" s="101">
        <v>4.4447999999999999</v>
      </c>
      <c r="AI32" s="101">
        <v>4.5184100000000003</v>
      </c>
      <c r="AJ32" s="101"/>
    </row>
    <row r="33" spans="2:36" ht="24" customHeight="1" x14ac:dyDescent="0.3">
      <c r="B33" s="51">
        <v>21</v>
      </c>
      <c r="C33" s="101">
        <v>3.9587814583333332</v>
      </c>
      <c r="D33" s="101">
        <v>4.086430225</v>
      </c>
      <c r="E33" s="101">
        <v>4.0064594250000001</v>
      </c>
      <c r="F33" s="101">
        <v>3.9592109083333327</v>
      </c>
      <c r="G33" s="101">
        <v>3.9592109083333327</v>
      </c>
      <c r="H33" s="101">
        <v>3.9674709250000002</v>
      </c>
      <c r="I33" s="101">
        <v>3.9646936749999999</v>
      </c>
      <c r="J33" s="101">
        <v>4.0389777250000005</v>
      </c>
      <c r="K33" s="101">
        <v>3.9578868000000003</v>
      </c>
      <c r="L33" s="101"/>
      <c r="N33" s="14">
        <v>21</v>
      </c>
      <c r="O33" s="101">
        <v>3.9479472416666668</v>
      </c>
      <c r="P33" s="101">
        <v>4.0041775583333346</v>
      </c>
      <c r="Q33" s="101">
        <v>3.9938113500000001</v>
      </c>
      <c r="R33" s="101">
        <v>3.9483814916666664</v>
      </c>
      <c r="S33" s="101">
        <v>3.9483814916666664</v>
      </c>
      <c r="T33" s="101">
        <v>4.0162642833333342</v>
      </c>
      <c r="U33" s="101">
        <v>4.0139481833333335</v>
      </c>
      <c r="V33" s="101">
        <v>4.1685431583333328</v>
      </c>
      <c r="W33" s="101">
        <v>3.947253091666667</v>
      </c>
      <c r="X33" s="101"/>
      <c r="Z33" s="14">
        <v>21</v>
      </c>
      <c r="AA33" s="101">
        <v>3.8011699999999999</v>
      </c>
      <c r="AB33" s="101">
        <v>3.9188700000000001</v>
      </c>
      <c r="AC33" s="101">
        <v>3.8598300000000001</v>
      </c>
      <c r="AD33" s="101">
        <v>3.8015599999999998</v>
      </c>
      <c r="AE33" s="101">
        <v>3.8015599999999998</v>
      </c>
      <c r="AF33" s="101">
        <v>3.8915000000000002</v>
      </c>
      <c r="AG33" s="101">
        <v>3.9094899999999999</v>
      </c>
      <c r="AH33" s="101">
        <v>3.8402800000000004</v>
      </c>
      <c r="AI33" s="101">
        <v>3.8</v>
      </c>
      <c r="AJ33" s="101"/>
    </row>
    <row r="34" spans="2:36" ht="24" customHeight="1" x14ac:dyDescent="0.3">
      <c r="B34" s="51">
        <v>22</v>
      </c>
      <c r="C34" s="101">
        <v>4.316152175</v>
      </c>
      <c r="D34" s="101">
        <v>4.4478364499999996</v>
      </c>
      <c r="E34" s="101">
        <v>4.3654351416666657</v>
      </c>
      <c r="F34" s="101">
        <v>4.3167236249999998</v>
      </c>
      <c r="G34" s="101">
        <v>4.3167236249999998</v>
      </c>
      <c r="H34" s="101">
        <v>4.3233641916666663</v>
      </c>
      <c r="I34" s="101">
        <v>4.3203865749999997</v>
      </c>
      <c r="J34" s="101">
        <v>4.3983496666666664</v>
      </c>
      <c r="K34" s="101">
        <v>4.3153885250000004</v>
      </c>
      <c r="L34" s="101"/>
      <c r="N34" s="14">
        <v>22</v>
      </c>
      <c r="O34" s="101">
        <v>7.4430826083333335</v>
      </c>
      <c r="P34" s="101">
        <v>7.561716875000001</v>
      </c>
      <c r="Q34" s="101">
        <v>7.5299313916666675</v>
      </c>
      <c r="R34" s="101">
        <v>7.4438803666666669</v>
      </c>
      <c r="S34" s="101">
        <v>7.4438803666666669</v>
      </c>
      <c r="T34" s="101">
        <v>7.6492668749999986</v>
      </c>
      <c r="U34" s="101">
        <v>7.616180925000001</v>
      </c>
      <c r="V34" s="101">
        <v>8.095385649999999</v>
      </c>
      <c r="W34" s="101">
        <v>7.4418441000000009</v>
      </c>
      <c r="X34" s="101"/>
      <c r="Z34" s="14">
        <v>22</v>
      </c>
      <c r="AA34" s="101">
        <v>3.7417399999999996</v>
      </c>
      <c r="AB34" s="101">
        <v>3.8506900000000002</v>
      </c>
      <c r="AC34" s="101">
        <v>3.8020500000000004</v>
      </c>
      <c r="AD34" s="101">
        <v>3.7425100000000002</v>
      </c>
      <c r="AE34" s="101">
        <v>3.7425100000000002</v>
      </c>
      <c r="AF34" s="101">
        <v>3.8499099999999999</v>
      </c>
      <c r="AG34" s="101">
        <v>3.8903799999999999</v>
      </c>
      <c r="AH34" s="101">
        <v>3.9958299999999998</v>
      </c>
      <c r="AI34" s="101">
        <v>3.74057</v>
      </c>
      <c r="AJ34" s="101"/>
    </row>
    <row r="35" spans="2:36" ht="24" customHeight="1" x14ac:dyDescent="0.3">
      <c r="B35" s="51">
        <v>23</v>
      </c>
      <c r="C35" s="101">
        <v>3.6445149916666666</v>
      </c>
      <c r="D35" s="101">
        <v>3.7327585583333334</v>
      </c>
      <c r="E35" s="101">
        <v>3.6749656749999993</v>
      </c>
      <c r="F35" s="101">
        <v>3.6449095666666667</v>
      </c>
      <c r="G35" s="101">
        <v>3.6449095666666667</v>
      </c>
      <c r="H35" s="101">
        <v>3.6212140166666669</v>
      </c>
      <c r="I35" s="101">
        <v>3.6186791666666669</v>
      </c>
      <c r="J35" s="101">
        <v>3.7354744583333326</v>
      </c>
      <c r="K35" s="101">
        <v>3.644109883333333</v>
      </c>
      <c r="L35" s="101"/>
      <c r="N35" s="14">
        <v>23</v>
      </c>
      <c r="O35" s="101">
        <v>5.0952571749999995</v>
      </c>
      <c r="P35" s="101">
        <v>5.2118493500000005</v>
      </c>
      <c r="Q35" s="101">
        <v>5.1609406916666662</v>
      </c>
      <c r="R35" s="101">
        <v>5.0958899250000007</v>
      </c>
      <c r="S35" s="101">
        <v>5.0958899250000007</v>
      </c>
      <c r="T35" s="101">
        <v>5.5679747583333343</v>
      </c>
      <c r="U35" s="101">
        <v>5.2485644499999999</v>
      </c>
      <c r="V35" s="101">
        <v>5.6338494666666667</v>
      </c>
      <c r="W35" s="101">
        <v>5.0942947083333339</v>
      </c>
      <c r="X35" s="101"/>
      <c r="Z35" s="14">
        <v>23</v>
      </c>
      <c r="AA35" s="101">
        <v>3.6240700000000001</v>
      </c>
      <c r="AB35" s="101">
        <v>3.70059</v>
      </c>
      <c r="AC35" s="101">
        <v>3.6604899999999998</v>
      </c>
      <c r="AD35" s="101">
        <v>3.6244299999999998</v>
      </c>
      <c r="AE35" s="101">
        <v>3.6244299999999998</v>
      </c>
      <c r="AF35" s="101">
        <v>3.6450300000000002</v>
      </c>
      <c r="AG35" s="101">
        <v>3.67814</v>
      </c>
      <c r="AH35" s="101">
        <v>3.7090500000000004</v>
      </c>
      <c r="AI35" s="101">
        <v>3.6236999999999999</v>
      </c>
      <c r="AJ35" s="101"/>
    </row>
    <row r="36" spans="2:36" ht="24" customHeight="1" x14ac:dyDescent="0.3">
      <c r="B36" s="51">
        <v>24</v>
      </c>
      <c r="C36" s="101">
        <v>3.9169819083333337</v>
      </c>
      <c r="D36" s="101">
        <v>4.0129679416666661</v>
      </c>
      <c r="E36" s="101">
        <v>3.9505210750000006</v>
      </c>
      <c r="F36" s="101">
        <v>3.917196150000001</v>
      </c>
      <c r="G36" s="101">
        <v>3.917196150000001</v>
      </c>
      <c r="H36" s="101">
        <v>3.914615575</v>
      </c>
      <c r="I36" s="101">
        <v>3.9118543749999994</v>
      </c>
      <c r="J36" s="101">
        <v>4.0742088500000007</v>
      </c>
      <c r="K36" s="101">
        <v>3.9165068833333336</v>
      </c>
      <c r="L36" s="101"/>
      <c r="N36" s="14">
        <v>24</v>
      </c>
      <c r="O36" s="101">
        <v>3.818005041666666</v>
      </c>
      <c r="P36" s="101">
        <v>3.8814409083333326</v>
      </c>
      <c r="Q36" s="101">
        <v>3.8621346083333337</v>
      </c>
      <c r="R36" s="101">
        <v>3.8184617750000003</v>
      </c>
      <c r="S36" s="101">
        <v>3.8184617750000003</v>
      </c>
      <c r="T36" s="101">
        <v>4.05628995</v>
      </c>
      <c r="U36" s="101">
        <v>3.9322862999999995</v>
      </c>
      <c r="V36" s="101">
        <v>4.2172365750000003</v>
      </c>
      <c r="W36" s="101">
        <v>3.8174400333333338</v>
      </c>
      <c r="X36" s="101"/>
      <c r="Z36" s="14">
        <v>24</v>
      </c>
      <c r="AA36" s="101">
        <v>3.5833200000000001</v>
      </c>
      <c r="AB36" s="101">
        <v>3.6533800000000003</v>
      </c>
      <c r="AC36" s="101">
        <v>3.6207399999999996</v>
      </c>
      <c r="AD36" s="101">
        <v>3.5836900000000003</v>
      </c>
      <c r="AE36" s="101">
        <v>3.5836900000000003</v>
      </c>
      <c r="AF36" s="101">
        <v>3.64018</v>
      </c>
      <c r="AG36" s="101">
        <v>3.6673200000000001</v>
      </c>
      <c r="AH36" s="101">
        <v>3.7714899999999996</v>
      </c>
      <c r="AI36" s="101">
        <v>3.5829499999999999</v>
      </c>
      <c r="AJ36" s="101"/>
    </row>
    <row r="37" spans="2:36" ht="24" customHeight="1" x14ac:dyDescent="0.3">
      <c r="B37" s="51" t="s">
        <v>66</v>
      </c>
      <c r="C37" s="94">
        <f>IFERROR(AVERAGE(C13:C36),0)</f>
        <v>3.5348362475694444</v>
      </c>
      <c r="D37" s="94">
        <f t="shared" ref="D37:L37" si="0">IFERROR(AVERAGE(D13:D36),0)</f>
        <v>3.5935122631944445</v>
      </c>
      <c r="E37" s="94">
        <f t="shared" si="0"/>
        <v>3.560521849652778</v>
      </c>
      <c r="F37" s="94">
        <f t="shared" si="0"/>
        <v>3.5351491475694434</v>
      </c>
      <c r="G37" s="94">
        <f t="shared" si="0"/>
        <v>3.5351491475694434</v>
      </c>
      <c r="H37" s="94">
        <f t="shared" si="0"/>
        <v>3.4499773315972226</v>
      </c>
      <c r="I37" s="94">
        <f t="shared" si="0"/>
        <v>3.4881933322916669</v>
      </c>
      <c r="J37" s="94">
        <f t="shared" si="0"/>
        <v>3.4969582618055548</v>
      </c>
      <c r="K37" s="94">
        <f t="shared" si="0"/>
        <v>3.5344386354166666</v>
      </c>
      <c r="L37" s="94">
        <f t="shared" si="0"/>
        <v>0</v>
      </c>
      <c r="N37" s="14" t="s">
        <v>66</v>
      </c>
      <c r="O37" s="94">
        <f>IFERROR(AVERAGE(O13:O36),0)</f>
        <v>3.7402199840277777</v>
      </c>
      <c r="P37" s="94">
        <f t="shared" ref="P37" si="1">IFERROR(AVERAGE(P13:P36),0)</f>
        <v>3.7988169697916674</v>
      </c>
      <c r="Q37" s="94">
        <f t="shared" ref="Q37" si="2">IFERROR(AVERAGE(Q13:Q36),0)</f>
        <v>3.7712501930555558</v>
      </c>
      <c r="R37" s="94">
        <f t="shared" ref="R37" si="3">IFERROR(AVERAGE(R13:R36),0)</f>
        <v>3.7405562402777774</v>
      </c>
      <c r="S37" s="94">
        <f t="shared" ref="S37" si="4">IFERROR(AVERAGE(S13:S36),0)</f>
        <v>3.7405562402777774</v>
      </c>
      <c r="T37" s="94">
        <f t="shared" ref="T37" si="5">IFERROR(AVERAGE(T13:T36),0)</f>
        <v>3.7423256940972216</v>
      </c>
      <c r="U37" s="94">
        <f t="shared" ref="U37" si="6">IFERROR(AVERAGE(U13:U36),0)</f>
        <v>3.7439762583333334</v>
      </c>
      <c r="V37" s="94">
        <f t="shared" ref="V37" si="7">IFERROR(AVERAGE(V13:V36),0)</f>
        <v>3.8256244552083332</v>
      </c>
      <c r="W37" s="94">
        <f t="shared" ref="W37" si="8">IFERROR(AVERAGE(W13:W36),0)</f>
        <v>3.7397682267361119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3.8634529166666667</v>
      </c>
      <c r="AB37" s="94">
        <f t="shared" ref="AB37:AJ37" si="10">IFERROR(AVERAGE(AB13:AB36),0)</f>
        <v>3.9273487500000002</v>
      </c>
      <c r="AC37" s="94">
        <f t="shared" si="10"/>
        <v>3.9005083333333332</v>
      </c>
      <c r="AD37" s="94">
        <f t="shared" si="10"/>
        <v>3.8638549999999992</v>
      </c>
      <c r="AE37" s="94">
        <f t="shared" si="10"/>
        <v>3.8638549999999992</v>
      </c>
      <c r="AF37" s="94">
        <f t="shared" si="10"/>
        <v>3.5059212499999997</v>
      </c>
      <c r="AG37" s="94">
        <f t="shared" si="10"/>
        <v>3.8993608333333323</v>
      </c>
      <c r="AH37" s="94">
        <f t="shared" si="10"/>
        <v>3.8002116666666672</v>
      </c>
      <c r="AI37" s="94">
        <f t="shared" si="10"/>
        <v>3.8628958333333334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45671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Z11:Z12"/>
    <mergeCell ref="AA11:AE11"/>
    <mergeCell ref="AF11:AJ11"/>
    <mergeCell ref="O11:S11"/>
    <mergeCell ref="T11:X11"/>
    <mergeCell ref="C4:E4"/>
    <mergeCell ref="C11:G11"/>
    <mergeCell ref="B11:B12"/>
    <mergeCell ref="H11:L11"/>
    <mergeCell ref="N11:N12"/>
    <mergeCell ref="C6:E6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zoomScale="77" zoomScaleNormal="91" workbookViewId="0">
      <selection activeCell="S11" sqref="S11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84">
        <f>'1. Rates'!C4</f>
        <v>45671</v>
      </c>
      <c r="D2" s="185"/>
      <c r="E2" s="186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72" t="s">
        <v>52</v>
      </c>
      <c r="C7" s="178" t="s">
        <v>109</v>
      </c>
      <c r="D7" s="179"/>
      <c r="E7" s="179"/>
      <c r="F7" s="179"/>
      <c r="G7" s="180"/>
      <c r="H7" s="178" t="s">
        <v>110</v>
      </c>
      <c r="I7" s="179"/>
      <c r="J7" s="179"/>
      <c r="K7" s="179"/>
      <c r="L7" s="180"/>
      <c r="M7" s="181" t="s">
        <v>111</v>
      </c>
      <c r="N7" s="182"/>
      <c r="O7" s="182"/>
      <c r="P7" s="182"/>
      <c r="Q7" s="183"/>
      <c r="S7" s="181" t="s">
        <v>112</v>
      </c>
      <c r="T7" s="182"/>
      <c r="U7" s="182"/>
      <c r="V7" s="182"/>
      <c r="W7" s="183"/>
    </row>
    <row r="8" spans="2:24" ht="32.25" customHeight="1" x14ac:dyDescent="0.3">
      <c r="B8" s="173"/>
      <c r="C8" s="175">
        <f>C2-7</f>
        <v>45664</v>
      </c>
      <c r="D8" s="176"/>
      <c r="E8" s="176"/>
      <c r="F8" s="176"/>
      <c r="G8" s="177"/>
      <c r="H8" s="175">
        <f>C2-2</f>
        <v>45669</v>
      </c>
      <c r="I8" s="176"/>
      <c r="J8" s="176"/>
      <c r="K8" s="176"/>
      <c r="L8" s="177"/>
      <c r="M8" s="175">
        <f>C2</f>
        <v>45671</v>
      </c>
      <c r="N8" s="176"/>
      <c r="O8" s="176"/>
      <c r="P8" s="176"/>
      <c r="Q8" s="177"/>
      <c r="S8" s="175">
        <f>M8</f>
        <v>45671</v>
      </c>
      <c r="T8" s="176"/>
      <c r="U8" s="176"/>
      <c r="V8" s="176"/>
      <c r="W8" s="177"/>
    </row>
    <row r="9" spans="2:24" ht="45" customHeight="1" x14ac:dyDescent="0.3">
      <c r="B9" s="174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3.0308530449999997</v>
      </c>
      <c r="E10" s="116">
        <v>73814.317429335482</v>
      </c>
      <c r="F10" s="116">
        <v>5798.1720000000005</v>
      </c>
      <c r="G10" s="107">
        <f>E10-F10</f>
        <v>68016.145429335476</v>
      </c>
      <c r="H10" s="115"/>
      <c r="I10" s="106">
        <f>IFERROR(AVERAGE('1. Rates'!O13:S13),0)</f>
        <v>3.7843357316666668</v>
      </c>
      <c r="J10" s="116">
        <v>73893.115005451167</v>
      </c>
      <c r="K10" s="116">
        <v>5804.2039999999997</v>
      </c>
      <c r="L10" s="107">
        <f>J10-K10</f>
        <v>68088.911005451169</v>
      </c>
      <c r="M10" s="108" t="e">
        <f>IF(S10="",AVERAGE(C10,H10),S10)</f>
        <v>#DIV/0!</v>
      </c>
      <c r="N10" s="109">
        <f>IF(T10="",(IFERROR(AVERAGE('1. Rates'!AA13:AE13),0)),T10)</f>
        <v>3.432319308611111</v>
      </c>
      <c r="O10" s="107">
        <f>IF(U10="",AVERAGE(E10,J10),U10)</f>
        <v>74592.25337956725</v>
      </c>
      <c r="P10" s="107">
        <f>IF(V10="",AVERAGE(F10,K10),V10)</f>
        <v>5801.1880000000001</v>
      </c>
      <c r="Q10" s="107">
        <f>O10-P10</f>
        <v>68791.065379567255</v>
      </c>
      <c r="S10" s="117"/>
      <c r="T10" s="118">
        <v>3.432319308611111</v>
      </c>
      <c r="U10" s="116">
        <v>74592.25337956725</v>
      </c>
      <c r="V10" s="116"/>
      <c r="W10" s="116"/>
    </row>
    <row r="11" spans="2:24" x14ac:dyDescent="0.3">
      <c r="B11" s="105">
        <v>2</v>
      </c>
      <c r="C11" s="115"/>
      <c r="D11" s="106">
        <f>IFERROR(AVERAGE('1. Rates'!C14:G14),0)</f>
        <v>2.7884749483333331</v>
      </c>
      <c r="E11" s="116">
        <v>70193.699987764499</v>
      </c>
      <c r="F11" s="116">
        <v>5614.0080000000007</v>
      </c>
      <c r="G11" s="107">
        <f t="shared" ref="G11:G33" si="0">E11-F11</f>
        <v>64579.691987764498</v>
      </c>
      <c r="H11" s="115"/>
      <c r="I11" s="106">
        <f>IFERROR(AVERAGE('1. Rates'!O14:S14),0)</f>
        <v>3.5701725500000001</v>
      </c>
      <c r="J11" s="116">
        <v>70672.182037704333</v>
      </c>
      <c r="K11" s="116">
        <v>5669.43</v>
      </c>
      <c r="L11" s="107">
        <f t="shared" ref="L11:L33" si="1">J11-K11</f>
        <v>65002.752037704333</v>
      </c>
      <c r="M11" s="108" t="e">
        <f t="shared" ref="M11:M33" si="2">IF(S11="",AVERAGE(C11,H11),S11)</f>
        <v>#DIV/0!</v>
      </c>
      <c r="N11" s="109">
        <f>IF(T11="",(IFERROR(AVERAGE('1. Rates'!AA14:AE14),0)),T11)</f>
        <v>3.1433788605555555</v>
      </c>
      <c r="O11" s="107">
        <f t="shared" ref="O11:O33" si="3">IF(U11="",AVERAGE(E11,J11),U11)</f>
        <v>71137.270422861766</v>
      </c>
      <c r="P11" s="107">
        <f t="shared" ref="P11:P33" si="4">IF(V11="",AVERAGE(F11,K11),V11)</f>
        <v>5641.719000000001</v>
      </c>
      <c r="Q11" s="107">
        <f t="shared" ref="Q11:Q33" si="5">O11-P11</f>
        <v>65495.551422861769</v>
      </c>
      <c r="S11" s="117"/>
      <c r="T11" s="118">
        <v>3.1433788605555555</v>
      </c>
      <c r="U11" s="116">
        <v>71137.270422861766</v>
      </c>
      <c r="V11" s="116"/>
      <c r="W11" s="116"/>
    </row>
    <row r="12" spans="2:24" x14ac:dyDescent="0.3">
      <c r="B12" s="105">
        <v>3</v>
      </c>
      <c r="C12" s="115"/>
      <c r="D12" s="106">
        <f>IFERROR(AVERAGE('1. Rates'!C15:G15),0)</f>
        <v>2.3732842783333332</v>
      </c>
      <c r="E12" s="116">
        <v>67262.657598575359</v>
      </c>
      <c r="F12" s="116">
        <v>5481.5949999999993</v>
      </c>
      <c r="G12" s="107">
        <f t="shared" si="0"/>
        <v>61781.062598575358</v>
      </c>
      <c r="H12" s="115"/>
      <c r="I12" s="106">
        <f>IFERROR(AVERAGE('1. Rates'!O15:S15),0)</f>
        <v>2.767274056666666</v>
      </c>
      <c r="J12" s="116">
        <v>67796.894216942455</v>
      </c>
      <c r="K12" s="116">
        <v>5600.594000000001</v>
      </c>
      <c r="L12" s="107">
        <f t="shared" si="1"/>
        <v>62196.300216942458</v>
      </c>
      <c r="M12" s="108" t="e">
        <f t="shared" si="2"/>
        <v>#DIV/0!</v>
      </c>
      <c r="N12" s="109">
        <f>IF(T12="",(IFERROR(AVERAGE('1. Rates'!AA15:AE15),0)),T12)</f>
        <v>2.7841620736111108</v>
      </c>
      <c r="O12" s="107">
        <f t="shared" si="3"/>
        <v>68205.073666836499</v>
      </c>
      <c r="P12" s="107">
        <f t="shared" si="4"/>
        <v>5541.0945000000002</v>
      </c>
      <c r="Q12" s="107">
        <f t="shared" si="5"/>
        <v>62663.9791668365</v>
      </c>
      <c r="S12" s="117"/>
      <c r="T12" s="118">
        <v>2.7841620736111108</v>
      </c>
      <c r="U12" s="116">
        <v>68205.073666836499</v>
      </c>
      <c r="V12" s="116"/>
      <c r="W12" s="116"/>
    </row>
    <row r="13" spans="2:24" x14ac:dyDescent="0.3">
      <c r="B13" s="105">
        <v>4</v>
      </c>
      <c r="C13" s="115"/>
      <c r="D13" s="106">
        <f>IFERROR(AVERAGE('1. Rates'!C16:G16),0)</f>
        <v>2.4677158349999999</v>
      </c>
      <c r="E13" s="116">
        <v>65133.591654069591</v>
      </c>
      <c r="F13" s="116">
        <v>5463.7430000000004</v>
      </c>
      <c r="G13" s="107">
        <f t="shared" si="0"/>
        <v>59669.848654069589</v>
      </c>
      <c r="H13" s="115"/>
      <c r="I13" s="106">
        <f>IFERROR(AVERAGE('1. Rates'!O16:S16),0)</f>
        <v>2.8224030383333334</v>
      </c>
      <c r="J13" s="116">
        <v>65096.897671210907</v>
      </c>
      <c r="K13" s="116">
        <v>5568.8170000000009</v>
      </c>
      <c r="L13" s="107">
        <f t="shared" si="1"/>
        <v>59528.080671210904</v>
      </c>
      <c r="M13" s="108" t="e">
        <f t="shared" si="2"/>
        <v>#DIV/0!</v>
      </c>
      <c r="N13" s="109">
        <f>IF(T13="",(IFERROR(AVERAGE('1. Rates'!AA16:AE16),0)),T13)</f>
        <v>2.6715373602777777</v>
      </c>
      <c r="O13" s="107">
        <f t="shared" si="3"/>
        <v>65766.397109266662</v>
      </c>
      <c r="P13" s="107">
        <f t="shared" si="4"/>
        <v>5516.2800000000007</v>
      </c>
      <c r="Q13" s="107">
        <f t="shared" si="5"/>
        <v>60250.117109266663</v>
      </c>
      <c r="S13" s="117"/>
      <c r="T13" s="118">
        <v>2.6715373602777777</v>
      </c>
      <c r="U13" s="116">
        <v>65766.397109266662</v>
      </c>
      <c r="V13" s="116"/>
      <c r="W13" s="116"/>
    </row>
    <row r="14" spans="2:24" x14ac:dyDescent="0.3">
      <c r="B14" s="105">
        <v>5</v>
      </c>
      <c r="C14" s="115"/>
      <c r="D14" s="106">
        <f>IFERROR(AVERAGE('1. Rates'!C17:G17),0)</f>
        <v>2.8093155999999997</v>
      </c>
      <c r="E14" s="116">
        <v>65048.10925742962</v>
      </c>
      <c r="F14" s="116">
        <v>5467.7550000000001</v>
      </c>
      <c r="G14" s="107">
        <f t="shared" si="0"/>
        <v>59580.354257429623</v>
      </c>
      <c r="H14" s="115"/>
      <c r="I14" s="106">
        <f>IFERROR(AVERAGE('1. Rates'!O17:S17),0)</f>
        <v>3.227774721666667</v>
      </c>
      <c r="J14" s="116">
        <v>63976.146823139301</v>
      </c>
      <c r="K14" s="116">
        <v>5526.2470000000003</v>
      </c>
      <c r="L14" s="107">
        <f t="shared" si="1"/>
        <v>58449.899823139298</v>
      </c>
      <c r="M14" s="108" t="e">
        <f t="shared" si="2"/>
        <v>#DIV/0!</v>
      </c>
      <c r="N14" s="109">
        <f>IF(T14="",(IFERROR(AVERAGE('1. Rates'!AA17:AE17),0)),T14)</f>
        <v>3.1040687224999997</v>
      </c>
      <c r="O14" s="107">
        <f t="shared" si="3"/>
        <v>64512.128040284457</v>
      </c>
      <c r="P14" s="107">
        <f t="shared" si="4"/>
        <v>5497.0010000000002</v>
      </c>
      <c r="Q14" s="107">
        <f t="shared" si="5"/>
        <v>59015.127040284453</v>
      </c>
      <c r="S14" s="117"/>
      <c r="T14" s="118">
        <v>3.1040687224999997</v>
      </c>
      <c r="U14" s="116">
        <v>64512.128040284457</v>
      </c>
      <c r="V14" s="116"/>
      <c r="W14" s="116"/>
    </row>
    <row r="15" spans="2:24" x14ac:dyDescent="0.3">
      <c r="B15" s="105">
        <v>6</v>
      </c>
      <c r="C15" s="115"/>
      <c r="D15" s="106">
        <f>IFERROR(AVERAGE('1. Rates'!C18:G18),0)</f>
        <v>2.9351346666666664</v>
      </c>
      <c r="E15" s="116">
        <v>67810.61612347723</v>
      </c>
      <c r="F15" s="116">
        <v>5585.5410000000002</v>
      </c>
      <c r="G15" s="107">
        <f t="shared" si="0"/>
        <v>62225.075123477232</v>
      </c>
      <c r="H15" s="115"/>
      <c r="I15" s="106">
        <f>IFERROR(AVERAGE('1. Rates'!O18:S18),0)</f>
        <v>3.4149325416666665</v>
      </c>
      <c r="J15" s="116">
        <v>64528.41440765369</v>
      </c>
      <c r="K15" s="116">
        <v>5937.2549999999992</v>
      </c>
      <c r="L15" s="107">
        <f t="shared" si="1"/>
        <v>58591.159407653693</v>
      </c>
      <c r="M15" s="108" t="e">
        <f t="shared" si="2"/>
        <v>#DIV/0!</v>
      </c>
      <c r="N15" s="109">
        <f>IF(T15="",(IFERROR(AVERAGE('1. Rates'!AA18:AE18),0)),T15)</f>
        <v>3.4127072652777777</v>
      </c>
      <c r="O15" s="107">
        <f t="shared" si="3"/>
        <v>65514.371550064803</v>
      </c>
      <c r="P15" s="107">
        <f t="shared" si="4"/>
        <v>5761.3979999999992</v>
      </c>
      <c r="Q15" s="107">
        <f t="shared" si="5"/>
        <v>59752.973550064802</v>
      </c>
      <c r="S15" s="117"/>
      <c r="T15" s="118">
        <v>3.4127072652777777</v>
      </c>
      <c r="U15" s="116">
        <v>65514.371550064803</v>
      </c>
      <c r="V15" s="116"/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3.5966188899999998</v>
      </c>
      <c r="E16" s="116">
        <v>69408.330364822526</v>
      </c>
      <c r="F16" s="116">
        <v>5965.4230000000007</v>
      </c>
      <c r="G16" s="107">
        <f t="shared" si="0"/>
        <v>63442.907364822524</v>
      </c>
      <c r="H16" s="115"/>
      <c r="I16" s="106">
        <f>IFERROR(AVERAGE('1. Rates'!O19:S19),0)</f>
        <v>3.4744300066666667</v>
      </c>
      <c r="J16" s="116">
        <v>65904.134873199466</v>
      </c>
      <c r="K16" s="116">
        <v>6241.3450000000003</v>
      </c>
      <c r="L16" s="107">
        <f t="shared" si="1"/>
        <v>59662.789873199465</v>
      </c>
      <c r="M16" s="108" t="e">
        <f t="shared" si="2"/>
        <v>#DIV/0!</v>
      </c>
      <c r="N16" s="109">
        <f>IF(T16="",(IFERROR(AVERAGE('1. Rates'!AA19:AE19),0)),T16)</f>
        <v>3.3229126908333328</v>
      </c>
      <c r="O16" s="107">
        <f t="shared" si="3"/>
        <v>66986.368929713848</v>
      </c>
      <c r="P16" s="107">
        <f t="shared" si="4"/>
        <v>6103.384</v>
      </c>
      <c r="Q16" s="107">
        <f t="shared" si="5"/>
        <v>60882.98492971385</v>
      </c>
      <c r="R16" s="110"/>
      <c r="S16" s="117"/>
      <c r="T16" s="118">
        <v>3.3229126908333328</v>
      </c>
      <c r="U16" s="116">
        <v>66986.368929713848</v>
      </c>
      <c r="V16" s="116"/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2.4681066083333332</v>
      </c>
      <c r="E17" s="116">
        <v>73052.961894822118</v>
      </c>
      <c r="F17" s="116">
        <v>6821.5779999999995</v>
      </c>
      <c r="G17" s="107">
        <f t="shared" si="0"/>
        <v>66231.383894822124</v>
      </c>
      <c r="H17" s="115"/>
      <c r="I17" s="106">
        <f>IFERROR(AVERAGE('1. Rates'!O20:S20),0)</f>
        <v>2.6686039433333333</v>
      </c>
      <c r="J17" s="116">
        <v>72166.937118564427</v>
      </c>
      <c r="K17" s="116">
        <v>6995.6080000000002</v>
      </c>
      <c r="L17" s="107">
        <f t="shared" si="1"/>
        <v>65171.329118564427</v>
      </c>
      <c r="M17" s="108" t="e">
        <f t="shared" si="2"/>
        <v>#DIV/0!</v>
      </c>
      <c r="N17" s="109">
        <f>IF(T17="",(IFERROR(AVERAGE('1. Rates'!AA20:AE20),0)),T17)</f>
        <v>3.0966381145833339</v>
      </c>
      <c r="O17" s="107">
        <f t="shared" si="3"/>
        <v>71891.039115537889</v>
      </c>
      <c r="P17" s="107">
        <f t="shared" si="4"/>
        <v>6908.5929999999998</v>
      </c>
      <c r="Q17" s="107">
        <f t="shared" si="5"/>
        <v>64982.446115537889</v>
      </c>
      <c r="R17" s="110"/>
      <c r="S17" s="117"/>
      <c r="T17" s="118">
        <v>3.0966381145833339</v>
      </c>
      <c r="U17" s="116">
        <v>71891.039115537889</v>
      </c>
      <c r="V17" s="116"/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2.7753320833333337</v>
      </c>
      <c r="E18" s="116">
        <v>89781.48517000406</v>
      </c>
      <c r="F18" s="116">
        <v>8318.7610000000004</v>
      </c>
      <c r="G18" s="107">
        <f t="shared" si="0"/>
        <v>81462.724170004061</v>
      </c>
      <c r="H18" s="115"/>
      <c r="I18" s="106">
        <f>IFERROR(AVERAGE('1. Rates'!O21:S21),0)</f>
        <v>3.5165618366666664</v>
      </c>
      <c r="J18" s="116">
        <v>86436.984770929572</v>
      </c>
      <c r="K18" s="116">
        <v>8524.0960000000014</v>
      </c>
      <c r="L18" s="107">
        <f t="shared" si="1"/>
        <v>77912.888770929567</v>
      </c>
      <c r="M18" s="108" t="e">
        <f t="shared" si="2"/>
        <v>#DIV/0!</v>
      </c>
      <c r="N18" s="109">
        <f>IF(T18="",(IFERROR(AVERAGE('1. Rates'!AA21:AE21),0)),T18)</f>
        <v>3.2634190037500002</v>
      </c>
      <c r="O18" s="107">
        <f t="shared" si="3"/>
        <v>87236.866307392891</v>
      </c>
      <c r="P18" s="107">
        <f t="shared" si="4"/>
        <v>8421.4285000000018</v>
      </c>
      <c r="Q18" s="107">
        <f t="shared" si="5"/>
        <v>78815.437807392882</v>
      </c>
      <c r="R18" s="110"/>
      <c r="S18" s="117"/>
      <c r="T18" s="118">
        <v>3.2634190037500002</v>
      </c>
      <c r="U18" s="116">
        <v>87236.866307392891</v>
      </c>
      <c r="V18" s="116"/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2.7932825616666661</v>
      </c>
      <c r="E19" s="116">
        <v>102110.32815270255</v>
      </c>
      <c r="F19" s="116">
        <v>15221.222000000002</v>
      </c>
      <c r="G19" s="107">
        <f t="shared" si="0"/>
        <v>86889.106152702559</v>
      </c>
      <c r="H19" s="115"/>
      <c r="I19" s="106">
        <f>IFERROR(AVERAGE('1. Rates'!O22:S22),0)</f>
        <v>2.9814681599999999</v>
      </c>
      <c r="J19" s="116">
        <v>100455.37947824437</v>
      </c>
      <c r="K19" s="116">
        <v>14776.649000000001</v>
      </c>
      <c r="L19" s="107">
        <f t="shared" si="1"/>
        <v>85678.730478244368</v>
      </c>
      <c r="M19" s="108" t="e">
        <f t="shared" si="2"/>
        <v>#DIV/0!</v>
      </c>
      <c r="N19" s="109">
        <f>IF(T19="",(IFERROR(AVERAGE('1. Rates'!AA22:AE22),0)),T19)</f>
        <v>3.319708233333333</v>
      </c>
      <c r="O19" s="107">
        <f t="shared" si="3"/>
        <v>101282.85381547347</v>
      </c>
      <c r="P19" s="107">
        <f t="shared" si="4"/>
        <v>14998.935500000001</v>
      </c>
      <c r="Q19" s="107">
        <f t="shared" si="5"/>
        <v>86283.918315473464</v>
      </c>
      <c r="R19" s="110"/>
      <c r="S19" s="117"/>
      <c r="T19" s="118">
        <v>3.319708233333333</v>
      </c>
      <c r="U19" s="116">
        <v>101282.85381547347</v>
      </c>
      <c r="V19" s="116"/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3.1582357766666673</v>
      </c>
      <c r="E20" s="116">
        <v>109798.03526800268</v>
      </c>
      <c r="F20" s="116">
        <v>15132.909</v>
      </c>
      <c r="G20" s="107">
        <f t="shared" si="0"/>
        <v>94665.126268002685</v>
      </c>
      <c r="H20" s="115"/>
      <c r="I20" s="106">
        <f>IFERROR(AVERAGE('1. Rates'!O23:S23),0)</f>
        <v>2.8178889566666667</v>
      </c>
      <c r="J20" s="116">
        <v>105369.88260763243</v>
      </c>
      <c r="K20" s="116">
        <v>14807.147000000001</v>
      </c>
      <c r="L20" s="107">
        <f t="shared" si="1"/>
        <v>90562.735607632436</v>
      </c>
      <c r="M20" s="108" t="e">
        <f t="shared" si="2"/>
        <v>#DIV/0!</v>
      </c>
      <c r="N20" s="109">
        <f>IF(T20="",(IFERROR(AVERAGE('1. Rates'!AA23:AE23),0)),T20)</f>
        <v>3.4475412289583334</v>
      </c>
      <c r="O20" s="107">
        <f t="shared" si="3"/>
        <v>106518.77122556194</v>
      </c>
      <c r="P20" s="107">
        <f t="shared" si="4"/>
        <v>14970.028</v>
      </c>
      <c r="Q20" s="107">
        <f t="shared" si="5"/>
        <v>91548.743225561935</v>
      </c>
      <c r="R20" s="110"/>
      <c r="S20" s="117"/>
      <c r="T20" s="118">
        <v>3.4475412289583334</v>
      </c>
      <c r="U20" s="116">
        <v>106518.77122556194</v>
      </c>
      <c r="V20" s="116"/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2.9597700083333338</v>
      </c>
      <c r="E21" s="116">
        <v>110962.63712712209</v>
      </c>
      <c r="F21" s="116">
        <v>15601.411</v>
      </c>
      <c r="G21" s="107">
        <f t="shared" si="0"/>
        <v>95361.226127122092</v>
      </c>
      <c r="H21" s="115"/>
      <c r="I21" s="106">
        <f>IFERROR(AVERAGE('1. Rates'!O24:S24),0)</f>
        <v>2.8414285850000001</v>
      </c>
      <c r="J21" s="116">
        <v>107139.8046087017</v>
      </c>
      <c r="K21" s="116">
        <v>14861.003000000001</v>
      </c>
      <c r="L21" s="107">
        <f t="shared" si="1"/>
        <v>92278.801608701702</v>
      </c>
      <c r="M21" s="108" t="e">
        <f t="shared" si="2"/>
        <v>#DIV/0!</v>
      </c>
      <c r="N21" s="109">
        <f>IF(T21="",(IFERROR(AVERAGE('1. Rates'!AA24:AE24),0)),T21)</f>
        <v>3.1062268195833336</v>
      </c>
      <c r="O21" s="107">
        <f t="shared" si="3"/>
        <v>109051.22086791189</v>
      </c>
      <c r="P21" s="107">
        <f t="shared" si="4"/>
        <v>15231.207</v>
      </c>
      <c r="Q21" s="107">
        <f t="shared" si="5"/>
        <v>93820.013867911897</v>
      </c>
      <c r="R21" s="110"/>
      <c r="S21" s="117"/>
      <c r="T21" s="118">
        <v>3.1062268195833336</v>
      </c>
      <c r="U21" s="116">
        <v>109051.22086791189</v>
      </c>
      <c r="V21" s="116"/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3.254511373333334</v>
      </c>
      <c r="E22" s="116">
        <v>110044.24881152525</v>
      </c>
      <c r="F22" s="116">
        <v>15911.889000000001</v>
      </c>
      <c r="G22" s="107">
        <f t="shared" si="0"/>
        <v>94132.359811525253</v>
      </c>
      <c r="H22" s="115"/>
      <c r="I22" s="106">
        <f>IFERROR(AVERAGE('1. Rates'!O25:S25),0)</f>
        <v>2.9950821750000003</v>
      </c>
      <c r="J22" s="116">
        <v>108066.88116540547</v>
      </c>
      <c r="K22" s="116">
        <v>14959.057000000001</v>
      </c>
      <c r="L22" s="107">
        <f t="shared" si="1"/>
        <v>93107.824165405473</v>
      </c>
      <c r="M22" s="108" t="e">
        <f t="shared" si="2"/>
        <v>#DIV/0!</v>
      </c>
      <c r="N22" s="109">
        <f>IF(T22="",(IFERROR(AVERAGE('1. Rates'!AA25:AE25),0)),T22)</f>
        <v>3.1527922942613635</v>
      </c>
      <c r="O22" s="107">
        <f t="shared" si="3"/>
        <v>110146.12063835002</v>
      </c>
      <c r="P22" s="107">
        <f t="shared" si="4"/>
        <v>15435.473000000002</v>
      </c>
      <c r="Q22" s="107">
        <f t="shared" si="5"/>
        <v>94710.647638350027</v>
      </c>
      <c r="R22" s="110"/>
      <c r="S22" s="117"/>
      <c r="T22" s="118">
        <v>3.1527922942613635</v>
      </c>
      <c r="U22" s="116">
        <v>110146.12063835002</v>
      </c>
      <c r="V22" s="116"/>
      <c r="W22" s="116"/>
    </row>
    <row r="23" spans="2:24" x14ac:dyDescent="0.3">
      <c r="B23" s="105">
        <v>14</v>
      </c>
      <c r="C23" s="115"/>
      <c r="D23" s="106">
        <f>IFERROR(AVERAGE('1. Rates'!C26:G26),0)</f>
        <v>3.379267281666666</v>
      </c>
      <c r="E23" s="116">
        <v>112564.82577233891</v>
      </c>
      <c r="F23" s="116">
        <v>16641.813999999998</v>
      </c>
      <c r="G23" s="107">
        <f t="shared" si="0"/>
        <v>95923.011772338912</v>
      </c>
      <c r="H23" s="115"/>
      <c r="I23" s="106">
        <f>IFERROR(AVERAGE('1. Rates'!O26:S26),0)</f>
        <v>3.461685871666667</v>
      </c>
      <c r="J23" s="116">
        <v>113097.89517567403</v>
      </c>
      <c r="K23" s="116">
        <v>15226.323999999999</v>
      </c>
      <c r="L23" s="107">
        <f t="shared" si="1"/>
        <v>97871.571175674035</v>
      </c>
      <c r="M23" s="108" t="e">
        <f t="shared" si="2"/>
        <v>#DIV/0!</v>
      </c>
      <c r="N23" s="109">
        <f>IF(T23="",(IFERROR(AVERAGE('1. Rates'!AA26:AE26),0)),T23)</f>
        <v>3.7214425680555561</v>
      </c>
      <c r="O23" s="107">
        <f t="shared" si="3"/>
        <v>113959.67407874654</v>
      </c>
      <c r="P23" s="107">
        <f t="shared" si="4"/>
        <v>15934.069</v>
      </c>
      <c r="Q23" s="107">
        <f t="shared" si="5"/>
        <v>98025.605078746536</v>
      </c>
      <c r="R23" s="110"/>
      <c r="S23" s="117"/>
      <c r="T23" s="118">
        <v>3.7214425680555561</v>
      </c>
      <c r="U23" s="116">
        <v>113959.67407874654</v>
      </c>
      <c r="V23" s="116"/>
      <c r="W23" s="116"/>
    </row>
    <row r="24" spans="2:24" x14ac:dyDescent="0.3">
      <c r="B24" s="105">
        <v>15</v>
      </c>
      <c r="C24" s="115"/>
      <c r="D24" s="106">
        <f>IFERROR(AVERAGE('1. Rates'!C27:G27),0)</f>
        <v>4.3234331066666662</v>
      </c>
      <c r="E24" s="116">
        <v>117239.3301283489</v>
      </c>
      <c r="F24" s="116">
        <v>16285.310999999998</v>
      </c>
      <c r="G24" s="107">
        <f t="shared" si="0"/>
        <v>100954.0191283489</v>
      </c>
      <c r="H24" s="115"/>
      <c r="I24" s="106">
        <f>IFERROR(AVERAGE('1. Rates'!O27:S27),0)</f>
        <v>3.9111590666666673</v>
      </c>
      <c r="J24" s="116">
        <v>115819.53092456271</v>
      </c>
      <c r="K24" s="116">
        <v>15717.980000000001</v>
      </c>
      <c r="L24" s="107">
        <f t="shared" si="1"/>
        <v>100101.55092456272</v>
      </c>
      <c r="M24" s="108" t="e">
        <f t="shared" si="2"/>
        <v>#DIV/0!</v>
      </c>
      <c r="N24" s="109">
        <f>IF(T24="",(IFERROR(AVERAGE('1. Rates'!AA27:AE27),0)),T24)</f>
        <v>3.7203301572222229</v>
      </c>
      <c r="O24" s="107">
        <f t="shared" si="3"/>
        <v>116529.43052645581</v>
      </c>
      <c r="P24" s="107">
        <f t="shared" si="4"/>
        <v>16001.645499999999</v>
      </c>
      <c r="Q24" s="107">
        <f t="shared" si="5"/>
        <v>100527.78502645581</v>
      </c>
      <c r="R24" s="110"/>
      <c r="S24" s="117"/>
      <c r="T24" s="118">
        <v>3.7203301572222229</v>
      </c>
      <c r="U24" s="116">
        <v>116529.43052645581</v>
      </c>
      <c r="V24" s="116"/>
      <c r="W24" s="116"/>
    </row>
    <row r="25" spans="2:24" x14ac:dyDescent="0.3">
      <c r="B25" s="105">
        <v>16</v>
      </c>
      <c r="C25" s="115"/>
      <c r="D25" s="106">
        <f>IFERROR(AVERAGE('1. Rates'!C28:G28),0)</f>
        <v>3.8714224033333329</v>
      </c>
      <c r="E25" s="116">
        <v>116372.96282404228</v>
      </c>
      <c r="F25" s="116">
        <v>16458.113000000001</v>
      </c>
      <c r="G25" s="107">
        <f t="shared" si="0"/>
        <v>99914.849824042278</v>
      </c>
      <c r="H25" s="115"/>
      <c r="I25" s="106">
        <f>IFERROR(AVERAGE('1. Rates'!O28:S28),0)</f>
        <v>3.9959631966666671</v>
      </c>
      <c r="J25" s="116">
        <v>116196.43655731296</v>
      </c>
      <c r="K25" s="116">
        <v>16413.115000000002</v>
      </c>
      <c r="L25" s="107">
        <f t="shared" si="1"/>
        <v>99783.321557312956</v>
      </c>
      <c r="M25" s="108" t="e">
        <f t="shared" si="2"/>
        <v>#DIV/0!</v>
      </c>
      <c r="N25" s="109">
        <f>IF(T25="",(IFERROR(AVERAGE('1. Rates'!AA28:AE28),0)),T25)</f>
        <v>3.9827945230555564</v>
      </c>
      <c r="O25" s="107">
        <f t="shared" si="3"/>
        <v>115706.16884644541</v>
      </c>
      <c r="P25" s="107">
        <f t="shared" si="4"/>
        <v>16435.614000000001</v>
      </c>
      <c r="Q25" s="107">
        <f t="shared" si="5"/>
        <v>99270.554846445404</v>
      </c>
      <c r="R25" s="110"/>
      <c r="S25" s="117"/>
      <c r="T25" s="118">
        <v>3.9827945230555564</v>
      </c>
      <c r="U25" s="116">
        <v>115706.16884644541</v>
      </c>
      <c r="V25" s="116"/>
      <c r="W25" s="116"/>
    </row>
    <row r="26" spans="2:24" x14ac:dyDescent="0.3">
      <c r="B26" s="105">
        <v>17</v>
      </c>
      <c r="C26" s="115"/>
      <c r="D26" s="106">
        <f>IFERROR(AVERAGE('1. Rates'!C29:G29),0)</f>
        <v>3.9877476566666665</v>
      </c>
      <c r="E26" s="116">
        <v>112054.49143298533</v>
      </c>
      <c r="F26" s="116">
        <v>17199.812000000002</v>
      </c>
      <c r="G26" s="107">
        <f t="shared" si="0"/>
        <v>94854.679432985329</v>
      </c>
      <c r="H26" s="115"/>
      <c r="I26" s="106">
        <f>IFERROR(AVERAGE('1. Rates'!O29:S29),0)</f>
        <v>3.8327921733333334</v>
      </c>
      <c r="J26" s="116">
        <v>113355.80411681932</v>
      </c>
      <c r="K26" s="116">
        <v>17156.553</v>
      </c>
      <c r="L26" s="107">
        <f t="shared" si="1"/>
        <v>96199.251116819316</v>
      </c>
      <c r="M26" s="108" t="e">
        <f t="shared" si="2"/>
        <v>#DIV/0!</v>
      </c>
      <c r="N26" s="109">
        <f>IF(T26="",(IFERROR(AVERAGE('1. Rates'!AA29:AE29),0)),T26)</f>
        <v>3.8700235222222221</v>
      </c>
      <c r="O26" s="107">
        <f t="shared" si="3"/>
        <v>113265.86990313567</v>
      </c>
      <c r="P26" s="107">
        <f t="shared" si="4"/>
        <v>17178.182500000003</v>
      </c>
      <c r="Q26" s="107">
        <f t="shared" si="5"/>
        <v>96087.687403135671</v>
      </c>
      <c r="R26" s="110"/>
      <c r="S26" s="117"/>
      <c r="T26" s="118">
        <v>3.8700235222222221</v>
      </c>
      <c r="U26" s="116">
        <v>113265.86990313567</v>
      </c>
      <c r="V26" s="116"/>
      <c r="W26" s="116"/>
    </row>
    <row r="27" spans="2:24" x14ac:dyDescent="0.3">
      <c r="B27" s="105">
        <v>18</v>
      </c>
      <c r="C27" s="115"/>
      <c r="D27" s="106">
        <f>IFERROR(AVERAGE('1. Rates'!C30:G30),0)</f>
        <v>5.7525521850000008</v>
      </c>
      <c r="E27" s="116">
        <v>104935.83440599046</v>
      </c>
      <c r="F27" s="116">
        <v>16871.974000000002</v>
      </c>
      <c r="G27" s="107">
        <f t="shared" si="0"/>
        <v>88063.860405990461</v>
      </c>
      <c r="H27" s="115"/>
      <c r="I27" s="106">
        <f>IFERROR(AVERAGE('1. Rates'!O30:S30),0)</f>
        <v>4.1688476766666662</v>
      </c>
      <c r="J27" s="116">
        <v>106627.30635023404</v>
      </c>
      <c r="K27" s="116">
        <v>17006.031999999999</v>
      </c>
      <c r="L27" s="107">
        <f t="shared" si="1"/>
        <v>89621.274350234045</v>
      </c>
      <c r="M27" s="108" t="e">
        <f t="shared" si="2"/>
        <v>#DIV/0!</v>
      </c>
      <c r="N27" s="109">
        <f>IF(T27="",(IFERROR(AVERAGE('1. Rates'!AA30:AE30),0)),T27)</f>
        <v>6.4382223941666661</v>
      </c>
      <c r="O27" s="107">
        <f t="shared" si="3"/>
        <v>106839.38608189338</v>
      </c>
      <c r="P27" s="107">
        <f t="shared" si="4"/>
        <v>16939.003000000001</v>
      </c>
      <c r="Q27" s="107">
        <f t="shared" si="5"/>
        <v>89900.383081893378</v>
      </c>
      <c r="S27" s="117"/>
      <c r="T27" s="118">
        <v>6.4382223941666661</v>
      </c>
      <c r="U27" s="116">
        <v>106839.38608189338</v>
      </c>
      <c r="V27" s="116"/>
      <c r="W27" s="116"/>
    </row>
    <row r="28" spans="2:24" x14ac:dyDescent="0.3">
      <c r="B28" s="105">
        <v>19</v>
      </c>
      <c r="C28" s="115"/>
      <c r="D28" s="106">
        <f>IFERROR(AVERAGE('1. Rates'!C31:G31),0)</f>
        <v>5.7310927316666662</v>
      </c>
      <c r="E28" s="116">
        <v>104817.13597568934</v>
      </c>
      <c r="F28" s="116">
        <v>16782.423000000003</v>
      </c>
      <c r="G28" s="107">
        <f t="shared" si="0"/>
        <v>88034.712975689326</v>
      </c>
      <c r="H28" s="115"/>
      <c r="I28" s="106">
        <f>IFERROR(AVERAGE('1. Rates'!O31:S31),0)</f>
        <v>5.6561967933333337</v>
      </c>
      <c r="J28" s="116">
        <v>106710.82461183929</v>
      </c>
      <c r="K28" s="116">
        <v>16589.342000000001</v>
      </c>
      <c r="L28" s="107">
        <f t="shared" si="1"/>
        <v>90121.482611839281</v>
      </c>
      <c r="M28" s="108" t="e">
        <f t="shared" si="2"/>
        <v>#DIV/0!</v>
      </c>
      <c r="N28" s="109">
        <f>IF(T28="",(IFERROR(AVERAGE('1. Rates'!AA31:AE31),0)),T28)</f>
        <v>5.4333298911111108</v>
      </c>
      <c r="O28" s="107">
        <f t="shared" si="3"/>
        <v>106821.62009670195</v>
      </c>
      <c r="P28" s="107">
        <f t="shared" si="4"/>
        <v>16685.8825</v>
      </c>
      <c r="Q28" s="107">
        <f t="shared" si="5"/>
        <v>90135.737596701947</v>
      </c>
      <c r="S28" s="117"/>
      <c r="T28" s="118">
        <v>5.4333298911111108</v>
      </c>
      <c r="U28" s="116">
        <v>106821.62009670195</v>
      </c>
      <c r="V28" s="116"/>
      <c r="W28" s="116"/>
    </row>
    <row r="29" spans="2:24" x14ac:dyDescent="0.3">
      <c r="B29" s="105">
        <v>20</v>
      </c>
      <c r="C29" s="115"/>
      <c r="D29" s="106">
        <f>IFERROR(AVERAGE('1. Rates'!C32:G32),0)</f>
        <v>4.8298814016666665</v>
      </c>
      <c r="E29" s="116">
        <v>98267.262422847474</v>
      </c>
      <c r="F29" s="116">
        <v>15454.733000000002</v>
      </c>
      <c r="G29" s="107">
        <f t="shared" si="0"/>
        <v>82812.529422847467</v>
      </c>
      <c r="H29" s="115"/>
      <c r="I29" s="106">
        <f>IFERROR(AVERAGE('1. Rates'!O32:S32),0)</f>
        <v>3.8650127466666668</v>
      </c>
      <c r="J29" s="116">
        <v>101621.26142228127</v>
      </c>
      <c r="K29" s="116">
        <v>14940.140000000001</v>
      </c>
      <c r="L29" s="107">
        <f t="shared" si="1"/>
        <v>86681.12142228127</v>
      </c>
      <c r="M29" s="108" t="e">
        <f t="shared" si="2"/>
        <v>#DIV/0!</v>
      </c>
      <c r="N29" s="109">
        <f>IF(T29="",(IFERROR(AVERAGE('1. Rates'!AA32:AE32),0)),T29)</f>
        <v>4.2111304944444461</v>
      </c>
      <c r="O29" s="107">
        <f t="shared" si="3"/>
        <v>100943.70454179002</v>
      </c>
      <c r="P29" s="107">
        <f t="shared" si="4"/>
        <v>15197.436500000002</v>
      </c>
      <c r="Q29" s="107">
        <f t="shared" si="5"/>
        <v>85746.268041790026</v>
      </c>
      <c r="S29" s="117"/>
      <c r="T29" s="118">
        <v>4.2111304944444461</v>
      </c>
      <c r="U29" s="116">
        <v>100943.70454179002</v>
      </c>
      <c r="V29" s="116"/>
      <c r="W29" s="116"/>
    </row>
    <row r="30" spans="2:24" x14ac:dyDescent="0.3">
      <c r="B30" s="105">
        <v>21</v>
      </c>
      <c r="C30" s="115"/>
      <c r="D30" s="106">
        <f>IFERROR(AVERAGE('1. Rates'!C33:G33),0)</f>
        <v>3.9940185850000001</v>
      </c>
      <c r="E30" s="116">
        <v>94257.971195334801</v>
      </c>
      <c r="F30" s="116">
        <v>13369.279</v>
      </c>
      <c r="G30" s="107">
        <f t="shared" si="0"/>
        <v>80888.692195334806</v>
      </c>
      <c r="H30" s="115"/>
      <c r="I30" s="106">
        <f>IFERROR(AVERAGE('1. Rates'!O33:S33),0)</f>
        <v>3.9685398266666665</v>
      </c>
      <c r="J30" s="116">
        <v>96684.575157460858</v>
      </c>
      <c r="K30" s="116">
        <v>13315.511</v>
      </c>
      <c r="L30" s="107">
        <f t="shared" si="1"/>
        <v>83369.06415746086</v>
      </c>
      <c r="M30" s="108" t="e">
        <f t="shared" si="2"/>
        <v>#DIV/0!</v>
      </c>
      <c r="N30" s="109">
        <f>IF(T30="",(IFERROR(AVERAGE('1. Rates'!AA33:AE33),0)),T30)</f>
        <v>4.1285086880555548</v>
      </c>
      <c r="O30" s="107">
        <f t="shared" si="3"/>
        <v>96425.98590816182</v>
      </c>
      <c r="P30" s="107">
        <f t="shared" si="4"/>
        <v>13342.395</v>
      </c>
      <c r="Q30" s="107">
        <f t="shared" si="5"/>
        <v>83083.590908161816</v>
      </c>
      <c r="S30" s="117"/>
      <c r="T30" s="118">
        <v>4.1285086880555548</v>
      </c>
      <c r="U30" s="116">
        <v>96425.98590816182</v>
      </c>
      <c r="V30" s="116"/>
      <c r="W30" s="116"/>
    </row>
    <row r="31" spans="2:24" x14ac:dyDescent="0.3">
      <c r="B31" s="105">
        <v>22</v>
      </c>
      <c r="C31" s="115"/>
      <c r="D31" s="106">
        <f>IFERROR(AVERAGE('1. Rates'!C34:G34),0)</f>
        <v>4.352574203333333</v>
      </c>
      <c r="E31" s="116">
        <v>89480.267382575024</v>
      </c>
      <c r="F31" s="116">
        <v>9026.7510000000002</v>
      </c>
      <c r="G31" s="107">
        <f t="shared" si="0"/>
        <v>80453.516382575021</v>
      </c>
      <c r="H31" s="115"/>
      <c r="I31" s="106">
        <f>IFERROR(AVERAGE('1. Rates'!O34:S34),0)</f>
        <v>7.4844983216666678</v>
      </c>
      <c r="J31" s="116">
        <v>91658.376339146009</v>
      </c>
      <c r="K31" s="116">
        <v>10407.030000000001</v>
      </c>
      <c r="L31" s="107">
        <f t="shared" si="1"/>
        <v>81251.34633914601</v>
      </c>
      <c r="M31" s="108" t="e">
        <f t="shared" si="2"/>
        <v>#DIV/0!</v>
      </c>
      <c r="N31" s="109">
        <f>IF(T31="",(IFERROR(AVERAGE('1. Rates'!AA34:AE34),0)),T31)</f>
        <v>4.326647062777778</v>
      </c>
      <c r="O31" s="107">
        <f t="shared" si="3"/>
        <v>91475.015079469114</v>
      </c>
      <c r="P31" s="107">
        <f t="shared" si="4"/>
        <v>9716.8905000000013</v>
      </c>
      <c r="Q31" s="107">
        <f t="shared" si="5"/>
        <v>81758.12457946912</v>
      </c>
      <c r="S31" s="117"/>
      <c r="T31" s="118">
        <v>4.326647062777778</v>
      </c>
      <c r="U31" s="116">
        <v>91475.015079469114</v>
      </c>
      <c r="V31" s="116"/>
      <c r="W31" s="116"/>
    </row>
    <row r="32" spans="2:24" x14ac:dyDescent="0.3">
      <c r="B32" s="105">
        <v>23</v>
      </c>
      <c r="C32" s="115"/>
      <c r="D32" s="106">
        <f>IFERROR(AVERAGE('1. Rates'!C35:G35),0)</f>
        <v>3.6684116716666666</v>
      </c>
      <c r="E32" s="116">
        <v>83028.519352377887</v>
      </c>
      <c r="F32" s="116">
        <v>6217.7459999999992</v>
      </c>
      <c r="G32" s="107">
        <f t="shared" si="0"/>
        <v>76810.773352377888</v>
      </c>
      <c r="H32" s="115"/>
      <c r="I32" s="106">
        <f>IFERROR(AVERAGE('1. Rates'!O35:S35),0)</f>
        <v>5.1319654133333339</v>
      </c>
      <c r="J32" s="116">
        <v>85893.681362171308</v>
      </c>
      <c r="K32" s="116">
        <v>6565.8539999999994</v>
      </c>
      <c r="L32" s="107">
        <f t="shared" si="1"/>
        <v>79327.827362171316</v>
      </c>
      <c r="M32" s="108" t="e">
        <f t="shared" si="2"/>
        <v>#DIV/0!</v>
      </c>
      <c r="N32" s="109">
        <f>IF(T32="",(IFERROR(AVERAGE('1. Rates'!AA35:AE35),0)),T32)</f>
        <v>4.3159079233333335</v>
      </c>
      <c r="O32" s="107">
        <f t="shared" si="3"/>
        <v>85305.711360847345</v>
      </c>
      <c r="P32" s="107">
        <f t="shared" si="4"/>
        <v>6391.7999999999993</v>
      </c>
      <c r="Q32" s="107">
        <f t="shared" si="5"/>
        <v>78913.911360847342</v>
      </c>
      <c r="S32" s="117"/>
      <c r="T32" s="118">
        <v>4.3159079233333335</v>
      </c>
      <c r="U32" s="116">
        <v>85305.711360847345</v>
      </c>
      <c r="V32" s="116"/>
      <c r="W32" s="116"/>
    </row>
    <row r="33" spans="2:24" x14ac:dyDescent="0.3">
      <c r="B33" s="105">
        <v>24</v>
      </c>
      <c r="C33" s="115"/>
      <c r="D33" s="106">
        <f>IFERROR(AVERAGE('1. Rates'!C36:G36),0)</f>
        <v>3.9429726450000002</v>
      </c>
      <c r="E33" s="116">
        <v>78794.550016005422</v>
      </c>
      <c r="F33" s="116">
        <v>5829.991</v>
      </c>
      <c r="G33" s="107">
        <f t="shared" si="0"/>
        <v>72964.559016005427</v>
      </c>
      <c r="H33" s="115"/>
      <c r="I33" s="106">
        <f>IFERROR(AVERAGE('1. Rates'!O36:S36),0)</f>
        <v>3.8397008216666664</v>
      </c>
      <c r="J33" s="116">
        <v>81549.283141745793</v>
      </c>
      <c r="K33" s="116">
        <v>5866.4030000000002</v>
      </c>
      <c r="L33" s="107">
        <f t="shared" si="1"/>
        <v>75682.880141745787</v>
      </c>
      <c r="M33" s="108" t="e">
        <f t="shared" si="2"/>
        <v>#DIV/0!</v>
      </c>
      <c r="N33" s="109">
        <f>IF(T33="",(IFERROR(AVERAGE('1. Rates'!AA36:AE36),0)),T33)</f>
        <v>3.660626089444444</v>
      </c>
      <c r="O33" s="107">
        <f t="shared" si="3"/>
        <v>80973.635744664367</v>
      </c>
      <c r="P33" s="107">
        <f t="shared" si="4"/>
        <v>5848.1970000000001</v>
      </c>
      <c r="Q33" s="107">
        <f t="shared" si="5"/>
        <v>75125.438744664367</v>
      </c>
      <c r="S33" s="117"/>
      <c r="T33" s="118">
        <v>3.660626089444444</v>
      </c>
      <c r="U33" s="116">
        <v>80973.635744664367</v>
      </c>
      <c r="V33" s="116"/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2.3732842783333332</v>
      </c>
      <c r="E34" s="114">
        <f t="shared" si="6"/>
        <v>65048.10925742962</v>
      </c>
      <c r="F34" s="114">
        <f t="shared" si="6"/>
        <v>5463.7430000000004</v>
      </c>
      <c r="G34" s="114">
        <f t="shared" ref="G34:K34" si="7">MIN(G10:G33)</f>
        <v>59580.354257429623</v>
      </c>
      <c r="H34" s="112">
        <f t="shared" si="7"/>
        <v>0</v>
      </c>
      <c r="I34" s="113">
        <f t="shared" si="7"/>
        <v>2.6686039433333333</v>
      </c>
      <c r="J34" s="114">
        <f t="shared" si="7"/>
        <v>63976.146823139301</v>
      </c>
      <c r="K34" s="114">
        <f t="shared" si="7"/>
        <v>5526.2470000000003</v>
      </c>
      <c r="L34" s="114">
        <f t="shared" ref="L34:Q34" si="8">MIN(L10:L33)</f>
        <v>58449.899823139298</v>
      </c>
      <c r="M34" s="112" t="e">
        <f t="shared" si="8"/>
        <v>#DIV/0!</v>
      </c>
      <c r="N34" s="113">
        <f t="shared" si="8"/>
        <v>2.6715373602777777</v>
      </c>
      <c r="O34" s="114">
        <f t="shared" si="8"/>
        <v>64512.128040284457</v>
      </c>
      <c r="P34" s="114">
        <f t="shared" si="8"/>
        <v>5497.0010000000002</v>
      </c>
      <c r="Q34" s="114">
        <f t="shared" si="8"/>
        <v>59015.127040284453</v>
      </c>
      <c r="S34" s="112">
        <f>MIN(S10:S33)</f>
        <v>0</v>
      </c>
      <c r="T34" s="113">
        <f t="shared" ref="T34:W34" si="9">MIN(T10:T33)</f>
        <v>2.6715373602777777</v>
      </c>
      <c r="U34" s="114">
        <f t="shared" si="9"/>
        <v>64512.128040284457</v>
      </c>
      <c r="V34" s="114">
        <f t="shared" si="9"/>
        <v>0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3.551833731111111</v>
      </c>
      <c r="E35" s="114">
        <f t="shared" si="10"/>
        <v>91093.090406174553</v>
      </c>
      <c r="F35" s="114">
        <f t="shared" si="10"/>
        <v>11105.081416666668</v>
      </c>
      <c r="G35" s="114">
        <f t="shared" ref="G35:K35" si="12">AVERAGE(G10:G33)</f>
        <v>79988.008989507871</v>
      </c>
      <c r="H35" s="112" t="e">
        <f t="shared" si="12"/>
        <v>#DIV/0!</v>
      </c>
      <c r="I35" s="113">
        <f t="shared" si="12"/>
        <v>3.7582799254861108</v>
      </c>
      <c r="J35" s="114">
        <f t="shared" si="12"/>
        <v>90863.276247667774</v>
      </c>
      <c r="K35" s="114">
        <f t="shared" si="12"/>
        <v>11019.822333333335</v>
      </c>
      <c r="L35" s="114">
        <f t="shared" ref="L35:Q35" si="13">AVERAGE(L10:L33)</f>
        <v>79843.45391433443</v>
      </c>
      <c r="M35" s="112" t="e">
        <f t="shared" si="13"/>
        <v>#DIV/0!</v>
      </c>
      <c r="N35" s="113">
        <f t="shared" si="13"/>
        <v>3.7110989704177193</v>
      </c>
      <c r="O35" s="114">
        <f t="shared" si="13"/>
        <v>91295.289051547297</v>
      </c>
      <c r="P35" s="114">
        <f t="shared" si="13"/>
        <v>11062.451875000001</v>
      </c>
      <c r="Q35" s="114">
        <f t="shared" si="13"/>
        <v>80232.837176547284</v>
      </c>
      <c r="S35" s="112" t="str">
        <f>IFERROR(AVERAGE(S10:S33),"")</f>
        <v/>
      </c>
      <c r="T35" s="113">
        <f>IFERROR(AVERAGE(T10:T33),"")</f>
        <v>3.7110989704177193</v>
      </c>
      <c r="U35" s="114">
        <f>IFERROR(AVERAGE(U10:U33),"")</f>
        <v>91295.289051547297</v>
      </c>
      <c r="V35" s="114" t="str">
        <f t="shared" ref="V35:W35" si="14">IFERROR(AVERAGE(V10:V33),"")</f>
        <v/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5.7525521850000008</v>
      </c>
      <c r="E36" s="114">
        <f t="shared" si="15"/>
        <v>117239.3301283489</v>
      </c>
      <c r="F36" s="114">
        <f t="shared" si="15"/>
        <v>17199.812000000002</v>
      </c>
      <c r="G36" s="114">
        <f t="shared" ref="G36:K36" si="17">MAX(G10:G33)</f>
        <v>100954.0191283489</v>
      </c>
      <c r="H36" s="112">
        <f t="shared" si="17"/>
        <v>0</v>
      </c>
      <c r="I36" s="113">
        <f t="shared" si="17"/>
        <v>7.4844983216666678</v>
      </c>
      <c r="J36" s="114">
        <f t="shared" si="17"/>
        <v>116196.43655731296</v>
      </c>
      <c r="K36" s="114">
        <f t="shared" si="17"/>
        <v>17156.553</v>
      </c>
      <c r="L36" s="114">
        <f t="shared" ref="L36:Q36" si="18">MAX(L10:L33)</f>
        <v>100101.55092456272</v>
      </c>
      <c r="M36" s="112" t="e">
        <f t="shared" si="18"/>
        <v>#DIV/0!</v>
      </c>
      <c r="N36" s="113">
        <f t="shared" si="18"/>
        <v>6.4382223941666661</v>
      </c>
      <c r="O36" s="114">
        <f t="shared" si="18"/>
        <v>116529.43052645581</v>
      </c>
      <c r="P36" s="114">
        <f t="shared" si="18"/>
        <v>17178.182500000003</v>
      </c>
      <c r="Q36" s="114">
        <f t="shared" si="18"/>
        <v>100527.78502645581</v>
      </c>
      <c r="S36" s="112">
        <f t="shared" ref="S36:W36" si="19">MAX(S10:S33)</f>
        <v>0</v>
      </c>
      <c r="T36" s="113">
        <f t="shared" si="19"/>
        <v>6.4382223941666661</v>
      </c>
      <c r="U36" s="114">
        <f t="shared" si="19"/>
        <v>116529.43052645581</v>
      </c>
      <c r="V36" s="114">
        <f t="shared" si="19"/>
        <v>0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2186234.1697481894</v>
      </c>
      <c r="F37" s="114">
        <f t="shared" ref="F37" si="20">SUM(F10:F33)</f>
        <v>266521.95400000003</v>
      </c>
      <c r="G37" s="114">
        <f t="shared" ref="G37" si="21">SUM(G10:G33)</f>
        <v>1919712.2157481888</v>
      </c>
      <c r="H37" s="112"/>
      <c r="I37" s="112"/>
      <c r="J37" s="114">
        <f t="shared" ref="J37:L37" si="22">SUM(J10:J33)</f>
        <v>2180718.6299440265</v>
      </c>
      <c r="K37" s="114">
        <f t="shared" si="22"/>
        <v>264475.73600000003</v>
      </c>
      <c r="L37" s="114">
        <f t="shared" si="22"/>
        <v>1916242.8939440264</v>
      </c>
      <c r="M37" s="112"/>
      <c r="N37" s="112"/>
      <c r="O37" s="114">
        <f t="shared" ref="O37:P37" si="23">SUM(O10:O33)</f>
        <v>2191086.9372371351</v>
      </c>
      <c r="P37" s="114">
        <f t="shared" si="23"/>
        <v>265498.84500000003</v>
      </c>
      <c r="Q37" s="114">
        <f>SUM(Q10:Q33)</f>
        <v>1925588.0922371347</v>
      </c>
      <c r="S37" s="112"/>
      <c r="T37" s="112"/>
      <c r="U37" s="114">
        <f t="shared" ref="U37:W37" si="24">SUM(U10:U33)</f>
        <v>2191086.9372371351</v>
      </c>
      <c r="V37" s="114">
        <f t="shared" si="24"/>
        <v>0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S7:W7"/>
    <mergeCell ref="S8:W8"/>
    <mergeCell ref="C2:E2"/>
    <mergeCell ref="H8:L8"/>
    <mergeCell ref="M8:Q8"/>
    <mergeCell ref="B7:B9"/>
    <mergeCell ref="C8:G8"/>
    <mergeCell ref="C7:G7"/>
    <mergeCell ref="H7:L7"/>
    <mergeCell ref="M7:Q7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tabSelected="1" zoomScale="84" zoomScaleNormal="84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R6" sqref="R6:S29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5.1474567966120066</v>
      </c>
      <c r="P2" s="4" t="s">
        <v>124</v>
      </c>
      <c r="R2" s="59">
        <f>'4.Projected'!BX29</f>
        <v>5.5722575970448878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71" t="s">
        <v>130</v>
      </c>
      <c r="O4" s="171"/>
      <c r="P4" s="171"/>
      <c r="Q4" s="171"/>
      <c r="R4" s="171"/>
      <c r="S4" s="171"/>
      <c r="T4" s="171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74592.25337956725</v>
      </c>
      <c r="D6" s="53">
        <f>'2. Energy'!P10</f>
        <v>5801.1880000000001</v>
      </c>
      <c r="E6" s="53">
        <f>'2. Energy'!Q10</f>
        <v>68791.065379567255</v>
      </c>
      <c r="F6" s="53">
        <f>IF('1. Rates'!$C$62&lt;'2. Energy'!N10*(1+'1. Rates'!$J$60),'1. Rates'!$C$41,'1. Rates'!$C$42)</f>
        <v>20000</v>
      </c>
      <c r="G6" s="53">
        <f>IF('1. Rates'!$D$62&lt;'2. Energy'!N10*(1+'1. Rates'!$J$60),'1. Rates'!$D$41,'1. Rates'!$D$42)</f>
        <v>5000</v>
      </c>
      <c r="H6" s="53">
        <f>IF('1. Rates'!$E$62&lt;'2. Energy'!N10*(1+'1. Rates'!$J$60),'1. Rates'!$E$41,'1. Rates'!$E$42)</f>
        <v>10000</v>
      </c>
      <c r="I6" s="53">
        <f>IF('1. Rates'!F$62&lt;'2. Energy'!$N10*(1+'1. Rates'!$J$60),'1. Rates'!F$41,'1. Rates'!F$42)</f>
        <v>10000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23791.065379567255</v>
      </c>
      <c r="N6" s="119">
        <v>20000</v>
      </c>
      <c r="O6" s="119">
        <v>5000</v>
      </c>
      <c r="P6" s="119">
        <v>10000</v>
      </c>
      <c r="Q6" s="119">
        <v>10000</v>
      </c>
      <c r="R6" s="119">
        <v>20000</v>
      </c>
      <c r="S6" s="119">
        <v>10000</v>
      </c>
      <c r="T6" s="119"/>
      <c r="U6" s="53">
        <f>'2. Energy'!N10*(1+'1. Rates'!$J$60)</f>
        <v>3.7212028159085948</v>
      </c>
      <c r="V6" s="53">
        <f>(SUM('4.Projected'!W5:AC5)+SUM('4.Projected'!AF5:AK5))/(SUM('4.Projected'!F5:K5))</f>
        <v>4.5330645807973484</v>
      </c>
      <c r="W6" s="53">
        <f t="shared" ref="W6:AC6" si="0">IF(N6="",F6,N6)</f>
        <v>20000</v>
      </c>
      <c r="X6" s="53">
        <f t="shared" si="0"/>
        <v>5000</v>
      </c>
      <c r="Y6" s="53">
        <f t="shared" si="0"/>
        <v>10000</v>
      </c>
      <c r="Z6" s="53">
        <f t="shared" si="0"/>
        <v>10000</v>
      </c>
      <c r="AA6" s="53">
        <f t="shared" si="0"/>
        <v>20000</v>
      </c>
      <c r="AB6" s="53">
        <f t="shared" si="0"/>
        <v>10000</v>
      </c>
      <c r="AC6" s="53">
        <f t="shared" si="0"/>
        <v>0</v>
      </c>
      <c r="AD6" s="53">
        <f>E6-(W6+X6+Y6+Z6+AA6+AB6+AC6)</f>
        <v>-6208.9346204327449</v>
      </c>
    </row>
    <row r="7" spans="2:30" ht="18" customHeight="1" x14ac:dyDescent="0.3">
      <c r="B7" s="14">
        <v>2</v>
      </c>
      <c r="C7" s="53">
        <f>'2. Energy'!O11</f>
        <v>71137.270422861766</v>
      </c>
      <c r="D7" s="53">
        <f>'2. Energy'!P11</f>
        <v>5641.719000000001</v>
      </c>
      <c r="E7" s="53">
        <f>'2. Energy'!Q11</f>
        <v>65495.551422861769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42995.551422861769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3.4079434969877958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42995.551422861769</v>
      </c>
    </row>
    <row r="8" spans="2:30" ht="18" customHeight="1" x14ac:dyDescent="0.3">
      <c r="B8" s="14">
        <v>3</v>
      </c>
      <c r="C8" s="53">
        <f>'2. Energy'!O12</f>
        <v>68205.073666836499</v>
      </c>
      <c r="D8" s="53">
        <f>'2. Energy'!P12</f>
        <v>5541.0945000000002</v>
      </c>
      <c r="E8" s="53">
        <f>'2. Energy'!Q12</f>
        <v>62663.9791668365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40163.9791668365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3.0184929829445064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40163.9791668365</v>
      </c>
    </row>
    <row r="9" spans="2:30" ht="18" customHeight="1" x14ac:dyDescent="0.3">
      <c r="B9" s="14">
        <v>4</v>
      </c>
      <c r="C9" s="53">
        <f>'2. Energy'!O13</f>
        <v>65766.397109266662</v>
      </c>
      <c r="D9" s="53">
        <f>'2. Energy'!P13</f>
        <v>5516.2800000000007</v>
      </c>
      <c r="E9" s="53">
        <f>'2. Energy'!Q13</f>
        <v>60250.117109266663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37750.117109266663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2.8963891334147007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37750.117109266663</v>
      </c>
    </row>
    <row r="10" spans="2:30" ht="18" customHeight="1" x14ac:dyDescent="0.3">
      <c r="B10" s="14">
        <v>5</v>
      </c>
      <c r="C10" s="53">
        <f>'2. Energy'!O14</f>
        <v>64512.128040284457</v>
      </c>
      <c r="D10" s="53">
        <f>'2. Energy'!P14</f>
        <v>5497.0010000000002</v>
      </c>
      <c r="E10" s="53">
        <f>'2. Energy'!Q14</f>
        <v>59015.127040284453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36515.127040284453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3.3653247942176034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36515.127040284453</v>
      </c>
    </row>
    <row r="11" spans="2:30" ht="18" customHeight="1" x14ac:dyDescent="0.3">
      <c r="B11" s="14">
        <v>6</v>
      </c>
      <c r="C11" s="53">
        <f>'2. Energy'!O15</f>
        <v>65514.371550064803</v>
      </c>
      <c r="D11" s="53">
        <f>'2. Energy'!P15</f>
        <v>5761.3979999999992</v>
      </c>
      <c r="E11" s="53">
        <f>'2. Energy'!Q15</f>
        <v>59752.973550064802</v>
      </c>
      <c r="F11" s="53">
        <f>IF('1. Rates'!$C$62&lt;'2. Energy'!N15*(1+'1. Rates'!$J$60),'1. Rates'!$C$41,'1. Rates'!$C$42)</f>
        <v>20000</v>
      </c>
      <c r="G11" s="53">
        <f>IF('1. Rates'!$D$62&lt;'2. Energy'!N15*(1+'1. Rates'!$J$60),'1. Rates'!$D$41,'1. Rates'!$D$42)</f>
        <v>5000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24752.973550064802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20000</v>
      </c>
      <c r="S11" s="119">
        <v>0</v>
      </c>
      <c r="T11" s="119"/>
      <c r="U11" s="53">
        <f>'2. Energy'!N15*(1+'1. Rates'!$J$60)</f>
        <v>3.6999401115050081</v>
      </c>
      <c r="V11" s="53">
        <f>(SUM('4.Projected'!W10:AC10)+SUM('4.Projected'!AF10:AK10))/(SUM('4.Projected'!F10:K10))</f>
        <v>5.1324423743320509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20000</v>
      </c>
      <c r="AB11" s="53">
        <f t="shared" si="7"/>
        <v>0</v>
      </c>
      <c r="AC11" s="53">
        <f t="shared" si="8"/>
        <v>0</v>
      </c>
      <c r="AD11" s="53">
        <f t="shared" si="9"/>
        <v>17252.973550064802</v>
      </c>
    </row>
    <row r="12" spans="2:30" ht="18" customHeight="1" x14ac:dyDescent="0.3">
      <c r="B12" s="14">
        <v>7</v>
      </c>
      <c r="C12" s="53">
        <f>'2. Energy'!O16</f>
        <v>66986.368929713848</v>
      </c>
      <c r="D12" s="53">
        <f>'2. Energy'!P16</f>
        <v>6103.384</v>
      </c>
      <c r="E12" s="53">
        <f>'2. Energy'!Q16</f>
        <v>60882.98492971385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38382.98492971385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20000</v>
      </c>
      <c r="S12" s="119">
        <v>0</v>
      </c>
      <c r="T12" s="119"/>
      <c r="U12" s="53">
        <f>'2. Energy'!N16*(1+'1. Rates'!$J$60)</f>
        <v>3.6025879151526259</v>
      </c>
      <c r="V12" s="53">
        <f>(SUM('4.Projected'!W11:AC11)+SUM('4.Projected'!AF11:AK11))/(SUM('4.Projected'!F11:K11))</f>
        <v>5.1324423743320509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20000</v>
      </c>
      <c r="AB12" s="53">
        <f t="shared" si="7"/>
        <v>0</v>
      </c>
      <c r="AC12" s="53">
        <f t="shared" si="8"/>
        <v>0</v>
      </c>
      <c r="AD12" s="53">
        <f t="shared" si="9"/>
        <v>18382.98492971385</v>
      </c>
    </row>
    <row r="13" spans="2:30" ht="18" customHeight="1" x14ac:dyDescent="0.3">
      <c r="B13" s="14">
        <v>8</v>
      </c>
      <c r="C13" s="53">
        <f>'2. Energy'!O17</f>
        <v>71891.039115537889</v>
      </c>
      <c r="D13" s="53">
        <f>'2. Energy'!P17</f>
        <v>6908.5929999999998</v>
      </c>
      <c r="E13" s="53">
        <f>'2. Energy'!Q17</f>
        <v>64982.446115537889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42482.446115537889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20000</v>
      </c>
      <c r="S13" s="119">
        <v>0</v>
      </c>
      <c r="T13" s="119"/>
      <c r="U13" s="53">
        <f>'2. Energy'!N17*(1+'1. Rates'!$J$60)</f>
        <v>3.3572687840923106</v>
      </c>
      <c r="V13" s="53">
        <f>(SUM('4.Projected'!W12:AC12)+SUM('4.Projected'!AF12:AK12))/(SUM('4.Projected'!F12:K12))</f>
        <v>5.1324423743320509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20000</v>
      </c>
      <c r="AB13" s="53">
        <f t="shared" si="7"/>
        <v>0</v>
      </c>
      <c r="AC13" s="53">
        <f t="shared" si="8"/>
        <v>0</v>
      </c>
      <c r="AD13" s="53">
        <f t="shared" si="9"/>
        <v>22482.446115537889</v>
      </c>
    </row>
    <row r="14" spans="2:30" ht="18" customHeight="1" x14ac:dyDescent="0.3">
      <c r="B14" s="14">
        <v>9</v>
      </c>
      <c r="C14" s="53">
        <f>'2. Energy'!O18</f>
        <v>87236.866307392891</v>
      </c>
      <c r="D14" s="53">
        <f>'2. Energy'!P18</f>
        <v>8421.4285000000018</v>
      </c>
      <c r="E14" s="53">
        <f>'2. Energy'!Q18</f>
        <v>78815.437807392882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56315.437807392882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0</v>
      </c>
      <c r="T14" s="119"/>
      <c r="U14" s="53">
        <f>'2. Energy'!N18*(1+'1. Rates'!$J$60)</f>
        <v>3.5380869011158906</v>
      </c>
      <c r="V14" s="53">
        <f>(SUM('4.Projected'!W13:AC13)+SUM('4.Projected'!AF13:AK13))/(SUM('4.Projected'!F13:K13))</f>
        <v>5.1324423743320509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0</v>
      </c>
      <c r="AC14" s="53">
        <f t="shared" si="8"/>
        <v>0</v>
      </c>
      <c r="AD14" s="53">
        <f t="shared" si="9"/>
        <v>36315.437807392882</v>
      </c>
    </row>
    <row r="15" spans="2:30" ht="18" customHeight="1" x14ac:dyDescent="0.3">
      <c r="B15" s="14">
        <v>10</v>
      </c>
      <c r="C15" s="53">
        <f>'2. Energy'!O19</f>
        <v>101282.85381547347</v>
      </c>
      <c r="D15" s="53">
        <f>'2. Energy'!P19</f>
        <v>14998.935500000001</v>
      </c>
      <c r="E15" s="53">
        <f>'2. Energy'!Q19</f>
        <v>86283.918315473464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63783.918315473464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0</v>
      </c>
      <c r="T15" s="119"/>
      <c r="U15" s="53">
        <f>'2. Energy'!N19*(1+'1. Rates'!$J$60)</f>
        <v>3.5991137522906382</v>
      </c>
      <c r="V15" s="53">
        <f>(SUM('4.Projected'!W14:AC14)+SUM('4.Projected'!AF14:AK14))/(SUM('4.Projected'!F14:K14))</f>
        <v>5.1324423743320509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0</v>
      </c>
      <c r="AC15" s="53">
        <f t="shared" si="8"/>
        <v>0</v>
      </c>
      <c r="AD15" s="53">
        <f t="shared" si="9"/>
        <v>43783.918315473464</v>
      </c>
    </row>
    <row r="16" spans="2:30" ht="18" customHeight="1" x14ac:dyDescent="0.3">
      <c r="B16" s="14">
        <v>11</v>
      </c>
      <c r="C16" s="53">
        <f>'2. Energy'!O20</f>
        <v>106518.77122556194</v>
      </c>
      <c r="D16" s="53">
        <f>'2. Energy'!P20</f>
        <v>14970.028</v>
      </c>
      <c r="E16" s="53">
        <f>'2. Energy'!Q20</f>
        <v>91548.743225561935</v>
      </c>
      <c r="F16" s="53">
        <f>IF('1. Rates'!$C$62&lt;'2. Energy'!N20*(1+'1. Rates'!$J$60),'1. Rates'!$C$41,'1. Rates'!$C$42)</f>
        <v>20000</v>
      </c>
      <c r="G16" s="53">
        <f>IF('1. Rates'!$D$62&lt;'2. Energy'!N20*(1+'1. Rates'!$J$60),'1. Rates'!$D$41,'1. Rates'!$D$42)</f>
        <v>5000</v>
      </c>
      <c r="H16" s="53">
        <f>IF('1. Rates'!$E$62&lt;'2. Energy'!N20*(1+'1. Rates'!$J$60),'1. Rates'!$E$41,'1. Rates'!$E$42)</f>
        <v>10000</v>
      </c>
      <c r="I16" s="53">
        <f>IF('1. Rates'!F$62&lt;'2. Energy'!$N20*(1+'1. Rates'!$J$60),'1. Rates'!F$41,'1. Rates'!F$42)</f>
        <v>10000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46548.743225561935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0</v>
      </c>
      <c r="T16" s="119"/>
      <c r="U16" s="53">
        <f>'2. Energy'!N20*(1+'1. Rates'!$J$60)</f>
        <v>3.7377058996157286</v>
      </c>
      <c r="V16" s="53">
        <f>(SUM('4.Projected'!W15:AC15)+SUM('4.Projected'!AF15:AK15))/(SUM('4.Projected'!F15:K15))</f>
        <v>5.1324423743320509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0</v>
      </c>
      <c r="AC16" s="53">
        <f t="shared" si="8"/>
        <v>0</v>
      </c>
      <c r="AD16" s="53">
        <f t="shared" si="9"/>
        <v>49048.743225561935</v>
      </c>
    </row>
    <row r="17" spans="2:30" ht="18" customHeight="1" x14ac:dyDescent="0.3">
      <c r="B17" s="14">
        <v>12</v>
      </c>
      <c r="C17" s="53">
        <f>'2. Energy'!O21</f>
        <v>109051.22086791189</v>
      </c>
      <c r="D17" s="53">
        <f>'2. Energy'!P21</f>
        <v>15231.207</v>
      </c>
      <c r="E17" s="53">
        <f>'2. Energy'!Q21</f>
        <v>93820.013867911897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71320.013867911897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0</v>
      </c>
      <c r="T17" s="119"/>
      <c r="U17" s="53">
        <f>'2. Energy'!N21*(1+'1. Rates'!$J$60)</f>
        <v>3.3676645290212268</v>
      </c>
      <c r="V17" s="53">
        <f>(SUM('4.Projected'!W16:AC16)+SUM('4.Projected'!AF16:AK16))/(SUM('4.Projected'!F16:K16))</f>
        <v>5.1324423743320509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0</v>
      </c>
      <c r="AC17" s="53">
        <f t="shared" si="8"/>
        <v>0</v>
      </c>
      <c r="AD17" s="53">
        <f t="shared" si="9"/>
        <v>51320.013867911897</v>
      </c>
    </row>
    <row r="18" spans="2:30" ht="18" customHeight="1" x14ac:dyDescent="0.3">
      <c r="B18" s="14">
        <v>13</v>
      </c>
      <c r="C18" s="53">
        <f>'2. Energy'!O22</f>
        <v>110146.12063835002</v>
      </c>
      <c r="D18" s="53">
        <f>'2. Energy'!P22</f>
        <v>15435.473000000002</v>
      </c>
      <c r="E18" s="53">
        <f>'2. Energy'!Q22</f>
        <v>94710.647638350027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72210.647638350027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0</v>
      </c>
      <c r="T18" s="119"/>
      <c r="U18" s="53">
        <f>'2. Energy'!N22*(1+'1. Rates'!$J$60)</f>
        <v>3.4181492187939049</v>
      </c>
      <c r="V18" s="53">
        <f>(SUM('4.Projected'!W17:AC17)+SUM('4.Projected'!AF17:AK17))/(SUM('4.Projected'!F17:K17))</f>
        <v>5.1324423743320509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0</v>
      </c>
      <c r="AC18" s="53">
        <f t="shared" si="8"/>
        <v>0</v>
      </c>
      <c r="AD18" s="53">
        <f t="shared" si="9"/>
        <v>52210.647638350027</v>
      </c>
    </row>
    <row r="19" spans="2:30" ht="18" customHeight="1" x14ac:dyDescent="0.3">
      <c r="B19" s="14">
        <v>14</v>
      </c>
      <c r="C19" s="53">
        <f>'2. Energy'!O23</f>
        <v>113959.67407874654</v>
      </c>
      <c r="D19" s="53">
        <f>'2. Energy'!P23</f>
        <v>15934.069</v>
      </c>
      <c r="E19" s="53">
        <f>'2. Energy'!Q23</f>
        <v>98025.605078746536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10000</v>
      </c>
      <c r="L19" s="53">
        <f>IF('1. Rates'!Q54&lt;('2. Energy'!N23*(1+'1. Rates'!$J$60)),'1. Rates'!$I$42,0)</f>
        <v>0</v>
      </c>
      <c r="M19" s="53">
        <f t="shared" si="1"/>
        <v>43025.605078746536</v>
      </c>
      <c r="N19" s="119">
        <v>20000</v>
      </c>
      <c r="O19" s="119">
        <v>5000</v>
      </c>
      <c r="P19" s="119">
        <v>10000</v>
      </c>
      <c r="Q19" s="119">
        <v>10000</v>
      </c>
      <c r="R19" s="119">
        <v>20000</v>
      </c>
      <c r="S19" s="119">
        <v>10000</v>
      </c>
      <c r="T19" s="119"/>
      <c r="U19" s="53">
        <f>'2. Energy'!N23*(1+'1. Rates'!$J$60)</f>
        <v>4.0346603326641377</v>
      </c>
      <c r="V19" s="53">
        <f>(SUM('4.Projected'!W18:AC18)+SUM('4.Projected'!AF18:AK18))/(SUM('4.Projected'!F18:K18))</f>
        <v>4.5330645807973484</v>
      </c>
      <c r="W19" s="53">
        <f t="shared" si="2"/>
        <v>20000</v>
      </c>
      <c r="X19" s="53">
        <f t="shared" si="3"/>
        <v>5000</v>
      </c>
      <c r="Y19" s="53">
        <f t="shared" si="4"/>
        <v>10000</v>
      </c>
      <c r="Z19" s="53">
        <f t="shared" si="5"/>
        <v>10000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23025.605078746536</v>
      </c>
    </row>
    <row r="20" spans="2:30" ht="18" customHeight="1" x14ac:dyDescent="0.3">
      <c r="B20" s="14">
        <v>15</v>
      </c>
      <c r="C20" s="53">
        <f>'2. Energy'!O24</f>
        <v>116529.43052645581</v>
      </c>
      <c r="D20" s="53">
        <f>'2. Energy'!P24</f>
        <v>16001.645499999999</v>
      </c>
      <c r="E20" s="53">
        <f>'2. Energy'!Q24</f>
        <v>100527.78502645581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10000</v>
      </c>
      <c r="L20" s="53">
        <f>IF('1. Rates'!Q55&lt;('2. Energy'!N24*(1+'1. Rates'!$J$60)),'1. Rates'!$I$42,0)</f>
        <v>0</v>
      </c>
      <c r="M20" s="53">
        <f t="shared" si="1"/>
        <v>45527.785026455807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4.0334542950105137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25527.785026455807</v>
      </c>
    </row>
    <row r="21" spans="2:30" ht="18" customHeight="1" x14ac:dyDescent="0.3">
      <c r="B21" s="14">
        <v>16</v>
      </c>
      <c r="C21" s="53">
        <f>'2. Energy'!O25</f>
        <v>115706.16884644541</v>
      </c>
      <c r="D21" s="53">
        <f>'2. Energy'!P25</f>
        <v>16435.614000000001</v>
      </c>
      <c r="E21" s="53">
        <f>'2. Energy'!Q25</f>
        <v>99270.554846445404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44270.554846445404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4.3180091541007881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24270.554846445404</v>
      </c>
    </row>
    <row r="22" spans="2:30" ht="18" customHeight="1" x14ac:dyDescent="0.3">
      <c r="B22" s="14">
        <v>17</v>
      </c>
      <c r="C22" s="53">
        <f>'2. Energy'!O26</f>
        <v>113265.86990313567</v>
      </c>
      <c r="D22" s="53">
        <f>'2. Energy'!P26</f>
        <v>17178.182500000003</v>
      </c>
      <c r="E22" s="53">
        <f>'2. Energy'!Q26</f>
        <v>96087.687403135671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41087.687403135671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4.1957467046832706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21087.687403135671</v>
      </c>
    </row>
    <row r="23" spans="2:30" ht="18" customHeight="1" x14ac:dyDescent="0.3">
      <c r="B23" s="14">
        <v>18</v>
      </c>
      <c r="C23" s="53">
        <f>'2. Energy'!O27</f>
        <v>106839.38608189338</v>
      </c>
      <c r="D23" s="53">
        <f>'2. Energy'!P27</f>
        <v>16939.003000000001</v>
      </c>
      <c r="E23" s="53">
        <f>'2. Energy'!Q27</f>
        <v>89900.383081893378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20000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14900.383081893378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6.9800997950605463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14900.383081893378</v>
      </c>
    </row>
    <row r="24" spans="2:30" ht="18" customHeight="1" x14ac:dyDescent="0.3">
      <c r="B24" s="14">
        <v>19</v>
      </c>
      <c r="C24" s="53">
        <f>'2. Energy'!O28</f>
        <v>106821.62009670195</v>
      </c>
      <c r="D24" s="53">
        <f>'2. Energy'!P28</f>
        <v>16685.8825</v>
      </c>
      <c r="E24" s="53">
        <f>'2. Energy'!Q28</f>
        <v>90135.737596701947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35135.737596701947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5.8906298256803025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15135.737596701947</v>
      </c>
    </row>
    <row r="25" spans="2:30" ht="18" customHeight="1" x14ac:dyDescent="0.3">
      <c r="B25" s="14">
        <v>20</v>
      </c>
      <c r="C25" s="53">
        <f>'2. Energy'!O29</f>
        <v>100943.70454179002</v>
      </c>
      <c r="D25" s="53">
        <f>'2. Energy'!P29</f>
        <v>15197.436500000002</v>
      </c>
      <c r="E25" s="53">
        <f>'2. Energy'!Q29</f>
        <v>85746.268041790026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30746.268041790026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4.5655631790348457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10746.268041790026</v>
      </c>
    </row>
    <row r="26" spans="2:30" ht="18" customHeight="1" x14ac:dyDescent="0.3">
      <c r="B26" s="14">
        <v>21</v>
      </c>
      <c r="C26" s="53">
        <f>'2. Energy'!O30</f>
        <v>96425.98590816182</v>
      </c>
      <c r="D26" s="53">
        <f>'2. Energy'!P30</f>
        <v>13342.395</v>
      </c>
      <c r="E26" s="53">
        <f>'2. Energy'!Q30</f>
        <v>83083.590908161816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28083.590908161816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4.4759874516779963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8083.5909081618156</v>
      </c>
    </row>
    <row r="27" spans="2:30" ht="18" customHeight="1" x14ac:dyDescent="0.3">
      <c r="B27" s="14">
        <v>22</v>
      </c>
      <c r="C27" s="53">
        <f>'2. Energy'!O31</f>
        <v>91475.015079469114</v>
      </c>
      <c r="D27" s="53">
        <f>'2. Energy'!P31</f>
        <v>9716.8905000000013</v>
      </c>
      <c r="E27" s="53">
        <f>'2. Energy'!Q31</f>
        <v>81758.12457946912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26758.12457946912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4.6908022785229511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6758.1245794691204</v>
      </c>
    </row>
    <row r="28" spans="2:30" ht="18" customHeight="1" x14ac:dyDescent="0.3">
      <c r="B28" s="14">
        <v>23</v>
      </c>
      <c r="C28" s="53">
        <f>'2. Energy'!O32</f>
        <v>85305.711360847345</v>
      </c>
      <c r="D28" s="53">
        <f>'2. Energy'!P32</f>
        <v>6391.7999999999993</v>
      </c>
      <c r="E28" s="53">
        <f>'2. Energy'!Q32</f>
        <v>78913.911360847342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10000</v>
      </c>
      <c r="L28" s="53">
        <f>IF('1. Rates'!Q63&lt;('2. Energy'!N32*(1+'1. Rates'!$J$60)),'1. Rates'!$I$41,0)</f>
        <v>0</v>
      </c>
      <c r="M28" s="53">
        <f t="shared" si="1"/>
        <v>23913.911360847342</v>
      </c>
      <c r="N28" s="119">
        <v>20000</v>
      </c>
      <c r="O28" s="119">
        <v>5000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4.6791592720460056</v>
      </c>
      <c r="V28" s="53">
        <f>(SUM('4.Projected'!W27:AC27)+SUM('4.Projected'!AF27:AK27))/(SUM('4.Projected'!F27:K27))</f>
        <v>4.5330645807973484</v>
      </c>
      <c r="W28" s="53">
        <f t="shared" si="2"/>
        <v>20000</v>
      </c>
      <c r="X28" s="53">
        <f t="shared" si="3"/>
        <v>5000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3913.9113608473417</v>
      </c>
    </row>
    <row r="29" spans="2:30" ht="18" customHeight="1" x14ac:dyDescent="0.3">
      <c r="B29" s="14">
        <v>24</v>
      </c>
      <c r="C29" s="53">
        <f>'2. Energy'!O33</f>
        <v>80973.635744664367</v>
      </c>
      <c r="D29" s="53">
        <f>'2. Energy'!P33</f>
        <v>5848.1970000000001</v>
      </c>
      <c r="E29" s="53">
        <f>'2. Energy'!Q33</f>
        <v>75125.438744664367</v>
      </c>
      <c r="F29" s="53">
        <f>IF('1. Rates'!$C$62&lt;'2. Energy'!N33*(1+'1. Rates'!$J$60),'1. Rates'!$C$41,'1. Rates'!$C$42)</f>
        <v>20000</v>
      </c>
      <c r="G29" s="53">
        <f>IF('1. Rates'!$D$62&lt;'2. Energy'!N33*(1+'1. Rates'!$J$60),'1. Rates'!$D$41,'1. Rates'!$D$42)</f>
        <v>5000</v>
      </c>
      <c r="H29" s="53">
        <f>IF('1. Rates'!$E$62&lt;'2. Energy'!N33*(1+'1. Rates'!$J$60),'1. Rates'!$E$41,'1. Rates'!$E$42)</f>
        <v>10000</v>
      </c>
      <c r="I29" s="53">
        <f>IF('1. Rates'!F$62&lt;'2. Energy'!$N33*(1+'1. Rates'!$J$60),'1. Rates'!F$41,'1. Rates'!F$42)</f>
        <v>10000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10000</v>
      </c>
      <c r="L29" s="53">
        <f>IF('1. Rates'!Q64&lt;('2. Energy'!N33*(1+'1. Rates'!$J$60)),'1. Rates'!$I$41,0)</f>
        <v>0</v>
      </c>
      <c r="M29" s="53">
        <f t="shared" si="1"/>
        <v>20125.438744664367</v>
      </c>
      <c r="N29" s="119">
        <v>20000</v>
      </c>
      <c r="O29" s="119">
        <v>5000</v>
      </c>
      <c r="P29" s="119">
        <v>5000</v>
      </c>
      <c r="Q29" s="119">
        <v>5000</v>
      </c>
      <c r="R29" s="119">
        <v>20000</v>
      </c>
      <c r="S29" s="119">
        <v>10000</v>
      </c>
      <c r="T29" s="123"/>
      <c r="U29" s="53">
        <f>'2. Energy'!N33*(1+'1. Rates'!$J$60)</f>
        <v>3.9687251934439782</v>
      </c>
      <c r="V29" s="53">
        <f>(SUM('4.Projected'!W28:AC28)+SUM('4.Projected'!AF28:AK28))/(SUM('4.Projected'!F28:K28))</f>
        <v>4.6608208552927657</v>
      </c>
      <c r="W29" s="53">
        <f t="shared" si="2"/>
        <v>20000</v>
      </c>
      <c r="X29" s="53">
        <f t="shared" si="3"/>
        <v>5000</v>
      </c>
      <c r="Y29" s="53">
        <f t="shared" si="4"/>
        <v>5000</v>
      </c>
      <c r="Z29" s="53">
        <f t="shared" si="5"/>
        <v>5000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10125.438744664367</v>
      </c>
    </row>
    <row r="30" spans="2:30" ht="21" customHeight="1" x14ac:dyDescent="0.3">
      <c r="B30" s="55" t="s">
        <v>137</v>
      </c>
      <c r="C30" s="56">
        <f t="shared" ref="C30:D30" si="10">SUM(C6:C29)</f>
        <v>2191086.9372371351</v>
      </c>
      <c r="D30" s="56">
        <f t="shared" si="10"/>
        <v>265498.84500000003</v>
      </c>
      <c r="E30" s="56">
        <f>SUM(E6:E29)</f>
        <v>1925588.0922371347</v>
      </c>
      <c r="F30" s="56">
        <f t="shared" ref="F30:M30" si="11">SUM(F6:F29)</f>
        <v>380000</v>
      </c>
      <c r="G30" s="56">
        <f>SUM(G6:G29)</f>
        <v>95000</v>
      </c>
      <c r="H30" s="56">
        <f t="shared" si="11"/>
        <v>185000</v>
      </c>
      <c r="I30" s="56">
        <f t="shared" si="11"/>
        <v>185000</v>
      </c>
      <c r="J30" s="56">
        <f t="shared" si="11"/>
        <v>20000</v>
      </c>
      <c r="K30" s="56">
        <f t="shared" si="11"/>
        <v>110000</v>
      </c>
      <c r="L30" s="56">
        <f t="shared" si="11"/>
        <v>0</v>
      </c>
      <c r="M30" s="56">
        <f t="shared" si="11"/>
        <v>950588.09223713493</v>
      </c>
      <c r="N30" s="56">
        <f t="shared" ref="N30:T30" si="12">SUM(N6:N29)</f>
        <v>360000</v>
      </c>
      <c r="O30" s="56">
        <f t="shared" si="12"/>
        <v>90000</v>
      </c>
      <c r="P30" s="56">
        <f t="shared" si="12"/>
        <v>175000</v>
      </c>
      <c r="Q30" s="56">
        <f t="shared" si="12"/>
        <v>175000</v>
      </c>
      <c r="R30" s="56">
        <f t="shared" si="12"/>
        <v>400000</v>
      </c>
      <c r="S30" s="56">
        <f t="shared" si="12"/>
        <v>120000</v>
      </c>
      <c r="T30" s="56">
        <f t="shared" si="12"/>
        <v>0</v>
      </c>
      <c r="U30" s="56">
        <f>AVERAGE(U6:U29)</f>
        <v>4.0234461590410779</v>
      </c>
      <c r="V30" s="56">
        <f>SUM('4.Projected'!W29:AC29)/SUM('4.Projected'!F29:K29)</f>
        <v>4.1843099258922889</v>
      </c>
      <c r="W30" s="56">
        <f t="shared" ref="W30:AD30" si="13">SUM(W6:W29)</f>
        <v>360000</v>
      </c>
      <c r="X30" s="56">
        <f t="shared" si="13"/>
        <v>90000</v>
      </c>
      <c r="Y30" s="56">
        <f t="shared" si="13"/>
        <v>175000</v>
      </c>
      <c r="Z30" s="56">
        <f t="shared" si="13"/>
        <v>175000</v>
      </c>
      <c r="AA30" s="56">
        <f t="shared" si="13"/>
        <v>400000</v>
      </c>
      <c r="AB30" s="56">
        <f t="shared" si="13"/>
        <v>120000</v>
      </c>
      <c r="AC30" s="56">
        <f t="shared" si="13"/>
        <v>0</v>
      </c>
      <c r="AD30" s="56">
        <f t="shared" si="13"/>
        <v>605588.0922371347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74592.25337956725</v>
      </c>
      <c r="D5" s="53">
        <f>'2. Energy'!P10</f>
        <v>5801.1880000000001</v>
      </c>
      <c r="E5" s="53">
        <f>'2. Energy'!Q10</f>
        <v>68791.065379567255</v>
      </c>
      <c r="F5" s="53">
        <f>'3. Nomination'!W6</f>
        <v>20000</v>
      </c>
      <c r="G5" s="53">
        <f>'3. Nomination'!X6</f>
        <v>5000</v>
      </c>
      <c r="H5" s="53">
        <f>'3. Nomination'!Y6</f>
        <v>10000</v>
      </c>
      <c r="I5" s="53">
        <f>'3. Nomination'!Z6</f>
        <v>10000</v>
      </c>
      <c r="J5" s="53">
        <f>'3. Nomination'!AA6</f>
        <v>20000</v>
      </c>
      <c r="K5" s="53">
        <f>'3. Nomination'!AB6</f>
        <v>10000</v>
      </c>
      <c r="L5" s="53">
        <f>'3. Nomination'!AC6</f>
        <v>0</v>
      </c>
      <c r="M5" s="53">
        <f>'3. Nomination'!AD6</f>
        <v>-6208.9346204327449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65654.455917746949</v>
      </c>
      <c r="X5" s="53">
        <f>G5*'1. Rates'!D$56</f>
        <v>16413.613979436737</v>
      </c>
      <c r="Y5" s="53">
        <f>H5*'1. Rates'!E$56</f>
        <v>33059.364255153028</v>
      </c>
      <c r="Z5" s="53">
        <f>I5*'1. Rates'!F$56</f>
        <v>33059.364255153028</v>
      </c>
      <c r="AA5" s="53">
        <f>J5*'1. Rates'!G$56</f>
        <v>123628</v>
      </c>
      <c r="AB5" s="53">
        <f>K5*'1. Rates'!H$56</f>
        <v>34702.174591513132</v>
      </c>
      <c r="AC5" s="53">
        <f>L5*'1. Rates'!Q41</f>
        <v>0</v>
      </c>
      <c r="AD5" s="53">
        <f>M5*'2. Energy'!N10</f>
        <v>-21311.046183615308</v>
      </c>
      <c r="AE5" s="53">
        <f>W5+X5+Y5+Z5+AA5+AB5+AC5+AD5</f>
        <v>285205.92681538756</v>
      </c>
      <c r="AF5" s="53">
        <f>(N5+W5)*'1. Rates'!C$60</f>
        <v>11757.185456398289</v>
      </c>
      <c r="AG5" s="53">
        <f>(O5+X5)*'1. Rates'!D$60</f>
        <v>2939.2963640995722</v>
      </c>
      <c r="AH5" s="53">
        <f>(P5+Y5)*'1. Rates'!E$60</f>
        <v>5889.6838946594207</v>
      </c>
      <c r="AI5" s="53">
        <f>(Q5+Z5)*'1. Rates'!F$60</f>
        <v>5942.7238946594207</v>
      </c>
      <c r="AJ5" s="53">
        <f>(R5+AA5)*'1. Rates'!G$60</f>
        <v>0</v>
      </c>
      <c r="AK5" s="53">
        <f>(S5+AB5)*'1. Rates'!H$60</f>
        <v>6933.9809509815759</v>
      </c>
      <c r="AL5" s="53">
        <f>(T5+AC5)*'1. Rates'!$I$60</f>
        <v>0</v>
      </c>
      <c r="AM5" s="53">
        <f>(U5+AD5)*'1. Rates'!$J$60</f>
        <v>-1793.6588097313811</v>
      </c>
      <c r="AN5" s="53">
        <f>AF5+AG5+AH5+AI5+AJ5+AK5+AL5+AM5</f>
        <v>31669.211751066898</v>
      </c>
      <c r="AO5" s="53">
        <f>N5+W5</f>
        <v>97976.545469985751</v>
      </c>
      <c r="AP5" s="53">
        <f t="shared" ref="AP5:AV20" si="0">O5+X5</f>
        <v>24494.136367496438</v>
      </c>
      <c r="AQ5" s="53">
        <f t="shared" si="0"/>
        <v>49080.699122161845</v>
      </c>
      <c r="AR5" s="53">
        <f t="shared" si="0"/>
        <v>49522.699122161837</v>
      </c>
      <c r="AS5" s="53">
        <f t="shared" si="0"/>
        <v>123628</v>
      </c>
      <c r="AT5" s="53">
        <f t="shared" si="0"/>
        <v>57783.174591513132</v>
      </c>
      <c r="AU5" s="53">
        <f t="shared" si="0"/>
        <v>0</v>
      </c>
      <c r="AV5" s="53">
        <f t="shared" si="0"/>
        <v>-21311.046183615308</v>
      </c>
      <c r="AW5" s="53">
        <f>AO5+AP5+AQ5+AR5+AS5+AT5+AU5+AV5</f>
        <v>381174.20848970371</v>
      </c>
      <c r="AX5" s="53">
        <f>N5+W5+AF5</f>
        <v>109733.73092638404</v>
      </c>
      <c r="AY5" s="53">
        <f t="shared" ref="AY5:BE5" si="1">O5+X5+AG5</f>
        <v>27433.432731596011</v>
      </c>
      <c r="AZ5" s="53">
        <f t="shared" si="1"/>
        <v>54970.383016821266</v>
      </c>
      <c r="BA5" s="53">
        <f t="shared" si="1"/>
        <v>55465.42301682126</v>
      </c>
      <c r="BB5" s="53">
        <f t="shared" si="1"/>
        <v>123628</v>
      </c>
      <c r="BC5" s="53">
        <f t="shared" si="1"/>
        <v>64717.155542494707</v>
      </c>
      <c r="BD5" s="53">
        <f t="shared" si="1"/>
        <v>0</v>
      </c>
      <c r="BE5" s="53">
        <f t="shared" si="1"/>
        <v>-23104.704993346688</v>
      </c>
      <c r="BF5" s="53">
        <f>AX5+AY5+AZ5+BA5+BB5+BC5+BD5+BE5</f>
        <v>412843.42024077056</v>
      </c>
      <c r="BG5" s="54">
        <f>AO5/F5</f>
        <v>4.8988272734992879</v>
      </c>
      <c r="BH5" s="54">
        <f t="shared" ref="BH5:BL20" si="2">AP5/G5</f>
        <v>4.8988272734992879</v>
      </c>
      <c r="BI5" s="54">
        <f t="shared" si="2"/>
        <v>4.9080699122161846</v>
      </c>
      <c r="BJ5" s="54">
        <f t="shared" si="2"/>
        <v>4.9522699122161837</v>
      </c>
      <c r="BK5" s="54">
        <f t="shared" si="2"/>
        <v>6.1814</v>
      </c>
      <c r="BL5" s="54">
        <f>AT5/K5</f>
        <v>5.7783174591513129</v>
      </c>
      <c r="BM5" s="54"/>
      <c r="BN5" s="54">
        <f>AV5/M5</f>
        <v>3.4323193086111106</v>
      </c>
      <c r="BO5" s="54">
        <f>AW5/E5</f>
        <v>5.5410423779091875</v>
      </c>
      <c r="BP5" s="54">
        <f>AX5/F5</f>
        <v>5.4866865463192021</v>
      </c>
      <c r="BQ5" s="54">
        <f t="shared" ref="BQ5:BU20" si="3">AY5/G5</f>
        <v>5.4866865463192021</v>
      </c>
      <c r="BR5" s="54">
        <f t="shared" si="3"/>
        <v>5.4970383016821263</v>
      </c>
      <c r="BS5" s="54">
        <f t="shared" si="3"/>
        <v>5.546542301682126</v>
      </c>
      <c r="BT5" s="54">
        <f t="shared" si="3"/>
        <v>6.1814</v>
      </c>
      <c r="BU5" s="54">
        <f>BC5/K5</f>
        <v>6.4717155542494709</v>
      </c>
      <c r="BV5" s="54"/>
      <c r="BW5" s="54">
        <f t="shared" ref="BW5:BW20" si="4">BE5/M5</f>
        <v>3.7212028159085939</v>
      </c>
      <c r="BX5" s="54">
        <f>BF5/E5</f>
        <v>6.0014104733344604</v>
      </c>
    </row>
    <row r="6" spans="2:76" ht="18" customHeight="1" x14ac:dyDescent="0.3">
      <c r="B6" s="14">
        <v>2</v>
      </c>
      <c r="C6" s="53">
        <f>'2. Energy'!O11</f>
        <v>71137.270422861766</v>
      </c>
      <c r="D6" s="53">
        <f>'2. Energy'!P11</f>
        <v>5641.719000000001</v>
      </c>
      <c r="E6" s="53">
        <f>'2. Energy'!Q11</f>
        <v>65495.551422861769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42995.551422861769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135151.30744055301</v>
      </c>
      <c r="AE6" s="53">
        <f t="shared" ref="AE6:AE28" si="6">W6+X6+Y6+Z6+AA6+AB6+AC6+AD6</f>
        <v>209244.70664429787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11375.102430393106</v>
      </c>
      <c r="AN6" s="53">
        <f t="shared" ref="AN6:AN28" si="7">AF6+AG6+AH6+AI6+AJ6+AK6+AL6+AM6</f>
        <v>31782.504135760428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135151.30744055301</v>
      </c>
      <c r="AW6" s="53">
        <f t="shared" ref="AW6:AW28" si="9">AO6+AP6+AQ6+AR6+AS6+AT6+AU6+AV6</f>
        <v>305212.98831861402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146526.40987094611</v>
      </c>
      <c r="BF6" s="53">
        <f t="shared" ref="BF6:BF28" si="17">AX6+AY6+AZ6+BA6+BB6+BC6+BD6+BE6</f>
        <v>336995.49245437444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3.143378860555555</v>
      </c>
      <c r="BO6" s="54">
        <f>AW6/E6</f>
        <v>4.6600567777199728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3.4079434969877953</v>
      </c>
      <c r="BX6" s="54">
        <f t="shared" ref="BX6:BX28" si="21">BF6/E6</f>
        <v>5.1453188061371655</v>
      </c>
    </row>
    <row r="7" spans="2:76" ht="18" customHeight="1" x14ac:dyDescent="0.3">
      <c r="B7" s="14">
        <v>3</v>
      </c>
      <c r="C7" s="53">
        <f>'2. Energy'!O12</f>
        <v>68205.073666836499</v>
      </c>
      <c r="D7" s="53">
        <f>'2. Energy'!P12</f>
        <v>5541.0945000000002</v>
      </c>
      <c r="E7" s="53">
        <f>'2. Energy'!Q12</f>
        <v>62663.9791668365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40163.9791668365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111823.02752161297</v>
      </c>
      <c r="AE7" s="53">
        <f t="shared" si="6"/>
        <v>185916.42672535783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9411.6617606123418</v>
      </c>
      <c r="AN7" s="53">
        <f t="shared" si="7"/>
        <v>29819.063465979663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111823.02752161297</v>
      </c>
      <c r="AW7" s="53">
        <f t="shared" si="9"/>
        <v>281884.70839967398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121234.68928222531</v>
      </c>
      <c r="BF7" s="53">
        <f t="shared" si="17"/>
        <v>311703.77186565363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2.7841620736111108</v>
      </c>
      <c r="BO7" s="54">
        <f t="shared" ref="BO7:BO28" si="22">AW7/E7</f>
        <v>4.4983531551544864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3.0184929829445064</v>
      </c>
      <c r="BX7" s="54">
        <f t="shared" si="21"/>
        <v>4.9742096817020496</v>
      </c>
    </row>
    <row r="8" spans="2:76" ht="18" customHeight="1" x14ac:dyDescent="0.3">
      <c r="B8" s="14">
        <v>4</v>
      </c>
      <c r="C8" s="53">
        <f>'2. Energy'!O13</f>
        <v>65766.397109266662</v>
      </c>
      <c r="D8" s="53">
        <f>'2. Energy'!P13</f>
        <v>5516.2800000000007</v>
      </c>
      <c r="E8" s="53">
        <f>'2. Energy'!Q13</f>
        <v>60250.117109266663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37750.117109266663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100850.84821226723</v>
      </c>
      <c r="AE8" s="53">
        <f t="shared" si="6"/>
        <v>174944.24741601211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8488.1807681450955</v>
      </c>
      <c r="AN8" s="53">
        <f t="shared" si="7"/>
        <v>28895.582473512415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100850.84821226723</v>
      </c>
      <c r="AW8" s="53">
        <f t="shared" si="9"/>
        <v>270912.52909032826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109339.02898041232</v>
      </c>
      <c r="BF8" s="53">
        <f t="shared" si="17"/>
        <v>299808.11156384065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2.6715373602777777</v>
      </c>
      <c r="BO8" s="54">
        <f t="shared" si="22"/>
        <v>4.4964647719939626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2.8963891334147003</v>
      </c>
      <c r="BX8" s="54">
        <f t="shared" si="21"/>
        <v>4.9760585696476465</v>
      </c>
    </row>
    <row r="9" spans="2:76" ht="18" customHeight="1" x14ac:dyDescent="0.3">
      <c r="B9" s="14">
        <v>5</v>
      </c>
      <c r="C9" s="53">
        <f>'2. Energy'!O14</f>
        <v>64512.128040284457</v>
      </c>
      <c r="D9" s="53">
        <f>'2. Energy'!P14</f>
        <v>5497.0010000000002</v>
      </c>
      <c r="E9" s="53">
        <f>'2. Energy'!Q14</f>
        <v>59015.127040284453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36515.127040284453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113345.46374386095</v>
      </c>
      <c r="AE9" s="53">
        <f t="shared" si="6"/>
        <v>187438.86294760581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9539.7986488139504</v>
      </c>
      <c r="AN9" s="53">
        <f t="shared" si="7"/>
        <v>29947.20035418127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113345.46374386095</v>
      </c>
      <c r="AW9" s="53">
        <f t="shared" si="9"/>
        <v>283407.14462192194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122885.26239267489</v>
      </c>
      <c r="BF9" s="53">
        <f t="shared" si="17"/>
        <v>313354.34497610322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3.1040687224999997</v>
      </c>
      <c r="BO9" s="54">
        <f t="shared" si="22"/>
        <v>4.8022796668465144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3.3653247942176026</v>
      </c>
      <c r="BX9" s="54">
        <f t="shared" si="21"/>
        <v>5.3097292286129232</v>
      </c>
    </row>
    <row r="10" spans="2:76" ht="18" customHeight="1" x14ac:dyDescent="0.3">
      <c r="B10" s="14">
        <v>6</v>
      </c>
      <c r="C10" s="53">
        <f>'2. Energy'!O15</f>
        <v>65514.371550064803</v>
      </c>
      <c r="D10" s="53">
        <f>'2. Energy'!P15</f>
        <v>5761.3979999999992</v>
      </c>
      <c r="E10" s="53">
        <f>'2. Energy'!Q15</f>
        <v>59752.973550064802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20000</v>
      </c>
      <c r="K10" s="53">
        <f>'3. Nomination'!AB11</f>
        <v>0</v>
      </c>
      <c r="L10" s="53">
        <f>'3. Nomination'!AC11</f>
        <v>0</v>
      </c>
      <c r="M10" s="53">
        <f>'3. Nomination'!AD11</f>
        <v>17252.973550064802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123628</v>
      </c>
      <c r="AB10" s="53">
        <f>K10*'1. Rates'!H$56</f>
        <v>0</v>
      </c>
      <c r="AC10" s="53">
        <f>L10*'1. Rates'!Q46</f>
        <v>0</v>
      </c>
      <c r="AD10" s="53">
        <f>M10*'2. Energy'!N15</f>
        <v>58879.348181951485</v>
      </c>
      <c r="AE10" s="53">
        <f t="shared" si="6"/>
        <v>256600.74738569633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4955.6206986682319</v>
      </c>
      <c r="AN10" s="53">
        <f t="shared" si="7"/>
        <v>25363.022404035553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123628</v>
      </c>
      <c r="AT10" s="53">
        <f t="shared" si="0"/>
        <v>23081</v>
      </c>
      <c r="AU10" s="53">
        <f t="shared" si="0"/>
        <v>0</v>
      </c>
      <c r="AV10" s="53">
        <f t="shared" si="0"/>
        <v>58879.348181951485</v>
      </c>
      <c r="AW10" s="53">
        <f t="shared" si="9"/>
        <v>352569.02906001249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123628</v>
      </c>
      <c r="BC10" s="53">
        <f t="shared" si="14"/>
        <v>25850.720000000001</v>
      </c>
      <c r="BD10" s="53">
        <f t="shared" si="15"/>
        <v>0</v>
      </c>
      <c r="BE10" s="53">
        <f t="shared" si="16"/>
        <v>63834.968880619715</v>
      </c>
      <c r="BF10" s="53">
        <f t="shared" si="17"/>
        <v>377932.0514640481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>
        <f t="shared" si="2"/>
        <v>6.1814</v>
      </c>
      <c r="BL10" s="54" t="e">
        <f t="shared" si="2"/>
        <v>#DIV/0!</v>
      </c>
      <c r="BM10" s="54"/>
      <c r="BN10" s="54">
        <f t="shared" si="19"/>
        <v>3.4127072652777777</v>
      </c>
      <c r="BO10" s="54">
        <f t="shared" si="22"/>
        <v>5.9004432434581346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>
        <f t="shared" si="3"/>
        <v>6.1814</v>
      </c>
      <c r="BU10" s="54" t="e">
        <f t="shared" si="3"/>
        <v>#DIV/0!</v>
      </c>
      <c r="BV10" s="54"/>
      <c r="BW10" s="54">
        <f t="shared" si="4"/>
        <v>3.6999401115050077</v>
      </c>
      <c r="BX10" s="54">
        <f t="shared" si="21"/>
        <v>6.3249078499397662</v>
      </c>
    </row>
    <row r="11" spans="2:76" ht="18" customHeight="1" x14ac:dyDescent="0.3">
      <c r="B11" s="14">
        <v>7</v>
      </c>
      <c r="C11" s="53">
        <f>'2. Energy'!O16</f>
        <v>66986.368929713848</v>
      </c>
      <c r="D11" s="53">
        <f>'2. Energy'!P16</f>
        <v>6103.384</v>
      </c>
      <c r="E11" s="53">
        <f>'2. Energy'!Q16</f>
        <v>60882.98492971385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20000</v>
      </c>
      <c r="K11" s="53">
        <f>'3. Nomination'!AB12</f>
        <v>0</v>
      </c>
      <c r="L11" s="53">
        <f>'3. Nomination'!AC12</f>
        <v>0</v>
      </c>
      <c r="M11" s="53">
        <f>'3. Nomination'!AD12</f>
        <v>18382.98492971385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123628</v>
      </c>
      <c r="AB11" s="53">
        <f>K11*'1. Rates'!H$56</f>
        <v>0</v>
      </c>
      <c r="AC11" s="53">
        <f>L11*'1. Rates'!Q47</f>
        <v>0</v>
      </c>
      <c r="AD11" s="53">
        <f>M11*'2. Energy'!N16</f>
        <v>61085.053918344056</v>
      </c>
      <c r="AE11" s="53">
        <f t="shared" si="6"/>
        <v>258806.45312208892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5141.2654338758966</v>
      </c>
      <c r="AN11" s="53">
        <f t="shared" si="7"/>
        <v>25548.667139243218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123628</v>
      </c>
      <c r="AT11" s="53">
        <f t="shared" si="0"/>
        <v>23081</v>
      </c>
      <c r="AU11" s="53">
        <f t="shared" si="0"/>
        <v>0</v>
      </c>
      <c r="AV11" s="53">
        <f t="shared" si="0"/>
        <v>61085.053918344056</v>
      </c>
      <c r="AW11" s="53">
        <f t="shared" si="9"/>
        <v>354774.73479640507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123628</v>
      </c>
      <c r="BC11" s="53">
        <f t="shared" si="14"/>
        <v>25850.720000000001</v>
      </c>
      <c r="BD11" s="53">
        <f t="shared" si="15"/>
        <v>0</v>
      </c>
      <c r="BE11" s="53">
        <f t="shared" si="16"/>
        <v>66226.319352219958</v>
      </c>
      <c r="BF11" s="53">
        <f t="shared" si="17"/>
        <v>380323.40193564829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>
        <f t="shared" si="2"/>
        <v>6.1814</v>
      </c>
      <c r="BL11" s="54" t="e">
        <f t="shared" si="2"/>
        <v>#DIV/0!</v>
      </c>
      <c r="BM11" s="54"/>
      <c r="BN11" s="54">
        <f t="shared" si="19"/>
        <v>3.3229126908333328</v>
      </c>
      <c r="BO11" s="54">
        <f t="shared" si="22"/>
        <v>5.8271573774836032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>
        <f t="shared" si="3"/>
        <v>6.1814</v>
      </c>
      <c r="BU11" s="54" t="e">
        <f t="shared" si="3"/>
        <v>#DIV/0!</v>
      </c>
      <c r="BV11" s="54"/>
      <c r="BW11" s="54">
        <f t="shared" si="4"/>
        <v>3.6025879151526259</v>
      </c>
      <c r="BX11" s="54">
        <f t="shared" si="21"/>
        <v>6.2467929648112905</v>
      </c>
    </row>
    <row r="12" spans="2:76" ht="18" customHeight="1" x14ac:dyDescent="0.3">
      <c r="B12" s="14">
        <v>8</v>
      </c>
      <c r="C12" s="53">
        <f>'2. Energy'!O17</f>
        <v>71891.039115537889</v>
      </c>
      <c r="D12" s="53">
        <f>'2. Energy'!P17</f>
        <v>6908.5929999999998</v>
      </c>
      <c r="E12" s="53">
        <f>'2. Energy'!Q17</f>
        <v>64982.446115537889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20000</v>
      </c>
      <c r="K12" s="53">
        <f>'3. Nomination'!AB13</f>
        <v>0</v>
      </c>
      <c r="L12" s="53">
        <f>'3. Nomination'!AC13</f>
        <v>0</v>
      </c>
      <c r="M12" s="53">
        <f>'3. Nomination'!AD13</f>
        <v>22482.446115537889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123628</v>
      </c>
      <c r="AB12" s="53">
        <f>K12*'1. Rates'!H$56</f>
        <v>0</v>
      </c>
      <c r="AC12" s="53">
        <f>L12*'1. Rates'!Q48</f>
        <v>0</v>
      </c>
      <c r="AD12" s="53">
        <f>M12*'2. Energy'!N17</f>
        <v>69619.999550440654</v>
      </c>
      <c r="AE12" s="53">
        <f t="shared" si="6"/>
        <v>267341.39875418553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5859.6149832921228</v>
      </c>
      <c r="AN12" s="53">
        <f t="shared" si="7"/>
        <v>26267.016688659442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123628</v>
      </c>
      <c r="AT12" s="53">
        <f t="shared" si="0"/>
        <v>23081</v>
      </c>
      <c r="AU12" s="53">
        <f t="shared" si="0"/>
        <v>0</v>
      </c>
      <c r="AV12" s="53">
        <f t="shared" si="0"/>
        <v>69619.999550440654</v>
      </c>
      <c r="AW12" s="53">
        <f t="shared" si="9"/>
        <v>363309.68042850163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123628</v>
      </c>
      <c r="BC12" s="53">
        <f t="shared" si="14"/>
        <v>25850.720000000001</v>
      </c>
      <c r="BD12" s="53">
        <f t="shared" si="15"/>
        <v>0</v>
      </c>
      <c r="BE12" s="53">
        <f t="shared" si="16"/>
        <v>75479.614533732776</v>
      </c>
      <c r="BF12" s="53">
        <f t="shared" si="17"/>
        <v>389576.69711716112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>
        <f t="shared" si="2"/>
        <v>6.1814</v>
      </c>
      <c r="BL12" s="54" t="e">
        <f t="shared" si="2"/>
        <v>#DIV/0!</v>
      </c>
      <c r="BM12" s="54"/>
      <c r="BN12" s="54">
        <f t="shared" si="19"/>
        <v>3.0966381145833344</v>
      </c>
      <c r="BO12" s="54">
        <f t="shared" si="22"/>
        <v>5.590889573201693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>
        <f t="shared" si="3"/>
        <v>6.1814</v>
      </c>
      <c r="BU12" s="54" t="e">
        <f t="shared" si="3"/>
        <v>#DIV/0!</v>
      </c>
      <c r="BV12" s="54"/>
      <c r="BW12" s="54">
        <f t="shared" si="4"/>
        <v>3.3572687840923106</v>
      </c>
      <c r="BX12" s="54">
        <f t="shared" si="21"/>
        <v>5.9951066850345889</v>
      </c>
    </row>
    <row r="13" spans="2:76" ht="18" customHeight="1" x14ac:dyDescent="0.3">
      <c r="B13" s="14">
        <v>9</v>
      </c>
      <c r="C13" s="53">
        <f>'2. Energy'!O18</f>
        <v>87236.866307392891</v>
      </c>
      <c r="D13" s="53">
        <f>'2. Energy'!P18</f>
        <v>8421.4285000000018</v>
      </c>
      <c r="E13" s="53">
        <f>'2. Energy'!Q18</f>
        <v>78815.437807392882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0</v>
      </c>
      <c r="L13" s="53">
        <f>'3. Nomination'!AC14</f>
        <v>0</v>
      </c>
      <c r="M13" s="53">
        <f>'3. Nomination'!AD14</f>
        <v>36315.437807392882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0</v>
      </c>
      <c r="AC13" s="53">
        <f>L13*'1. Rates'!Q49</f>
        <v>0</v>
      </c>
      <c r="AD13" s="53">
        <f>M13*'2. Energy'!N18</f>
        <v>118512.48987014717</v>
      </c>
      <c r="AE13" s="53">
        <f t="shared" si="6"/>
        <v>316233.88907389203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9974.6849444783547</v>
      </c>
      <c r="AN13" s="53">
        <f t="shared" si="7"/>
        <v>30382.086649845674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23081</v>
      </c>
      <c r="AU13" s="53">
        <f t="shared" si="0"/>
        <v>0</v>
      </c>
      <c r="AV13" s="53">
        <f t="shared" si="0"/>
        <v>118512.48987014717</v>
      </c>
      <c r="AW13" s="53">
        <f t="shared" si="9"/>
        <v>412202.17074820818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25850.720000000001</v>
      </c>
      <c r="BD13" s="53">
        <f t="shared" si="15"/>
        <v>0</v>
      </c>
      <c r="BE13" s="53">
        <f t="shared" si="16"/>
        <v>128487.17481462553</v>
      </c>
      <c r="BF13" s="53">
        <f t="shared" si="17"/>
        <v>442584.25739805389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 t="e">
        <f t="shared" si="2"/>
        <v>#DIV/0!</v>
      </c>
      <c r="BM13" s="54"/>
      <c r="BN13" s="54">
        <f t="shared" si="19"/>
        <v>3.2634190037500002</v>
      </c>
      <c r="BO13" s="54">
        <f t="shared" si="22"/>
        <v>5.2299674050601244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 t="e">
        <f t="shared" si="3"/>
        <v>#DIV/0!</v>
      </c>
      <c r="BV13" s="54"/>
      <c r="BW13" s="54">
        <f t="shared" si="4"/>
        <v>3.5380869011158902</v>
      </c>
      <c r="BX13" s="54">
        <f t="shared" si="21"/>
        <v>5.6154513596642044</v>
      </c>
    </row>
    <row r="14" spans="2:76" ht="18" customHeight="1" x14ac:dyDescent="0.3">
      <c r="B14" s="14">
        <v>10</v>
      </c>
      <c r="C14" s="53">
        <f>'2. Energy'!O19</f>
        <v>101282.85381547347</v>
      </c>
      <c r="D14" s="53">
        <f>'2. Energy'!P19</f>
        <v>14998.935500000001</v>
      </c>
      <c r="E14" s="53">
        <f>'2. Energy'!Q19</f>
        <v>86283.918315473464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0</v>
      </c>
      <c r="L14" s="53">
        <f>'3. Nomination'!AC15</f>
        <v>0</v>
      </c>
      <c r="M14" s="53">
        <f>'3. Nomination'!AD15</f>
        <v>43783.918315473464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0</v>
      </c>
      <c r="AC14" s="53">
        <f>L14*'1. Rates'!Q50</f>
        <v>0</v>
      </c>
      <c r="AD14" s="53">
        <f>M14*'2. Energy'!N19</f>
        <v>145349.83411947137</v>
      </c>
      <c r="AE14" s="53">
        <f t="shared" si="6"/>
        <v>343071.23332321621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12233.468418919119</v>
      </c>
      <c r="AN14" s="53">
        <f t="shared" si="7"/>
        <v>32640.870124286441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23081</v>
      </c>
      <c r="AU14" s="53">
        <f t="shared" si="0"/>
        <v>0</v>
      </c>
      <c r="AV14" s="53">
        <f t="shared" si="0"/>
        <v>145349.83411947137</v>
      </c>
      <c r="AW14" s="53">
        <f t="shared" si="9"/>
        <v>439039.51499753236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25850.720000000001</v>
      </c>
      <c r="BD14" s="53">
        <f t="shared" si="15"/>
        <v>0</v>
      </c>
      <c r="BE14" s="53">
        <f t="shared" si="16"/>
        <v>157583.3025383905</v>
      </c>
      <c r="BF14" s="53">
        <f t="shared" si="17"/>
        <v>471680.38512181886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 t="e">
        <f t="shared" si="2"/>
        <v>#DIV/0!</v>
      </c>
      <c r="BM14" s="54"/>
      <c r="BN14" s="54">
        <f t="shared" si="19"/>
        <v>3.319708233333333</v>
      </c>
      <c r="BO14" s="54">
        <f t="shared" si="22"/>
        <v>5.0883122089136572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 t="e">
        <f t="shared" si="3"/>
        <v>#DIV/0!</v>
      </c>
      <c r="BV14" s="54"/>
      <c r="BW14" s="54">
        <f t="shared" si="4"/>
        <v>3.5991137522906382</v>
      </c>
      <c r="BX14" s="54">
        <f t="shared" si="21"/>
        <v>5.4666083127709735</v>
      </c>
    </row>
    <row r="15" spans="2:76" ht="18" customHeight="1" x14ac:dyDescent="0.3">
      <c r="B15" s="14">
        <v>11</v>
      </c>
      <c r="C15" s="53">
        <f>'2. Energy'!O20</f>
        <v>106518.77122556194</v>
      </c>
      <c r="D15" s="53">
        <f>'2. Energy'!P20</f>
        <v>14970.028</v>
      </c>
      <c r="E15" s="53">
        <f>'2. Energy'!Q20</f>
        <v>91548.743225561935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0</v>
      </c>
      <c r="L15" s="53">
        <f>'3. Nomination'!AC16</f>
        <v>0</v>
      </c>
      <c r="M15" s="53">
        <f>'3. Nomination'!AD16</f>
        <v>49048.743225561935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0</v>
      </c>
      <c r="AC15" s="53">
        <f>L15*'1. Rates'!Q51</f>
        <v>0</v>
      </c>
      <c r="AD15" s="53">
        <f>M15*'2. Energy'!N20</f>
        <v>169097.56449871551</v>
      </c>
      <c r="AE15" s="53">
        <f t="shared" si="6"/>
        <v>366818.9637024604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2769.72</v>
      </c>
      <c r="AL15" s="53">
        <f>(T15+AC15)*'1. Rates'!$I$60</f>
        <v>0</v>
      </c>
      <c r="AM15" s="53">
        <f>(U15+AD15)*'1. Rates'!$J$60</f>
        <v>14232.212424204303</v>
      </c>
      <c r="AN15" s="53">
        <f t="shared" si="7"/>
        <v>34639.614129571622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23081</v>
      </c>
      <c r="AU15" s="53">
        <f t="shared" si="0"/>
        <v>0</v>
      </c>
      <c r="AV15" s="53">
        <f t="shared" si="0"/>
        <v>169097.56449871551</v>
      </c>
      <c r="AW15" s="53">
        <f t="shared" si="9"/>
        <v>462787.2453767765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25850.720000000001</v>
      </c>
      <c r="BD15" s="53">
        <f t="shared" si="15"/>
        <v>0</v>
      </c>
      <c r="BE15" s="53">
        <f t="shared" si="16"/>
        <v>183329.77692291982</v>
      </c>
      <c r="BF15" s="53">
        <f t="shared" si="17"/>
        <v>497426.85950634815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 t="e">
        <f t="shared" si="2"/>
        <v>#DIV/0!</v>
      </c>
      <c r="BM15" s="54"/>
      <c r="BN15" s="54">
        <f t="shared" si="19"/>
        <v>3.4475412289583329</v>
      </c>
      <c r="BO15" s="54">
        <f t="shared" si="22"/>
        <v>5.0550911904551254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 t="e">
        <f t="shared" si="3"/>
        <v>#DIV/0!</v>
      </c>
      <c r="BV15" s="54"/>
      <c r="BW15" s="54">
        <f t="shared" si="4"/>
        <v>3.7377058996157282</v>
      </c>
      <c r="BX15" s="54">
        <f t="shared" si="21"/>
        <v>5.4334646438648031</v>
      </c>
    </row>
    <row r="16" spans="2:76" ht="18" customHeight="1" x14ac:dyDescent="0.3">
      <c r="B16" s="14">
        <v>12</v>
      </c>
      <c r="C16" s="53">
        <f>'2. Energy'!O21</f>
        <v>109051.22086791189</v>
      </c>
      <c r="D16" s="53">
        <f>'2. Energy'!P21</f>
        <v>15231.207</v>
      </c>
      <c r="E16" s="53">
        <f>'2. Energy'!Q21</f>
        <v>93820.013867911897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0</v>
      </c>
      <c r="L16" s="53">
        <f>'3. Nomination'!AC17</f>
        <v>0</v>
      </c>
      <c r="M16" s="53">
        <f>'3. Nomination'!AD17</f>
        <v>51320.013867911897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0</v>
      </c>
      <c r="AC16" s="53">
        <f>L16*'1. Rates'!Q52</f>
        <v>0</v>
      </c>
      <c r="AD16" s="53">
        <f>M16*'2. Energy'!N21</f>
        <v>159411.60345789653</v>
      </c>
      <c r="AE16" s="53">
        <f t="shared" si="6"/>
        <v>357133.0026616414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2769.72</v>
      </c>
      <c r="AL16" s="53">
        <f>(T16+AC16)*'1. Rates'!$I$60</f>
        <v>0</v>
      </c>
      <c r="AM16" s="53">
        <f>(U16+AD16)*'1. Rates'!$J$60</f>
        <v>13416.986873947784</v>
      </c>
      <c r="AN16" s="53">
        <f t="shared" si="7"/>
        <v>33824.388579315106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23081</v>
      </c>
      <c r="AU16" s="53">
        <f t="shared" si="0"/>
        <v>0</v>
      </c>
      <c r="AV16" s="53">
        <f t="shared" si="0"/>
        <v>159411.60345789653</v>
      </c>
      <c r="AW16" s="53">
        <f t="shared" si="9"/>
        <v>453101.28433595749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25850.720000000001</v>
      </c>
      <c r="BD16" s="53">
        <f t="shared" si="15"/>
        <v>0</v>
      </c>
      <c r="BE16" s="53">
        <f t="shared" si="16"/>
        <v>172828.59033184432</v>
      </c>
      <c r="BF16" s="53">
        <f t="shared" si="17"/>
        <v>486925.67291527265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 t="e">
        <f t="shared" si="2"/>
        <v>#DIV/0!</v>
      </c>
      <c r="BM16" s="54"/>
      <c r="BN16" s="54">
        <f t="shared" si="19"/>
        <v>3.1062268195833331</v>
      </c>
      <c r="BO16" s="54">
        <f t="shared" si="22"/>
        <v>4.8294736448650868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 t="e">
        <f t="shared" si="3"/>
        <v>#DIV/0!</v>
      </c>
      <c r="BV16" s="54"/>
      <c r="BW16" s="54">
        <f t="shared" si="4"/>
        <v>3.3676645290212264</v>
      </c>
      <c r="BX16" s="54">
        <f t="shared" si="21"/>
        <v>5.1899978782864986</v>
      </c>
    </row>
    <row r="17" spans="2:76" ht="18" customHeight="1" x14ac:dyDescent="0.3">
      <c r="B17" s="14">
        <v>13</v>
      </c>
      <c r="C17" s="53">
        <f>'2. Energy'!O22</f>
        <v>110146.12063835002</v>
      </c>
      <c r="D17" s="53">
        <f>'2. Energy'!P22</f>
        <v>15435.473000000002</v>
      </c>
      <c r="E17" s="53">
        <f>'2. Energy'!Q22</f>
        <v>94710.647638350027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0</v>
      </c>
      <c r="L17" s="53">
        <f>'3. Nomination'!AC18</f>
        <v>0</v>
      </c>
      <c r="M17" s="53">
        <f>'3. Nomination'!AD18</f>
        <v>52210.647638350027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0</v>
      </c>
      <c r="AC17" s="53">
        <f>L17*'1. Rates'!Q53</f>
        <v>0</v>
      </c>
      <c r="AD17" s="53">
        <f>M17*'2. Energy'!N22</f>
        <v>164609.32755258522</v>
      </c>
      <c r="AE17" s="53">
        <f t="shared" si="6"/>
        <v>362330.72675633011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2769.72</v>
      </c>
      <c r="AL17" s="53">
        <f>(T17+AC17)*'1. Rates'!$I$60</f>
        <v>0</v>
      </c>
      <c r="AM17" s="53">
        <f>(U17+AD17)*'1. Rates'!$J$60</f>
        <v>13854.456885164747</v>
      </c>
      <c r="AN17" s="53">
        <f t="shared" si="7"/>
        <v>34261.858590532065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23081</v>
      </c>
      <c r="AU17" s="53">
        <f t="shared" si="0"/>
        <v>0</v>
      </c>
      <c r="AV17" s="53">
        <f t="shared" si="0"/>
        <v>164609.32755258522</v>
      </c>
      <c r="AW17" s="53">
        <f t="shared" si="9"/>
        <v>458299.00843064621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25850.720000000001</v>
      </c>
      <c r="BD17" s="53">
        <f t="shared" si="15"/>
        <v>0</v>
      </c>
      <c r="BE17" s="53">
        <f t="shared" si="16"/>
        <v>178463.78443774997</v>
      </c>
      <c r="BF17" s="53">
        <f t="shared" si="17"/>
        <v>492560.86702117836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 t="e">
        <f t="shared" si="2"/>
        <v>#DIV/0!</v>
      </c>
      <c r="BM17" s="54"/>
      <c r="BN17" s="54">
        <f t="shared" si="19"/>
        <v>3.1527922942613635</v>
      </c>
      <c r="BO17" s="54">
        <f t="shared" si="22"/>
        <v>4.838938597280511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 t="e">
        <f t="shared" si="3"/>
        <v>#DIV/0!</v>
      </c>
      <c r="BV17" s="54"/>
      <c r="BW17" s="54">
        <f t="shared" si="4"/>
        <v>3.4181492187939049</v>
      </c>
      <c r="BX17" s="54">
        <f t="shared" si="21"/>
        <v>5.2006915727364502</v>
      </c>
    </row>
    <row r="18" spans="2:76" ht="18" customHeight="1" x14ac:dyDescent="0.3">
      <c r="B18" s="14">
        <v>14</v>
      </c>
      <c r="C18" s="53">
        <f>'2. Energy'!O23</f>
        <v>113959.67407874654</v>
      </c>
      <c r="D18" s="53">
        <f>'2. Energy'!P23</f>
        <v>15934.069</v>
      </c>
      <c r="E18" s="53">
        <f>'2. Energy'!Q23</f>
        <v>98025.605078746536</v>
      </c>
      <c r="F18" s="53">
        <f>'3. Nomination'!W19</f>
        <v>20000</v>
      </c>
      <c r="G18" s="53">
        <f>'3. Nomination'!X19</f>
        <v>5000</v>
      </c>
      <c r="H18" s="53">
        <f>'3. Nomination'!Y19</f>
        <v>10000</v>
      </c>
      <c r="I18" s="53">
        <f>'3. Nomination'!Z19</f>
        <v>10000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23025.605078746536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65654.455917746949</v>
      </c>
      <c r="X18" s="53">
        <f>G18*'1. Rates'!D$56</f>
        <v>16413.613979436737</v>
      </c>
      <c r="Y18" s="53">
        <f>H18*'1. Rates'!E$56</f>
        <v>33059.364255153028</v>
      </c>
      <c r="Z18" s="53">
        <f>I18*'1. Rates'!F$56</f>
        <v>33059.364255153028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85688.466895283564</v>
      </c>
      <c r="AE18" s="53">
        <f t="shared" si="6"/>
        <v>392205.43989428639</v>
      </c>
      <c r="AF18" s="53">
        <f>(N18+W18)*'1. Rates'!C$60</f>
        <v>11757.185456398289</v>
      </c>
      <c r="AG18" s="53">
        <f>(O18+X18)*'1. Rates'!D$60</f>
        <v>2939.2963640995722</v>
      </c>
      <c r="AH18" s="53">
        <f>(P18+Y18)*'1. Rates'!E$60</f>
        <v>5889.6838946594207</v>
      </c>
      <c r="AI18" s="53">
        <f>(Q18+Z18)*'1. Rates'!F$60</f>
        <v>5942.7238946594207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7212.0285515249843</v>
      </c>
      <c r="AN18" s="53">
        <f t="shared" si="7"/>
        <v>40674.899112323263</v>
      </c>
      <c r="AO18" s="53">
        <f t="shared" si="8"/>
        <v>97976.545469985751</v>
      </c>
      <c r="AP18" s="53">
        <f t="shared" si="0"/>
        <v>24494.136367496438</v>
      </c>
      <c r="AQ18" s="53">
        <f t="shared" si="0"/>
        <v>49080.699122161845</v>
      </c>
      <c r="AR18" s="53">
        <f t="shared" si="0"/>
        <v>49522.699122161837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85688.466895283564</v>
      </c>
      <c r="AW18" s="53">
        <f t="shared" si="9"/>
        <v>488173.72156860254</v>
      </c>
      <c r="AX18" s="53">
        <f t="shared" si="10"/>
        <v>109733.73092638404</v>
      </c>
      <c r="AY18" s="53">
        <f t="shared" si="11"/>
        <v>27433.432731596011</v>
      </c>
      <c r="AZ18" s="53">
        <f t="shared" si="12"/>
        <v>54970.383016821266</v>
      </c>
      <c r="BA18" s="53">
        <f t="shared" si="13"/>
        <v>55465.42301682126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92900.495446808549</v>
      </c>
      <c r="BF18" s="53">
        <f t="shared" si="17"/>
        <v>528848.62068092579</v>
      </c>
      <c r="BG18" s="54">
        <f t="shared" si="18"/>
        <v>4.8988272734992879</v>
      </c>
      <c r="BH18" s="54">
        <f t="shared" si="2"/>
        <v>4.8988272734992879</v>
      </c>
      <c r="BI18" s="54">
        <f t="shared" si="2"/>
        <v>4.9080699122161846</v>
      </c>
      <c r="BJ18" s="54">
        <f t="shared" si="2"/>
        <v>4.9522699122161837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3.7214425680555561</v>
      </c>
      <c r="BO18" s="54">
        <f t="shared" si="22"/>
        <v>4.9800633332121729</v>
      </c>
      <c r="BP18" s="54">
        <f t="shared" si="20"/>
        <v>5.4866865463192021</v>
      </c>
      <c r="BQ18" s="54">
        <f t="shared" si="3"/>
        <v>5.4866865463192021</v>
      </c>
      <c r="BR18" s="54">
        <f t="shared" si="3"/>
        <v>5.4970383016821263</v>
      </c>
      <c r="BS18" s="54">
        <f t="shared" si="3"/>
        <v>5.546542301682126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4.0346603326641377</v>
      </c>
      <c r="BX18" s="54">
        <f t="shared" si="21"/>
        <v>5.3950049097487112</v>
      </c>
    </row>
    <row r="19" spans="2:76" ht="18" customHeight="1" x14ac:dyDescent="0.3">
      <c r="B19" s="14">
        <v>15</v>
      </c>
      <c r="C19" s="53">
        <f>'2. Energy'!O24</f>
        <v>116529.43052645581</v>
      </c>
      <c r="D19" s="53">
        <f>'2. Energy'!P24</f>
        <v>16001.645499999999</v>
      </c>
      <c r="E19" s="53">
        <f>'2. Energy'!Q24</f>
        <v>100527.78502645581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25527.785026455807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94971.78848100944</v>
      </c>
      <c r="AE19" s="53">
        <f t="shared" si="6"/>
        <v>401488.76148001227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7993.365676053797</v>
      </c>
      <c r="AN19" s="53">
        <f t="shared" si="7"/>
        <v>41456.236236852077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94971.78848100944</v>
      </c>
      <c r="AW19" s="53">
        <f t="shared" si="9"/>
        <v>497457.04315432842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102965.15415706324</v>
      </c>
      <c r="BF19" s="53">
        <f t="shared" si="17"/>
        <v>538913.27939118049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3.7203301572222229</v>
      </c>
      <c r="BO19" s="54">
        <f t="shared" si="22"/>
        <v>4.9484532363208151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4.0334542950105128</v>
      </c>
      <c r="BX19" s="54">
        <f t="shared" si="21"/>
        <v>5.3608390879134076</v>
      </c>
    </row>
    <row r="20" spans="2:76" ht="18" customHeight="1" x14ac:dyDescent="0.3">
      <c r="B20" s="14">
        <v>16</v>
      </c>
      <c r="C20" s="53">
        <f>'2. Energy'!O25</f>
        <v>115706.16884644541</v>
      </c>
      <c r="D20" s="53">
        <f>'2. Energy'!P25</f>
        <v>16435.614000000001</v>
      </c>
      <c r="E20" s="53">
        <f>'2. Energy'!Q25</f>
        <v>99270.554846445404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24270.554846445404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96664.632913942245</v>
      </c>
      <c r="AE20" s="53">
        <f t="shared" si="6"/>
        <v>403181.60591294512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8135.8450881142489</v>
      </c>
      <c r="AN20" s="53">
        <f t="shared" si="7"/>
        <v>41598.715648912526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96664.632913942245</v>
      </c>
      <c r="AW20" s="53">
        <f t="shared" si="9"/>
        <v>499149.88758726127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104800.47800205649</v>
      </c>
      <c r="BF20" s="53">
        <f t="shared" si="17"/>
        <v>540748.60323617375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3.9827945230555564</v>
      </c>
      <c r="BO20" s="54">
        <f t="shared" si="22"/>
        <v>5.0281766668813415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4.3180091541007881</v>
      </c>
      <c r="BX20" s="54">
        <f t="shared" si="21"/>
        <v>5.4472205184369074</v>
      </c>
    </row>
    <row r="21" spans="2:76" ht="18" customHeight="1" x14ac:dyDescent="0.3">
      <c r="B21" s="14">
        <v>17</v>
      </c>
      <c r="C21" s="53">
        <f>'2. Energy'!O26</f>
        <v>113265.86990313567</v>
      </c>
      <c r="D21" s="53">
        <f>'2. Energy'!P26</f>
        <v>17178.182500000003</v>
      </c>
      <c r="E21" s="53">
        <f>'2. Energy'!Q26</f>
        <v>96087.687403135671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21087.687403135671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81609.846279404301</v>
      </c>
      <c r="AE21" s="53">
        <f t="shared" si="6"/>
        <v>388126.81927840714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6868.7486516931122</v>
      </c>
      <c r="AN21" s="53">
        <f t="shared" si="7"/>
        <v>40331.619212491387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81609.846279404301</v>
      </c>
      <c r="AW21" s="53">
        <f t="shared" si="9"/>
        <v>484095.1009527233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88478.59493109741</v>
      </c>
      <c r="BF21" s="53">
        <f t="shared" si="17"/>
        <v>524426.72016521473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3.8700235222222226</v>
      </c>
      <c r="BO21" s="54">
        <f t="shared" si="22"/>
        <v>5.0380554890628542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4.1957467046832706</v>
      </c>
      <c r="BX21" s="54">
        <f t="shared" si="21"/>
        <v>5.457793129779299</v>
      </c>
    </row>
    <row r="22" spans="2:76" ht="18" customHeight="1" x14ac:dyDescent="0.3">
      <c r="B22" s="14">
        <v>18</v>
      </c>
      <c r="C22" s="53">
        <f>'2. Energy'!O27</f>
        <v>106839.38608189338</v>
      </c>
      <c r="D22" s="53">
        <f>'2. Energy'!P27</f>
        <v>16939.003000000001</v>
      </c>
      <c r="E22" s="53">
        <f>'2. Energy'!Q27</f>
        <v>89900.383081893378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14900.383081893378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95931.980039508067</v>
      </c>
      <c r="AE22" s="53">
        <f t="shared" si="6"/>
        <v>402448.95303851092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8074.1808567395256</v>
      </c>
      <c r="AN22" s="53">
        <f t="shared" si="7"/>
        <v>41537.051417537805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95931.980039508067</v>
      </c>
      <c r="AW22" s="53">
        <f t="shared" si="9"/>
        <v>498417.23471282708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104006.16089624759</v>
      </c>
      <c r="BF22" s="53">
        <f t="shared" si="17"/>
        <v>539954.28613036487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6.4382223941666661</v>
      </c>
      <c r="BO22" s="54">
        <f t="shared" si="22"/>
        <v>5.5441057938407399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6.9800997950605455</v>
      </c>
      <c r="BX22" s="54">
        <f t="shared" si="21"/>
        <v>6.0061399920676841</v>
      </c>
    </row>
    <row r="23" spans="2:76" ht="18" customHeight="1" x14ac:dyDescent="0.3">
      <c r="B23" s="14">
        <v>19</v>
      </c>
      <c r="C23" s="53">
        <f>'2. Energy'!O28</f>
        <v>106821.62009670195</v>
      </c>
      <c r="D23" s="53">
        <f>'2. Energy'!P28</f>
        <v>16685.8825</v>
      </c>
      <c r="E23" s="53">
        <f>'2. Energy'!Q28</f>
        <v>90135.737596701947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15135.737596701947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82237.455508174942</v>
      </c>
      <c r="AE23" s="53">
        <f t="shared" si="6"/>
        <v>388754.4285071778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6921.5718126282454</v>
      </c>
      <c r="AN23" s="53">
        <f t="shared" si="7"/>
        <v>40384.442373426522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82237.455508174942</v>
      </c>
      <c r="AW23" s="53">
        <f t="shared" si="9"/>
        <v>484722.71018149395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89159.027320803187</v>
      </c>
      <c r="BF23" s="53">
        <f t="shared" si="17"/>
        <v>525107.15255492041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5.4333298911111116</v>
      </c>
      <c r="BO23" s="54">
        <f t="shared" si="22"/>
        <v>5.3776972719778344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5.8906298256803025</v>
      </c>
      <c r="BX23" s="54">
        <f t="shared" si="21"/>
        <v>5.8257375659855253</v>
      </c>
    </row>
    <row r="24" spans="2:76" ht="18" customHeight="1" x14ac:dyDescent="0.3">
      <c r="B24" s="14">
        <v>20</v>
      </c>
      <c r="C24" s="53">
        <f>'2. Energy'!O29</f>
        <v>100943.70454179002</v>
      </c>
      <c r="D24" s="53">
        <f>'2. Energy'!P29</f>
        <v>15197.436500000002</v>
      </c>
      <c r="E24" s="53">
        <f>'2. Energy'!Q29</f>
        <v>85746.268041790026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10746.268041790026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45253.93705225578</v>
      </c>
      <c r="AE24" s="53">
        <f t="shared" si="6"/>
        <v>351770.91005125863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3808.828631379647</v>
      </c>
      <c r="AN24" s="53">
        <f t="shared" si="7"/>
        <v>37271.699192177926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45253.93705225578</v>
      </c>
      <c r="AW24" s="53">
        <f t="shared" si="9"/>
        <v>447739.19172557478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49062.765683635429</v>
      </c>
      <c r="BF24" s="53">
        <f t="shared" si="17"/>
        <v>485010.89091775269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4.2111304944444461</v>
      </c>
      <c r="BO24" s="54">
        <f t="shared" si="22"/>
        <v>5.2216755545251345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4.5655631790348448</v>
      </c>
      <c r="BX24" s="54">
        <f t="shared" si="21"/>
        <v>5.6563498563153054</v>
      </c>
    </row>
    <row r="25" spans="2:76" ht="18" customHeight="1" x14ac:dyDescent="0.3">
      <c r="B25" s="14">
        <v>21</v>
      </c>
      <c r="C25" s="53">
        <f>'2. Energy'!O30</f>
        <v>96425.98590816182</v>
      </c>
      <c r="D25" s="53">
        <f>'2. Energy'!P30</f>
        <v>13342.395</v>
      </c>
      <c r="E25" s="53">
        <f>'2. Energy'!Q30</f>
        <v>83083.590908161816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8083.5909081618156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33373.175295032946</v>
      </c>
      <c r="AE25" s="53">
        <f t="shared" si="6"/>
        <v>339890.14829403581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2808.8761743976743</v>
      </c>
      <c r="AN25" s="53">
        <f t="shared" si="7"/>
        <v>36271.746735195949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33373.175295032946</v>
      </c>
      <c r="AW25" s="53">
        <f t="shared" si="9"/>
        <v>435858.42996835196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36182.051469430618</v>
      </c>
      <c r="BF25" s="53">
        <f t="shared" si="17"/>
        <v>472130.17670354788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4.1285086880555548</v>
      </c>
      <c r="BO25" s="54">
        <f t="shared" si="22"/>
        <v>5.2460230137397073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4.4759874516779954</v>
      </c>
      <c r="BX25" s="54">
        <f t="shared" si="21"/>
        <v>5.6825923331290156</v>
      </c>
    </row>
    <row r="26" spans="2:76" ht="18" customHeight="1" x14ac:dyDescent="0.3">
      <c r="B26" s="14">
        <v>22</v>
      </c>
      <c r="C26" s="53">
        <f>'2. Energy'!O31</f>
        <v>91475.015079469114</v>
      </c>
      <c r="D26" s="53">
        <f>'2. Energy'!P31</f>
        <v>9716.8905000000013</v>
      </c>
      <c r="E26" s="53">
        <f>'2. Energy'!Q31</f>
        <v>81758.12457946912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6758.1245794691204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29240.019861646375</v>
      </c>
      <c r="AE26" s="53">
        <f t="shared" si="6"/>
        <v>335756.99286064925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2461.0063142693298</v>
      </c>
      <c r="AN26" s="53">
        <f t="shared" si="7"/>
        <v>35923.87687506761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29240.019861646375</v>
      </c>
      <c r="AW26" s="53">
        <f t="shared" si="9"/>
        <v>431725.2745349654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31701.026175915704</v>
      </c>
      <c r="BF26" s="53">
        <f t="shared" si="17"/>
        <v>467649.151410033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4.326647062777778</v>
      </c>
      <c r="BO26" s="54">
        <f t="shared" si="22"/>
        <v>5.2805183185840727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4.6908022785229502</v>
      </c>
      <c r="BX26" s="54">
        <f t="shared" si="21"/>
        <v>5.7199104531253866</v>
      </c>
    </row>
    <row r="27" spans="2:76" ht="18" customHeight="1" x14ac:dyDescent="0.3">
      <c r="B27" s="14">
        <v>23</v>
      </c>
      <c r="C27" s="53">
        <f>'2. Energy'!O32</f>
        <v>85305.711360847345</v>
      </c>
      <c r="D27" s="53">
        <f>'2. Energy'!P32</f>
        <v>6391.7999999999993</v>
      </c>
      <c r="E27" s="53">
        <f>'2. Energy'!Q32</f>
        <v>78913.911360847342</v>
      </c>
      <c r="F27" s="53">
        <f>'3. Nomination'!W28</f>
        <v>20000</v>
      </c>
      <c r="G27" s="53">
        <f>'3. Nomination'!X28</f>
        <v>5000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3913.9113608473417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65654.455917746949</v>
      </c>
      <c r="X27" s="53">
        <f>G27*'1. Rates'!D$56</f>
        <v>16413.613979436737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16892.081053505393</v>
      </c>
      <c r="AE27" s="53">
        <f t="shared" si="6"/>
        <v>323409.05405250826</v>
      </c>
      <c r="AF27" s="53">
        <f>(N27+W27)*'1. Rates'!C$60</f>
        <v>11757.185456398289</v>
      </c>
      <c r="AG27" s="53">
        <f>(O27+X27)*'1. Rates'!D$60</f>
        <v>2939.2963640995722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1421.7335805696466</v>
      </c>
      <c r="AN27" s="53">
        <f t="shared" si="7"/>
        <v>34884.604141367927</v>
      </c>
      <c r="AO27" s="53">
        <f t="shared" si="8"/>
        <v>97976.545469985751</v>
      </c>
      <c r="AP27" s="53">
        <f t="shared" si="23"/>
        <v>24494.136367496438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16892.081053505393</v>
      </c>
      <c r="AW27" s="53">
        <f t="shared" si="9"/>
        <v>419377.33572682441</v>
      </c>
      <c r="AX27" s="53">
        <f t="shared" si="10"/>
        <v>109733.73092638404</v>
      </c>
      <c r="AY27" s="53">
        <f t="shared" si="11"/>
        <v>27433.432731596011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18313.814634075039</v>
      </c>
      <c r="BF27" s="53">
        <f t="shared" si="17"/>
        <v>454261.9398681923</v>
      </c>
      <c r="BG27" s="54">
        <f t="shared" si="18"/>
        <v>4.8988272734992879</v>
      </c>
      <c r="BH27" s="54">
        <f t="shared" si="29"/>
        <v>4.8988272734992879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4.3159079233333335</v>
      </c>
      <c r="BO27" s="54">
        <f t="shared" si="22"/>
        <v>5.3143650909552553</v>
      </c>
      <c r="BP27" s="54">
        <f t="shared" si="20"/>
        <v>5.4866865463192021</v>
      </c>
      <c r="BQ27" s="54">
        <f t="shared" si="32"/>
        <v>5.4866865463192021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4.6791592720460056</v>
      </c>
      <c r="BX27" s="54">
        <f t="shared" si="21"/>
        <v>5.7564240833406668</v>
      </c>
    </row>
    <row r="28" spans="2:76" ht="18" customHeight="1" x14ac:dyDescent="0.3">
      <c r="B28" s="14">
        <v>24</v>
      </c>
      <c r="C28" s="53">
        <f>'2. Energy'!O33</f>
        <v>80973.635744664367</v>
      </c>
      <c r="D28" s="53">
        <f>'2. Energy'!P33</f>
        <v>5848.1970000000001</v>
      </c>
      <c r="E28" s="53">
        <f>'2. Energy'!Q33</f>
        <v>75125.438744664367</v>
      </c>
      <c r="F28" s="53">
        <f>'3. Nomination'!W29</f>
        <v>20000</v>
      </c>
      <c r="G28" s="53">
        <f>'3. Nomination'!X29</f>
        <v>5000</v>
      </c>
      <c r="H28" s="53">
        <f>'3. Nomination'!Y29</f>
        <v>5000</v>
      </c>
      <c r="I28" s="53">
        <f>'3. Nomination'!Z29</f>
        <v>5000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10125.438744664367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65654.455917746949</v>
      </c>
      <c r="X28" s="53">
        <f>G28*'1. Rates'!D$56</f>
        <v>16413.613979436737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37065.445235789979</v>
      </c>
      <c r="AE28" s="53">
        <f t="shared" si="6"/>
        <v>310523.05397963984</v>
      </c>
      <c r="AF28" s="53">
        <f>(N28+W28)*'1. Rates'!C$60</f>
        <v>11757.185456398289</v>
      </c>
      <c r="AG28" s="53">
        <f>(O28+X28)*'1. Rates'!D$60</f>
        <v>2939.2963640995722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3119.6386048332556</v>
      </c>
      <c r="AN28" s="53">
        <f t="shared" si="7"/>
        <v>32615.385455013173</v>
      </c>
      <c r="AO28" s="53">
        <f t="shared" si="8"/>
        <v>97976.545469985751</v>
      </c>
      <c r="AP28" s="53">
        <f t="shared" si="23"/>
        <v>24494.136367496438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37065.445235789979</v>
      </c>
      <c r="AW28" s="53">
        <f t="shared" si="9"/>
        <v>406491.33565395593</v>
      </c>
      <c r="AX28" s="53">
        <f t="shared" si="10"/>
        <v>109733.73092638404</v>
      </c>
      <c r="AY28" s="53">
        <f t="shared" si="11"/>
        <v>27433.432731596011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40185.083840623236</v>
      </c>
      <c r="BF28" s="53">
        <f t="shared" si="17"/>
        <v>439106.72110896918</v>
      </c>
      <c r="BG28" s="54">
        <f t="shared" si="18"/>
        <v>4.8988272734992879</v>
      </c>
      <c r="BH28" s="54">
        <f t="shared" si="29"/>
        <v>4.8988272734992879</v>
      </c>
      <c r="BI28" s="54">
        <f t="shared" si="30"/>
        <v>6.5102033989170653</v>
      </c>
      <c r="BJ28" s="54">
        <f t="shared" si="31"/>
        <v>6.5986033989170654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3.6606260894444436</v>
      </c>
      <c r="BO28" s="54">
        <f t="shared" si="22"/>
        <v>5.410834764446899</v>
      </c>
      <c r="BP28" s="54">
        <f>AX28/F28</f>
        <v>5.4866865463192021</v>
      </c>
      <c r="BQ28" s="54">
        <f t="shared" si="32"/>
        <v>5.4866865463192021</v>
      </c>
      <c r="BR28" s="54">
        <f t="shared" si="33"/>
        <v>7.2914278067871132</v>
      </c>
      <c r="BS28" s="54">
        <f t="shared" si="34"/>
        <v>7.3904358067871128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3.9687251934439778</v>
      </c>
      <c r="BX28" s="54">
        <f t="shared" si="21"/>
        <v>5.8449804546420152</v>
      </c>
    </row>
    <row r="29" spans="2:76" ht="21" customHeight="1" x14ac:dyDescent="0.3">
      <c r="B29" s="55" t="s">
        <v>137</v>
      </c>
      <c r="C29" s="56">
        <f t="shared" ref="C29:D29" si="36">SUM(C5:C28)</f>
        <v>2191086.9372371351</v>
      </c>
      <c r="D29" s="56">
        <f t="shared" si="36"/>
        <v>265498.84500000003</v>
      </c>
      <c r="E29" s="56">
        <f>SUM(E5:E28)</f>
        <v>1925588.0922371347</v>
      </c>
      <c r="F29" s="56">
        <f t="shared" ref="F29:L29" si="37">SUM(F5:F28)</f>
        <v>360000</v>
      </c>
      <c r="G29" s="56">
        <f t="shared" si="37"/>
        <v>90000</v>
      </c>
      <c r="H29" s="56">
        <f t="shared" si="37"/>
        <v>175000</v>
      </c>
      <c r="I29" s="56">
        <f t="shared" si="37"/>
        <v>175000</v>
      </c>
      <c r="J29" s="56">
        <f t="shared" si="37"/>
        <v>400000</v>
      </c>
      <c r="K29" s="56">
        <f t="shared" si="37"/>
        <v>120000</v>
      </c>
      <c r="L29" s="56">
        <f t="shared" si="37"/>
        <v>0</v>
      </c>
      <c r="M29" s="56">
        <f>SUM(M5:M28)</f>
        <v>605588.0922371347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1181780.2065194456</v>
      </c>
      <c r="X29" s="56">
        <f t="shared" ref="X29" si="45">SUM(X5:X28)</f>
        <v>295445.05162986141</v>
      </c>
      <c r="Y29" s="56">
        <f t="shared" ref="Y29" si="46">SUM(Y5:Y28)</f>
        <v>578538.87446517823</v>
      </c>
      <c r="Z29" s="56">
        <f t="shared" ref="Z29" si="47">SUM(Z5:Z28)</f>
        <v>578538.87446517823</v>
      </c>
      <c r="AA29" s="56">
        <f t="shared" ref="AA29" si="48">SUM(AA5:AA28)</f>
        <v>2472560</v>
      </c>
      <c r="AB29" s="56">
        <f t="shared" ref="AB29" si="49">SUM(AB5:AB28)</f>
        <v>416426.09509815747</v>
      </c>
      <c r="AC29" s="56">
        <f t="shared" ref="AC29" si="50">SUM(AC5:AC28)</f>
        <v>0</v>
      </c>
      <c r="AD29" s="56">
        <f t="shared" ref="AD29" si="51">SUM(AD5:AD28)</f>
        <v>2085353.6504997842</v>
      </c>
      <c r="AE29" s="56">
        <f t="shared" ref="AE29" si="52">SUM(AE5:AE28)</f>
        <v>7608642.7526776027</v>
      </c>
      <c r="AF29" s="56">
        <f t="shared" ref="AF29" si="53">SUM(AF5:AF28)</f>
        <v>234901.24269278118</v>
      </c>
      <c r="AG29" s="56">
        <f t="shared" ref="AG29" si="54">SUM(AG5:AG28)</f>
        <v>58725.310673195294</v>
      </c>
      <c r="AH29" s="56">
        <f t="shared" ref="AH29" si="55">SUM(AH5:AH28)</f>
        <v>115566.10935280673</v>
      </c>
      <c r="AI29" s="56">
        <f t="shared" ref="AI29" si="56">SUM(AI5:AI28)</f>
        <v>116839.06935280669</v>
      </c>
      <c r="AJ29" s="56">
        <f t="shared" ref="AJ29" si="57">SUM(AJ5:AJ28)</f>
        <v>0</v>
      </c>
      <c r="AK29" s="56">
        <f t="shared" ref="AK29" si="58">SUM(AK5:AK28)</f>
        <v>116444.41141177896</v>
      </c>
      <c r="AL29" s="56">
        <f t="shared" ref="AL29" si="59">SUM(AL5:AL28)</f>
        <v>0</v>
      </c>
      <c r="AM29" s="56">
        <f t="shared" ref="AM29" si="60">SUM(AM5:AM28)</f>
        <v>175515.21940298713</v>
      </c>
      <c r="AN29" s="56">
        <f t="shared" ref="AN29" si="61">SUM(AN5:AN28)</f>
        <v>817991.36288635596</v>
      </c>
      <c r="AO29" s="56">
        <f t="shared" ref="AO29" si="62">SUM(AO5:AO28)</f>
        <v>1957510.3557731772</v>
      </c>
      <c r="AP29" s="56">
        <f t="shared" ref="AP29" si="63">SUM(AP5:AP28)</f>
        <v>489377.58894329431</v>
      </c>
      <c r="AQ29" s="56">
        <f t="shared" ref="AQ29" si="64">SUM(AQ5:AQ28)</f>
        <v>963050.91127338959</v>
      </c>
      <c r="AR29" s="56">
        <f t="shared" ref="AR29" si="65">SUM(AR5:AR28)</f>
        <v>973658.91127338959</v>
      </c>
      <c r="AS29" s="56">
        <f t="shared" ref="AS29" si="66">SUM(AS5:AS28)</f>
        <v>2472560</v>
      </c>
      <c r="AT29" s="56">
        <f t="shared" ref="AT29" si="67">SUM(AT5:AT28)</f>
        <v>970370.09509815741</v>
      </c>
      <c r="AU29" s="56">
        <f t="shared" ref="AU29" si="68">SUM(AU5:AU28)</f>
        <v>0</v>
      </c>
      <c r="AV29" s="56">
        <f t="shared" ref="AV29" si="69">SUM(AV5:AV28)</f>
        <v>2085353.6504997842</v>
      </c>
      <c r="AW29" s="56">
        <f t="shared" ref="AW29" si="70">SUM(AW5:AW28)</f>
        <v>9911881.5128611866</v>
      </c>
      <c r="AX29" s="56">
        <f t="shared" ref="AX29" si="71">SUM(AX5:AX28)</f>
        <v>2192411.5984659572</v>
      </c>
      <c r="AY29" s="56">
        <f t="shared" ref="AY29" si="72">SUM(AY5:AY28)</f>
        <v>548102.8996164893</v>
      </c>
      <c r="AZ29" s="56">
        <f t="shared" ref="AZ29" si="73">SUM(AZ5:AZ28)</f>
        <v>1078617.0206261959</v>
      </c>
      <c r="BA29" s="56">
        <f t="shared" ref="BA29" si="74">SUM(BA5:BA28)</f>
        <v>1090497.9806261961</v>
      </c>
      <c r="BB29" s="56">
        <f t="shared" ref="BB29" si="75">SUM(BB5:BB28)</f>
        <v>2472560</v>
      </c>
      <c r="BC29" s="56">
        <f t="shared" ref="BC29" si="76">SUM(BC5:BC28)</f>
        <v>1086814.5065099366</v>
      </c>
      <c r="BD29" s="56">
        <f t="shared" ref="BD29" si="77">SUM(BD5:BD28)</f>
        <v>0</v>
      </c>
      <c r="BE29" s="56">
        <f t="shared" ref="BE29" si="78">SUM(BE5:BE28)</f>
        <v>2260868.869902771</v>
      </c>
      <c r="BF29" s="56">
        <f t="shared" ref="BF29" si="79">SUM(BF5:BF28)</f>
        <v>10729872.875747547</v>
      </c>
      <c r="BG29" s="58">
        <f t="shared" ref="BG29" si="80">AO29/F29</f>
        <v>5.4375287660366034</v>
      </c>
      <c r="BH29" s="58">
        <f t="shared" si="29"/>
        <v>5.4375287660366034</v>
      </c>
      <c r="BI29" s="58">
        <f t="shared" si="30"/>
        <v>5.5031480644193689</v>
      </c>
      <c r="BJ29" s="58">
        <f t="shared" si="31"/>
        <v>5.5637652072765116</v>
      </c>
      <c r="BK29" s="58">
        <f t="shared" si="31"/>
        <v>6.1814</v>
      </c>
      <c r="BL29" s="58">
        <f t="shared" si="31"/>
        <v>8.0864174591513116</v>
      </c>
      <c r="BM29" s="58"/>
      <c r="BN29" s="58">
        <f t="shared" ref="BN29" si="81">AV29/M29</f>
        <v>3.4435182547863019</v>
      </c>
      <c r="BO29" s="59">
        <f t="shared" ref="BO29" si="82">AW29/E29</f>
        <v>5.1474567966120066</v>
      </c>
      <c r="BP29" s="58">
        <f>AX29/F29</f>
        <v>6.0900322179609923</v>
      </c>
      <c r="BQ29" s="58">
        <f t="shared" ref="BQ29:BV29" si="83">AY29/G29</f>
        <v>6.0900322179609923</v>
      </c>
      <c r="BR29" s="58">
        <f t="shared" si="83"/>
        <v>6.1635258321496913</v>
      </c>
      <c r="BS29" s="58">
        <f>BA29/I29</f>
        <v>6.2314170321496922</v>
      </c>
      <c r="BT29" s="58">
        <f t="shared" si="83"/>
        <v>6.1814</v>
      </c>
      <c r="BU29" s="58">
        <f t="shared" si="83"/>
        <v>9.0567875542494729</v>
      </c>
      <c r="BV29" s="58" t="e">
        <f t="shared" si="83"/>
        <v>#DIV/0!</v>
      </c>
      <c r="BW29" s="58">
        <f t="shared" ref="BW29" si="84">BE29/M29</f>
        <v>3.7333443290649537</v>
      </c>
      <c r="BX29" s="59">
        <f>BF29/E29</f>
        <v>5.5722575970448878</v>
      </c>
    </row>
  </sheetData>
  <mergeCells count="18">
    <mergeCell ref="AO3:AV3"/>
    <mergeCell ref="AW3:AW4"/>
    <mergeCell ref="BX3:BX4"/>
    <mergeCell ref="AX3:BE3"/>
    <mergeCell ref="BF3:BF4"/>
    <mergeCell ref="BG3:BN3"/>
    <mergeCell ref="BO3:BO4"/>
    <mergeCell ref="BP3:BW3"/>
    <mergeCell ref="V3:V4"/>
    <mergeCell ref="AE3:AE4"/>
    <mergeCell ref="AN3:AN4"/>
    <mergeCell ref="AF3:AM3"/>
    <mergeCell ref="W3:AD3"/>
    <mergeCell ref="C3:E3"/>
    <mergeCell ref="F3:L3"/>
    <mergeCell ref="M3:M4"/>
    <mergeCell ref="B3:B4"/>
    <mergeCell ref="N3:U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topLeftCell="A9" zoomScale="80" zoomScaleNormal="80" zoomScaleSheetLayoutView="70" workbookViewId="0">
      <selection activeCell="AK86" sqref="AK86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74592.25337956725</v>
      </c>
      <c r="E11" s="65">
        <f>'4.Projected'!D5</f>
        <v>5801.1880000000001</v>
      </c>
      <c r="F11" s="65">
        <f>'4.Projected'!E5</f>
        <v>68791.065379567255</v>
      </c>
      <c r="G11" s="80">
        <f>'4.Projected'!F5+'4.Projected'!G5</f>
        <v>25000</v>
      </c>
      <c r="H11" s="80">
        <f>'4.Projected'!H5+'4.Projected'!I5</f>
        <v>20000</v>
      </c>
      <c r="I11" s="80">
        <f>'4.Projected'!J5</f>
        <v>20000</v>
      </c>
      <c r="J11" s="80">
        <f>'4.Projected'!K5</f>
        <v>10000</v>
      </c>
      <c r="K11" s="80">
        <f>'4.Projected'!L5</f>
        <v>0</v>
      </c>
      <c r="L11" s="65">
        <f>'4.Projected'!M5</f>
        <v>-6208.9346204327449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3.432319308611111</v>
      </c>
      <c r="S11" s="77">
        <f>SUM('5. Actual'!AH5:AN5)/SUM('5. Actual'!Q5:V5)</f>
        <v>4.0868929733200376</v>
      </c>
      <c r="T11" s="66">
        <f>'4.Projected'!AW5</f>
        <v>381174.20848970371</v>
      </c>
      <c r="U11" s="66">
        <f>'4.Projected'!BF5</f>
        <v>412843.42024077056</v>
      </c>
      <c r="V11" s="77">
        <f>T11/F11</f>
        <v>5.5410423779091875</v>
      </c>
      <c r="W11" s="77">
        <f>U11/F11</f>
        <v>6.0014104733344604</v>
      </c>
    </row>
    <row r="12" spans="3:23" ht="19.350000000000001" customHeight="1" x14ac:dyDescent="0.3">
      <c r="C12" s="64">
        <v>2</v>
      </c>
      <c r="D12" s="65">
        <f>'4.Projected'!C6</f>
        <v>71137.270422861766</v>
      </c>
      <c r="E12" s="65">
        <f>'4.Projected'!D6</f>
        <v>5641.719000000001</v>
      </c>
      <c r="F12" s="65">
        <f>'4.Projected'!E6</f>
        <v>65495.551422861769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42995.551422861769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3.1433788605555555</v>
      </c>
      <c r="S12" s="77">
        <f>SUM('5. Actual'!AH6:AN6)/SUM('5. Actual'!Q6:V6)</f>
        <v>3.293039964610883</v>
      </c>
      <c r="T12" s="66">
        <f>'4.Projected'!AW6</f>
        <v>305212.98831861402</v>
      </c>
      <c r="U12" s="66">
        <f>'4.Projected'!BF6</f>
        <v>336995.49245437444</v>
      </c>
      <c r="V12" s="77">
        <f t="shared" ref="V12:V34" si="0">T12/F12</f>
        <v>4.6600567777199728</v>
      </c>
      <c r="W12" s="77">
        <f t="shared" ref="W12:W34" si="1">U12/F12</f>
        <v>5.1453188061371655</v>
      </c>
    </row>
    <row r="13" spans="3:23" ht="19.350000000000001" customHeight="1" x14ac:dyDescent="0.3">
      <c r="C13" s="64">
        <v>3</v>
      </c>
      <c r="D13" s="65">
        <f>'4.Projected'!C7</f>
        <v>68205.073666836499</v>
      </c>
      <c r="E13" s="65">
        <f>'4.Projected'!D7</f>
        <v>5541.0945000000002</v>
      </c>
      <c r="F13" s="65">
        <f>'4.Projected'!E7</f>
        <v>62663.9791668365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40163.9791668365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2.7841620736111108</v>
      </c>
      <c r="S13" s="77">
        <f>SUM('5. Actual'!AH7:AN7)/SUM('5. Actual'!Q7:V7)</f>
        <v>3.293039964610883</v>
      </c>
      <c r="T13" s="66">
        <f>'4.Projected'!AW7</f>
        <v>281884.70839967398</v>
      </c>
      <c r="U13" s="66">
        <f>'4.Projected'!BF7</f>
        <v>311703.77186565363</v>
      </c>
      <c r="V13" s="77">
        <f t="shared" si="0"/>
        <v>4.4983531551544864</v>
      </c>
      <c r="W13" s="77">
        <f t="shared" si="1"/>
        <v>4.9742096817020496</v>
      </c>
    </row>
    <row r="14" spans="3:23" ht="19.350000000000001" customHeight="1" x14ac:dyDescent="0.3">
      <c r="C14" s="64">
        <v>4</v>
      </c>
      <c r="D14" s="65">
        <f>'4.Projected'!C8</f>
        <v>65766.397109266662</v>
      </c>
      <c r="E14" s="65">
        <f>'4.Projected'!D8</f>
        <v>5516.2800000000007</v>
      </c>
      <c r="F14" s="65">
        <f>'4.Projected'!E8</f>
        <v>60250.117109266663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37750.117109266663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2.6715373602777777</v>
      </c>
      <c r="S14" s="77">
        <f>SUM('5. Actual'!AH8:AN8)/SUM('5. Actual'!Q8:V8)</f>
        <v>3.293039964610883</v>
      </c>
      <c r="T14" s="66">
        <f>'4.Projected'!AW8</f>
        <v>270912.52909032826</v>
      </c>
      <c r="U14" s="66">
        <f>'4.Projected'!BF8</f>
        <v>299808.11156384065</v>
      </c>
      <c r="V14" s="77">
        <f t="shared" si="0"/>
        <v>4.4964647719939626</v>
      </c>
      <c r="W14" s="77">
        <f t="shared" si="1"/>
        <v>4.9760585696476465</v>
      </c>
    </row>
    <row r="15" spans="3:23" ht="19.350000000000001" customHeight="1" x14ac:dyDescent="0.3">
      <c r="C15" s="64">
        <v>5</v>
      </c>
      <c r="D15" s="65">
        <f>'4.Projected'!C9</f>
        <v>64512.128040284457</v>
      </c>
      <c r="E15" s="65">
        <f>'4.Projected'!D9</f>
        <v>5497.0010000000002</v>
      </c>
      <c r="F15" s="65">
        <f>'4.Projected'!E9</f>
        <v>59015.127040284453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36515.127040284453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3.1040687224999997</v>
      </c>
      <c r="S15" s="77">
        <f>SUM('5. Actual'!AH9:AN9)/SUM('5. Actual'!Q9:V9)</f>
        <v>3.293039964610883</v>
      </c>
      <c r="T15" s="66">
        <f>'4.Projected'!AW9</f>
        <v>283407.14462192194</v>
      </c>
      <c r="U15" s="66">
        <f>'4.Projected'!BF9</f>
        <v>313354.34497610322</v>
      </c>
      <c r="V15" s="77">
        <f t="shared" si="0"/>
        <v>4.8022796668465144</v>
      </c>
      <c r="W15" s="77">
        <f t="shared" si="1"/>
        <v>5.3097292286129232</v>
      </c>
    </row>
    <row r="16" spans="3:23" ht="19.350000000000001" customHeight="1" x14ac:dyDescent="0.3">
      <c r="C16" s="64">
        <v>6</v>
      </c>
      <c r="D16" s="65">
        <f>'4.Projected'!C10</f>
        <v>65514.371550064803</v>
      </c>
      <c r="E16" s="65">
        <f>'4.Projected'!D10</f>
        <v>5761.3979999999992</v>
      </c>
      <c r="F16" s="65">
        <f>'4.Projected'!E10</f>
        <v>59752.973550064802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20000</v>
      </c>
      <c r="J16" s="80">
        <f>'4.Projected'!K10</f>
        <v>0</v>
      </c>
      <c r="K16" s="80">
        <f>'4.Projected'!L10</f>
        <v>0</v>
      </c>
      <c r="L16" s="65">
        <f>'4.Projected'!M10</f>
        <v>17252.973550064802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3.4127072652777777</v>
      </c>
      <c r="S16" s="77">
        <f>SUM('5. Actual'!AH10:AN10)/SUM('5. Actual'!Q10:V10)</f>
        <v>4.6522682165587028</v>
      </c>
      <c r="T16" s="66">
        <f>'4.Projected'!AW10</f>
        <v>352569.02906001249</v>
      </c>
      <c r="U16" s="66">
        <f>'4.Projected'!BF10</f>
        <v>377932.0514640481</v>
      </c>
      <c r="V16" s="77">
        <f t="shared" si="0"/>
        <v>5.9004432434581346</v>
      </c>
      <c r="W16" s="77">
        <f t="shared" si="1"/>
        <v>6.3249078499397662</v>
      </c>
    </row>
    <row r="17" spans="3:23" ht="19.350000000000001" customHeight="1" x14ac:dyDescent="0.3">
      <c r="C17" s="64">
        <v>7</v>
      </c>
      <c r="D17" s="65">
        <f>'4.Projected'!C11</f>
        <v>66986.368929713848</v>
      </c>
      <c r="E17" s="65">
        <f>'4.Projected'!D11</f>
        <v>6103.384</v>
      </c>
      <c r="F17" s="65">
        <f>'4.Projected'!E11</f>
        <v>60882.98492971385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20000</v>
      </c>
      <c r="J17" s="80">
        <f>'4.Projected'!K11</f>
        <v>0</v>
      </c>
      <c r="K17" s="80">
        <f>'4.Projected'!L11</f>
        <v>0</v>
      </c>
      <c r="L17" s="65">
        <f>'4.Projected'!M11</f>
        <v>18382.98492971385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3.3229126908333328</v>
      </c>
      <c r="S17" s="77">
        <f>SUM('5. Actual'!AH11:AN11)/SUM('5. Actual'!Q11:V11)</f>
        <v>4.6522682165587028</v>
      </c>
      <c r="T17" s="66">
        <f>'4.Projected'!AW11</f>
        <v>354774.73479640507</v>
      </c>
      <c r="U17" s="66">
        <f>'4.Projected'!BF11</f>
        <v>380323.40193564829</v>
      </c>
      <c r="V17" s="77">
        <f t="shared" si="0"/>
        <v>5.8271573774836032</v>
      </c>
      <c r="W17" s="77">
        <f t="shared" si="1"/>
        <v>6.2467929648112905</v>
      </c>
    </row>
    <row r="18" spans="3:23" ht="19.350000000000001" customHeight="1" x14ac:dyDescent="0.3">
      <c r="C18" s="64">
        <v>8</v>
      </c>
      <c r="D18" s="65">
        <f>'4.Projected'!C12</f>
        <v>71891.039115537889</v>
      </c>
      <c r="E18" s="65">
        <f>'4.Projected'!D12</f>
        <v>6908.5929999999998</v>
      </c>
      <c r="F18" s="65">
        <f>'4.Projected'!E12</f>
        <v>64982.446115537889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20000</v>
      </c>
      <c r="J18" s="80">
        <f>'4.Projected'!K12</f>
        <v>0</v>
      </c>
      <c r="K18" s="80">
        <f>'4.Projected'!L12</f>
        <v>0</v>
      </c>
      <c r="L18" s="65">
        <f>'4.Projected'!M12</f>
        <v>22482.446115537889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3.0966381145833339</v>
      </c>
      <c r="S18" s="77">
        <f>SUM('5. Actual'!AH12:AN12)/SUM('5. Actual'!Q12:V12)</f>
        <v>4.6522682165587028</v>
      </c>
      <c r="T18" s="66">
        <f>'4.Projected'!AW12</f>
        <v>363309.68042850163</v>
      </c>
      <c r="U18" s="66">
        <f>'4.Projected'!BF12</f>
        <v>389576.69711716112</v>
      </c>
      <c r="V18" s="77">
        <f t="shared" si="0"/>
        <v>5.590889573201693</v>
      </c>
      <c r="W18" s="77">
        <f t="shared" si="1"/>
        <v>5.9951066850345889</v>
      </c>
    </row>
    <row r="19" spans="3:23" ht="19.350000000000001" customHeight="1" x14ac:dyDescent="0.3">
      <c r="C19" s="64">
        <v>9</v>
      </c>
      <c r="D19" s="65">
        <f>'4.Projected'!C13</f>
        <v>87236.866307392891</v>
      </c>
      <c r="E19" s="65">
        <f>'4.Projected'!D13</f>
        <v>8421.4285000000018</v>
      </c>
      <c r="F19" s="65">
        <f>'4.Projected'!E13</f>
        <v>78815.437807392882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0</v>
      </c>
      <c r="K19" s="80">
        <f>'4.Projected'!L13</f>
        <v>0</v>
      </c>
      <c r="L19" s="65">
        <f>'4.Projected'!M13</f>
        <v>36315.437807392882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3.2634190037500002</v>
      </c>
      <c r="S19" s="77">
        <f>SUM('5. Actual'!AH13:AN13)/SUM('5. Actual'!Q13:V13)</f>
        <v>4.6522682165587028</v>
      </c>
      <c r="T19" s="66">
        <f>'4.Projected'!AW13</f>
        <v>412202.17074820818</v>
      </c>
      <c r="U19" s="66">
        <f>'4.Projected'!BF13</f>
        <v>442584.25739805389</v>
      </c>
      <c r="V19" s="77">
        <f t="shared" si="0"/>
        <v>5.2299674050601244</v>
      </c>
      <c r="W19" s="77">
        <f t="shared" si="1"/>
        <v>5.6154513596642044</v>
      </c>
    </row>
    <row r="20" spans="3:23" ht="19.350000000000001" customHeight="1" x14ac:dyDescent="0.3">
      <c r="C20" s="64">
        <v>10</v>
      </c>
      <c r="D20" s="65">
        <f>'4.Projected'!C14</f>
        <v>101282.85381547347</v>
      </c>
      <c r="E20" s="65">
        <f>'4.Projected'!D14</f>
        <v>14998.935500000001</v>
      </c>
      <c r="F20" s="65">
        <f>'4.Projected'!E14</f>
        <v>86283.918315473464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0</v>
      </c>
      <c r="K20" s="80">
        <f>'4.Projected'!L14</f>
        <v>0</v>
      </c>
      <c r="L20" s="65">
        <f>'4.Projected'!M14</f>
        <v>43783.918315473464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3.319708233333333</v>
      </c>
      <c r="S20" s="77">
        <f>SUM('5. Actual'!AH14:AN14)/SUM('5. Actual'!Q14:V14)</f>
        <v>4.6522682165587028</v>
      </c>
      <c r="T20" s="66">
        <f>'4.Projected'!AW14</f>
        <v>439039.51499753236</v>
      </c>
      <c r="U20" s="66">
        <f>'4.Projected'!BF14</f>
        <v>471680.38512181886</v>
      </c>
      <c r="V20" s="77">
        <f t="shared" si="0"/>
        <v>5.0883122089136572</v>
      </c>
      <c r="W20" s="77">
        <f t="shared" si="1"/>
        <v>5.4666083127709735</v>
      </c>
    </row>
    <row r="21" spans="3:23" ht="19.350000000000001" customHeight="1" x14ac:dyDescent="0.3">
      <c r="C21" s="64">
        <v>11</v>
      </c>
      <c r="D21" s="65">
        <f>'4.Projected'!C15</f>
        <v>106518.77122556194</v>
      </c>
      <c r="E21" s="65">
        <f>'4.Projected'!D15</f>
        <v>14970.028</v>
      </c>
      <c r="F21" s="65">
        <f>'4.Projected'!E15</f>
        <v>91548.743225561935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0</v>
      </c>
      <c r="K21" s="80">
        <f>'4.Projected'!L15</f>
        <v>0</v>
      </c>
      <c r="L21" s="65">
        <f>'4.Projected'!M15</f>
        <v>49048.743225561935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3.4475412289583334</v>
      </c>
      <c r="S21" s="77">
        <f>SUM('5. Actual'!AH15:AN15)/SUM('5. Actual'!Q15:V15)</f>
        <v>4.6522682165587028</v>
      </c>
      <c r="T21" s="66">
        <f>'4.Projected'!AW15</f>
        <v>462787.2453767765</v>
      </c>
      <c r="U21" s="66">
        <f>'4.Projected'!BF15</f>
        <v>497426.85950634815</v>
      </c>
      <c r="V21" s="77">
        <f t="shared" si="0"/>
        <v>5.0550911904551254</v>
      </c>
      <c r="W21" s="77">
        <f t="shared" si="1"/>
        <v>5.4334646438648031</v>
      </c>
    </row>
    <row r="22" spans="3:23" ht="19.350000000000001" customHeight="1" x14ac:dyDescent="0.3">
      <c r="C22" s="64">
        <v>12</v>
      </c>
      <c r="D22" s="65">
        <f>'4.Projected'!C16</f>
        <v>109051.22086791189</v>
      </c>
      <c r="E22" s="65">
        <f>'4.Projected'!D16</f>
        <v>15231.207</v>
      </c>
      <c r="F22" s="65">
        <f>'4.Projected'!E16</f>
        <v>93820.013867911897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0</v>
      </c>
      <c r="K22" s="80">
        <f>'4.Projected'!L16</f>
        <v>0</v>
      </c>
      <c r="L22" s="65">
        <f>'4.Projected'!M16</f>
        <v>51320.013867911897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3.1062268195833336</v>
      </c>
      <c r="S22" s="77">
        <f>SUM('5. Actual'!AH16:AN16)/SUM('5. Actual'!Q16:V16)</f>
        <v>4.6522682165587028</v>
      </c>
      <c r="T22" s="66">
        <f>'4.Projected'!AW16</f>
        <v>453101.28433595749</v>
      </c>
      <c r="U22" s="66">
        <f>'4.Projected'!BF16</f>
        <v>486925.67291527265</v>
      </c>
      <c r="V22" s="77">
        <f t="shared" si="0"/>
        <v>4.8294736448650868</v>
      </c>
      <c r="W22" s="77">
        <f t="shared" si="1"/>
        <v>5.1899978782864986</v>
      </c>
    </row>
    <row r="23" spans="3:23" ht="19.350000000000001" customHeight="1" x14ac:dyDescent="0.3">
      <c r="C23" s="64">
        <v>13</v>
      </c>
      <c r="D23" s="65">
        <f>'4.Projected'!C17</f>
        <v>110146.12063835002</v>
      </c>
      <c r="E23" s="65">
        <f>'4.Projected'!D17</f>
        <v>15435.473000000002</v>
      </c>
      <c r="F23" s="65">
        <f>'4.Projected'!E17</f>
        <v>94710.647638350027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0</v>
      </c>
      <c r="K23" s="80">
        <f>'4.Projected'!L17</f>
        <v>0</v>
      </c>
      <c r="L23" s="65">
        <f>'4.Projected'!M17</f>
        <v>52210.647638350027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3.1527922942613635</v>
      </c>
      <c r="S23" s="77">
        <f>SUM('5. Actual'!AH17:AN17)/SUM('5. Actual'!Q17:V17)</f>
        <v>4.6522682165587028</v>
      </c>
      <c r="T23" s="66">
        <f>'4.Projected'!AW17</f>
        <v>458299.00843064621</v>
      </c>
      <c r="U23" s="66">
        <f>'4.Projected'!BF17</f>
        <v>492560.86702117836</v>
      </c>
      <c r="V23" s="77">
        <f t="shared" si="0"/>
        <v>4.838938597280511</v>
      </c>
      <c r="W23" s="77">
        <f t="shared" si="1"/>
        <v>5.2006915727364502</v>
      </c>
    </row>
    <row r="24" spans="3:23" ht="19.350000000000001" customHeight="1" x14ac:dyDescent="0.3">
      <c r="C24" s="64">
        <v>14</v>
      </c>
      <c r="D24" s="65">
        <f>'4.Projected'!C18</f>
        <v>113959.67407874654</v>
      </c>
      <c r="E24" s="65">
        <f>'4.Projected'!D18</f>
        <v>15934.069</v>
      </c>
      <c r="F24" s="65">
        <f>'4.Projected'!E18</f>
        <v>98025.605078746536</v>
      </c>
      <c r="G24" s="80">
        <f>'4.Projected'!F18+'4.Projected'!G18</f>
        <v>25000</v>
      </c>
      <c r="H24" s="80">
        <f>'4.Projected'!H18+'4.Projected'!I18</f>
        <v>20000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23025.605078746536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3.7214425680555561</v>
      </c>
      <c r="S24" s="77">
        <f>SUM('5. Actual'!AH18:AN18)/SUM('5. Actual'!Q18:V18)</f>
        <v>4.0868929733200376</v>
      </c>
      <c r="T24" s="66">
        <f>'4.Projected'!AW18</f>
        <v>488173.72156860254</v>
      </c>
      <c r="U24" s="66">
        <f>'4.Projected'!BF18</f>
        <v>528848.62068092579</v>
      </c>
      <c r="V24" s="77">
        <f t="shared" si="0"/>
        <v>4.9800633332121729</v>
      </c>
      <c r="W24" s="77">
        <f t="shared" si="1"/>
        <v>5.3950049097487112</v>
      </c>
    </row>
    <row r="25" spans="3:23" ht="19.350000000000001" customHeight="1" x14ac:dyDescent="0.3">
      <c r="C25" s="64">
        <v>15</v>
      </c>
      <c r="D25" s="65">
        <f>'4.Projected'!C19</f>
        <v>116529.43052645581</v>
      </c>
      <c r="E25" s="65">
        <f>'4.Projected'!D19</f>
        <v>16001.645499999999</v>
      </c>
      <c r="F25" s="65">
        <f>'4.Projected'!E19</f>
        <v>100527.78502645581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25527.785026455807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3.7203301572222229</v>
      </c>
      <c r="S25" s="77">
        <f>SUM('5. Actual'!AH19:AN19)/SUM('5. Actual'!Q19:V19)</f>
        <v>4.0868929733200376</v>
      </c>
      <c r="T25" s="66">
        <f>'4.Projected'!AW19</f>
        <v>497457.04315432842</v>
      </c>
      <c r="U25" s="66">
        <f>'4.Projected'!BF19</f>
        <v>538913.27939118049</v>
      </c>
      <c r="V25" s="77">
        <f t="shared" si="0"/>
        <v>4.9484532363208151</v>
      </c>
      <c r="W25" s="77">
        <f t="shared" si="1"/>
        <v>5.3608390879134076</v>
      </c>
    </row>
    <row r="26" spans="3:23" ht="19.350000000000001" customHeight="1" x14ac:dyDescent="0.3">
      <c r="C26" s="64">
        <v>16</v>
      </c>
      <c r="D26" s="65">
        <f>'4.Projected'!C20</f>
        <v>115706.16884644541</v>
      </c>
      <c r="E26" s="65">
        <f>'4.Projected'!D20</f>
        <v>16435.614000000001</v>
      </c>
      <c r="F26" s="65">
        <f>'4.Projected'!E20</f>
        <v>99270.554846445404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24270.554846445404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3.9827945230555564</v>
      </c>
      <c r="S26" s="77">
        <f>SUM('5. Actual'!AH20:AN20)/SUM('5. Actual'!Q20:V20)</f>
        <v>4.0868929733200376</v>
      </c>
      <c r="T26" s="66">
        <f>'4.Projected'!AW20</f>
        <v>499149.88758726127</v>
      </c>
      <c r="U26" s="66">
        <f>'4.Projected'!BF20</f>
        <v>540748.60323617375</v>
      </c>
      <c r="V26" s="77">
        <f t="shared" si="0"/>
        <v>5.0281766668813415</v>
      </c>
      <c r="W26" s="77">
        <f t="shared" si="1"/>
        <v>5.4472205184369074</v>
      </c>
    </row>
    <row r="27" spans="3:23" ht="19.350000000000001" customHeight="1" x14ac:dyDescent="0.3">
      <c r="C27" s="64">
        <v>17</v>
      </c>
      <c r="D27" s="65">
        <f>'4.Projected'!C21</f>
        <v>113265.86990313567</v>
      </c>
      <c r="E27" s="65">
        <f>'4.Projected'!D21</f>
        <v>17178.182500000003</v>
      </c>
      <c r="F27" s="65">
        <f>'4.Projected'!E21</f>
        <v>96087.687403135671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21087.687403135671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3.8700235222222221</v>
      </c>
      <c r="S27" s="77">
        <f>SUM('5. Actual'!AH21:AN21)/SUM('5. Actual'!Q21:V21)</f>
        <v>4.0868929733200376</v>
      </c>
      <c r="T27" s="66">
        <f>'4.Projected'!AW21</f>
        <v>484095.1009527233</v>
      </c>
      <c r="U27" s="66">
        <f>'4.Projected'!BF21</f>
        <v>524426.72016521473</v>
      </c>
      <c r="V27" s="77">
        <f t="shared" si="0"/>
        <v>5.0380554890628542</v>
      </c>
      <c r="W27" s="77">
        <f t="shared" si="1"/>
        <v>5.457793129779299</v>
      </c>
    </row>
    <row r="28" spans="3:23" ht="19.350000000000001" customHeight="1" x14ac:dyDescent="0.3">
      <c r="C28" s="64">
        <v>18</v>
      </c>
      <c r="D28" s="65">
        <f>'4.Projected'!C22</f>
        <v>106839.38608189338</v>
      </c>
      <c r="E28" s="65">
        <f>'4.Projected'!D22</f>
        <v>16939.003000000001</v>
      </c>
      <c r="F28" s="65">
        <f>'4.Projected'!E22</f>
        <v>89900.383081893378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14900.383081893378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6.4382223941666661</v>
      </c>
      <c r="S28" s="77">
        <f>SUM('5. Actual'!AH22:AN22)/SUM('5. Actual'!Q22:V22)</f>
        <v>4.0868929733200376</v>
      </c>
      <c r="T28" s="66">
        <f>'4.Projected'!AW22</f>
        <v>498417.23471282708</v>
      </c>
      <c r="U28" s="66">
        <f>'4.Projected'!BF22</f>
        <v>539954.28613036487</v>
      </c>
      <c r="V28" s="77">
        <f t="shared" si="0"/>
        <v>5.5441057938407399</v>
      </c>
      <c r="W28" s="77">
        <f t="shared" si="1"/>
        <v>6.0061399920676841</v>
      </c>
    </row>
    <row r="29" spans="3:23" ht="19.350000000000001" customHeight="1" x14ac:dyDescent="0.3">
      <c r="C29" s="64">
        <v>19</v>
      </c>
      <c r="D29" s="65">
        <f>'4.Projected'!C23</f>
        <v>106821.62009670195</v>
      </c>
      <c r="E29" s="65">
        <f>'4.Projected'!D23</f>
        <v>16685.8825</v>
      </c>
      <c r="F29" s="65">
        <f>'4.Projected'!E23</f>
        <v>90135.737596701947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15135.737596701947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5.4333298911111108</v>
      </c>
      <c r="S29" s="77">
        <f>SUM('5. Actual'!AH23:AN23)/SUM('5. Actual'!Q23:V23)</f>
        <v>4.0868929733200376</v>
      </c>
      <c r="T29" s="66">
        <f>'4.Projected'!AW23</f>
        <v>484722.71018149395</v>
      </c>
      <c r="U29" s="66">
        <f>'4.Projected'!BF23</f>
        <v>525107.15255492041</v>
      </c>
      <c r="V29" s="77">
        <f t="shared" si="0"/>
        <v>5.3776972719778344</v>
      </c>
      <c r="W29" s="77">
        <f t="shared" si="1"/>
        <v>5.8257375659855253</v>
      </c>
    </row>
    <row r="30" spans="3:23" ht="19.350000000000001" customHeight="1" x14ac:dyDescent="0.3">
      <c r="C30" s="64">
        <v>20</v>
      </c>
      <c r="D30" s="65">
        <f>'4.Projected'!C24</f>
        <v>100943.70454179002</v>
      </c>
      <c r="E30" s="65">
        <f>'4.Projected'!D24</f>
        <v>15197.436500000002</v>
      </c>
      <c r="F30" s="65">
        <f>'4.Projected'!E24</f>
        <v>85746.268041790026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10746.268041790026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4.2111304944444461</v>
      </c>
      <c r="S30" s="77">
        <f>SUM('5. Actual'!AH24:AN24)/SUM('5. Actual'!Q24:V24)</f>
        <v>4.0868929733200376</v>
      </c>
      <c r="T30" s="66">
        <f>'4.Projected'!AW24</f>
        <v>447739.19172557478</v>
      </c>
      <c r="U30" s="66">
        <f>'4.Projected'!BF24</f>
        <v>485010.89091775269</v>
      </c>
      <c r="V30" s="77">
        <f t="shared" si="0"/>
        <v>5.2216755545251345</v>
      </c>
      <c r="W30" s="77">
        <f t="shared" si="1"/>
        <v>5.6563498563153054</v>
      </c>
    </row>
    <row r="31" spans="3:23" ht="19.350000000000001" customHeight="1" x14ac:dyDescent="0.3">
      <c r="C31" s="64">
        <v>21</v>
      </c>
      <c r="D31" s="65">
        <f>'4.Projected'!C25</f>
        <v>96425.98590816182</v>
      </c>
      <c r="E31" s="65">
        <f>'4.Projected'!D25</f>
        <v>13342.395</v>
      </c>
      <c r="F31" s="65">
        <f>'4.Projected'!E25</f>
        <v>83083.590908161816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8083.5909081618156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4.1285086880555548</v>
      </c>
      <c r="S31" s="77">
        <f>SUM('5. Actual'!AH25:AN25)/SUM('5. Actual'!Q25:V25)</f>
        <v>4.0868929733200376</v>
      </c>
      <c r="T31" s="66">
        <f>'4.Projected'!AW25</f>
        <v>435858.42996835196</v>
      </c>
      <c r="U31" s="66">
        <f>'4.Projected'!BF25</f>
        <v>472130.17670354788</v>
      </c>
      <c r="V31" s="77">
        <f t="shared" si="0"/>
        <v>5.2460230137397073</v>
      </c>
      <c r="W31" s="77">
        <f t="shared" si="1"/>
        <v>5.6825923331290156</v>
      </c>
    </row>
    <row r="32" spans="3:23" ht="19.350000000000001" customHeight="1" x14ac:dyDescent="0.3">
      <c r="C32" s="64">
        <v>22</v>
      </c>
      <c r="D32" s="65">
        <f>'4.Projected'!C26</f>
        <v>91475.015079469114</v>
      </c>
      <c r="E32" s="65">
        <f>'4.Projected'!D26</f>
        <v>9716.8905000000013</v>
      </c>
      <c r="F32" s="65">
        <f>'4.Projected'!E26</f>
        <v>81758.12457946912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6758.1245794691204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4.326647062777778</v>
      </c>
      <c r="S32" s="77">
        <f>SUM('5. Actual'!AH26:AN26)/SUM('5. Actual'!Q26:V26)</f>
        <v>4.0868929733200376</v>
      </c>
      <c r="T32" s="66">
        <f>'4.Projected'!AW26</f>
        <v>431725.2745349654</v>
      </c>
      <c r="U32" s="66">
        <f>'4.Projected'!BF26</f>
        <v>467649.151410033</v>
      </c>
      <c r="V32" s="77">
        <f t="shared" si="0"/>
        <v>5.2805183185840727</v>
      </c>
      <c r="W32" s="77">
        <f t="shared" si="1"/>
        <v>5.7199104531253866</v>
      </c>
    </row>
    <row r="33" spans="1:27" ht="19.350000000000001" customHeight="1" x14ac:dyDescent="0.3">
      <c r="C33" s="64">
        <v>23</v>
      </c>
      <c r="D33" s="65">
        <f>'4.Projected'!C27</f>
        <v>85305.711360847345</v>
      </c>
      <c r="E33" s="65">
        <f>'4.Projected'!D27</f>
        <v>6391.7999999999993</v>
      </c>
      <c r="F33" s="65">
        <f>'4.Projected'!E27</f>
        <v>78913.911360847342</v>
      </c>
      <c r="G33" s="80">
        <f>'4.Projected'!F27+'4.Projected'!G27</f>
        <v>25000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3913.9113608473417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4.3159079233333335</v>
      </c>
      <c r="S33" s="77">
        <f>SUM('5. Actual'!AH27:AN27)/SUM('5. Actual'!Q27:V27)</f>
        <v>4.0868929733200376</v>
      </c>
      <c r="T33" s="66">
        <f>'4.Projected'!AW27</f>
        <v>419377.33572682441</v>
      </c>
      <c r="U33" s="66">
        <f>'4.Projected'!BF27</f>
        <v>454261.9398681923</v>
      </c>
      <c r="V33" s="77">
        <f t="shared" si="0"/>
        <v>5.3143650909552553</v>
      </c>
      <c r="W33" s="77">
        <f t="shared" si="1"/>
        <v>5.7564240833406668</v>
      </c>
    </row>
    <row r="34" spans="1:27" ht="20.85" customHeight="1" x14ac:dyDescent="0.3">
      <c r="C34" s="64">
        <v>24</v>
      </c>
      <c r="D34" s="65">
        <f>'4.Projected'!C28</f>
        <v>80973.635744664367</v>
      </c>
      <c r="E34" s="65">
        <f>'4.Projected'!D28</f>
        <v>5848.1970000000001</v>
      </c>
      <c r="F34" s="65">
        <f>'4.Projected'!E28</f>
        <v>75125.438744664367</v>
      </c>
      <c r="G34" s="80">
        <f>'4.Projected'!F28+'4.Projected'!G28</f>
        <v>25000</v>
      </c>
      <c r="H34" s="80">
        <f>'4.Projected'!H28+'4.Projected'!I28</f>
        <v>10000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10125.438744664367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3.660626089444444</v>
      </c>
      <c r="S34" s="77">
        <f>SUM('5. Actual'!AH28:AN28)/SUM('5. Actual'!Q28:V28)</f>
        <v>4.2070401345207671</v>
      </c>
      <c r="T34" s="66">
        <f>'4.Projected'!AW28</f>
        <v>406491.33565395593</v>
      </c>
      <c r="U34" s="66">
        <f>'4.Projected'!BF28</f>
        <v>439106.72110896918</v>
      </c>
      <c r="V34" s="77">
        <f t="shared" si="0"/>
        <v>5.410834764446899</v>
      </c>
      <c r="W34" s="77">
        <f t="shared" si="1"/>
        <v>5.8449804546420152</v>
      </c>
    </row>
    <row r="35" spans="1:27" ht="23.85" customHeight="1" x14ac:dyDescent="0.3">
      <c r="C35" s="67" t="s">
        <v>92</v>
      </c>
      <c r="D35" s="68">
        <f>SUM(D11:D34)</f>
        <v>2191086.9372371351</v>
      </c>
      <c r="E35" s="68">
        <f>SUM(E11:E34)</f>
        <v>265498.84500000003</v>
      </c>
      <c r="F35" s="68">
        <f t="shared" ref="F35:L35" si="2">SUM(F11:F34)</f>
        <v>1925588.0922371347</v>
      </c>
      <c r="G35" s="82">
        <f t="shared" si="2"/>
        <v>450000</v>
      </c>
      <c r="H35" s="82">
        <f t="shared" si="2"/>
        <v>350000</v>
      </c>
      <c r="I35" s="82">
        <f t="shared" si="2"/>
        <v>400000</v>
      </c>
      <c r="J35" s="82">
        <f t="shared" ref="J35" si="3">SUM(J11:J34)</f>
        <v>120000</v>
      </c>
      <c r="K35" s="82">
        <f t="shared" si="2"/>
        <v>0</v>
      </c>
      <c r="L35" s="68">
        <f t="shared" si="2"/>
        <v>605588.0922371347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3.7110989704177193</v>
      </c>
      <c r="S35" s="79">
        <f>'3. Nomination'!V30</f>
        <v>4.1843099258922889</v>
      </c>
      <c r="T35" s="68">
        <f>SUM(T11:T34)</f>
        <v>9911881.5128611866</v>
      </c>
      <c r="U35" s="68">
        <f t="shared" ref="U35" si="6">SUM(U11:U34)</f>
        <v>10729872.875747547</v>
      </c>
      <c r="V35" s="79">
        <f t="shared" ref="V35" si="7">T35/F35</f>
        <v>5.1474567966120066</v>
      </c>
      <c r="W35" s="79">
        <f t="shared" ref="W35" si="8">U35/F35</f>
        <v>5.5722575970448878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0.75</v>
      </c>
      <c r="H38" s="124">
        <f>H35/(20*24*1000)</f>
        <v>0.72916666666666663</v>
      </c>
      <c r="I38" s="124">
        <f>I35/(20*24*1000)</f>
        <v>0.83333333333333337</v>
      </c>
      <c r="J38" s="124">
        <f>J35/(10*24*1000)</f>
        <v>0.5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0.23369483941770389</v>
      </c>
      <c r="H39" s="126">
        <f t="shared" si="9"/>
        <v>0.18176265288043636</v>
      </c>
      <c r="I39" s="126">
        <f t="shared" si="9"/>
        <v>0.20772874614907014</v>
      </c>
      <c r="J39" s="126">
        <f>J35/$F$35</f>
        <v>6.231862384472104E-2</v>
      </c>
      <c r="K39" s="126">
        <f t="shared" si="9"/>
        <v>0</v>
      </c>
      <c r="L39" s="127">
        <f t="shared" si="9"/>
        <v>0.31449513770806858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6" t="s">
        <v>187</v>
      </c>
      <c r="G3" s="167"/>
      <c r="H3" s="167"/>
      <c r="I3" s="167"/>
      <c r="J3" s="167"/>
      <c r="K3" s="169">
        <f>'1. Rates'!C4</f>
        <v>45671</v>
      </c>
      <c r="L3" s="169"/>
      <c r="M3" s="169"/>
      <c r="N3" s="169"/>
      <c r="O3" s="170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20000</v>
      </c>
      <c r="R5" s="53">
        <f>'3. Nomination'!X6</f>
        <v>5000</v>
      </c>
      <c r="S5" s="53">
        <f>'3. Nomination'!Y6</f>
        <v>10000</v>
      </c>
      <c r="T5" s="53">
        <f>'3. Nomination'!Z6</f>
        <v>10000</v>
      </c>
      <c r="U5" s="53">
        <f>'3. Nomination'!AA6</f>
        <v>20000</v>
      </c>
      <c r="V5" s="53">
        <f>'3. Nomination'!AB6</f>
        <v>10000</v>
      </c>
      <c r="W5" s="53">
        <f>'3. Nomination'!AC6</f>
        <v>0</v>
      </c>
      <c r="X5" s="53">
        <f>E5-Q5-R5-S5-T5-U5-V5-W5</f>
        <v>-75000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65654.455917746949</v>
      </c>
      <c r="AI5" s="53">
        <f>R5*'1. Rates'!D$56</f>
        <v>16413.613979436737</v>
      </c>
      <c r="AJ5" s="53">
        <f>S5*'1. Rates'!E$56</f>
        <v>33059.364255153028</v>
      </c>
      <c r="AK5" s="53">
        <f>T5*'1. Rates'!F$56</f>
        <v>33059.364255153028</v>
      </c>
      <c r="AL5" s="53">
        <f>U5*'1. Rates'!G$56</f>
        <v>123628</v>
      </c>
      <c r="AM5" s="53">
        <f>V5*'1. Rates'!H$56</f>
        <v>34702.174591513132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11757.185456398289</v>
      </c>
      <c r="AR5" s="53">
        <f>(Z5+AI5)*'1. Rates'!D$60</f>
        <v>2939.2963640995722</v>
      </c>
      <c r="AS5" s="53">
        <f>(AA5+AJ5)*'1. Rates'!E$60</f>
        <v>5889.6838946594207</v>
      </c>
      <c r="AT5" s="53">
        <f>(AB5+AK5)*'1. Rates'!F$60</f>
        <v>5942.7238946594207</v>
      </c>
      <c r="AU5" s="53">
        <f>(AC5+AL5)*'1. Rates'!G$60</f>
        <v>0</v>
      </c>
      <c r="AV5" s="53">
        <f>(AD5+AM5)*'1. Rates'!H$60</f>
        <v>6933.9809509815759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97976.545469985751</v>
      </c>
      <c r="BA5" s="53">
        <f t="shared" ref="BA5:BG20" si="0">Z5+AI5</f>
        <v>24494.136367496438</v>
      </c>
      <c r="BB5" s="53">
        <f t="shared" si="0"/>
        <v>49080.699122161845</v>
      </c>
      <c r="BC5" s="53">
        <f t="shared" si="0"/>
        <v>49522.699122161837</v>
      </c>
      <c r="BD5" s="53">
        <f t="shared" si="0"/>
        <v>123628</v>
      </c>
      <c r="BE5" s="53">
        <f t="shared" si="0"/>
        <v>57783.174591513132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109733.73092638404</v>
      </c>
      <c r="BJ5" s="53">
        <f t="shared" ref="BJ5:BP20" si="1">Z5+AI5+AR5</f>
        <v>27433.432731596011</v>
      </c>
      <c r="BK5" s="53">
        <f t="shared" si="1"/>
        <v>54970.383016821266</v>
      </c>
      <c r="BL5" s="53">
        <f t="shared" si="1"/>
        <v>55465.42301682126</v>
      </c>
      <c r="BM5" s="53">
        <f t="shared" si="1"/>
        <v>123628</v>
      </c>
      <c r="BN5" s="53">
        <f t="shared" si="1"/>
        <v>64717.155542494707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4.8988272734992879</v>
      </c>
      <c r="BS5" s="54">
        <f t="shared" ref="BS5:BW20" si="2">BA5/R5</f>
        <v>4.8988272734992879</v>
      </c>
      <c r="BT5" s="54">
        <f t="shared" si="2"/>
        <v>4.9080699122161846</v>
      </c>
      <c r="BU5" s="54">
        <f t="shared" si="2"/>
        <v>4.9522699122161837</v>
      </c>
      <c r="BV5" s="54">
        <f t="shared" si="2"/>
        <v>6.1814</v>
      </c>
      <c r="BW5" s="54">
        <f t="shared" si="2"/>
        <v>5.7783174591513129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5.4866865463192021</v>
      </c>
      <c r="CB5" s="54">
        <f t="shared" ref="CB5:CF20" si="5">BJ5/R5</f>
        <v>5.4866865463192021</v>
      </c>
      <c r="CC5" s="54">
        <f t="shared" si="5"/>
        <v>5.4970383016821263</v>
      </c>
      <c r="CD5" s="54">
        <f t="shared" si="5"/>
        <v>5.546542301682126</v>
      </c>
      <c r="CE5" s="54">
        <f t="shared" si="5"/>
        <v>6.1814</v>
      </c>
      <c r="CF5" s="54">
        <f t="shared" si="5"/>
        <v>6.4717155542494709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20000</v>
      </c>
      <c r="V10" s="53">
        <f>'3. Nomination'!AB11</f>
        <v>0</v>
      </c>
      <c r="W10" s="53">
        <f>'3. Nomination'!AC11</f>
        <v>0</v>
      </c>
      <c r="X10" s="53">
        <f t="shared" si="19"/>
        <v>-42500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123628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123628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123628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>
        <f t="shared" si="2"/>
        <v>6.1814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>
        <f t="shared" si="5"/>
        <v>6.1814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20000</v>
      </c>
      <c r="V11" s="53">
        <f>'3. Nomination'!AB12</f>
        <v>0</v>
      </c>
      <c r="W11" s="53">
        <f>'3. Nomination'!AC12</f>
        <v>0</v>
      </c>
      <c r="X11" s="53">
        <f t="shared" si="19"/>
        <v>-42500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123628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123628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123628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>
        <f t="shared" si="2"/>
        <v>6.1814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>
        <f t="shared" si="5"/>
        <v>6.1814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20000</v>
      </c>
      <c r="V12" s="53">
        <f>'3. Nomination'!AB13</f>
        <v>0</v>
      </c>
      <c r="W12" s="53">
        <f>'3. Nomination'!AC13</f>
        <v>0</v>
      </c>
      <c r="X12" s="53">
        <f t="shared" si="19"/>
        <v>-42500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123628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123628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123628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>
        <f t="shared" si="2"/>
        <v>6.1814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>
        <f t="shared" si="5"/>
        <v>6.1814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0</v>
      </c>
      <c r="W13" s="53">
        <f>'3. Nomination'!AC14</f>
        <v>0</v>
      </c>
      <c r="X13" s="53">
        <f t="shared" si="19"/>
        <v>-42500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0</v>
      </c>
      <c r="W14" s="53">
        <f>'3. Nomination'!AC15</f>
        <v>0</v>
      </c>
      <c r="X14" s="53">
        <f t="shared" si="19"/>
        <v>-42500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0</v>
      </c>
      <c r="W15" s="53">
        <f>'3. Nomination'!AC16</f>
        <v>0</v>
      </c>
      <c r="X15" s="53">
        <f t="shared" si="19"/>
        <v>-42500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0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2769.72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23081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25850.720000000001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 t="e">
        <f t="shared" si="2"/>
        <v>#DIV/0!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 t="e">
        <f t="shared" si="5"/>
        <v>#DIV/0!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0</v>
      </c>
      <c r="W16" s="53">
        <f>'3. Nomination'!AC17</f>
        <v>0</v>
      </c>
      <c r="X16" s="53">
        <f t="shared" si="19"/>
        <v>-42500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0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2769.72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23081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25850.720000000001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 t="e">
        <f t="shared" si="2"/>
        <v>#DIV/0!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 t="e">
        <f t="shared" si="5"/>
        <v>#DIV/0!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0</v>
      </c>
      <c r="W17" s="53">
        <f>'3. Nomination'!AC18</f>
        <v>0</v>
      </c>
      <c r="X17" s="53">
        <f t="shared" si="19"/>
        <v>-42500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0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2769.72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23081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25850.720000000001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 t="e">
        <f t="shared" si="2"/>
        <v>#DIV/0!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 t="e">
        <f t="shared" si="5"/>
        <v>#DIV/0!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20000</v>
      </c>
      <c r="R18" s="53">
        <f>'3. Nomination'!X19</f>
        <v>5000</v>
      </c>
      <c r="S18" s="53">
        <f>'3. Nomination'!Y19</f>
        <v>10000</v>
      </c>
      <c r="T18" s="53">
        <f>'3. Nomination'!Z19</f>
        <v>10000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-75000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65654.455917746949</v>
      </c>
      <c r="AI18" s="53">
        <f>R18*'1. Rates'!D$56</f>
        <v>16413.613979436737</v>
      </c>
      <c r="AJ18" s="53">
        <f>S18*'1. Rates'!E$56</f>
        <v>33059.364255153028</v>
      </c>
      <c r="AK18" s="53">
        <f>T18*'1. Rates'!F$56</f>
        <v>33059.364255153028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11757.185456398289</v>
      </c>
      <c r="AR18" s="53">
        <f>(Z18+AI18)*'1. Rates'!D$60</f>
        <v>2939.2963640995722</v>
      </c>
      <c r="AS18" s="53">
        <f>(AA18+AJ18)*'1. Rates'!E$60</f>
        <v>5889.6838946594207</v>
      </c>
      <c r="AT18" s="53">
        <f>(AB18+AK18)*'1. Rates'!F$60</f>
        <v>5942.7238946594207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97976.545469985751</v>
      </c>
      <c r="BA18" s="53">
        <f t="shared" si="0"/>
        <v>24494.136367496438</v>
      </c>
      <c r="BB18" s="53">
        <f t="shared" si="0"/>
        <v>49080.699122161845</v>
      </c>
      <c r="BC18" s="53">
        <f t="shared" si="0"/>
        <v>49522.699122161837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109733.73092638404</v>
      </c>
      <c r="BJ18" s="53">
        <f t="shared" si="1"/>
        <v>27433.432731596011</v>
      </c>
      <c r="BK18" s="53">
        <f t="shared" si="1"/>
        <v>54970.383016821266</v>
      </c>
      <c r="BL18" s="53">
        <f t="shared" si="1"/>
        <v>55465.42301682126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4.8988272734992879</v>
      </c>
      <c r="BS18" s="54">
        <f t="shared" si="2"/>
        <v>4.8988272734992879</v>
      </c>
      <c r="BT18" s="54">
        <f t="shared" si="2"/>
        <v>4.9080699122161846</v>
      </c>
      <c r="BU18" s="54">
        <f t="shared" si="2"/>
        <v>4.9522699122161837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5.4866865463192021</v>
      </c>
      <c r="CB18" s="54">
        <f t="shared" si="5"/>
        <v>5.4866865463192021</v>
      </c>
      <c r="CC18" s="54">
        <f t="shared" si="5"/>
        <v>5.4970383016821263</v>
      </c>
      <c r="CD18" s="54">
        <f t="shared" si="5"/>
        <v>5.546542301682126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20000</v>
      </c>
      <c r="R27" s="53">
        <f>'3. Nomination'!X28</f>
        <v>5000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-75000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65654.455917746949</v>
      </c>
      <c r="AI27" s="53">
        <f>R27*'1. Rates'!D$56</f>
        <v>16413.613979436737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11757.185456398289</v>
      </c>
      <c r="AR27" s="53">
        <f>(Z27+AI27)*'1. Rates'!D$60</f>
        <v>2939.2963640995722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97976.545469985751</v>
      </c>
      <c r="BA27" s="53">
        <f t="shared" si="12"/>
        <v>24494.136367496438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109733.73092638404</v>
      </c>
      <c r="BJ27" s="53">
        <f t="shared" si="14"/>
        <v>27433.432731596011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4.8988272734992879</v>
      </c>
      <c r="BS27" s="54">
        <f t="shared" si="20"/>
        <v>4.8988272734992879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5.4866865463192021</v>
      </c>
      <c r="CB27" s="54">
        <f t="shared" si="23"/>
        <v>5.4866865463192021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20000</v>
      </c>
      <c r="R28" s="53">
        <f>'3. Nomination'!X29</f>
        <v>5000</v>
      </c>
      <c r="S28" s="53">
        <f>'3. Nomination'!Y29</f>
        <v>5000</v>
      </c>
      <c r="T28" s="53">
        <f>'3. Nomination'!Z29</f>
        <v>5000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-65000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65654.455917746949</v>
      </c>
      <c r="AI28" s="53">
        <f>R28*'1. Rates'!D$56</f>
        <v>16413.613979436737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11757.185456398289</v>
      </c>
      <c r="AR28" s="53">
        <f>(Z28+AI28)*'1. Rates'!D$60</f>
        <v>2939.2963640995722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97976.545469985751</v>
      </c>
      <c r="BA28" s="53">
        <f t="shared" si="12"/>
        <v>24494.136367496438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109733.73092638404</v>
      </c>
      <c r="BJ28" s="53">
        <f t="shared" si="14"/>
        <v>27433.432731596011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4.8988272734992879</v>
      </c>
      <c r="BS28" s="54">
        <f t="shared" si="20"/>
        <v>4.8988272734992879</v>
      </c>
      <c r="BT28" s="54">
        <f t="shared" si="21"/>
        <v>6.5102033989170653</v>
      </c>
      <c r="BU28" s="54">
        <f t="shared" si="22"/>
        <v>6.5986033989170654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5.4866865463192021</v>
      </c>
      <c r="CB28" s="54">
        <f t="shared" si="23"/>
        <v>5.4866865463192021</v>
      </c>
      <c r="CC28" s="54">
        <f t="shared" si="24"/>
        <v>7.2914278067871132</v>
      </c>
      <c r="CD28" s="54">
        <f t="shared" si="25"/>
        <v>7.3904358067871128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360000</v>
      </c>
      <c r="R29" s="56">
        <f t="shared" si="28"/>
        <v>90000</v>
      </c>
      <c r="S29" s="56">
        <f t="shared" si="28"/>
        <v>175000</v>
      </c>
      <c r="T29" s="56">
        <f t="shared" si="28"/>
        <v>175000</v>
      </c>
      <c r="U29" s="56">
        <f t="shared" si="28"/>
        <v>400000</v>
      </c>
      <c r="V29" s="56">
        <f t="shared" si="28"/>
        <v>120000</v>
      </c>
      <c r="W29" s="56">
        <f t="shared" si="28"/>
        <v>0</v>
      </c>
      <c r="X29" s="56">
        <f>SUM(X5:X28)</f>
        <v>-1320000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1181780.2065194456</v>
      </c>
      <c r="AI29" s="56">
        <f t="shared" si="29"/>
        <v>295445.05162986141</v>
      </c>
      <c r="AJ29" s="56">
        <f t="shared" si="29"/>
        <v>578538.87446517823</v>
      </c>
      <c r="AK29" s="56">
        <f t="shared" si="29"/>
        <v>578538.87446517823</v>
      </c>
      <c r="AL29" s="56">
        <f t="shared" si="29"/>
        <v>2472560</v>
      </c>
      <c r="AM29" s="56">
        <f t="shared" si="29"/>
        <v>416426.09509815747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234901.24269278118</v>
      </c>
      <c r="AR29" s="56">
        <f t="shared" si="29"/>
        <v>58725.310673195294</v>
      </c>
      <c r="AS29" s="56">
        <f t="shared" si="29"/>
        <v>115566.10935280673</v>
      </c>
      <c r="AT29" s="56">
        <f t="shared" si="29"/>
        <v>116839.06935280669</v>
      </c>
      <c r="AU29" s="56">
        <f t="shared" si="29"/>
        <v>0</v>
      </c>
      <c r="AV29" s="56">
        <f t="shared" si="29"/>
        <v>116444.41141177896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1957510.3557731772</v>
      </c>
      <c r="BA29" s="56">
        <f t="shared" si="29"/>
        <v>489377.58894329431</v>
      </c>
      <c r="BB29" s="56">
        <f t="shared" si="29"/>
        <v>963050.91127338959</v>
      </c>
      <c r="BC29" s="56">
        <f t="shared" si="29"/>
        <v>973658.91127338959</v>
      </c>
      <c r="BD29" s="56">
        <f t="shared" si="29"/>
        <v>2472560</v>
      </c>
      <c r="BE29" s="56">
        <f t="shared" si="29"/>
        <v>970370.09509815741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2192411.5984659572</v>
      </c>
      <c r="BJ29" s="56">
        <f t="shared" si="29"/>
        <v>548102.8996164893</v>
      </c>
      <c r="BK29" s="56">
        <f t="shared" si="29"/>
        <v>1078617.0206261959</v>
      </c>
      <c r="BL29" s="56">
        <f t="shared" si="29"/>
        <v>1090497.9806261961</v>
      </c>
      <c r="BM29" s="56">
        <f t="shared" si="29"/>
        <v>2472560</v>
      </c>
      <c r="BN29" s="56">
        <f t="shared" si="29"/>
        <v>1086814.5065099366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5.4375287660366034</v>
      </c>
      <c r="BS29" s="58">
        <f t="shared" si="20"/>
        <v>5.4375287660366034</v>
      </c>
      <c r="BT29" s="58">
        <f t="shared" si="21"/>
        <v>5.5031480644193689</v>
      </c>
      <c r="BU29" s="58">
        <f t="shared" si="22"/>
        <v>5.5637652072765116</v>
      </c>
      <c r="BV29" s="58">
        <f t="shared" si="22"/>
        <v>6.1814</v>
      </c>
      <c r="BW29" s="58">
        <f t="shared" si="22"/>
        <v>8.0864174591513116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6.0900322179609923</v>
      </c>
      <c r="CB29" s="58">
        <f>BJ29/R29</f>
        <v>6.0900322179609923</v>
      </c>
      <c r="CC29" s="58">
        <f t="shared" ref="CC29:CG29" si="31">BK29/S29</f>
        <v>6.1635258321496913</v>
      </c>
      <c r="CD29" s="58">
        <f>BL29/T29</f>
        <v>6.2314170321496922</v>
      </c>
      <c r="CE29" s="58">
        <f>BM29/U29</f>
        <v>6.1814</v>
      </c>
      <c r="CF29" s="58">
        <f t="shared" si="31"/>
        <v>9.0567875542494729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  <mergeCell ref="AG3:AG4"/>
    <mergeCell ref="F3:J3"/>
    <mergeCell ref="K3:O3"/>
    <mergeCell ref="P3:P4"/>
    <mergeCell ref="B3:B4"/>
    <mergeCell ref="C3:E3"/>
    <mergeCell ref="Q3:W3"/>
    <mergeCell ref="X3:X4"/>
    <mergeCell ref="Y3:A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45671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45671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25000</v>
      </c>
      <c r="H11" s="80">
        <f>'5. Actual'!S5+'5. Actual'!T5</f>
        <v>20000</v>
      </c>
      <c r="I11" s="80">
        <f>'5. Actual'!U5</f>
        <v>20000</v>
      </c>
      <c r="J11" s="80">
        <f>'5. Actual'!V5</f>
        <v>10000</v>
      </c>
      <c r="K11" s="81">
        <f>'5. Actual'!W5</f>
        <v>0</v>
      </c>
      <c r="L11" s="65">
        <f>'5. Actual'!X5</f>
        <v>-75000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4.0868929733200376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20000</v>
      </c>
      <c r="J16" s="80">
        <f>'5. Actual'!V10</f>
        <v>0</v>
      </c>
      <c r="K16" s="81">
        <f>'5. Actual'!W10</f>
        <v>0</v>
      </c>
      <c r="L16" s="65">
        <f>'5. Actual'!X10</f>
        <v>-42500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4.6522682165587028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20000</v>
      </c>
      <c r="J17" s="80">
        <f>'5. Actual'!V11</f>
        <v>0</v>
      </c>
      <c r="K17" s="81">
        <f>'5. Actual'!W11</f>
        <v>0</v>
      </c>
      <c r="L17" s="65">
        <f>'5. Actual'!X11</f>
        <v>-42500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4.6522682165587028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20000</v>
      </c>
      <c r="J18" s="80">
        <f>'5. Actual'!V12</f>
        <v>0</v>
      </c>
      <c r="K18" s="81">
        <f>'5. Actual'!W12</f>
        <v>0</v>
      </c>
      <c r="L18" s="65">
        <f>'5. Actual'!X12</f>
        <v>-42500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4.6522682165587028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0</v>
      </c>
      <c r="K19" s="81">
        <f>'5. Actual'!W13</f>
        <v>0</v>
      </c>
      <c r="L19" s="65">
        <f>'5. Actual'!X13</f>
        <v>-42500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4.6522682165587028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0</v>
      </c>
      <c r="K20" s="81">
        <f>'5. Actual'!W14</f>
        <v>0</v>
      </c>
      <c r="L20" s="65">
        <f>'5. Actual'!X14</f>
        <v>-42500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4.6522682165587028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0</v>
      </c>
      <c r="K21" s="81">
        <f>'5. Actual'!W15</f>
        <v>0</v>
      </c>
      <c r="L21" s="65">
        <f>'5. Actual'!X15</f>
        <v>-42500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4.6522682165587028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0</v>
      </c>
      <c r="K22" s="81">
        <f>'5. Actual'!W16</f>
        <v>0</v>
      </c>
      <c r="L22" s="65">
        <f>'5. Actual'!X16</f>
        <v>-42500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4.6522682165587028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0</v>
      </c>
      <c r="K23" s="81">
        <f>'5. Actual'!W17</f>
        <v>0</v>
      </c>
      <c r="L23" s="65">
        <f>'5. Actual'!X17</f>
        <v>-42500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4.6522682165587028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25000</v>
      </c>
      <c r="H24" s="80">
        <f>'5. Actual'!S18+'5. Actual'!T18</f>
        <v>20000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-75000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4.0868929733200376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5.1475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25000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-75000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4.0868929733200376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25000</v>
      </c>
      <c r="H34" s="80">
        <f>'5. Actual'!S28+'5. Actual'!T28</f>
        <v>10000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-65000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4.2070401345207671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450000</v>
      </c>
      <c r="H35" s="82">
        <f t="shared" si="2"/>
        <v>350000</v>
      </c>
      <c r="I35" s="82">
        <f t="shared" si="2"/>
        <v>400000</v>
      </c>
      <c r="J35" s="82">
        <f t="shared" ref="J35" si="3">SUM(J11:J34)</f>
        <v>120000</v>
      </c>
      <c r="K35" s="82">
        <f t="shared" si="2"/>
        <v>0</v>
      </c>
      <c r="L35" s="68">
        <f t="shared" si="2"/>
        <v>-1320000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4.1843099258922889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0.75</v>
      </c>
      <c r="H38" s="124">
        <f>H35/(20*24*1000)</f>
        <v>0.72916666666666663</v>
      </c>
      <c r="I38" s="124">
        <f>I35/(20*24*1000)</f>
        <v>0.83333333333333337</v>
      </c>
      <c r="J38" s="124">
        <f>J35/(10*24*1000)</f>
        <v>0.5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2025-01-13T23:53:50Z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