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86" documentId="8_{60405381-A818-418E-AF12-FE9AEBED2E76}" xr6:coauthVersionLast="47" xr6:coauthVersionMax="47" xr10:uidLastSave="{8106E2BD-4A17-4D52-925E-2A13F8C15000}"/>
  <bookViews>
    <workbookView minimized="1" xWindow="34500" yWindow="5775" windowWidth="17280" windowHeight="8880" tabRatio="674" firstSheet="1" activeTab="3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AZ13" i="7" s="1"/>
  <c r="BR13" i="7" s="1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<sst xmlns="http://schemas.openxmlformats.org/spreadsheetml/2006/main" count="599" uniqueCount="194">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</sst>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0" fontId="37" fillId="40" borderId="1" xfId="0" applyFont="1" applyFill="1" applyBorder="1" applyAlignment="1">
      <alignment horizontal="center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1.0123504256293208</c:v>
                </c:pt>
                <c:pt idx="1">
                  <c:v>1.9721189588037902</c:v>
                </c:pt>
                <c:pt idx="2">
                  <c:v>2.7253364340047925</c:v>
                </c:pt>
                <c:pt idx="3">
                  <c:v>2.6201893008862598</c:v>
                </c:pt>
                <c:pt idx="4">
                  <c:v>1.7767379463607478</c:v>
                </c:pt>
                <c:pt idx="5">
                  <c:v>1.7988332803047906</c:v>
                </c:pt>
                <c:pt idx="6">
                  <c:v>1.8327104254127076</c:v>
                </c:pt>
                <c:pt idx="7">
                  <c:v>2.0215802002059471</c:v>
                </c:pt>
                <c:pt idx="8">
                  <c:v>1.8341577990074061</c:v>
                </c:pt>
                <c:pt idx="9">
                  <c:v>2.006614536062282</c:v>
                </c:pt>
                <c:pt idx="10">
                  <c:v>1.7236971795485514</c:v>
                </c:pt>
                <c:pt idx="11">
                  <c:v>1.7664818820916905</c:v>
                </c:pt>
                <c:pt idx="12">
                  <c:v>1.7626730270337645</c:v>
                </c:pt>
                <c:pt idx="13">
                  <c:v>1.2770686572146068</c:v>
                </c:pt>
                <c:pt idx="14">
                  <c:v>1.3249870438476015</c:v>
                </c:pt>
                <c:pt idx="15">
                  <c:v>1.3159700270716517</c:v>
                </c:pt>
                <c:pt idx="16">
                  <c:v>1.2588143029690075</c:v>
                </c:pt>
                <c:pt idx="17">
                  <c:v>1.1706030012952113</c:v>
                </c:pt>
                <c:pt idx="18">
                  <c:v>1.1737457289605848</c:v>
                </c:pt>
                <c:pt idx="19">
                  <c:v>1.116763710330883</c:v>
                </c:pt>
                <c:pt idx="20">
                  <c:v>1.0824482406125127</c:v>
                </c:pt>
                <c:pt idx="21">
                  <c:v>1.0542381055688723</c:v>
                </c:pt>
                <c:pt idx="22">
                  <c:v>1.0187344401173033</c:v>
                </c:pt>
                <c:pt idx="23">
                  <c:v>1.0033657392503859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68088.911005451169</c:v>
                </c:pt>
                <c:pt idx="1">
                  <c:v>65002.752037704333</c:v>
                </c:pt>
                <c:pt idx="2">
                  <c:v>62196.300216942458</c:v>
                </c:pt>
                <c:pt idx="3">
                  <c:v>59528.080671210904</c:v>
                </c:pt>
                <c:pt idx="4">
                  <c:v>58449.899823139298</c:v>
                </c:pt>
                <c:pt idx="5">
                  <c:v>58591.159407653693</c:v>
                </c:pt>
                <c:pt idx="6">
                  <c:v>59662.789873199465</c:v>
                </c:pt>
                <c:pt idx="7">
                  <c:v>65171.329118564427</c:v>
                </c:pt>
                <c:pt idx="8">
                  <c:v>77912.888770929567</c:v>
                </c:pt>
                <c:pt idx="9">
                  <c:v>85678.730478244368</c:v>
                </c:pt>
                <c:pt idx="10">
                  <c:v>90562.735607632436</c:v>
                </c:pt>
                <c:pt idx="11">
                  <c:v>92278.801608701702</c:v>
                </c:pt>
                <c:pt idx="12">
                  <c:v>93107.824165405473</c:v>
                </c:pt>
                <c:pt idx="13">
                  <c:v>97871.571175674035</c:v>
                </c:pt>
                <c:pt idx="14">
                  <c:v>100101.55092456272</c:v>
                </c:pt>
                <c:pt idx="15">
                  <c:v>99783.321557312956</c:v>
                </c:pt>
                <c:pt idx="16">
                  <c:v>96199.251116819316</c:v>
                </c:pt>
                <c:pt idx="17">
                  <c:v>89621.274350234045</c:v>
                </c:pt>
                <c:pt idx="18">
                  <c:v>90121.482611839281</c:v>
                </c:pt>
                <c:pt idx="19">
                  <c:v>86681.12142228127</c:v>
                </c:pt>
                <c:pt idx="20">
                  <c:v>83369.06415746086</c:v>
                </c:pt>
                <c:pt idx="21">
                  <c:v>81251.34633914601</c:v>
                </c:pt>
                <c:pt idx="22">
                  <c:v>79327.827362171316</c:v>
                </c:pt>
                <c:pt idx="23">
                  <c:v>75682.880141745787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68016.145429335476</c:v>
                </c:pt>
                <c:pt idx="1">
                  <c:v>64579.691987764498</c:v>
                </c:pt>
                <c:pt idx="2">
                  <c:v>61781.062598575358</c:v>
                </c:pt>
                <c:pt idx="3">
                  <c:v>59669.848654069589</c:v>
                </c:pt>
                <c:pt idx="4">
                  <c:v>59580.354257429623</c:v>
                </c:pt>
                <c:pt idx="5">
                  <c:v>62225.075123477232</c:v>
                </c:pt>
                <c:pt idx="6">
                  <c:v>63442.907364822524</c:v>
                </c:pt>
                <c:pt idx="7">
                  <c:v>66231.383894822124</c:v>
                </c:pt>
                <c:pt idx="8">
                  <c:v>81462.724170004061</c:v>
                </c:pt>
                <c:pt idx="9">
                  <c:v>86889.106152702559</c:v>
                </c:pt>
                <c:pt idx="10">
                  <c:v>94665.126268002685</c:v>
                </c:pt>
                <c:pt idx="11">
                  <c:v>95361.226127122092</c:v>
                </c:pt>
                <c:pt idx="12">
                  <c:v>94132.359811525253</c:v>
                </c:pt>
                <c:pt idx="13">
                  <c:v>95923.011772338912</c:v>
                </c:pt>
                <c:pt idx="14">
                  <c:v>100954.0191283489</c:v>
                </c:pt>
                <c:pt idx="15">
                  <c:v>99914.849824042278</c:v>
                </c:pt>
                <c:pt idx="16">
                  <c:v>94854.679432985329</c:v>
                </c:pt>
                <c:pt idx="17">
                  <c:v>88063.860405990461</c:v>
                </c:pt>
                <c:pt idx="18">
                  <c:v>88034.712975689326</c:v>
                </c:pt>
                <c:pt idx="19">
                  <c:v>82812.529422847467</c:v>
                </c:pt>
                <c:pt idx="20">
                  <c:v>80888.692195334806</c:v>
                </c:pt>
                <c:pt idx="21">
                  <c:v>80453.516382575021</c:v>
                </c:pt>
                <c:pt idx="22">
                  <c:v>76810.773352377888</c:v>
                </c:pt>
                <c:pt idx="23">
                  <c:v>72964.559016005427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67321.303304349829</c:v>
                </c:pt>
                <c:pt idx="1">
                  <c:v>64093.86616112318</c:v>
                </c:pt>
                <c:pt idx="2">
                  <c:v>61320.06976510783</c:v>
                </c:pt>
                <c:pt idx="3">
                  <c:v>58954.259269940841</c:v>
                </c:pt>
                <c:pt idx="4">
                  <c:v>57743.983256724299</c:v>
                </c:pt>
                <c:pt idx="5">
                  <c:v>58462.081609905697</c:v>
                </c:pt>
                <c:pt idx="6">
                  <c:v>59563.088825912993</c:v>
                </c:pt>
                <c:pt idx="7">
                  <c:v>65701.356506693279</c:v>
                </c:pt>
                <c:pt idx="8">
                  <c:v>77951.706457814755</c:v>
                </c:pt>
                <c:pt idx="9">
                  <c:v>85281.117782646994</c:v>
                </c:pt>
                <c:pt idx="10">
                  <c:v>90494.101926298943</c:v>
                </c:pt>
                <c:pt idx="11">
                  <c:v>92740.298809813758</c:v>
                </c:pt>
                <c:pt idx="12">
                  <c:v>92540.333919272642</c:v>
                </c:pt>
                <c:pt idx="13">
                  <c:v>95780.149291095513</c:v>
                </c:pt>
                <c:pt idx="14">
                  <c:v>99374.028288570102</c:v>
                </c:pt>
                <c:pt idx="15">
                  <c:v>98697.752030373871</c:v>
                </c:pt>
                <c:pt idx="16">
                  <c:v>94411.07272267557</c:v>
                </c:pt>
                <c:pt idx="17">
                  <c:v>87795.22509714085</c:v>
                </c:pt>
                <c:pt idx="18">
                  <c:v>88030.929672043858</c:v>
                </c:pt>
                <c:pt idx="19">
                  <c:v>83757.278274816214</c:v>
                </c:pt>
                <c:pt idx="20">
                  <c:v>81183.618045938449</c:v>
                </c:pt>
                <c:pt idx="21">
                  <c:v>79067.857917665417</c:v>
                </c:pt>
                <c:pt idx="22">
                  <c:v>76405.083008797752</c:v>
                </c:pt>
                <c:pt idx="23">
                  <c:v>72744.016095652973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3.4060981331999995</c:v>
                </c:pt>
                <c:pt idx="1">
                  <c:v>2.8418416265999995</c:v>
                </c:pt>
                <c:pt idx="2">
                  <c:v>2.7678950099999997</c:v>
                </c:pt>
                <c:pt idx="3">
                  <c:v>2.9119409032000001</c:v>
                </c:pt>
                <c:pt idx="4">
                  <c:v>2.9767525668000001</c:v>
                </c:pt>
                <c:pt idx="5">
                  <c:v>3.1879222218000001</c:v>
                </c:pt>
                <c:pt idx="6">
                  <c:v>3.1961108751999996</c:v>
                </c:pt>
                <c:pt idx="7">
                  <c:v>2.7643635600000005</c:v>
                </c:pt>
                <c:pt idx="8">
                  <c:v>3.6258797916000001</c:v>
                </c:pt>
                <c:pt idx="9">
                  <c:v>3.3299702518000003</c:v>
                </c:pt>
                <c:pt idx="10">
                  <c:v>3.4755243499999997</c:v>
                </c:pt>
                <c:pt idx="11">
                  <c:v>3.7158061816000001</c:v>
                </c:pt>
                <c:pt idx="12">
                  <c:v>3.6672625950000004</c:v>
                </c:pt>
                <c:pt idx="13">
                  <c:v>4.2490161665999988</c:v>
                </c:pt>
                <c:pt idx="14">
                  <c:v>3.7827512264000007</c:v>
                </c:pt>
                <c:pt idx="15">
                  <c:v>4.1526952984000003</c:v>
                </c:pt>
                <c:pt idx="16">
                  <c:v>4.2226444318</c:v>
                </c:pt>
                <c:pt idx="17">
                  <c:v>5.5070563598000009</c:v>
                </c:pt>
                <c:pt idx="18">
                  <c:v>6.2436282752000007</c:v>
                </c:pt>
                <c:pt idx="19">
                  <c:v>4.0700260848000003</c:v>
                </c:pt>
                <c:pt idx="20">
                  <c:v>5.0428311036000002</c:v>
                </c:pt>
                <c:pt idx="21">
                  <c:v>3.4051924184</c:v>
                </c:pt>
                <c:pt idx="22">
                  <c:v>3.5412231802000003</c:v>
                </c:pt>
                <c:pt idx="23">
                  <c:v>3.7625104136000003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3.0308530449999997</c:v>
                </c:pt>
                <c:pt idx="1">
                  <c:v>2.7884749483333331</c:v>
                </c:pt>
                <c:pt idx="2">
                  <c:v>2.3732842783333332</c:v>
                </c:pt>
                <c:pt idx="3">
                  <c:v>2.4677158349999999</c:v>
                </c:pt>
                <c:pt idx="4">
                  <c:v>2.8093155999999997</c:v>
                </c:pt>
                <c:pt idx="5">
                  <c:v>2.9351346666666664</c:v>
                </c:pt>
                <c:pt idx="6">
                  <c:v>3.5966188899999998</c:v>
                </c:pt>
                <c:pt idx="7">
                  <c:v>2.4681066083333332</c:v>
                </c:pt>
                <c:pt idx="8">
                  <c:v>2.7753320833333337</c:v>
                </c:pt>
                <c:pt idx="9">
                  <c:v>2.7932825616666661</c:v>
                </c:pt>
                <c:pt idx="10">
                  <c:v>3.1582357766666673</c:v>
                </c:pt>
                <c:pt idx="11">
                  <c:v>2.9597700083333338</c:v>
                </c:pt>
                <c:pt idx="12">
                  <c:v>3.254511373333334</c:v>
                </c:pt>
                <c:pt idx="13">
                  <c:v>3.379267281666666</c:v>
                </c:pt>
                <c:pt idx="14">
                  <c:v>4.3234331066666662</c:v>
                </c:pt>
                <c:pt idx="15">
                  <c:v>3.8714224033333329</c:v>
                </c:pt>
                <c:pt idx="16">
                  <c:v>3.9877476566666665</c:v>
                </c:pt>
                <c:pt idx="17">
                  <c:v>5.7525521850000008</c:v>
                </c:pt>
                <c:pt idx="18">
                  <c:v>5.7310927316666662</c:v>
                </c:pt>
                <c:pt idx="19">
                  <c:v>4.8298814016666665</c:v>
                </c:pt>
                <c:pt idx="20">
                  <c:v>3.9940185850000001</c:v>
                </c:pt>
                <c:pt idx="21">
                  <c:v>4.352574203333333</c:v>
                </c:pt>
                <c:pt idx="22">
                  <c:v>3.6684116716666666</c:v>
                </c:pt>
                <c:pt idx="23">
                  <c:v>3.9429726450000002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3.4180463775925927</c:v>
                </c:pt>
                <c:pt idx="1">
                  <c:v>3.1628628003703709</c:v>
                </c:pt>
                <c:pt idx="2">
                  <c:v>2.7573495538888886</c:v>
                </c:pt>
                <c:pt idx="3">
                  <c:v>2.7296710018518513</c:v>
                </c:pt>
                <c:pt idx="4">
                  <c:v>3.1715931044444443</c:v>
                </c:pt>
                <c:pt idx="5">
                  <c:v>3.3793836098148149</c:v>
                </c:pt>
                <c:pt idx="6">
                  <c:v>3.3736319642592587</c:v>
                </c:pt>
                <c:pt idx="7">
                  <c:v>3.1268883175925932</c:v>
                </c:pt>
                <c:pt idx="8">
                  <c:v>3.2227306583333331</c:v>
                </c:pt>
                <c:pt idx="9">
                  <c:v>3.2285652248333334</c:v>
                </c:pt>
                <c:pt idx="10">
                  <c:v>3.4463123538333336</c:v>
                </c:pt>
                <c:pt idx="11">
                  <c:v>3.3507212874999999</c:v>
                </c:pt>
                <c:pt idx="12">
                  <c:v>3.3440436085000003</c:v>
                </c:pt>
                <c:pt idx="13">
                  <c:v>3.7517299050303032</c:v>
                </c:pt>
                <c:pt idx="14">
                  <c:v>3.9843689048333331</c:v>
                </c:pt>
                <c:pt idx="15">
                  <c:v>3.9934035205000002</c:v>
                </c:pt>
                <c:pt idx="16">
                  <c:v>4.0973266582272725</c:v>
                </c:pt>
                <c:pt idx="17">
                  <c:v>5.7460511374999994</c:v>
                </c:pt>
                <c:pt idx="18">
                  <c:v>5.2604860086666658</c:v>
                </c:pt>
                <c:pt idx="19">
                  <c:v>4.1989660793333332</c:v>
                </c:pt>
                <c:pt idx="20">
                  <c:v>4.1586384865000001</c:v>
                </c:pt>
                <c:pt idx="21">
                  <c:v>3.6974940184999996</c:v>
                </c:pt>
                <c:pt idx="22">
                  <c:v>3.5592570600000002</c:v>
                </c:pt>
                <c:pt idx="23">
                  <c:v>3.5425540156666671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5804.2039999999997</c:v>
                </c:pt>
                <c:pt idx="1">
                  <c:v>5669.43</c:v>
                </c:pt>
                <c:pt idx="2">
                  <c:v>5600.594000000001</c:v>
                </c:pt>
                <c:pt idx="3">
                  <c:v>5568.8170000000009</c:v>
                </c:pt>
                <c:pt idx="4">
                  <c:v>5526.2470000000003</c:v>
                </c:pt>
                <c:pt idx="5">
                  <c:v>5937.2549999999992</c:v>
                </c:pt>
                <c:pt idx="6">
                  <c:v>6241.3450000000003</c:v>
                </c:pt>
                <c:pt idx="7">
                  <c:v>6995.6080000000002</c:v>
                </c:pt>
                <c:pt idx="8">
                  <c:v>8524.0960000000014</c:v>
                </c:pt>
                <c:pt idx="9">
                  <c:v>14776.649000000001</c:v>
                </c:pt>
                <c:pt idx="10">
                  <c:v>14807.147000000001</c:v>
                </c:pt>
                <c:pt idx="11">
                  <c:v>14861.003000000001</c:v>
                </c:pt>
                <c:pt idx="12">
                  <c:v>14959.057000000001</c:v>
                </c:pt>
                <c:pt idx="13">
                  <c:v>15226.323999999999</c:v>
                </c:pt>
                <c:pt idx="14">
                  <c:v>15717.980000000001</c:v>
                </c:pt>
                <c:pt idx="15">
                  <c:v>16413.115000000002</c:v>
                </c:pt>
                <c:pt idx="16">
                  <c:v>17156.553</c:v>
                </c:pt>
                <c:pt idx="17">
                  <c:v>17006.031999999999</c:v>
                </c:pt>
                <c:pt idx="18">
                  <c:v>16589.342000000001</c:v>
                </c:pt>
                <c:pt idx="19">
                  <c:v>14940.140000000001</c:v>
                </c:pt>
                <c:pt idx="20">
                  <c:v>13315.511</c:v>
                </c:pt>
                <c:pt idx="21">
                  <c:v>10407.030000000001</c:v>
                </c:pt>
                <c:pt idx="22">
                  <c:v>6565.8539999999994</c:v>
                </c:pt>
                <c:pt idx="23">
                  <c:v>5866.4030000000002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5798.1720000000005</c:v>
                </c:pt>
                <c:pt idx="1">
                  <c:v>5614.0080000000007</c:v>
                </c:pt>
                <c:pt idx="2">
                  <c:v>5481.5949999999993</c:v>
                </c:pt>
                <c:pt idx="3">
                  <c:v>5463.7430000000004</c:v>
                </c:pt>
                <c:pt idx="4">
                  <c:v>5467.7550000000001</c:v>
                </c:pt>
                <c:pt idx="5">
                  <c:v>5585.5410000000002</c:v>
                </c:pt>
                <c:pt idx="6">
                  <c:v>5965.4230000000007</c:v>
                </c:pt>
                <c:pt idx="7">
                  <c:v>6821.5779999999995</c:v>
                </c:pt>
                <c:pt idx="8">
                  <c:v>8318.7610000000004</c:v>
                </c:pt>
                <c:pt idx="9">
                  <c:v>15221.222000000002</c:v>
                </c:pt>
                <c:pt idx="10">
                  <c:v>15132.909</c:v>
                </c:pt>
                <c:pt idx="11">
                  <c:v>15601.411</c:v>
                </c:pt>
                <c:pt idx="12">
                  <c:v>15911.889000000001</c:v>
                </c:pt>
                <c:pt idx="13">
                  <c:v>16641.813999999998</c:v>
                </c:pt>
                <c:pt idx="14">
                  <c:v>16285.310999999998</c:v>
                </c:pt>
                <c:pt idx="15">
                  <c:v>16458.113000000001</c:v>
                </c:pt>
                <c:pt idx="16">
                  <c:v>17199.812000000002</c:v>
                </c:pt>
                <c:pt idx="17">
                  <c:v>16871.974000000002</c:v>
                </c:pt>
                <c:pt idx="18">
                  <c:v>16782.423000000003</c:v>
                </c:pt>
                <c:pt idx="19">
                  <c:v>15454.733000000002</c:v>
                </c:pt>
                <c:pt idx="20">
                  <c:v>13369.279</c:v>
                </c:pt>
                <c:pt idx="21">
                  <c:v>9026.7510000000002</c:v>
                </c:pt>
                <c:pt idx="22">
                  <c:v>6217.7459999999992</c:v>
                </c:pt>
                <c:pt idx="23">
                  <c:v>5829.991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5801.1880000000001</c:v>
                </c:pt>
                <c:pt idx="1">
                  <c:v>5641.719000000001</c:v>
                </c:pt>
                <c:pt idx="2">
                  <c:v>5541.0945000000002</c:v>
                </c:pt>
                <c:pt idx="3">
                  <c:v>5516.2800000000007</c:v>
                </c:pt>
                <c:pt idx="4">
                  <c:v>5497.0010000000002</c:v>
                </c:pt>
                <c:pt idx="5">
                  <c:v>5761.3979999999992</c:v>
                </c:pt>
                <c:pt idx="6">
                  <c:v>6103.384</c:v>
                </c:pt>
                <c:pt idx="7">
                  <c:v>6908.5929999999998</c:v>
                </c:pt>
                <c:pt idx="8">
                  <c:v>8421.4285000000018</c:v>
                </c:pt>
                <c:pt idx="9">
                  <c:v>14998.935500000001</c:v>
                </c:pt>
                <c:pt idx="10">
                  <c:v>14970.028</c:v>
                </c:pt>
                <c:pt idx="11">
                  <c:v>15231.207</c:v>
                </c:pt>
                <c:pt idx="12">
                  <c:v>15435.473000000002</c:v>
                </c:pt>
                <c:pt idx="13">
                  <c:v>15934.069</c:v>
                </c:pt>
                <c:pt idx="14">
                  <c:v>16001.645499999999</c:v>
                </c:pt>
                <c:pt idx="15">
                  <c:v>16435.614000000001</c:v>
                </c:pt>
                <c:pt idx="16">
                  <c:v>17178.182500000003</c:v>
                </c:pt>
                <c:pt idx="17">
                  <c:v>16939.003000000001</c:v>
                </c:pt>
                <c:pt idx="18">
                  <c:v>16685.8825</c:v>
                </c:pt>
                <c:pt idx="19">
                  <c:v>15197.436500000002</c:v>
                </c:pt>
                <c:pt idx="20">
                  <c:v>13342.395</c:v>
                </c:pt>
                <c:pt idx="21">
                  <c:v>9716.8905000000013</c:v>
                </c:pt>
                <c:pt idx="22">
                  <c:v>6391.7999999999993</c:v>
                </c:pt>
                <c:pt idx="23">
                  <c:v>5848.1970000000001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16500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10000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821.30330434982898</c:v>
                </c:pt>
                <c:pt idx="1">
                  <c:v>31593.86616112318</c:v>
                </c:pt>
                <c:pt idx="2">
                  <c:v>38820.06976510783</c:v>
                </c:pt>
                <c:pt idx="3">
                  <c:v>36454.259269940841</c:v>
                </c:pt>
                <c:pt idx="4">
                  <c:v>25243.983256724299</c:v>
                </c:pt>
                <c:pt idx="5">
                  <c:v>25962.081609905697</c:v>
                </c:pt>
                <c:pt idx="6">
                  <c:v>27063.088825912993</c:v>
                </c:pt>
                <c:pt idx="7">
                  <c:v>33201.356506693279</c:v>
                </c:pt>
                <c:pt idx="8">
                  <c:v>35451.706457814755</c:v>
                </c:pt>
                <c:pt idx="9">
                  <c:v>42781.117782646994</c:v>
                </c:pt>
                <c:pt idx="10">
                  <c:v>37994.101926298943</c:v>
                </c:pt>
                <c:pt idx="11">
                  <c:v>40240.298809813758</c:v>
                </c:pt>
                <c:pt idx="12">
                  <c:v>40040.333919272642</c:v>
                </c:pt>
                <c:pt idx="13">
                  <c:v>20780.149291095513</c:v>
                </c:pt>
                <c:pt idx="14">
                  <c:v>24374.028288570102</c:v>
                </c:pt>
                <c:pt idx="15">
                  <c:v>23697.752030373871</c:v>
                </c:pt>
                <c:pt idx="16">
                  <c:v>19411.07272267557</c:v>
                </c:pt>
                <c:pt idx="17">
                  <c:v>12795.22509714085</c:v>
                </c:pt>
                <c:pt idx="18">
                  <c:v>13030.929672043858</c:v>
                </c:pt>
                <c:pt idx="19">
                  <c:v>8757.2782748162135</c:v>
                </c:pt>
                <c:pt idx="20">
                  <c:v>6183.6180459384486</c:v>
                </c:pt>
                <c:pt idx="21">
                  <c:v>4067.8579176654166</c:v>
                </c:pt>
                <c:pt idx="22">
                  <c:v>1405.083008797752</c:v>
                </c:pt>
                <c:pt idx="23">
                  <c:v>244.01609565297258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67321.303304349829</c:v>
                </c:pt>
                <c:pt idx="1">
                  <c:v>64093.86616112318</c:v>
                </c:pt>
                <c:pt idx="2">
                  <c:v>61320.06976510783</c:v>
                </c:pt>
                <c:pt idx="3">
                  <c:v>58954.259269940841</c:v>
                </c:pt>
                <c:pt idx="4">
                  <c:v>57743.983256724299</c:v>
                </c:pt>
                <c:pt idx="5">
                  <c:v>58462.081609905697</c:v>
                </c:pt>
                <c:pt idx="6">
                  <c:v>59563.088825912993</c:v>
                </c:pt>
                <c:pt idx="7">
                  <c:v>65701.356506693279</c:v>
                </c:pt>
                <c:pt idx="8">
                  <c:v>77951.706457814755</c:v>
                </c:pt>
                <c:pt idx="9">
                  <c:v>85281.117782646994</c:v>
                </c:pt>
                <c:pt idx="10">
                  <c:v>90494.101926298943</c:v>
                </c:pt>
                <c:pt idx="11">
                  <c:v>92740.298809813758</c:v>
                </c:pt>
                <c:pt idx="12">
                  <c:v>92540.333919272642</c:v>
                </c:pt>
                <c:pt idx="13">
                  <c:v>95780.149291095513</c:v>
                </c:pt>
                <c:pt idx="14">
                  <c:v>99374.028288570102</c:v>
                </c:pt>
                <c:pt idx="15">
                  <c:v>98697.752030373871</c:v>
                </c:pt>
                <c:pt idx="16">
                  <c:v>94411.07272267557</c:v>
                </c:pt>
                <c:pt idx="17">
                  <c:v>87795.22509714085</c:v>
                </c:pt>
                <c:pt idx="18">
                  <c:v>88030.929672043858</c:v>
                </c:pt>
                <c:pt idx="19">
                  <c:v>83757.278274816214</c:v>
                </c:pt>
                <c:pt idx="20">
                  <c:v>81183.618045938449</c:v>
                </c:pt>
                <c:pt idx="21">
                  <c:v>79067.857917665417</c:v>
                </c:pt>
                <c:pt idx="22">
                  <c:v>76405.083008797752</c:v>
                </c:pt>
                <c:pt idx="23">
                  <c:v>72744.016095652973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821.30330434982898</c:v>
                </c:pt>
                <c:pt idx="1">
                  <c:v>31593.86616112318</c:v>
                </c:pt>
                <c:pt idx="2">
                  <c:v>38820.06976510783</c:v>
                </c:pt>
                <c:pt idx="3">
                  <c:v>36454.259269940841</c:v>
                </c:pt>
                <c:pt idx="4">
                  <c:v>25243.983256724299</c:v>
                </c:pt>
                <c:pt idx="5">
                  <c:v>25962.081609905697</c:v>
                </c:pt>
                <c:pt idx="6">
                  <c:v>27063.088825912993</c:v>
                </c:pt>
                <c:pt idx="7">
                  <c:v>33201.356506693279</c:v>
                </c:pt>
                <c:pt idx="8">
                  <c:v>35451.706457814755</c:v>
                </c:pt>
                <c:pt idx="9">
                  <c:v>42781.117782646994</c:v>
                </c:pt>
                <c:pt idx="10">
                  <c:v>37994.101926298943</c:v>
                </c:pt>
                <c:pt idx="11">
                  <c:v>40240.298809813758</c:v>
                </c:pt>
                <c:pt idx="12">
                  <c:v>40040.333919272642</c:v>
                </c:pt>
                <c:pt idx="13">
                  <c:v>20780.149291095513</c:v>
                </c:pt>
                <c:pt idx="14">
                  <c:v>24374.028288570102</c:v>
                </c:pt>
                <c:pt idx="15">
                  <c:v>23697.752030373871</c:v>
                </c:pt>
                <c:pt idx="16">
                  <c:v>19411.07272267557</c:v>
                </c:pt>
                <c:pt idx="17">
                  <c:v>12795.22509714085</c:v>
                </c:pt>
                <c:pt idx="18">
                  <c:v>13030.929672043858</c:v>
                </c:pt>
                <c:pt idx="19">
                  <c:v>8757.2782748162135</c:v>
                </c:pt>
                <c:pt idx="20">
                  <c:v>6183.6180459384486</c:v>
                </c:pt>
                <c:pt idx="21">
                  <c:v>4067.8579176654166</c:v>
                </c:pt>
                <c:pt idx="22">
                  <c:v>1405.083008797752</c:v>
                </c:pt>
                <c:pt idx="23">
                  <c:v>244.01609565297258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3.4180463775925927</c:v>
                </c:pt>
                <c:pt idx="1">
                  <c:v>3.1628628003703709</c:v>
                </c:pt>
                <c:pt idx="2">
                  <c:v>2.7573495538888886</c:v>
                </c:pt>
                <c:pt idx="3">
                  <c:v>2.7296710018518513</c:v>
                </c:pt>
                <c:pt idx="4">
                  <c:v>3.1715931044444443</c:v>
                </c:pt>
                <c:pt idx="5">
                  <c:v>3.3793836098148149</c:v>
                </c:pt>
                <c:pt idx="6">
                  <c:v>3.3736319642592587</c:v>
                </c:pt>
                <c:pt idx="7">
                  <c:v>3.1268883175925932</c:v>
                </c:pt>
                <c:pt idx="8">
                  <c:v>3.2227306583333331</c:v>
                </c:pt>
                <c:pt idx="9">
                  <c:v>3.2285652248333334</c:v>
                </c:pt>
                <c:pt idx="10">
                  <c:v>3.4463123538333336</c:v>
                </c:pt>
                <c:pt idx="11">
                  <c:v>3.3507212874999999</c:v>
                </c:pt>
                <c:pt idx="12">
                  <c:v>3.3440436085000003</c:v>
                </c:pt>
                <c:pt idx="13">
                  <c:v>3.7517299050303032</c:v>
                </c:pt>
                <c:pt idx="14">
                  <c:v>3.9843689048333331</c:v>
                </c:pt>
                <c:pt idx="15">
                  <c:v>3.9934035205000002</c:v>
                </c:pt>
                <c:pt idx="16">
                  <c:v>4.0973266582272725</c:v>
                </c:pt>
                <c:pt idx="17">
                  <c:v>5.7460511374999994</c:v>
                </c:pt>
                <c:pt idx="18">
                  <c:v>5.2604860086666658</c:v>
                </c:pt>
                <c:pt idx="19">
                  <c:v>4.1989660793333332</c:v>
                </c:pt>
                <c:pt idx="20">
                  <c:v>4.1586384865000001</c:v>
                </c:pt>
                <c:pt idx="21">
                  <c:v>3.6974940184999996</c:v>
                </c:pt>
                <c:pt idx="22">
                  <c:v>3.5592570600000002</c:v>
                </c:pt>
                <c:pt idx="23">
                  <c:v>3.5425540156666671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67321.303304349829</c:v>
                </c:pt>
                <c:pt idx="1">
                  <c:v>64093.86616112318</c:v>
                </c:pt>
                <c:pt idx="2">
                  <c:v>61320.06976510783</c:v>
                </c:pt>
                <c:pt idx="3">
                  <c:v>58954.259269940841</c:v>
                </c:pt>
                <c:pt idx="4">
                  <c:v>57743.983256724299</c:v>
                </c:pt>
                <c:pt idx="5">
                  <c:v>58462.081609905697</c:v>
                </c:pt>
                <c:pt idx="6">
                  <c:v>59563.088825912993</c:v>
                </c:pt>
                <c:pt idx="7">
                  <c:v>65701.356506693279</c:v>
                </c:pt>
                <c:pt idx="8">
                  <c:v>77951.706457814755</c:v>
                </c:pt>
                <c:pt idx="9">
                  <c:v>85281.117782646994</c:v>
                </c:pt>
                <c:pt idx="10">
                  <c:v>90494.101926298943</c:v>
                </c:pt>
                <c:pt idx="11">
                  <c:v>92740.298809813758</c:v>
                </c:pt>
                <c:pt idx="12">
                  <c:v>92540.333919272642</c:v>
                </c:pt>
                <c:pt idx="13">
                  <c:v>95780.149291095513</c:v>
                </c:pt>
                <c:pt idx="14">
                  <c:v>99374.028288570102</c:v>
                </c:pt>
                <c:pt idx="15">
                  <c:v>98697.752030373871</c:v>
                </c:pt>
                <c:pt idx="16">
                  <c:v>94411.07272267557</c:v>
                </c:pt>
                <c:pt idx="17">
                  <c:v>87795.22509714085</c:v>
                </c:pt>
                <c:pt idx="18">
                  <c:v>88030.929672043858</c:v>
                </c:pt>
                <c:pt idx="19">
                  <c:v>83757.278274816214</c:v>
                </c:pt>
                <c:pt idx="20">
                  <c:v>81183.618045938449</c:v>
                </c:pt>
                <c:pt idx="21">
                  <c:v>79067.857917665417</c:v>
                </c:pt>
                <c:pt idx="22">
                  <c:v>76405.083008797752</c:v>
                </c:pt>
                <c:pt idx="23">
                  <c:v>72744.016095652973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-66500</c:v>
                </c:pt>
                <c:pt idx="1">
                  <c:v>-32500</c:v>
                </c:pt>
                <c:pt idx="2">
                  <c:v>-22500</c:v>
                </c:pt>
                <c:pt idx="3">
                  <c:v>-22500</c:v>
                </c:pt>
                <c:pt idx="4">
                  <c:v>-32500</c:v>
                </c:pt>
                <c:pt idx="5">
                  <c:v>-32500</c:v>
                </c:pt>
                <c:pt idx="6">
                  <c:v>-32500</c:v>
                </c:pt>
                <c:pt idx="7">
                  <c:v>-32500</c:v>
                </c:pt>
                <c:pt idx="8">
                  <c:v>-42500</c:v>
                </c:pt>
                <c:pt idx="9">
                  <c:v>-42500</c:v>
                </c:pt>
                <c:pt idx="10">
                  <c:v>-52500</c:v>
                </c:pt>
                <c:pt idx="11">
                  <c:v>-52500</c:v>
                </c:pt>
                <c:pt idx="12">
                  <c:v>-52500</c:v>
                </c:pt>
                <c:pt idx="13">
                  <c:v>-75000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-75000</c:v>
                </c:pt>
                <c:pt idx="23">
                  <c:v>-72500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821.30330434982898</c:v>
                </c:pt>
                <c:pt idx="1">
                  <c:v>31593.86616112318</c:v>
                </c:pt>
                <c:pt idx="2">
                  <c:v>38820.06976510783</c:v>
                </c:pt>
                <c:pt idx="3">
                  <c:v>36454.259269940841</c:v>
                </c:pt>
                <c:pt idx="4">
                  <c:v>25243.983256724299</c:v>
                </c:pt>
                <c:pt idx="5">
                  <c:v>25962.081609905697</c:v>
                </c:pt>
                <c:pt idx="6">
                  <c:v>27063.088825912993</c:v>
                </c:pt>
                <c:pt idx="7">
                  <c:v>33201.356506693279</c:v>
                </c:pt>
                <c:pt idx="8">
                  <c:v>35451.706457814755</c:v>
                </c:pt>
                <c:pt idx="9">
                  <c:v>42781.117782646994</c:v>
                </c:pt>
                <c:pt idx="10">
                  <c:v>37994.101926298943</c:v>
                </c:pt>
                <c:pt idx="11">
                  <c:v>40240.298809813758</c:v>
                </c:pt>
                <c:pt idx="12">
                  <c:v>40040.333919272642</c:v>
                </c:pt>
                <c:pt idx="13">
                  <c:v>20780.149291095513</c:v>
                </c:pt>
                <c:pt idx="14">
                  <c:v>24374.028288570102</c:v>
                </c:pt>
                <c:pt idx="15">
                  <c:v>23697.752030373871</c:v>
                </c:pt>
                <c:pt idx="16">
                  <c:v>19411.07272267557</c:v>
                </c:pt>
                <c:pt idx="17">
                  <c:v>12795.22509714085</c:v>
                </c:pt>
                <c:pt idx="18">
                  <c:v>13030.929672043858</c:v>
                </c:pt>
                <c:pt idx="19">
                  <c:v>8757.2782748162135</c:v>
                </c:pt>
                <c:pt idx="20">
                  <c:v>6183.6180459384486</c:v>
                </c:pt>
                <c:pt idx="21">
                  <c:v>4067.8579176654166</c:v>
                </c:pt>
                <c:pt idx="22">
                  <c:v>1405.083008797752</c:v>
                </c:pt>
                <c:pt idx="23">
                  <c:v>244.01609565297258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3.4180463775925927</c:v>
                </c:pt>
                <c:pt idx="1">
                  <c:v>3.1628628003703709</c:v>
                </c:pt>
                <c:pt idx="2">
                  <c:v>2.7573495538888886</c:v>
                </c:pt>
                <c:pt idx="3">
                  <c:v>2.7296710018518513</c:v>
                </c:pt>
                <c:pt idx="4">
                  <c:v>3.1715931044444443</c:v>
                </c:pt>
                <c:pt idx="5">
                  <c:v>3.3793836098148149</c:v>
                </c:pt>
                <c:pt idx="6">
                  <c:v>3.3736319642592587</c:v>
                </c:pt>
                <c:pt idx="7">
                  <c:v>3.1268883175925932</c:v>
                </c:pt>
                <c:pt idx="8">
                  <c:v>3.2227306583333331</c:v>
                </c:pt>
                <c:pt idx="9">
                  <c:v>3.2285652248333334</c:v>
                </c:pt>
                <c:pt idx="10">
                  <c:v>3.4463123538333336</c:v>
                </c:pt>
                <c:pt idx="11">
                  <c:v>3.3507212874999999</c:v>
                </c:pt>
                <c:pt idx="12">
                  <c:v>3.3440436085000003</c:v>
                </c:pt>
                <c:pt idx="13">
                  <c:v>3.7517299050303032</c:v>
                </c:pt>
                <c:pt idx="14">
                  <c:v>3.9843689048333331</c:v>
                </c:pt>
                <c:pt idx="15">
                  <c:v>3.9934035205000002</c:v>
                </c:pt>
                <c:pt idx="16">
                  <c:v>4.0973266582272725</c:v>
                </c:pt>
                <c:pt idx="17">
                  <c:v>5.7460511374999994</c:v>
                </c:pt>
                <c:pt idx="18">
                  <c:v>5.2604860086666658</c:v>
                </c:pt>
                <c:pt idx="19">
                  <c:v>4.1989660793333332</c:v>
                </c:pt>
                <c:pt idx="20">
                  <c:v>4.1586384865000001</c:v>
                </c:pt>
                <c:pt idx="21">
                  <c:v>3.6974940184999996</c:v>
                </c:pt>
                <c:pt idx="22">
                  <c:v>3.5592570600000002</c:v>
                </c:pt>
                <c:pt idx="23">
                  <c:v>3.5425540156666671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4.1896816426159464</c:v>
                </c:pt>
                <c:pt idx="1">
                  <c:v>4.1817661293459958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4.1817661293459958</c:v>
                </c:pt>
                <c:pt idx="5">
                  <c:v>4.1817661293459958</c:v>
                </c:pt>
                <c:pt idx="6">
                  <c:v>4.1817661293459958</c:v>
                </c:pt>
                <c:pt idx="7">
                  <c:v>4.1817661293459958</c:v>
                </c:pt>
                <c:pt idx="8">
                  <c:v>4.6522682165587028</c:v>
                </c:pt>
                <c:pt idx="9">
                  <c:v>4.6522682165587028</c:v>
                </c:pt>
                <c:pt idx="10">
                  <c:v>4.4271156913382477</c:v>
                </c:pt>
                <c:pt idx="11">
                  <c:v>4.4271156913382477</c:v>
                </c:pt>
                <c:pt idx="12">
                  <c:v>4.4271156913382477</c:v>
                </c:pt>
                <c:pt idx="13">
                  <c:v>4.0868929733200376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4.0868929733200376</c:v>
                </c:pt>
                <c:pt idx="23">
                  <c:v>4.1146229794384066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5.1681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61" t="s">
        <v>1</v>
      </c>
      <c r="H1" s="161"/>
      <c r="I1" s="161"/>
      <c r="J1" s="161"/>
      <c r="K1" s="161"/>
    </row>
    <row r="2" spans="2:39" ht="10.35" customHeight="1" x14ac:dyDescent="0.3"/>
    <row r="3" spans="2:39" ht="22.5" customHeight="1" x14ac:dyDescent="0.3">
      <c r="B3" s="47" t="s">
        <v>2</v>
      </c>
      <c r="G3" s="162" t="s">
        <v>3</v>
      </c>
      <c r="H3" s="162"/>
      <c r="I3" s="162"/>
      <c r="J3" s="45" t="e">
        <f>AM46</f>
        <v>#REF!</v>
      </c>
      <c r="L3" s="162" t="s">
        <v>4</v>
      </c>
      <c r="M3" s="162"/>
      <c r="N3" s="162"/>
      <c r="O3" s="45" t="e">
        <f>AM47</f>
        <v>#REF!</v>
      </c>
      <c r="Q3" s="162" t="s">
        <v>5</v>
      </c>
      <c r="R3" s="162"/>
      <c r="S3" s="162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62" t="s">
        <v>3</v>
      </c>
      <c r="H5" s="162"/>
      <c r="I5" s="162"/>
      <c r="J5" s="45" t="e">
        <f>AM51</f>
        <v>#REF!</v>
      </c>
      <c r="L5" s="162" t="s">
        <v>4</v>
      </c>
      <c r="M5" s="162"/>
      <c r="N5" s="162"/>
      <c r="O5" s="45" t="e">
        <f>AM47</f>
        <v>#REF!</v>
      </c>
      <c r="Q5" s="162" t="s">
        <v>5</v>
      </c>
      <c r="R5" s="162"/>
      <c r="S5" s="162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43" t="s">
        <v>9</v>
      </c>
      <c r="C8" s="145" t="s">
        <v>10</v>
      </c>
      <c r="D8" s="146"/>
      <c r="E8" s="147"/>
      <c r="F8" s="143" t="s">
        <v>11</v>
      </c>
      <c r="G8" s="153" t="s">
        <v>12</v>
      </c>
      <c r="H8" s="153"/>
      <c r="I8" s="153" t="s">
        <v>13</v>
      </c>
      <c r="J8" s="153"/>
      <c r="K8" s="153" t="s">
        <v>14</v>
      </c>
      <c r="L8" s="153"/>
      <c r="M8" s="148" t="s">
        <v>15</v>
      </c>
      <c r="N8" s="148" t="s">
        <v>16</v>
      </c>
      <c r="O8" s="148" t="s">
        <v>17</v>
      </c>
      <c r="P8" s="145" t="s">
        <v>18</v>
      </c>
      <c r="Q8" s="146"/>
      <c r="R8" s="147"/>
      <c r="S8" s="150" t="s">
        <v>19</v>
      </c>
      <c r="T8" s="151"/>
      <c r="U8" s="152"/>
      <c r="V8" s="150" t="s">
        <v>20</v>
      </c>
      <c r="W8" s="151"/>
      <c r="X8" s="152"/>
      <c r="Y8" s="154" t="s">
        <v>21</v>
      </c>
      <c r="Z8" s="155"/>
      <c r="AA8" s="156"/>
      <c r="AB8" s="157" t="s">
        <v>22</v>
      </c>
      <c r="AC8" s="1"/>
      <c r="AE8" s="143" t="s">
        <v>12</v>
      </c>
      <c r="AF8" s="143" t="s">
        <v>23</v>
      </c>
      <c r="AG8" s="143" t="s">
        <v>14</v>
      </c>
      <c r="AH8" s="143" t="s">
        <v>15</v>
      </c>
      <c r="AI8" s="143" t="s">
        <v>16</v>
      </c>
      <c r="AJ8" s="143" t="s">
        <v>17</v>
      </c>
      <c r="AK8" s="157" t="s">
        <v>24</v>
      </c>
      <c r="AL8" s="157" t="s">
        <v>25</v>
      </c>
      <c r="AM8" s="159" t="s">
        <v>26</v>
      </c>
    </row>
    <row r="9" spans="2:39" s="12" customFormat="1" ht="17.850000000000001" customHeight="1" x14ac:dyDescent="0.3">
      <c r="B9" s="144"/>
      <c r="C9" s="13" t="s">
        <v>27</v>
      </c>
      <c r="D9" s="13" t="s">
        <v>28</v>
      </c>
      <c r="E9" s="13" t="s">
        <v>29</v>
      </c>
      <c r="F9" s="144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49"/>
      <c r="N9" s="149"/>
      <c r="O9" s="149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58"/>
      <c r="AC9" s="1"/>
      <c r="AE9" s="144" t="s">
        <v>30</v>
      </c>
      <c r="AF9" s="144" t="s">
        <v>13</v>
      </c>
      <c r="AG9" s="144" t="s">
        <v>14</v>
      </c>
      <c r="AH9" s="144" t="s">
        <v>15</v>
      </c>
      <c r="AI9" s="144" t="s">
        <v>16</v>
      </c>
      <c r="AJ9" s="144"/>
      <c r="AK9" s="158"/>
      <c r="AL9" s="158"/>
      <c r="AM9" s="160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G1:K1"/>
    <mergeCell ref="L3:N3"/>
    <mergeCell ref="Q3:S3"/>
    <mergeCell ref="G5:I5"/>
    <mergeCell ref="L5:N5"/>
    <mergeCell ref="Q5:S5"/>
    <mergeCell ref="G3:I3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45666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-73122.491304349824</v>
      </c>
      <c r="E11" s="65">
        <f>'7. EOD Report'!E11-'6. DAP Report'!E11</f>
        <v>-5801.1880000000001</v>
      </c>
      <c r="F11" s="65">
        <f>'7. EOD Report'!F11-'6. DAP Report'!F11</f>
        <v>-67321.303304349829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-67321.303304349829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-69735.585161123177</v>
      </c>
      <c r="E12" s="65">
        <f>'7. EOD Report'!E12-'6. DAP Report'!E12</f>
        <v>-5641.719000000001</v>
      </c>
      <c r="F12" s="65">
        <f>'7. EOD Report'!F12-'6. DAP Report'!F12</f>
        <v>-64093.86616112318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-64093.86616112318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-66861.164265107829</v>
      </c>
      <c r="E13" s="65">
        <f>'7. EOD Report'!E13-'6. DAP Report'!E13</f>
        <v>-5541.0945000000002</v>
      </c>
      <c r="F13" s="65">
        <f>'7. EOD Report'!F13-'6. DAP Report'!F13</f>
        <v>-61320.06976510783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-61320.06976510783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-64470.53926994084</v>
      </c>
      <c r="E14" s="65">
        <f>'7. EOD Report'!E14-'6. DAP Report'!E14</f>
        <v>-5516.2800000000007</v>
      </c>
      <c r="F14" s="65">
        <f>'7. EOD Report'!F14-'6. DAP Report'!F14</f>
        <v>-58954.259269940841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-58954.259269940841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-63240.984256724296</v>
      </c>
      <c r="E15" s="65">
        <f>'7. EOD Report'!E15-'6. DAP Report'!E15</f>
        <v>-5497.0010000000002</v>
      </c>
      <c r="F15" s="65">
        <f>'7. EOD Report'!F15-'6. DAP Report'!F15</f>
        <v>-57743.983256724299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-57743.983256724299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-64223.479609905698</v>
      </c>
      <c r="E16" s="65">
        <f>'7. EOD Report'!E16-'6. DAP Report'!E16</f>
        <v>-5761.3979999999992</v>
      </c>
      <c r="F16" s="65">
        <f>'7. EOD Report'!F16-'6. DAP Report'!F16</f>
        <v>-58462.081609905697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-58462.081609905697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-65666.472825912992</v>
      </c>
      <c r="E17" s="65">
        <f>'7. EOD Report'!E17-'6. DAP Report'!E17</f>
        <v>-6103.384</v>
      </c>
      <c r="F17" s="65">
        <f>'7. EOD Report'!F17-'6. DAP Report'!F17</f>
        <v>-59563.088825912993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-59563.088825912993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-72609.949506693272</v>
      </c>
      <c r="E18" s="65">
        <f>'7. EOD Report'!E18-'6. DAP Report'!E18</f>
        <v>-6908.5929999999998</v>
      </c>
      <c r="F18" s="65">
        <f>'7. EOD Report'!F18-'6. DAP Report'!F18</f>
        <v>-65701.356506693279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-65701.356506693279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-86373.134957814749</v>
      </c>
      <c r="E19" s="65">
        <f>'7. EOD Report'!E19-'6. DAP Report'!E19</f>
        <v>-8421.4285000000018</v>
      </c>
      <c r="F19" s="65">
        <f>'7. EOD Report'!F19-'6. DAP Report'!F19</f>
        <v>-77951.706457814755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-77951.706457814755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-100280.053282647</v>
      </c>
      <c r="E20" s="65">
        <f>'7. EOD Report'!E20-'6. DAP Report'!E20</f>
        <v>-14998.935500000001</v>
      </c>
      <c r="F20" s="65">
        <f>'7. EOD Report'!F20-'6. DAP Report'!F20</f>
        <v>-85281.117782646994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-85281.117782646994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-105464.12992629895</v>
      </c>
      <c r="E21" s="65">
        <f>'7. EOD Report'!E21-'6. DAP Report'!E21</f>
        <v>-14970.028</v>
      </c>
      <c r="F21" s="65">
        <f>'7. EOD Report'!F21-'6. DAP Report'!F21</f>
        <v>-90494.101926298943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-90494.101926298943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-107971.50580981375</v>
      </c>
      <c r="E22" s="65">
        <f>'7. EOD Report'!E22-'6. DAP Report'!E22</f>
        <v>-15231.207</v>
      </c>
      <c r="F22" s="65">
        <f>'7. EOD Report'!F22-'6. DAP Report'!F22</f>
        <v>-92740.298809813758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-92740.298809813758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-107975.80691927264</v>
      </c>
      <c r="E23" s="65">
        <f>'7. EOD Report'!E23-'6. DAP Report'!E23</f>
        <v>-15435.473000000002</v>
      </c>
      <c r="F23" s="65">
        <f>'7. EOD Report'!F23-'6. DAP Report'!F23</f>
        <v>-92540.333919272642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-92540.333919272642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-111714.21829109552</v>
      </c>
      <c r="E24" s="65">
        <f>'7. EOD Report'!E24-'6. DAP Report'!E24</f>
        <v>-15934.069</v>
      </c>
      <c r="F24" s="65">
        <f>'7. EOD Report'!F24-'6. DAP Report'!F24</f>
        <v>-95780.149291095513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-95780.149291095513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-115375.6737885701</v>
      </c>
      <c r="E25" s="65">
        <f>'7. EOD Report'!E25-'6. DAP Report'!E25</f>
        <v>-16001.645499999999</v>
      </c>
      <c r="F25" s="65">
        <f>'7. EOD Report'!F25-'6. DAP Report'!F25</f>
        <v>-99374.028288570102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-99374.028288570102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-115133.36603037387</v>
      </c>
      <c r="E26" s="65">
        <f>'7. EOD Report'!E26-'6. DAP Report'!E26</f>
        <v>-16435.614000000001</v>
      </c>
      <c r="F26" s="65">
        <f>'7. EOD Report'!F26-'6. DAP Report'!F26</f>
        <v>-98697.752030373871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-98697.752030373871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-111589.25522267557</v>
      </c>
      <c r="E27" s="65">
        <f>'7. EOD Report'!E27-'6. DAP Report'!E27</f>
        <v>-17178.182500000003</v>
      </c>
      <c r="F27" s="65">
        <f>'7. EOD Report'!F27-'6. DAP Report'!F27</f>
        <v>-94411.07272267557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-94411.07272267557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-104734.22809714085</v>
      </c>
      <c r="E28" s="65">
        <f>'7. EOD Report'!E28-'6. DAP Report'!E28</f>
        <v>-16939.003000000001</v>
      </c>
      <c r="F28" s="65">
        <f>'7. EOD Report'!F28-'6. DAP Report'!F28</f>
        <v>-87795.22509714085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-87795.22509714085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-104716.81217204386</v>
      </c>
      <c r="E29" s="65">
        <f>'7. EOD Report'!E29-'6. DAP Report'!E29</f>
        <v>-16685.8825</v>
      </c>
      <c r="F29" s="65">
        <f>'7. EOD Report'!F29-'6. DAP Report'!F29</f>
        <v>-88030.929672043858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-88030.929672043858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-98954.71477481621</v>
      </c>
      <c r="E30" s="65">
        <f>'7. EOD Report'!E30-'6. DAP Report'!E30</f>
        <v>-15197.436500000002</v>
      </c>
      <c r="F30" s="65">
        <f>'7. EOD Report'!F30-'6. DAP Report'!F30</f>
        <v>-83757.278274816214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-83757.278274816214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-94526.013045938453</v>
      </c>
      <c r="E31" s="65">
        <f>'7. EOD Report'!E31-'6. DAP Report'!E31</f>
        <v>-13342.395</v>
      </c>
      <c r="F31" s="65">
        <f>'7. EOD Report'!F31-'6. DAP Report'!F31</f>
        <v>-81183.618045938449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-81183.618045938449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-88784.748417665425</v>
      </c>
      <c r="E32" s="65">
        <f>'7. EOD Report'!E32-'6. DAP Report'!E32</f>
        <v>-9716.8905000000013</v>
      </c>
      <c r="F32" s="65">
        <f>'7. EOD Report'!F32-'6. DAP Report'!F32</f>
        <v>-79067.857917665417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-79067.857917665417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-82796.883008797755</v>
      </c>
      <c r="E33" s="65">
        <f>'7. EOD Report'!E33-'6. DAP Report'!E33</f>
        <v>-6391.7999999999993</v>
      </c>
      <c r="F33" s="65">
        <f>'7. EOD Report'!F33-'6. DAP Report'!F33</f>
        <v>-76405.083008797752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-76405.083008797752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-78592.213095652973</v>
      </c>
      <c r="E34" s="65">
        <f>'7. EOD Report'!E34-'6. DAP Report'!E34</f>
        <v>-5848.1970000000001</v>
      </c>
      <c r="F34" s="65">
        <f>'7. EOD Report'!F34-'6. DAP Report'!F34</f>
        <v>-72744.016095652973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-72744.016095652973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-2154913.4230403756</v>
      </c>
      <c r="E35" s="68">
        <f>SUM(E11:E34)</f>
        <v>-265498.84500000003</v>
      </c>
      <c r="F35" s="68">
        <f>SUM(F11:F34)</f>
        <v>-1889414.5780403754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-1889414.5780403754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45666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1.0123504256293208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1.9721189588037902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2.7253364340047925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2.6201893008862598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1.7767379463607478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1.7988332803047906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1.8327104254127076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2.0215802002059471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1.8341577990074061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2.006614536062282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1.7236971795485514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1.7664818820916905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1.7626730270337645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1.2770686572146068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1.3249870438476015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1.3159700270716517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1.2588143029690075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1.1706030012952113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1.1737457289605848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1.116763710330883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1.0824482406125127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1.0542381055688723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1.0187344401173033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1.0033657392503859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1.4110639119046866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topLeftCell="G1" zoomScale="55" zoomScaleNormal="50" workbookViewId="0">
      <selection activeCell="AJ13" sqref="AJ13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3">
        <v>45666</v>
      </c>
      <c r="D4" s="164"/>
      <c r="E4" s="165"/>
      <c r="J4" s="88"/>
      <c r="K4" s="89" t="s">
        <v>47</v>
      </c>
      <c r="L4" s="100" t="s">
        <v>105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3" t="s">
        <v>102</v>
      </c>
      <c r="D6" s="164"/>
      <c r="E6" s="165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68" t="s">
        <v>52</v>
      </c>
      <c r="C11" s="166" t="s">
        <v>53</v>
      </c>
      <c r="D11" s="167"/>
      <c r="E11" s="167"/>
      <c r="F11" s="167"/>
      <c r="G11" s="167"/>
      <c r="H11" s="169">
        <f>C4-7</f>
        <v>45659</v>
      </c>
      <c r="I11" s="169"/>
      <c r="J11" s="169"/>
      <c r="K11" s="169"/>
      <c r="L11" s="170"/>
      <c r="N11" s="171" t="s">
        <v>52</v>
      </c>
      <c r="O11" s="166" t="s">
        <v>54</v>
      </c>
      <c r="P11" s="167"/>
      <c r="Q11" s="167"/>
      <c r="R11" s="167"/>
      <c r="S11" s="167"/>
      <c r="T11" s="169">
        <f>C4-2</f>
        <v>45664</v>
      </c>
      <c r="U11" s="169"/>
      <c r="V11" s="169"/>
      <c r="W11" s="169"/>
      <c r="X11" s="170"/>
      <c r="Z11" s="171" t="s">
        <v>52</v>
      </c>
      <c r="AA11" s="166" t="s">
        <v>55</v>
      </c>
      <c r="AB11" s="167"/>
      <c r="AC11" s="167"/>
      <c r="AD11" s="167"/>
      <c r="AE11" s="167"/>
      <c r="AF11" s="169">
        <f>C4</f>
        <v>45666</v>
      </c>
      <c r="AG11" s="169"/>
      <c r="AH11" s="169"/>
      <c r="AI11" s="169"/>
      <c r="AJ11" s="170"/>
    </row>
    <row r="12" spans="2:36" ht="45" customHeight="1" x14ac:dyDescent="0.3">
      <c r="B12" s="168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71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71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3.387786792</v>
      </c>
      <c r="D13" s="101">
        <v>3.4620517749999999</v>
      </c>
      <c r="E13" s="101">
        <v>3.404631583</v>
      </c>
      <c r="F13" s="101">
        <v>3.388010258</v>
      </c>
      <c r="G13" s="101">
        <v>3.388010258</v>
      </c>
      <c r="H13" s="101">
        <v>3.3129255830000002</v>
      </c>
      <c r="I13" s="101">
        <v>3.3109378170000001</v>
      </c>
      <c r="J13" s="101">
        <v>3.3406316999999999</v>
      </c>
      <c r="K13" s="101">
        <v>3.3875923499999998</v>
      </c>
      <c r="L13" s="101"/>
      <c r="N13" s="14">
        <v>1</v>
      </c>
      <c r="O13" s="101">
        <v>3.0158730166666667</v>
      </c>
      <c r="P13" s="101">
        <v>3.0711221833333333</v>
      </c>
      <c r="Q13" s="101">
        <v>3.0352682416666661</v>
      </c>
      <c r="R13" s="101">
        <v>3.0160008916666667</v>
      </c>
      <c r="S13" s="101">
        <v>3.0160008916666667</v>
      </c>
      <c r="T13" s="101">
        <v>2.9971961416666666</v>
      </c>
      <c r="U13" s="101">
        <v>2.9950981083333335</v>
      </c>
      <c r="V13" s="101">
        <v>3.1274190833333328</v>
      </c>
      <c r="W13" s="101">
        <v>3.0155712249999995</v>
      </c>
      <c r="X13" s="101"/>
      <c r="Z13" s="14">
        <v>1</v>
      </c>
      <c r="AA13" s="101">
        <v>3.5799699999999999</v>
      </c>
      <c r="AB13" s="101">
        <v>3.64303</v>
      </c>
      <c r="AC13" s="101">
        <v>3.5969799999999998</v>
      </c>
      <c r="AD13" s="101">
        <v>3.58033</v>
      </c>
      <c r="AE13" s="101">
        <v>3.58033</v>
      </c>
      <c r="AF13" s="101">
        <v>3.5364</v>
      </c>
      <c r="AG13" s="101">
        <v>3.5399400000000001</v>
      </c>
      <c r="AH13" s="101">
        <v>3.6855500000000001</v>
      </c>
      <c r="AI13" s="101">
        <v>3.5799699999999999</v>
      </c>
      <c r="AJ13" s="101"/>
    </row>
    <row r="14" spans="2:36" ht="24" customHeight="1" x14ac:dyDescent="0.3">
      <c r="B14" s="51">
        <v>2</v>
      </c>
      <c r="C14" s="101">
        <v>2.8277555419999998</v>
      </c>
      <c r="D14" s="101">
        <v>2.883106508</v>
      </c>
      <c r="E14" s="101">
        <v>2.842382417</v>
      </c>
      <c r="F14" s="101">
        <v>2.8279818329999999</v>
      </c>
      <c r="G14" s="101">
        <v>2.8279818329999999</v>
      </c>
      <c r="H14" s="101">
        <v>2.7776819580000001</v>
      </c>
      <c r="I14" s="101">
        <v>2.776015358</v>
      </c>
      <c r="J14" s="101">
        <v>2.7815644920000002</v>
      </c>
      <c r="K14" s="101">
        <v>2.8275888249999999</v>
      </c>
      <c r="L14" s="101"/>
      <c r="N14" s="14">
        <v>2</v>
      </c>
      <c r="O14" s="101">
        <v>2.7824056833333328</v>
      </c>
      <c r="P14" s="101">
        <v>2.7980572749999997</v>
      </c>
      <c r="Q14" s="101">
        <v>2.7967730666666668</v>
      </c>
      <c r="R14" s="101">
        <v>2.7825693583333337</v>
      </c>
      <c r="S14" s="101">
        <v>2.7825693583333337</v>
      </c>
      <c r="T14" s="101">
        <v>2.7636135833333331</v>
      </c>
      <c r="U14" s="101">
        <v>2.761679075</v>
      </c>
      <c r="V14" s="101">
        <v>2.8653128833333334</v>
      </c>
      <c r="W14" s="101">
        <v>2.7822698249999998</v>
      </c>
      <c r="X14" s="101"/>
      <c r="Z14" s="14">
        <v>2</v>
      </c>
      <c r="AA14" s="101">
        <v>3.3266199999999997</v>
      </c>
      <c r="AB14" s="101">
        <v>3.3832100000000001</v>
      </c>
      <c r="AC14" s="101">
        <v>3.3431700000000002</v>
      </c>
      <c r="AD14" s="101">
        <v>3.3266199999999997</v>
      </c>
      <c r="AE14" s="101">
        <v>3.3266199999999997</v>
      </c>
      <c r="AF14" s="101">
        <v>3.30511</v>
      </c>
      <c r="AG14" s="101">
        <v>3.3067600000000001</v>
      </c>
      <c r="AH14" s="101">
        <v>3.4656100000000003</v>
      </c>
      <c r="AI14" s="101">
        <v>3.3266199999999997</v>
      </c>
      <c r="AJ14" s="101"/>
    </row>
    <row r="15" spans="2:36" ht="24" customHeight="1" x14ac:dyDescent="0.3">
      <c r="B15" s="51">
        <v>3</v>
      </c>
      <c r="C15" s="101">
        <v>2.7543974250000001</v>
      </c>
      <c r="D15" s="101">
        <v>2.8065503829999998</v>
      </c>
      <c r="E15" s="101">
        <v>2.7694698080000002</v>
      </c>
      <c r="F15" s="101">
        <v>2.7545287169999999</v>
      </c>
      <c r="G15" s="101">
        <v>2.7545287169999999</v>
      </c>
      <c r="H15" s="101">
        <v>2.7121717329999999</v>
      </c>
      <c r="I15" s="101">
        <v>2.710568683</v>
      </c>
      <c r="J15" s="101">
        <v>2.6849720330000002</v>
      </c>
      <c r="K15" s="101">
        <v>2.754213</v>
      </c>
      <c r="L15" s="101"/>
      <c r="N15" s="14">
        <v>3</v>
      </c>
      <c r="O15" s="101">
        <v>2.3674925749999995</v>
      </c>
      <c r="P15" s="101">
        <v>2.3837148500000001</v>
      </c>
      <c r="Q15" s="101">
        <v>2.3800117333333333</v>
      </c>
      <c r="R15" s="101">
        <v>2.3676011166666666</v>
      </c>
      <c r="S15" s="101">
        <v>2.3676011166666666</v>
      </c>
      <c r="T15" s="101">
        <v>2.3546867416666668</v>
      </c>
      <c r="U15" s="101">
        <v>2.3530609666666673</v>
      </c>
      <c r="V15" s="101">
        <v>2.4444804833333333</v>
      </c>
      <c r="W15" s="101">
        <v>2.3673656416666669</v>
      </c>
      <c r="X15" s="101"/>
      <c r="Z15" s="14">
        <v>3</v>
      </c>
      <c r="AA15" s="101">
        <v>2.72892</v>
      </c>
      <c r="AB15" s="101">
        <v>2.7749999999999999</v>
      </c>
      <c r="AC15" s="101">
        <v>2.7428300000000001</v>
      </c>
      <c r="AD15" s="101">
        <v>2.72892</v>
      </c>
      <c r="AE15" s="101">
        <v>2.72892</v>
      </c>
      <c r="AF15" s="101">
        <v>2.7267399999999999</v>
      </c>
      <c r="AG15" s="101">
        <v>2.7240199999999999</v>
      </c>
      <c r="AH15" s="101">
        <v>2.8810500000000001</v>
      </c>
      <c r="AI15" s="101">
        <v>2.72892</v>
      </c>
      <c r="AJ15" s="101"/>
    </row>
    <row r="16" spans="2:36" ht="24" customHeight="1" x14ac:dyDescent="0.3">
      <c r="B16" s="51">
        <v>4</v>
      </c>
      <c r="C16" s="101">
        <v>2.8966346999999999</v>
      </c>
      <c r="D16" s="101">
        <v>2.9562903999999999</v>
      </c>
      <c r="E16" s="101">
        <v>2.91317805</v>
      </c>
      <c r="F16" s="101">
        <v>2.8968006829999999</v>
      </c>
      <c r="G16" s="101">
        <v>2.8968006829999999</v>
      </c>
      <c r="H16" s="101">
        <v>2.864985425</v>
      </c>
      <c r="I16" s="101">
        <v>2.863552925</v>
      </c>
      <c r="J16" s="101">
        <v>2.852999558</v>
      </c>
      <c r="K16" s="101">
        <v>2.8965141829999999</v>
      </c>
      <c r="L16" s="101"/>
      <c r="N16" s="14">
        <v>4</v>
      </c>
      <c r="O16" s="101">
        <v>2.4640903416666666</v>
      </c>
      <c r="P16" s="101">
        <v>2.4688018416666666</v>
      </c>
      <c r="Q16" s="101">
        <v>2.4772605749999999</v>
      </c>
      <c r="R16" s="101">
        <v>2.4642132083333332</v>
      </c>
      <c r="S16" s="101">
        <v>2.4642132083333332</v>
      </c>
      <c r="T16" s="101">
        <v>2.4579040500000007</v>
      </c>
      <c r="U16" s="101">
        <v>2.4563882999999995</v>
      </c>
      <c r="V16" s="101">
        <v>2.5393860583333336</v>
      </c>
      <c r="W16" s="101">
        <v>2.4639674166666667</v>
      </c>
      <c r="X16" s="101"/>
      <c r="Z16" s="14">
        <v>4</v>
      </c>
      <c r="AA16" s="101">
        <v>2.72587</v>
      </c>
      <c r="AB16" s="101">
        <v>2.7729899999999996</v>
      </c>
      <c r="AC16" s="101">
        <v>2.73949</v>
      </c>
      <c r="AD16" s="101">
        <v>2.72587</v>
      </c>
      <c r="AE16" s="101">
        <v>2.72587</v>
      </c>
      <c r="AF16" s="101">
        <v>2.72478</v>
      </c>
      <c r="AG16" s="101">
        <v>2.7217800000000003</v>
      </c>
      <c r="AH16" s="101">
        <v>2.8906700000000001</v>
      </c>
      <c r="AI16" s="101">
        <v>2.7256</v>
      </c>
      <c r="AJ16" s="101"/>
    </row>
    <row r="17" spans="2:36" ht="24" customHeight="1" x14ac:dyDescent="0.3">
      <c r="B17" s="51">
        <v>5</v>
      </c>
      <c r="C17" s="101">
        <v>2.959873092</v>
      </c>
      <c r="D17" s="101">
        <v>3.0268865250000001</v>
      </c>
      <c r="E17" s="101">
        <v>2.9770065830000001</v>
      </c>
      <c r="F17" s="101">
        <v>2.9599983170000002</v>
      </c>
      <c r="G17" s="101">
        <v>2.9599983170000002</v>
      </c>
      <c r="H17" s="101">
        <v>2.9284540419999998</v>
      </c>
      <c r="I17" s="101">
        <v>2.9269898250000002</v>
      </c>
      <c r="J17" s="101">
        <v>2.9605607919999999</v>
      </c>
      <c r="K17" s="101">
        <v>2.9596302919999999</v>
      </c>
      <c r="L17" s="101"/>
      <c r="N17" s="14">
        <v>5</v>
      </c>
      <c r="O17" s="101">
        <v>2.8027008916666669</v>
      </c>
      <c r="P17" s="101">
        <v>2.8206206499999995</v>
      </c>
      <c r="Q17" s="101">
        <v>2.8176668083333336</v>
      </c>
      <c r="R17" s="101">
        <v>2.8027948249999994</v>
      </c>
      <c r="S17" s="101">
        <v>2.8027948249999994</v>
      </c>
      <c r="T17" s="101">
        <v>2.7803584166666666</v>
      </c>
      <c r="U17" s="101">
        <v>2.7786902083333334</v>
      </c>
      <c r="V17" s="101">
        <v>2.8634295999999999</v>
      </c>
      <c r="W17" s="101">
        <v>2.8025399000000002</v>
      </c>
      <c r="X17" s="101"/>
      <c r="Z17" s="14">
        <v>5</v>
      </c>
      <c r="AA17" s="101">
        <v>3.3047600000000004</v>
      </c>
      <c r="AB17" s="101">
        <v>3.3653299999999997</v>
      </c>
      <c r="AC17" s="101">
        <v>3.3215500000000002</v>
      </c>
      <c r="AD17" s="101">
        <v>3.3047600000000004</v>
      </c>
      <c r="AE17" s="101">
        <v>3.3047600000000004</v>
      </c>
      <c r="AF17" s="101">
        <v>3.2952199999999996</v>
      </c>
      <c r="AG17" s="101">
        <v>3.2892899999999998</v>
      </c>
      <c r="AH17" s="101">
        <v>3.47858</v>
      </c>
      <c r="AI17" s="101">
        <v>3.30443</v>
      </c>
      <c r="AJ17" s="101"/>
    </row>
    <row r="18" spans="2:36" ht="24" customHeight="1" x14ac:dyDescent="0.3">
      <c r="B18" s="51">
        <v>6</v>
      </c>
      <c r="C18" s="101">
        <v>3.1689178079999998</v>
      </c>
      <c r="D18" s="101">
        <v>3.2455857250000002</v>
      </c>
      <c r="E18" s="101">
        <v>3.1869619920000001</v>
      </c>
      <c r="F18" s="101">
        <v>3.1690727920000001</v>
      </c>
      <c r="G18" s="101">
        <v>3.1690727920000001</v>
      </c>
      <c r="H18" s="101">
        <v>3.1203018079999998</v>
      </c>
      <c r="I18" s="101">
        <v>3.1185302749999999</v>
      </c>
      <c r="J18" s="101">
        <v>3.189566417</v>
      </c>
      <c r="K18" s="101">
        <v>3.168680658</v>
      </c>
      <c r="L18" s="101"/>
      <c r="N18" s="14">
        <v>6</v>
      </c>
      <c r="O18" s="101">
        <v>2.9249878833333334</v>
      </c>
      <c r="P18" s="101">
        <v>2.9601917666666666</v>
      </c>
      <c r="Q18" s="101">
        <v>2.9401664333333333</v>
      </c>
      <c r="R18" s="101">
        <v>2.9251636249999997</v>
      </c>
      <c r="S18" s="101">
        <v>2.9251636249999997</v>
      </c>
      <c r="T18" s="101">
        <v>2.8813696333333336</v>
      </c>
      <c r="U18" s="101">
        <v>2.8793888333333331</v>
      </c>
      <c r="V18" s="101">
        <v>2.9789400416666663</v>
      </c>
      <c r="W18" s="101">
        <v>2.924875491666667</v>
      </c>
      <c r="X18" s="101"/>
      <c r="Z18" s="14">
        <v>6</v>
      </c>
      <c r="AA18" s="101">
        <v>3.4685300000000003</v>
      </c>
      <c r="AB18" s="101">
        <v>3.53925</v>
      </c>
      <c r="AC18" s="101">
        <v>3.48604</v>
      </c>
      <c r="AD18" s="101">
        <v>3.4685300000000003</v>
      </c>
      <c r="AE18" s="101">
        <v>3.4685300000000003</v>
      </c>
      <c r="AF18" s="101">
        <v>3.4259599999999999</v>
      </c>
      <c r="AG18" s="101">
        <v>3.4304200000000002</v>
      </c>
      <c r="AH18" s="101">
        <v>3.5935000000000001</v>
      </c>
      <c r="AI18" s="101">
        <v>3.4685300000000003</v>
      </c>
      <c r="AJ18" s="101"/>
    </row>
    <row r="19" spans="2:36" ht="24" customHeight="1" x14ac:dyDescent="0.3">
      <c r="B19" s="51">
        <v>7</v>
      </c>
      <c r="C19" s="101">
        <v>3.1775052750000001</v>
      </c>
      <c r="D19" s="101">
        <v>3.2526901669999999</v>
      </c>
      <c r="E19" s="101">
        <v>3.1951382499999998</v>
      </c>
      <c r="F19" s="101">
        <v>3.1776103419999999</v>
      </c>
      <c r="G19" s="101">
        <v>3.1776103419999999</v>
      </c>
      <c r="H19" s="101">
        <v>3.1391830829999998</v>
      </c>
      <c r="I19" s="101">
        <v>3.1372995669999999</v>
      </c>
      <c r="J19" s="101">
        <v>3.2382512920000002</v>
      </c>
      <c r="K19" s="101">
        <v>3.177270558</v>
      </c>
      <c r="L19" s="101"/>
      <c r="N19" s="14">
        <v>7</v>
      </c>
      <c r="O19" s="101">
        <v>3.5824503916666672</v>
      </c>
      <c r="P19" s="101">
        <v>3.6319730749999999</v>
      </c>
      <c r="Q19" s="101">
        <v>3.6032236499999999</v>
      </c>
      <c r="R19" s="101">
        <v>3.5827236666666673</v>
      </c>
      <c r="S19" s="101">
        <v>3.5827236666666673</v>
      </c>
      <c r="T19" s="101">
        <v>3.5649855499999998</v>
      </c>
      <c r="U19" s="101">
        <v>3.5625106166666671</v>
      </c>
      <c r="V19" s="101">
        <v>3.7133597999999997</v>
      </c>
      <c r="W19" s="101">
        <v>3.5822328083333326</v>
      </c>
      <c r="X19" s="101"/>
      <c r="Z19" s="14">
        <v>7</v>
      </c>
      <c r="AA19" s="101">
        <v>3.4070399999999998</v>
      </c>
      <c r="AB19" s="101">
        <v>3.4625599999999999</v>
      </c>
      <c r="AC19" s="101">
        <v>3.4237299999999999</v>
      </c>
      <c r="AD19" s="101">
        <v>3.4073800000000003</v>
      </c>
      <c r="AE19" s="101">
        <v>3.4073800000000003</v>
      </c>
      <c r="AF19" s="101">
        <v>3.4019299999999997</v>
      </c>
      <c r="AG19" s="101">
        <v>3.4039699999999997</v>
      </c>
      <c r="AH19" s="101">
        <v>3.6080100000000002</v>
      </c>
      <c r="AI19" s="101">
        <v>3.4070399999999998</v>
      </c>
      <c r="AJ19" s="101"/>
    </row>
    <row r="20" spans="2:36" ht="24" customHeight="1" x14ac:dyDescent="0.3">
      <c r="B20" s="51">
        <v>8</v>
      </c>
      <c r="C20" s="101">
        <v>2.7481942500000001</v>
      </c>
      <c r="D20" s="101">
        <v>2.8139521080000001</v>
      </c>
      <c r="E20" s="101">
        <v>2.7629874079999999</v>
      </c>
      <c r="F20" s="101">
        <v>2.7483420170000001</v>
      </c>
      <c r="G20" s="101">
        <v>2.7483420170000001</v>
      </c>
      <c r="H20" s="101">
        <v>2.7165726750000001</v>
      </c>
      <c r="I20" s="101">
        <v>2.714942733</v>
      </c>
      <c r="J20" s="101">
        <v>2.783663867</v>
      </c>
      <c r="K20" s="101">
        <v>2.7479589500000001</v>
      </c>
      <c r="L20" s="101"/>
      <c r="N20" s="14">
        <v>8</v>
      </c>
      <c r="O20" s="101">
        <v>2.4583958166666662</v>
      </c>
      <c r="P20" s="101">
        <v>2.4936239833333333</v>
      </c>
      <c r="Q20" s="101">
        <v>2.4715285583333331</v>
      </c>
      <c r="R20" s="101">
        <v>2.4584923416666666</v>
      </c>
      <c r="S20" s="101">
        <v>2.4584923416666666</v>
      </c>
      <c r="T20" s="101">
        <v>2.4395822750000002</v>
      </c>
      <c r="U20" s="101">
        <v>2.4380878333333333</v>
      </c>
      <c r="V20" s="101">
        <v>2.492731041666667</v>
      </c>
      <c r="W20" s="101">
        <v>2.4582007416666665</v>
      </c>
      <c r="X20" s="101"/>
      <c r="Z20" s="14">
        <v>8</v>
      </c>
      <c r="AA20" s="101">
        <v>3.3272900000000001</v>
      </c>
      <c r="AB20" s="101">
        <v>3.3848200000000004</v>
      </c>
      <c r="AC20" s="101">
        <v>3.3415900000000001</v>
      </c>
      <c r="AD20" s="101">
        <v>3.3272900000000001</v>
      </c>
      <c r="AE20" s="101">
        <v>3.3272900000000001</v>
      </c>
      <c r="AF20" s="101">
        <v>3.3259600000000002</v>
      </c>
      <c r="AG20" s="101">
        <v>3.3226399999999998</v>
      </c>
      <c r="AH20" s="101">
        <v>3.4952199999999998</v>
      </c>
      <c r="AI20" s="101">
        <v>3.3272900000000001</v>
      </c>
      <c r="AJ20" s="101"/>
    </row>
    <row r="21" spans="2:36" ht="24" customHeight="1" x14ac:dyDescent="0.3">
      <c r="B21" s="51">
        <v>9</v>
      </c>
      <c r="C21" s="101">
        <v>3.603723633</v>
      </c>
      <c r="D21" s="101">
        <v>3.6968094919999999</v>
      </c>
      <c r="E21" s="101">
        <v>3.6208837169999999</v>
      </c>
      <c r="F21" s="101">
        <v>3.6039910580000001</v>
      </c>
      <c r="G21" s="101">
        <v>3.6039910580000001</v>
      </c>
      <c r="H21" s="101">
        <v>3.5382277499999999</v>
      </c>
      <c r="I21" s="101">
        <v>3.5361048080000002</v>
      </c>
      <c r="J21" s="101">
        <v>3.5610963419999999</v>
      </c>
      <c r="K21" s="101">
        <v>3.6034886419999999</v>
      </c>
      <c r="L21" s="101"/>
      <c r="N21" s="14">
        <v>9</v>
      </c>
      <c r="O21" s="101">
        <v>2.7623324916666667</v>
      </c>
      <c r="P21" s="101">
        <v>2.8148676583333341</v>
      </c>
      <c r="Q21" s="101">
        <v>2.7745922999999988</v>
      </c>
      <c r="R21" s="101">
        <v>2.762433983333334</v>
      </c>
      <c r="S21" s="101">
        <v>2.762433983333334</v>
      </c>
      <c r="T21" s="101">
        <v>2.6840181166666661</v>
      </c>
      <c r="U21" s="101">
        <v>2.6938215083333339</v>
      </c>
      <c r="V21" s="101">
        <v>2.5935781250000005</v>
      </c>
      <c r="W21" s="101">
        <v>2.7621644166666659</v>
      </c>
      <c r="X21" s="101"/>
      <c r="Z21" s="14">
        <v>9</v>
      </c>
      <c r="AA21" s="101">
        <v>3.6158000000000001</v>
      </c>
      <c r="AB21" s="101">
        <v>3.6721399999999997</v>
      </c>
      <c r="AC21" s="101">
        <v>3.6271399999999998</v>
      </c>
      <c r="AD21" s="101">
        <v>3.6158000000000001</v>
      </c>
      <c r="AE21" s="101">
        <v>3.6158000000000001</v>
      </c>
      <c r="AF21" s="101">
        <v>3.5800100000000001</v>
      </c>
      <c r="AG21" s="101">
        <v>3.5410300000000001</v>
      </c>
      <c r="AH21" s="101">
        <v>3.5952500000000001</v>
      </c>
      <c r="AI21" s="101">
        <v>3.6154499999999996</v>
      </c>
      <c r="AJ21" s="101"/>
    </row>
    <row r="22" spans="2:36" ht="24" customHeight="1" x14ac:dyDescent="0.3">
      <c r="B22" s="51">
        <v>10</v>
      </c>
      <c r="C22" s="101">
        <v>3.30799135</v>
      </c>
      <c r="D22" s="101">
        <v>3.40055475</v>
      </c>
      <c r="E22" s="101">
        <v>3.3247319750000002</v>
      </c>
      <c r="F22" s="101">
        <v>3.308286592</v>
      </c>
      <c r="G22" s="101">
        <v>3.308286592</v>
      </c>
      <c r="H22" s="101">
        <v>3.2148390670000002</v>
      </c>
      <c r="I22" s="101">
        <v>3.2128801419999999</v>
      </c>
      <c r="J22" s="101">
        <v>3.1912592499999999</v>
      </c>
      <c r="K22" s="101">
        <v>3.30767195</v>
      </c>
      <c r="L22" s="101"/>
      <c r="N22" s="14">
        <v>10</v>
      </c>
      <c r="O22" s="101">
        <v>2.785445975</v>
      </c>
      <c r="P22" s="101">
        <v>2.8149910833333327</v>
      </c>
      <c r="Q22" s="101">
        <v>2.7947849166666661</v>
      </c>
      <c r="R22" s="101">
        <v>2.7855954166666668</v>
      </c>
      <c r="S22" s="101">
        <v>2.7855954166666668</v>
      </c>
      <c r="T22" s="101">
        <v>2.3508060333333338</v>
      </c>
      <c r="U22" s="101">
        <v>2.6884974083333333</v>
      </c>
      <c r="V22" s="101">
        <v>2.5199645333333334</v>
      </c>
      <c r="W22" s="101">
        <v>2.7853263833333335</v>
      </c>
      <c r="X22" s="101"/>
      <c r="Z22" s="14">
        <v>10</v>
      </c>
      <c r="AA22" s="101">
        <v>3.6029</v>
      </c>
      <c r="AB22" s="101">
        <v>3.6783099999999997</v>
      </c>
      <c r="AC22" s="101">
        <v>3.6344400000000001</v>
      </c>
      <c r="AD22" s="101">
        <v>3.6032600000000001</v>
      </c>
      <c r="AE22" s="101">
        <v>3.6032600000000001</v>
      </c>
      <c r="AF22" s="101">
        <v>3.6692399999999998</v>
      </c>
      <c r="AG22" s="101">
        <v>3.6228400000000001</v>
      </c>
      <c r="AH22" s="101">
        <v>3.7065799999999998</v>
      </c>
      <c r="AI22" s="101">
        <v>3.6021700000000001</v>
      </c>
      <c r="AJ22" s="101"/>
    </row>
    <row r="23" spans="2:36" ht="24" customHeight="1" x14ac:dyDescent="0.3">
      <c r="B23" s="51">
        <v>11</v>
      </c>
      <c r="C23" s="101">
        <v>3.4502254250000002</v>
      </c>
      <c r="D23" s="101">
        <v>3.5541706249999998</v>
      </c>
      <c r="E23" s="101">
        <v>3.4720419499999999</v>
      </c>
      <c r="F23" s="101">
        <v>3.4505918750000002</v>
      </c>
      <c r="G23" s="101">
        <v>3.4505918750000002</v>
      </c>
      <c r="H23" s="101">
        <v>3.3460570920000001</v>
      </c>
      <c r="I23" s="101">
        <v>3.3553855499999998</v>
      </c>
      <c r="J23" s="101">
        <v>3.2829380420000001</v>
      </c>
      <c r="K23" s="101">
        <v>3.4498599749999999</v>
      </c>
      <c r="L23" s="101"/>
      <c r="N23" s="14">
        <v>11</v>
      </c>
      <c r="O23" s="101">
        <v>3.1515061666666657</v>
      </c>
      <c r="P23" s="101">
        <v>3.1751663333333342</v>
      </c>
      <c r="Q23" s="101">
        <v>3.1611043833333334</v>
      </c>
      <c r="R23" s="101">
        <v>3.1517010000000005</v>
      </c>
      <c r="S23" s="101">
        <v>3.1517010000000005</v>
      </c>
      <c r="T23" s="101">
        <v>3.0259421583333332</v>
      </c>
      <c r="U23" s="101">
        <v>3.0381631749999998</v>
      </c>
      <c r="V23" s="101">
        <v>2.9063634833333341</v>
      </c>
      <c r="W23" s="101">
        <v>3.1513969916666666</v>
      </c>
      <c r="X23" s="101"/>
      <c r="Z23" s="14">
        <v>11</v>
      </c>
      <c r="AA23" s="101">
        <v>3.71923</v>
      </c>
      <c r="AB23" s="101">
        <v>3.7739499999999997</v>
      </c>
      <c r="AC23" s="101">
        <v>3.7282899999999999</v>
      </c>
      <c r="AD23" s="101">
        <v>3.7195900000000002</v>
      </c>
      <c r="AE23" s="101">
        <v>3.7195900000000002</v>
      </c>
      <c r="AF23" s="101">
        <v>3.6699499999999996</v>
      </c>
      <c r="AG23" s="101">
        <v>3.6213899999999999</v>
      </c>
      <c r="AH23" s="101">
        <v>3.63951</v>
      </c>
      <c r="AI23" s="101">
        <v>3.71923</v>
      </c>
      <c r="AJ23" s="101"/>
    </row>
    <row r="24" spans="2:36" ht="24" customHeight="1" x14ac:dyDescent="0.3">
      <c r="B24" s="51">
        <v>12</v>
      </c>
      <c r="C24" s="101">
        <v>3.6871194420000002</v>
      </c>
      <c r="D24" s="101">
        <v>3.8063648080000001</v>
      </c>
      <c r="E24" s="101">
        <v>3.710653008</v>
      </c>
      <c r="F24" s="101">
        <v>3.6874468249999999</v>
      </c>
      <c r="G24" s="101">
        <v>3.6874468249999999</v>
      </c>
      <c r="H24" s="101">
        <v>3.5705767329999998</v>
      </c>
      <c r="I24" s="101">
        <v>3.5835542669999998</v>
      </c>
      <c r="J24" s="101">
        <v>3.5079322500000001</v>
      </c>
      <c r="K24" s="101">
        <v>3.6867307500000002</v>
      </c>
      <c r="L24" s="101"/>
      <c r="N24" s="14">
        <v>12</v>
      </c>
      <c r="O24" s="101">
        <v>2.9519697750000002</v>
      </c>
      <c r="P24" s="101">
        <v>2.9818728166666664</v>
      </c>
      <c r="Q24" s="101">
        <v>2.9606905499999998</v>
      </c>
      <c r="R24" s="101">
        <v>2.9521584500000002</v>
      </c>
      <c r="S24" s="101">
        <v>2.9521584500000002</v>
      </c>
      <c r="T24" s="101">
        <v>2.8017641583333335</v>
      </c>
      <c r="U24" s="101">
        <v>2.8358668416666664</v>
      </c>
      <c r="V24" s="101">
        <v>2.6712149416666664</v>
      </c>
      <c r="W24" s="101">
        <v>2.9519259500000006</v>
      </c>
      <c r="X24" s="101"/>
      <c r="Z24" s="14">
        <v>12</v>
      </c>
      <c r="AA24" s="101">
        <v>3.53756</v>
      </c>
      <c r="AB24" s="101">
        <v>3.58426</v>
      </c>
      <c r="AC24" s="101">
        <v>3.5468999999999999</v>
      </c>
      <c r="AD24" s="101">
        <v>3.5379099999999997</v>
      </c>
      <c r="AE24" s="101">
        <v>3.5379099999999997</v>
      </c>
      <c r="AF24" s="101">
        <v>3.5085000000000002</v>
      </c>
      <c r="AG24" s="101">
        <v>3.45696</v>
      </c>
      <c r="AH24" s="101">
        <v>3.5088499999999998</v>
      </c>
      <c r="AI24" s="101">
        <v>3.53756</v>
      </c>
      <c r="AJ24" s="101"/>
    </row>
    <row r="25" spans="2:36" ht="24" customHeight="1" x14ac:dyDescent="0.3">
      <c r="B25" s="51">
        <v>13</v>
      </c>
      <c r="C25" s="101">
        <v>3.6401479920000002</v>
      </c>
      <c r="D25" s="101">
        <v>3.7554349500000002</v>
      </c>
      <c r="E25" s="101">
        <v>3.659723783</v>
      </c>
      <c r="F25" s="101">
        <v>3.640503125</v>
      </c>
      <c r="G25" s="101">
        <v>3.640503125</v>
      </c>
      <c r="H25" s="101">
        <v>3.535820008</v>
      </c>
      <c r="I25" s="101">
        <v>3.5490796580000001</v>
      </c>
      <c r="J25" s="101">
        <v>3.5106833829999999</v>
      </c>
      <c r="K25" s="101">
        <v>3.6397928579999999</v>
      </c>
      <c r="L25" s="101"/>
      <c r="N25" s="14">
        <v>13</v>
      </c>
      <c r="O25" s="101">
        <v>3.2449406416666666</v>
      </c>
      <c r="P25" s="101">
        <v>3.2820024333333326</v>
      </c>
      <c r="Q25" s="101">
        <v>3.2554398583333333</v>
      </c>
      <c r="R25" s="101">
        <v>3.2450869666666673</v>
      </c>
      <c r="S25" s="101">
        <v>3.2450869666666673</v>
      </c>
      <c r="T25" s="101">
        <v>2.6077897000000005</v>
      </c>
      <c r="U25" s="101">
        <v>3.1222972416666668</v>
      </c>
      <c r="V25" s="101">
        <v>2.9471562749999998</v>
      </c>
      <c r="W25" s="101">
        <v>3.2447745500000003</v>
      </c>
      <c r="X25" s="101"/>
      <c r="Z25" s="14">
        <v>13</v>
      </c>
      <c r="AA25" s="101">
        <v>3.6368</v>
      </c>
      <c r="AB25" s="101">
        <v>3.6844999999999999</v>
      </c>
      <c r="AC25" s="101">
        <v>3.6452800000000001</v>
      </c>
      <c r="AD25" s="101">
        <v>3.6368</v>
      </c>
      <c r="AE25" s="101">
        <v>3.6368</v>
      </c>
      <c r="AF25" s="101">
        <v>3.5728599999999999</v>
      </c>
      <c r="AG25" s="101">
        <v>3.5304600000000002</v>
      </c>
      <c r="AH25" s="101">
        <v>3.5654400000000002</v>
      </c>
      <c r="AI25" s="101">
        <v>3.6368</v>
      </c>
      <c r="AJ25" s="101"/>
    </row>
    <row r="26" spans="2:36" ht="24" customHeight="1" x14ac:dyDescent="0.3">
      <c r="B26" s="51">
        <v>14</v>
      </c>
      <c r="C26" s="101">
        <v>4.212531158</v>
      </c>
      <c r="D26" s="101">
        <v>4.359054575</v>
      </c>
      <c r="E26" s="101">
        <v>4.2472408000000001</v>
      </c>
      <c r="F26" s="101">
        <v>4.21312715</v>
      </c>
      <c r="G26" s="101">
        <v>4.21312715</v>
      </c>
      <c r="H26" s="101">
        <v>4.1490870170000003</v>
      </c>
      <c r="I26" s="101">
        <v>4.1465975579999999</v>
      </c>
      <c r="J26" s="101">
        <v>3.9868445079999999</v>
      </c>
      <c r="K26" s="101">
        <v>4.211919333</v>
      </c>
      <c r="L26" s="101"/>
      <c r="N26" s="14">
        <v>14</v>
      </c>
      <c r="O26" s="101">
        <v>3.3674513083333326</v>
      </c>
      <c r="P26" s="101">
        <v>3.4136633166666668</v>
      </c>
      <c r="Q26" s="101">
        <v>3.379939283333333</v>
      </c>
      <c r="R26" s="101">
        <v>3.3676412499999993</v>
      </c>
      <c r="S26" s="101">
        <v>3.3676412499999993</v>
      </c>
      <c r="T26" s="101">
        <v>3.1972386166666662</v>
      </c>
      <c r="U26" s="101">
        <v>3.2352926000000006</v>
      </c>
      <c r="V26" s="101">
        <v>3.056390233333333</v>
      </c>
      <c r="W26" s="101">
        <v>3.3672114416666665</v>
      </c>
      <c r="X26" s="101"/>
      <c r="Z26" s="14">
        <v>14</v>
      </c>
      <c r="AA26" s="101">
        <v>3.7701599999999997</v>
      </c>
      <c r="AB26" s="101">
        <v>3.8694999999999999</v>
      </c>
      <c r="AC26" s="101">
        <v>3.8181100000000003</v>
      </c>
      <c r="AD26" s="101">
        <v>3.7701599999999997</v>
      </c>
      <c r="AE26" s="101">
        <v>3.7701599999999997</v>
      </c>
      <c r="AF26" s="101">
        <v>3.8764000000000003</v>
      </c>
      <c r="AG26" s="101">
        <v>3.8323</v>
      </c>
      <c r="AH26" s="101">
        <v>3.9581</v>
      </c>
      <c r="AI26" s="101">
        <v>3.7697800000000004</v>
      </c>
      <c r="AJ26" s="101"/>
    </row>
    <row r="27" spans="2:36" ht="24" customHeight="1" x14ac:dyDescent="0.3">
      <c r="B27" s="51">
        <v>15</v>
      </c>
      <c r="C27" s="101">
        <v>3.750159633</v>
      </c>
      <c r="D27" s="101">
        <v>3.880264683</v>
      </c>
      <c r="E27" s="101">
        <v>3.7820263000000001</v>
      </c>
      <c r="F27" s="101">
        <v>3.7506527580000002</v>
      </c>
      <c r="G27" s="101">
        <v>3.7506527580000002</v>
      </c>
      <c r="H27" s="101">
        <v>3.6967192</v>
      </c>
      <c r="I27" s="101">
        <v>3.6941939420000001</v>
      </c>
      <c r="J27" s="101">
        <v>3.4916985330000001</v>
      </c>
      <c r="K27" s="101">
        <v>3.7496349000000002</v>
      </c>
      <c r="L27" s="101"/>
      <c r="N27" s="14">
        <v>15</v>
      </c>
      <c r="O27" s="101">
        <v>4.3047969750000004</v>
      </c>
      <c r="P27" s="101">
        <v>4.3709373583333324</v>
      </c>
      <c r="Q27" s="101">
        <v>4.3309983166666655</v>
      </c>
      <c r="R27" s="101">
        <v>4.3052164416666665</v>
      </c>
      <c r="S27" s="101">
        <v>4.3052164416666665</v>
      </c>
      <c r="T27" s="101">
        <v>4.1944799333333327</v>
      </c>
      <c r="U27" s="101">
        <v>4.1916862249999998</v>
      </c>
      <c r="V27" s="101">
        <v>4.0829604083333342</v>
      </c>
      <c r="W27" s="101">
        <v>4.3042750666666674</v>
      </c>
      <c r="X27" s="101"/>
      <c r="Z27" s="14">
        <v>15</v>
      </c>
      <c r="AA27" s="101">
        <v>4.41045</v>
      </c>
      <c r="AB27" s="101">
        <v>4.5349200000000005</v>
      </c>
      <c r="AC27" s="101">
        <v>4.4744999999999999</v>
      </c>
      <c r="AD27" s="101">
        <v>4.4113599999999993</v>
      </c>
      <c r="AE27" s="101">
        <v>4.4113599999999993</v>
      </c>
      <c r="AF27" s="101">
        <v>4.5798900000000007</v>
      </c>
      <c r="AG27" s="101">
        <v>4.5389999999999997</v>
      </c>
      <c r="AH27" s="101">
        <v>4.7406999999999995</v>
      </c>
      <c r="AI27" s="101">
        <v>4.40909</v>
      </c>
      <c r="AJ27" s="101"/>
    </row>
    <row r="28" spans="2:36" ht="24" customHeight="1" x14ac:dyDescent="0.3">
      <c r="B28" s="51">
        <v>16</v>
      </c>
      <c r="C28" s="101">
        <v>4.1144956080000004</v>
      </c>
      <c r="D28" s="101">
        <v>4.2644028499999997</v>
      </c>
      <c r="E28" s="101">
        <v>4.1542924499999998</v>
      </c>
      <c r="F28" s="101">
        <v>4.1151427920000003</v>
      </c>
      <c r="G28" s="101">
        <v>4.1151427920000003</v>
      </c>
      <c r="H28" s="101">
        <v>4.0758267830000001</v>
      </c>
      <c r="I28" s="101">
        <v>4.0729736919999997</v>
      </c>
      <c r="J28" s="101">
        <v>3.8349535669999999</v>
      </c>
      <c r="K28" s="101">
        <v>4.1137388250000004</v>
      </c>
      <c r="L28" s="101"/>
      <c r="N28" s="14">
        <v>16</v>
      </c>
      <c r="O28" s="101">
        <v>3.8564319999999994</v>
      </c>
      <c r="P28" s="101">
        <v>3.9027355500000001</v>
      </c>
      <c r="Q28" s="101">
        <v>3.8842557333333336</v>
      </c>
      <c r="R28" s="101">
        <v>3.8568443666666665</v>
      </c>
      <c r="S28" s="101">
        <v>3.8568443666666665</v>
      </c>
      <c r="T28" s="101">
        <v>3.7840648333333338</v>
      </c>
      <c r="U28" s="101">
        <v>3.7975668333333337</v>
      </c>
      <c r="V28" s="101">
        <v>3.7947093083333332</v>
      </c>
      <c r="W28" s="101">
        <v>3.8560519750000002</v>
      </c>
      <c r="X28" s="101"/>
      <c r="Z28" s="14">
        <v>16</v>
      </c>
      <c r="AA28" s="101">
        <v>4.4050099999999999</v>
      </c>
      <c r="AB28" s="101">
        <v>4.5214600000000003</v>
      </c>
      <c r="AC28" s="101">
        <v>4.46915</v>
      </c>
      <c r="AD28" s="101">
        <v>4.4059200000000001</v>
      </c>
      <c r="AE28" s="101">
        <v>4.4059200000000001</v>
      </c>
      <c r="AF28" s="101">
        <v>4.5915100000000004</v>
      </c>
      <c r="AG28" s="101">
        <v>4.5451099999999993</v>
      </c>
      <c r="AH28" s="101">
        <v>4.7438900000000004</v>
      </c>
      <c r="AI28" s="101">
        <v>4.4036499999999998</v>
      </c>
      <c r="AJ28" s="101"/>
    </row>
    <row r="29" spans="2:36" ht="24" customHeight="1" x14ac:dyDescent="0.3">
      <c r="B29" s="51">
        <v>17</v>
      </c>
      <c r="C29" s="101">
        <v>4.1838575420000002</v>
      </c>
      <c r="D29" s="101">
        <v>4.3338947169999997</v>
      </c>
      <c r="E29" s="101">
        <v>4.2264252500000001</v>
      </c>
      <c r="F29" s="101">
        <v>4.1845223249999997</v>
      </c>
      <c r="G29" s="101">
        <v>4.1845223249999997</v>
      </c>
      <c r="H29" s="101">
        <v>4.1365139920000003</v>
      </c>
      <c r="I29" s="101">
        <v>4.1336184249999999</v>
      </c>
      <c r="J29" s="101">
        <v>3.88505155</v>
      </c>
      <c r="K29" s="101">
        <v>4.1829979079999999</v>
      </c>
      <c r="L29" s="101"/>
      <c r="N29" s="14">
        <v>17</v>
      </c>
      <c r="O29" s="101">
        <v>3.9702787916666678</v>
      </c>
      <c r="P29" s="101">
        <v>4.0218434583333336</v>
      </c>
      <c r="Q29" s="101">
        <v>4.0051435666666659</v>
      </c>
      <c r="R29" s="101">
        <v>3.9707362333333331</v>
      </c>
      <c r="S29" s="101">
        <v>3.9707362333333331</v>
      </c>
      <c r="T29" s="101">
        <v>3.9411084249999999</v>
      </c>
      <c r="U29" s="101">
        <v>3.9383496333333339</v>
      </c>
      <c r="V29" s="101">
        <v>3.9349782000000011</v>
      </c>
      <c r="W29" s="101">
        <v>3.9696878749999995</v>
      </c>
      <c r="X29" s="101"/>
      <c r="Z29" s="14">
        <v>17</v>
      </c>
      <c r="AA29" s="101">
        <v>4.50047</v>
      </c>
      <c r="AB29" s="101">
        <v>4.6153699999999995</v>
      </c>
      <c r="AC29" s="101">
        <v>4.5669899999999997</v>
      </c>
      <c r="AD29" s="101">
        <v>4.5009300000000003</v>
      </c>
      <c r="AE29" s="101">
        <v>4.5009300000000003</v>
      </c>
      <c r="AF29" s="101">
        <v>4.6814300000000006</v>
      </c>
      <c r="AG29" s="101">
        <v>4.6483999999999996</v>
      </c>
      <c r="AH29" s="101">
        <v>4.8423999999999996</v>
      </c>
      <c r="AI29" s="101">
        <v>4.4990699999999997</v>
      </c>
      <c r="AJ29" s="101"/>
    </row>
    <row r="30" spans="2:36" ht="24" customHeight="1" x14ac:dyDescent="0.3">
      <c r="B30" s="51">
        <v>18</v>
      </c>
      <c r="C30" s="101">
        <v>5.4530229669999999</v>
      </c>
      <c r="D30" s="101">
        <v>5.6624724579999999</v>
      </c>
      <c r="E30" s="101">
        <v>5.5123156079999998</v>
      </c>
      <c r="F30" s="101">
        <v>5.4537353829999997</v>
      </c>
      <c r="G30" s="101">
        <v>5.4537353829999997</v>
      </c>
      <c r="H30" s="101">
        <v>5.3579806919999999</v>
      </c>
      <c r="I30" s="101">
        <v>5.3544084830000003</v>
      </c>
      <c r="J30" s="101">
        <v>5.0358629830000003</v>
      </c>
      <c r="K30" s="101">
        <v>5.4519827330000004</v>
      </c>
      <c r="L30" s="101"/>
      <c r="N30" s="14">
        <v>18</v>
      </c>
      <c r="O30" s="101">
        <v>5.7176443166666679</v>
      </c>
      <c r="P30" s="101">
        <v>5.8307734166666672</v>
      </c>
      <c r="Q30" s="101">
        <v>5.7771683750000005</v>
      </c>
      <c r="R30" s="101">
        <v>5.7185874083333328</v>
      </c>
      <c r="S30" s="101">
        <v>5.7185874083333328</v>
      </c>
      <c r="T30" s="101">
        <v>5.684660375</v>
      </c>
      <c r="U30" s="101">
        <v>5.6806810999999993</v>
      </c>
      <c r="V30" s="101">
        <v>5.6623340916666667</v>
      </c>
      <c r="W30" s="101">
        <v>5.7166800583333339</v>
      </c>
      <c r="X30" s="101"/>
      <c r="Z30" s="14">
        <v>18</v>
      </c>
      <c r="AA30" s="101">
        <v>5.47438</v>
      </c>
      <c r="AB30" s="101">
        <v>5.6396899999999999</v>
      </c>
      <c r="AC30" s="101">
        <v>5.5561999999999996</v>
      </c>
      <c r="AD30" s="101">
        <v>5.4755000000000003</v>
      </c>
      <c r="AE30" s="101">
        <v>5.4755000000000003</v>
      </c>
      <c r="AF30" s="101">
        <v>5.6268100000000008</v>
      </c>
      <c r="AG30" s="101">
        <v>5.5999099999999995</v>
      </c>
      <c r="AH30" s="101">
        <v>5.7405600000000003</v>
      </c>
      <c r="AI30" s="101">
        <v>5.4726999999999997</v>
      </c>
      <c r="AJ30" s="101"/>
    </row>
    <row r="31" spans="2:36" ht="24" customHeight="1" x14ac:dyDescent="0.3">
      <c r="B31" s="51">
        <v>19</v>
      </c>
      <c r="C31" s="101">
        <v>6.1884539170000004</v>
      </c>
      <c r="D31" s="101">
        <v>6.392774975</v>
      </c>
      <c r="E31" s="101">
        <v>6.25830865</v>
      </c>
      <c r="F31" s="101">
        <v>6.1893019169999999</v>
      </c>
      <c r="G31" s="101">
        <v>6.1893019169999999</v>
      </c>
      <c r="H31" s="101">
        <v>5.6689034920000001</v>
      </c>
      <c r="I31" s="101">
        <v>6.1059035919999998</v>
      </c>
      <c r="J31" s="101">
        <v>5.7467282080000004</v>
      </c>
      <c r="K31" s="101">
        <v>6.1870689170000004</v>
      </c>
      <c r="L31" s="101"/>
      <c r="N31" s="14">
        <v>19</v>
      </c>
      <c r="O31" s="101">
        <v>5.6950278416666658</v>
      </c>
      <c r="P31" s="101">
        <v>5.8083062916666668</v>
      </c>
      <c r="Q31" s="101">
        <v>5.7605079083333344</v>
      </c>
      <c r="R31" s="101">
        <v>5.6958108083333325</v>
      </c>
      <c r="S31" s="101">
        <v>5.6958108083333325</v>
      </c>
      <c r="T31" s="101">
        <v>5.6790085333333336</v>
      </c>
      <c r="U31" s="101">
        <v>5.6750332416666671</v>
      </c>
      <c r="V31" s="101">
        <v>5.6647313166666668</v>
      </c>
      <c r="W31" s="101">
        <v>5.6937172250000003</v>
      </c>
      <c r="X31" s="101"/>
      <c r="Z31" s="14">
        <v>19</v>
      </c>
      <c r="AA31" s="101">
        <v>5.1441400000000002</v>
      </c>
      <c r="AB31" s="101">
        <v>5.3056200000000002</v>
      </c>
      <c r="AC31" s="101">
        <v>5.2222400000000002</v>
      </c>
      <c r="AD31" s="101">
        <v>5.1452</v>
      </c>
      <c r="AE31" s="101">
        <v>5.1452</v>
      </c>
      <c r="AF31" s="101">
        <v>5.3056200000000002</v>
      </c>
      <c r="AG31" s="101">
        <v>5.2728999999999999</v>
      </c>
      <c r="AH31" s="101">
        <v>5.4533800000000001</v>
      </c>
      <c r="AI31" s="101">
        <v>5.1425600000000005</v>
      </c>
      <c r="AJ31" s="101"/>
    </row>
    <row r="32" spans="2:36" ht="24" customHeight="1" x14ac:dyDescent="0.3">
      <c r="B32" s="51">
        <v>20</v>
      </c>
      <c r="C32" s="101">
        <v>4.0314795920000002</v>
      </c>
      <c r="D32" s="101">
        <v>4.1767529080000001</v>
      </c>
      <c r="E32" s="101">
        <v>4.0777408079999997</v>
      </c>
      <c r="F32" s="101">
        <v>4.0320785580000003</v>
      </c>
      <c r="G32" s="101">
        <v>4.0320785580000003</v>
      </c>
      <c r="H32" s="101">
        <v>3.9939306000000001</v>
      </c>
      <c r="I32" s="101">
        <v>3.9915342420000002</v>
      </c>
      <c r="J32" s="101">
        <v>3.8695706919999999</v>
      </c>
      <c r="K32" s="101">
        <v>4.0305443920000004</v>
      </c>
      <c r="L32" s="101"/>
      <c r="N32" s="14">
        <v>20</v>
      </c>
      <c r="O32" s="101">
        <v>4.7934165250000005</v>
      </c>
      <c r="P32" s="101">
        <v>4.9190358000000005</v>
      </c>
      <c r="Q32" s="101">
        <v>4.8486188166666659</v>
      </c>
      <c r="R32" s="101">
        <v>4.794167933333334</v>
      </c>
      <c r="S32" s="101">
        <v>4.794167933333334</v>
      </c>
      <c r="T32" s="101">
        <v>4.7822139749999995</v>
      </c>
      <c r="U32" s="101">
        <v>4.7788664333333335</v>
      </c>
      <c r="V32" s="101">
        <v>4.8205476750000011</v>
      </c>
      <c r="W32" s="101">
        <v>4.7924001750000009</v>
      </c>
      <c r="X32" s="101"/>
      <c r="Z32" s="14">
        <v>20</v>
      </c>
      <c r="AA32" s="101">
        <v>4.6145500000000004</v>
      </c>
      <c r="AB32" s="101">
        <v>4.76945</v>
      </c>
      <c r="AC32" s="101">
        <v>4.6858300000000002</v>
      </c>
      <c r="AD32" s="101">
        <v>4.61503</v>
      </c>
      <c r="AE32" s="101">
        <v>4.61503</v>
      </c>
      <c r="AF32" s="101">
        <v>4.7685000000000004</v>
      </c>
      <c r="AG32" s="101">
        <v>4.7475899999999998</v>
      </c>
      <c r="AH32" s="101">
        <v>4.9528500000000006</v>
      </c>
      <c r="AI32" s="101">
        <v>4.61313</v>
      </c>
      <c r="AJ32" s="101"/>
    </row>
    <row r="33" spans="2:36" ht="24" customHeight="1" x14ac:dyDescent="0.3">
      <c r="B33" s="51">
        <v>21</v>
      </c>
      <c r="C33" s="101">
        <v>4.9954392670000001</v>
      </c>
      <c r="D33" s="101">
        <v>5.1734350500000001</v>
      </c>
      <c r="E33" s="101">
        <v>5.0530510169999996</v>
      </c>
      <c r="F33" s="101">
        <v>4.9961150920000001</v>
      </c>
      <c r="G33" s="101">
        <v>4.9961150920000001</v>
      </c>
      <c r="H33" s="101">
        <v>4.9668807749999999</v>
      </c>
      <c r="I33" s="101">
        <v>4.963900658</v>
      </c>
      <c r="J33" s="101">
        <v>4.913917208</v>
      </c>
      <c r="K33" s="101">
        <v>4.9944359330000001</v>
      </c>
      <c r="L33" s="101"/>
      <c r="N33" s="14">
        <v>21</v>
      </c>
      <c r="O33" s="101">
        <v>3.9587814583333332</v>
      </c>
      <c r="P33" s="101">
        <v>4.086430225</v>
      </c>
      <c r="Q33" s="101">
        <v>4.0064594250000001</v>
      </c>
      <c r="R33" s="101">
        <v>3.9592109083333327</v>
      </c>
      <c r="S33" s="101">
        <v>3.9592109083333327</v>
      </c>
      <c r="T33" s="101">
        <v>3.9674709250000002</v>
      </c>
      <c r="U33" s="101">
        <v>3.9646936749999999</v>
      </c>
      <c r="V33" s="101">
        <v>4.0389777250000005</v>
      </c>
      <c r="W33" s="101">
        <v>3.9578868000000003</v>
      </c>
      <c r="X33" s="101"/>
      <c r="Z33" s="14">
        <v>21</v>
      </c>
      <c r="AA33" s="101">
        <v>4.3937499999999998</v>
      </c>
      <c r="AB33" s="101">
        <v>4.5423400000000003</v>
      </c>
      <c r="AC33" s="101">
        <v>4.4628199999999998</v>
      </c>
      <c r="AD33" s="101">
        <v>4.39466</v>
      </c>
      <c r="AE33" s="101">
        <v>4.39466</v>
      </c>
      <c r="AF33" s="101">
        <v>4.5568800000000005</v>
      </c>
      <c r="AG33" s="101">
        <v>4.5405200000000008</v>
      </c>
      <c r="AH33" s="101">
        <v>4.7931800000000004</v>
      </c>
      <c r="AI33" s="101">
        <v>4.3923800000000002</v>
      </c>
      <c r="AJ33" s="101"/>
    </row>
    <row r="34" spans="2:36" ht="24" customHeight="1" x14ac:dyDescent="0.3">
      <c r="B34" s="51">
        <v>22</v>
      </c>
      <c r="C34" s="101">
        <v>3.3780698079999998</v>
      </c>
      <c r="D34" s="101">
        <v>3.4824273749999999</v>
      </c>
      <c r="E34" s="101">
        <v>3.408751375</v>
      </c>
      <c r="F34" s="101">
        <v>3.3783567670000001</v>
      </c>
      <c r="G34" s="101">
        <v>3.3783567670000001</v>
      </c>
      <c r="H34" s="101">
        <v>3.3328309250000001</v>
      </c>
      <c r="I34" s="101">
        <v>3.3308010079999999</v>
      </c>
      <c r="J34" s="101">
        <v>3.3147932170000001</v>
      </c>
      <c r="K34" s="101">
        <v>3.3775841670000002</v>
      </c>
      <c r="L34" s="101"/>
      <c r="N34" s="14">
        <v>22</v>
      </c>
      <c r="O34" s="101">
        <v>4.316152175</v>
      </c>
      <c r="P34" s="101">
        <v>4.4478364499999996</v>
      </c>
      <c r="Q34" s="101">
        <v>4.3654351416666657</v>
      </c>
      <c r="R34" s="101">
        <v>4.3167236249999998</v>
      </c>
      <c r="S34" s="101">
        <v>4.3167236249999998</v>
      </c>
      <c r="T34" s="101">
        <v>4.3233641916666663</v>
      </c>
      <c r="U34" s="101">
        <v>4.3203865749999997</v>
      </c>
      <c r="V34" s="101">
        <v>4.3983496666666664</v>
      </c>
      <c r="W34" s="101">
        <v>4.3153885250000004</v>
      </c>
      <c r="X34" s="101"/>
      <c r="Z34" s="14">
        <v>22</v>
      </c>
      <c r="AA34" s="101">
        <v>3.7207399999999997</v>
      </c>
      <c r="AB34" s="101">
        <v>3.8067899999999999</v>
      </c>
      <c r="AC34" s="101">
        <v>3.7493000000000003</v>
      </c>
      <c r="AD34" s="101">
        <v>3.7207399999999997</v>
      </c>
      <c r="AE34" s="101">
        <v>3.7207399999999997</v>
      </c>
      <c r="AF34" s="101">
        <v>3.7174</v>
      </c>
      <c r="AG34" s="101">
        <v>3.70628</v>
      </c>
      <c r="AH34" s="101">
        <v>3.7949200000000003</v>
      </c>
      <c r="AI34" s="101">
        <v>3.72037</v>
      </c>
      <c r="AJ34" s="101"/>
    </row>
    <row r="35" spans="2:36" ht="24" customHeight="1" x14ac:dyDescent="0.3">
      <c r="B35" s="51">
        <v>23</v>
      </c>
      <c r="C35" s="101">
        <v>3.5200611749999999</v>
      </c>
      <c r="D35" s="101">
        <v>3.6064212750000002</v>
      </c>
      <c r="E35" s="101">
        <v>3.5389966670000002</v>
      </c>
      <c r="F35" s="101">
        <v>3.5203183920000001</v>
      </c>
      <c r="G35" s="101">
        <v>3.5203183920000001</v>
      </c>
      <c r="H35" s="101">
        <v>3.424450142</v>
      </c>
      <c r="I35" s="101">
        <v>3.4222508079999998</v>
      </c>
      <c r="J35" s="101">
        <v>3.424388633</v>
      </c>
      <c r="K35" s="101">
        <v>3.5198675669999999</v>
      </c>
      <c r="L35" s="101"/>
      <c r="N35" s="14">
        <v>23</v>
      </c>
      <c r="O35" s="101">
        <v>3.6445149916666666</v>
      </c>
      <c r="P35" s="101">
        <v>3.7327585583333334</v>
      </c>
      <c r="Q35" s="101">
        <v>3.6749656749999993</v>
      </c>
      <c r="R35" s="101">
        <v>3.6449095666666667</v>
      </c>
      <c r="S35" s="101">
        <v>3.6449095666666667</v>
      </c>
      <c r="T35" s="101">
        <v>3.6212140166666669</v>
      </c>
      <c r="U35" s="101">
        <v>3.6186791666666669</v>
      </c>
      <c r="V35" s="101">
        <v>3.7354744583333326</v>
      </c>
      <c r="W35" s="101">
        <v>3.644109883333333</v>
      </c>
      <c r="X35" s="101"/>
      <c r="Z35" s="14">
        <v>23</v>
      </c>
      <c r="AA35" s="101">
        <v>3.72037</v>
      </c>
      <c r="AB35" s="101">
        <v>3.8006100000000003</v>
      </c>
      <c r="AC35" s="101">
        <v>3.7529899999999996</v>
      </c>
      <c r="AD35" s="101">
        <v>3.7207499999999998</v>
      </c>
      <c r="AE35" s="101">
        <v>3.7207499999999998</v>
      </c>
      <c r="AF35" s="101">
        <v>3.7473700000000001</v>
      </c>
      <c r="AG35" s="101">
        <v>3.7462399999999998</v>
      </c>
      <c r="AH35" s="101">
        <v>3.9052099999999998</v>
      </c>
      <c r="AI35" s="101">
        <v>3.72</v>
      </c>
      <c r="AJ35" s="101"/>
    </row>
    <row r="36" spans="2:36" ht="24" customHeight="1" x14ac:dyDescent="0.3">
      <c r="B36" s="51">
        <v>24</v>
      </c>
      <c r="C36" s="101">
        <v>3.7419614170000002</v>
      </c>
      <c r="D36" s="101">
        <v>3.8246619000000002</v>
      </c>
      <c r="E36" s="101">
        <v>3.7617402169999998</v>
      </c>
      <c r="F36" s="101">
        <v>3.7420942670000001</v>
      </c>
      <c r="G36" s="101">
        <v>3.7420942670000001</v>
      </c>
      <c r="H36" s="101">
        <v>3.6629889750000002</v>
      </c>
      <c r="I36" s="101">
        <v>3.660424892</v>
      </c>
      <c r="J36" s="101">
        <v>3.7602406749999999</v>
      </c>
      <c r="K36" s="101">
        <v>3.74165305</v>
      </c>
      <c r="L36" s="101"/>
      <c r="N36" s="14">
        <v>24</v>
      </c>
      <c r="O36" s="101">
        <v>3.9169819083333337</v>
      </c>
      <c r="P36" s="101">
        <v>4.0129679416666661</v>
      </c>
      <c r="Q36" s="101">
        <v>3.9505210750000006</v>
      </c>
      <c r="R36" s="101">
        <v>3.917196150000001</v>
      </c>
      <c r="S36" s="101">
        <v>3.917196150000001</v>
      </c>
      <c r="T36" s="101">
        <v>3.914615575</v>
      </c>
      <c r="U36" s="101">
        <v>3.9118543749999994</v>
      </c>
      <c r="V36" s="101">
        <v>4.0742088500000007</v>
      </c>
      <c r="W36" s="101">
        <v>3.9165068833333336</v>
      </c>
      <c r="X36" s="101"/>
      <c r="Z36" s="14">
        <v>24</v>
      </c>
      <c r="AA36" s="101">
        <v>3.6860300000000001</v>
      </c>
      <c r="AB36" s="101">
        <v>3.74369</v>
      </c>
      <c r="AC36" s="101">
        <v>3.7020900000000001</v>
      </c>
      <c r="AD36" s="101">
        <v>3.6860300000000001</v>
      </c>
      <c r="AE36" s="101">
        <v>3.6860300000000001</v>
      </c>
      <c r="AF36" s="101">
        <v>3.6528200000000002</v>
      </c>
      <c r="AG36" s="101">
        <v>3.64662</v>
      </c>
      <c r="AH36" s="101">
        <v>3.80172</v>
      </c>
      <c r="AI36" s="101">
        <v>3.6860300000000001</v>
      </c>
      <c r="AJ36" s="101"/>
    </row>
    <row r="37" spans="2:36" ht="24" customHeight="1" x14ac:dyDescent="0.3">
      <c r="B37" s="51" t="s">
        <v>66</v>
      </c>
      <c r="C37" s="94">
        <f>IFERROR(AVERAGE(C13:C36),0)</f>
        <v>3.715825200416667</v>
      </c>
      <c r="D37" s="94">
        <f t="shared" ref="D37:L37" si="0">IFERROR(AVERAGE(D13:D36),0)</f>
        <v>3.825708790916666</v>
      </c>
      <c r="E37" s="94">
        <f t="shared" si="0"/>
        <v>3.744194986083333</v>
      </c>
      <c r="F37" s="94">
        <f t="shared" si="0"/>
        <v>3.7161920764583329</v>
      </c>
      <c r="G37" s="94">
        <f t="shared" si="0"/>
        <v>3.7161920764583329</v>
      </c>
      <c r="H37" s="94">
        <f t="shared" si="0"/>
        <v>3.635162897916667</v>
      </c>
      <c r="I37" s="94">
        <f t="shared" si="0"/>
        <v>3.6530187044999995</v>
      </c>
      <c r="J37" s="94">
        <f t="shared" si="0"/>
        <v>3.5895903830000009</v>
      </c>
      <c r="K37" s="94">
        <f t="shared" si="0"/>
        <v>3.7153508631666665</v>
      </c>
      <c r="L37" s="94">
        <f t="shared" si="0"/>
        <v>0</v>
      </c>
      <c r="N37" s="14" t="s">
        <v>66</v>
      </c>
      <c r="O37" s="94">
        <f>IFERROR(AVERAGE(O13:O36),0)</f>
        <v>3.5348362475694444</v>
      </c>
      <c r="P37" s="94">
        <f t="shared" ref="P37" si="1">IFERROR(AVERAGE(P13:P36),0)</f>
        <v>3.5935122631944445</v>
      </c>
      <c r="Q37" s="94">
        <f t="shared" ref="Q37" si="2">IFERROR(AVERAGE(Q13:Q36),0)</f>
        <v>3.560521849652778</v>
      </c>
      <c r="R37" s="94">
        <f t="shared" ref="R37" si="3">IFERROR(AVERAGE(R13:R36),0)</f>
        <v>3.5351491475694434</v>
      </c>
      <c r="S37" s="94">
        <f t="shared" ref="S37" si="4">IFERROR(AVERAGE(S13:S36),0)</f>
        <v>3.5351491475694434</v>
      </c>
      <c r="T37" s="94">
        <f t="shared" ref="T37" si="5">IFERROR(AVERAGE(T13:T36),0)</f>
        <v>3.4499773315972226</v>
      </c>
      <c r="U37" s="94">
        <f t="shared" ref="U37" si="6">IFERROR(AVERAGE(U13:U36),0)</f>
        <v>3.4881933322916669</v>
      </c>
      <c r="V37" s="94">
        <f t="shared" ref="V37" si="7">IFERROR(AVERAGE(V13:V36),0)</f>
        <v>3.4969582618055548</v>
      </c>
      <c r="W37" s="94">
        <f t="shared" ref="W37" si="8">IFERROR(AVERAGE(W13:W36),0)</f>
        <v>3.5344386354166666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3.8258891666666668</v>
      </c>
      <c r="AB37" s="94">
        <f t="shared" ref="AB37:AJ37" si="10">IFERROR(AVERAGE(AB13:AB36),0)</f>
        <v>3.911199583333334</v>
      </c>
      <c r="AC37" s="94">
        <f t="shared" si="10"/>
        <v>3.8599020833333326</v>
      </c>
      <c r="AD37" s="94">
        <f t="shared" si="10"/>
        <v>3.8262225000000005</v>
      </c>
      <c r="AE37" s="94">
        <f t="shared" si="10"/>
        <v>3.8262225000000005</v>
      </c>
      <c r="AF37" s="94">
        <f t="shared" si="10"/>
        <v>3.8686370833333346</v>
      </c>
      <c r="AG37" s="94">
        <f t="shared" si="10"/>
        <v>3.8473487500000001</v>
      </c>
      <c r="AH37" s="94">
        <f t="shared" si="10"/>
        <v>3.9933637500000003</v>
      </c>
      <c r="AI37" s="94">
        <f t="shared" si="10"/>
        <v>3.8253487500000003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45666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Z11:Z12"/>
    <mergeCell ref="AA11:AE11"/>
    <mergeCell ref="AF11:AJ11"/>
    <mergeCell ref="O11:S11"/>
    <mergeCell ref="T11:X11"/>
    <mergeCell ref="C4:E4"/>
    <mergeCell ref="C11:G11"/>
    <mergeCell ref="B11:B12"/>
    <mergeCell ref="H11:L11"/>
    <mergeCell ref="N11:N12"/>
    <mergeCell ref="C6:E6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opLeftCell="A7" zoomScale="77" zoomScaleNormal="91" workbookViewId="0">
      <selection activeCell="T10" sqref="T10: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84">
        <f>'1. Rates'!C4</f>
        <v>45666</v>
      </c>
      <c r="D2" s="185"/>
      <c r="E2" s="186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72" t="s">
        <v>52</v>
      </c>
      <c r="C7" s="178" t="s">
        <v>109</v>
      </c>
      <c r="D7" s="179"/>
      <c r="E7" s="179"/>
      <c r="F7" s="179"/>
      <c r="G7" s="180"/>
      <c r="H7" s="178" t="s">
        <v>110</v>
      </c>
      <c r="I7" s="179"/>
      <c r="J7" s="179"/>
      <c r="K7" s="179"/>
      <c r="L7" s="180"/>
      <c r="M7" s="181" t="s">
        <v>111</v>
      </c>
      <c r="N7" s="182"/>
      <c r="O7" s="182"/>
      <c r="P7" s="182"/>
      <c r="Q7" s="183"/>
      <c r="S7" s="181" t="s">
        <v>112</v>
      </c>
      <c r="T7" s="182"/>
      <c r="U7" s="182"/>
      <c r="V7" s="182"/>
      <c r="W7" s="183"/>
    </row>
    <row r="8" spans="2:24" ht="32.25" customHeight="1" x14ac:dyDescent="0.3">
      <c r="B8" s="173"/>
      <c r="C8" s="175">
        <f>C2-7</f>
        <v>45659</v>
      </c>
      <c r="D8" s="176"/>
      <c r="E8" s="176"/>
      <c r="F8" s="176"/>
      <c r="G8" s="177"/>
      <c r="H8" s="175">
        <f>C2-2</f>
        <v>45664</v>
      </c>
      <c r="I8" s="176"/>
      <c r="J8" s="176"/>
      <c r="K8" s="176"/>
      <c r="L8" s="177"/>
      <c r="M8" s="175">
        <f>C2</f>
        <v>45666</v>
      </c>
      <c r="N8" s="176"/>
      <c r="O8" s="176"/>
      <c r="P8" s="176"/>
      <c r="Q8" s="177"/>
      <c r="S8" s="175">
        <f>M8</f>
        <v>45666</v>
      </c>
      <c r="T8" s="176"/>
      <c r="U8" s="176"/>
      <c r="V8" s="176"/>
      <c r="W8" s="177"/>
    </row>
    <row r="9" spans="2:24" ht="45" customHeight="1" x14ac:dyDescent="0.3">
      <c r="B9" s="174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3.4060981331999995</v>
      </c>
      <c r="E10" s="116">
        <v>73893.115005451167</v>
      </c>
      <c r="F10" s="116">
        <v>5804.2039999999997</v>
      </c>
      <c r="G10" s="107">
        <f>E10-F10</f>
        <v>68088.911005451169</v>
      </c>
      <c r="H10" s="115"/>
      <c r="I10" s="106">
        <f>IFERROR(AVERAGE('1. Rates'!O13:S13),0)</f>
        <v>3.0308530449999997</v>
      </c>
      <c r="J10" s="116">
        <v>73814.317429335482</v>
      </c>
      <c r="K10" s="116">
        <v>5798.1720000000005</v>
      </c>
      <c r="L10" s="107">
        <f>J10-K10</f>
        <v>68016.145429335476</v>
      </c>
      <c r="M10" s="108" t="e">
        <f>IF(S10="",AVERAGE(C10,H10),S10)</f>
        <v>#DIV/0!</v>
      </c>
      <c r="N10" s="109">
        <f>IF(T10="",(IFERROR(AVERAGE('1. Rates'!AA13:AE13),0)),T10)</f>
        <v>3.4180463775925927</v>
      </c>
      <c r="O10" s="107">
        <f>IF(U10="",AVERAGE(E10,J10),U10)</f>
        <v>73122.491304349824</v>
      </c>
      <c r="P10" s="107">
        <f>IF(V10="",AVERAGE(F10,K10),V10)</f>
        <v>5801.1880000000001</v>
      </c>
      <c r="Q10" s="107">
        <f>O10-P10</f>
        <v>67321.303304349829</v>
      </c>
      <c r="S10" s="117"/>
      <c r="T10" s="118">
        <v>3.4180463775925927</v>
      </c>
      <c r="U10" s="116">
        <v>73122.491304349824</v>
      </c>
      <c r="V10" s="116">
        <v>5801.1880000000001</v>
      </c>
      <c r="W10" s="116"/>
    </row>
    <row r="11" spans="2:24" x14ac:dyDescent="0.3">
      <c r="B11" s="105">
        <v>2</v>
      </c>
      <c r="C11" s="115"/>
      <c r="D11" s="106">
        <f>IFERROR(AVERAGE('1. Rates'!C14:G14),0)</f>
        <v>2.8418416265999995</v>
      </c>
      <c r="E11" s="116">
        <v>70672.182037704333</v>
      </c>
      <c r="F11" s="116">
        <v>5669.43</v>
      </c>
      <c r="G11" s="107">
        <f t="shared" ref="G11:G33" si="0">E11-F11</f>
        <v>65002.752037704333</v>
      </c>
      <c r="H11" s="115"/>
      <c r="I11" s="106">
        <f>IFERROR(AVERAGE('1. Rates'!O14:S14),0)</f>
        <v>2.7884749483333331</v>
      </c>
      <c r="J11" s="116">
        <v>70193.699987764499</v>
      </c>
      <c r="K11" s="116">
        <v>5614.0080000000007</v>
      </c>
      <c r="L11" s="107">
        <f t="shared" ref="L11:L33" si="1">J11-K11</f>
        <v>64579.691987764498</v>
      </c>
      <c r="M11" s="108" t="e">
        <f t="shared" ref="M11:M33" si="2">IF(S11="",AVERAGE(C11,H11),S11)</f>
        <v>#DIV/0!</v>
      </c>
      <c r="N11" s="109">
        <f>IF(T11="",(IFERROR(AVERAGE('1. Rates'!AA14:AE14),0)),T11)</f>
        <v>3.1628628003703709</v>
      </c>
      <c r="O11" s="107">
        <f t="shared" ref="O11:O33" si="3">IF(U11="",AVERAGE(E11,J11),U11)</f>
        <v>69735.585161123177</v>
      </c>
      <c r="P11" s="107">
        <f t="shared" ref="P11:P33" si="4">IF(V11="",AVERAGE(F11,K11),V11)</f>
        <v>5641.719000000001</v>
      </c>
      <c r="Q11" s="107">
        <f t="shared" ref="Q11:Q33" si="5">O11-P11</f>
        <v>64093.86616112318</v>
      </c>
      <c r="S11" s="117"/>
      <c r="T11" s="118">
        <v>3.1628628003703709</v>
      </c>
      <c r="U11" s="116">
        <v>69735.585161123177</v>
      </c>
      <c r="V11" s="116">
        <v>5641.719000000001</v>
      </c>
      <c r="W11" s="116"/>
    </row>
    <row r="12" spans="2:24" x14ac:dyDescent="0.3">
      <c r="B12" s="105">
        <v>3</v>
      </c>
      <c r="C12" s="115"/>
      <c r="D12" s="106">
        <f>IFERROR(AVERAGE('1. Rates'!C15:G15),0)</f>
        <v>2.7678950099999997</v>
      </c>
      <c r="E12" s="116">
        <v>67796.894216942455</v>
      </c>
      <c r="F12" s="116">
        <v>5600.594000000001</v>
      </c>
      <c r="G12" s="107">
        <f t="shared" si="0"/>
        <v>62196.300216942458</v>
      </c>
      <c r="H12" s="115"/>
      <c r="I12" s="106">
        <f>IFERROR(AVERAGE('1. Rates'!O15:S15),0)</f>
        <v>2.3732842783333332</v>
      </c>
      <c r="J12" s="116">
        <v>67262.657598575359</v>
      </c>
      <c r="K12" s="116">
        <v>5481.5949999999993</v>
      </c>
      <c r="L12" s="107">
        <f t="shared" si="1"/>
        <v>61781.062598575358</v>
      </c>
      <c r="M12" s="108" t="e">
        <f t="shared" si="2"/>
        <v>#DIV/0!</v>
      </c>
      <c r="N12" s="109">
        <f>IF(T12="",(IFERROR(AVERAGE('1. Rates'!AA15:AE15),0)),T12)</f>
        <v>2.7573495538888886</v>
      </c>
      <c r="O12" s="107">
        <f t="shared" si="3"/>
        <v>66861.164265107829</v>
      </c>
      <c r="P12" s="107">
        <f t="shared" si="4"/>
        <v>5541.0945000000002</v>
      </c>
      <c r="Q12" s="107">
        <f t="shared" si="5"/>
        <v>61320.06976510783</v>
      </c>
      <c r="S12" s="117"/>
      <c r="T12" s="118">
        <v>2.7573495538888886</v>
      </c>
      <c r="U12" s="116">
        <v>66861.164265107829</v>
      </c>
      <c r="V12" s="116">
        <v>5541.0945000000002</v>
      </c>
      <c r="W12" s="116"/>
    </row>
    <row r="13" spans="2:24" x14ac:dyDescent="0.3">
      <c r="B13" s="105">
        <v>4</v>
      </c>
      <c r="C13" s="115"/>
      <c r="D13" s="106">
        <f>IFERROR(AVERAGE('1. Rates'!C16:G16),0)</f>
        <v>2.9119409032000001</v>
      </c>
      <c r="E13" s="116">
        <v>65096.897671210907</v>
      </c>
      <c r="F13" s="116">
        <v>5568.8170000000009</v>
      </c>
      <c r="G13" s="107">
        <f t="shared" si="0"/>
        <v>59528.080671210904</v>
      </c>
      <c r="H13" s="115"/>
      <c r="I13" s="106">
        <f>IFERROR(AVERAGE('1. Rates'!O16:S16),0)</f>
        <v>2.4677158349999999</v>
      </c>
      <c r="J13" s="116">
        <v>65133.591654069591</v>
      </c>
      <c r="K13" s="116">
        <v>5463.7430000000004</v>
      </c>
      <c r="L13" s="107">
        <f t="shared" si="1"/>
        <v>59669.848654069589</v>
      </c>
      <c r="M13" s="108" t="e">
        <f t="shared" si="2"/>
        <v>#DIV/0!</v>
      </c>
      <c r="N13" s="109">
        <f>IF(T13="",(IFERROR(AVERAGE('1. Rates'!AA16:AE16),0)),T13)</f>
        <v>2.7296710018518513</v>
      </c>
      <c r="O13" s="107">
        <f t="shared" si="3"/>
        <v>64470.53926994084</v>
      </c>
      <c r="P13" s="107">
        <f t="shared" si="4"/>
        <v>5516.2800000000007</v>
      </c>
      <c r="Q13" s="107">
        <f t="shared" si="5"/>
        <v>58954.259269940841</v>
      </c>
      <c r="S13" s="117"/>
      <c r="T13" s="118">
        <v>2.7296710018518513</v>
      </c>
      <c r="U13" s="116">
        <v>64470.53926994084</v>
      </c>
      <c r="V13" s="116">
        <v>5516.2800000000007</v>
      </c>
      <c r="W13" s="116"/>
    </row>
    <row r="14" spans="2:24" x14ac:dyDescent="0.3">
      <c r="B14" s="105">
        <v>5</v>
      </c>
      <c r="C14" s="115"/>
      <c r="D14" s="106">
        <f>IFERROR(AVERAGE('1. Rates'!C17:G17),0)</f>
        <v>2.9767525668000001</v>
      </c>
      <c r="E14" s="116">
        <v>63976.146823139301</v>
      </c>
      <c r="F14" s="116">
        <v>5526.2470000000003</v>
      </c>
      <c r="G14" s="107">
        <f t="shared" si="0"/>
        <v>58449.899823139298</v>
      </c>
      <c r="H14" s="115"/>
      <c r="I14" s="106">
        <f>IFERROR(AVERAGE('1. Rates'!O17:S17),0)</f>
        <v>2.8093155999999997</v>
      </c>
      <c r="J14" s="116">
        <v>65048.10925742962</v>
      </c>
      <c r="K14" s="116">
        <v>5467.7550000000001</v>
      </c>
      <c r="L14" s="107">
        <f t="shared" si="1"/>
        <v>59580.354257429623</v>
      </c>
      <c r="M14" s="108" t="e">
        <f t="shared" si="2"/>
        <v>#DIV/0!</v>
      </c>
      <c r="N14" s="109">
        <f>IF(T14="",(IFERROR(AVERAGE('1. Rates'!AA17:AE17),0)),T14)</f>
        <v>3.1715931044444443</v>
      </c>
      <c r="O14" s="107">
        <f t="shared" si="3"/>
        <v>63240.984256724296</v>
      </c>
      <c r="P14" s="107">
        <f t="shared" si="4"/>
        <v>5497.0010000000002</v>
      </c>
      <c r="Q14" s="107">
        <f t="shared" si="5"/>
        <v>57743.983256724299</v>
      </c>
      <c r="S14" s="117"/>
      <c r="T14" s="118">
        <v>3.1715931044444443</v>
      </c>
      <c r="U14" s="116">
        <v>63240.984256724296</v>
      </c>
      <c r="V14" s="116">
        <v>5497.0010000000002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3.1879222218000001</v>
      </c>
      <c r="E15" s="116">
        <v>64528.41440765369</v>
      </c>
      <c r="F15" s="116">
        <v>5937.2549999999992</v>
      </c>
      <c r="G15" s="107">
        <f t="shared" si="0"/>
        <v>58591.159407653693</v>
      </c>
      <c r="H15" s="115"/>
      <c r="I15" s="106">
        <f>IFERROR(AVERAGE('1. Rates'!O18:S18),0)</f>
        <v>2.9351346666666664</v>
      </c>
      <c r="J15" s="116">
        <v>67810.61612347723</v>
      </c>
      <c r="K15" s="116">
        <v>5585.5410000000002</v>
      </c>
      <c r="L15" s="107">
        <f t="shared" si="1"/>
        <v>62225.075123477232</v>
      </c>
      <c r="M15" s="108" t="e">
        <f t="shared" si="2"/>
        <v>#DIV/0!</v>
      </c>
      <c r="N15" s="109">
        <f>IF(T15="",(IFERROR(AVERAGE('1. Rates'!AA18:AE18),0)),T15)</f>
        <v>3.3793836098148149</v>
      </c>
      <c r="O15" s="107">
        <f t="shared" si="3"/>
        <v>64223.479609905698</v>
      </c>
      <c r="P15" s="107">
        <f t="shared" si="4"/>
        <v>5761.3979999999992</v>
      </c>
      <c r="Q15" s="107">
        <f t="shared" si="5"/>
        <v>58462.081609905697</v>
      </c>
      <c r="S15" s="117"/>
      <c r="T15" s="118">
        <v>3.3793836098148149</v>
      </c>
      <c r="U15" s="116">
        <v>64223.479609905698</v>
      </c>
      <c r="V15" s="116">
        <v>5761.3979999999992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3.1961108751999996</v>
      </c>
      <c r="E16" s="116">
        <v>65904.134873199466</v>
      </c>
      <c r="F16" s="116">
        <v>6241.3450000000003</v>
      </c>
      <c r="G16" s="107">
        <f t="shared" si="0"/>
        <v>59662.789873199465</v>
      </c>
      <c r="H16" s="115"/>
      <c r="I16" s="106">
        <f>IFERROR(AVERAGE('1. Rates'!O19:S19),0)</f>
        <v>3.5966188899999998</v>
      </c>
      <c r="J16" s="116">
        <v>69408.330364822526</v>
      </c>
      <c r="K16" s="116">
        <v>5965.4230000000007</v>
      </c>
      <c r="L16" s="107">
        <f t="shared" si="1"/>
        <v>63442.907364822524</v>
      </c>
      <c r="M16" s="108" t="e">
        <f t="shared" si="2"/>
        <v>#DIV/0!</v>
      </c>
      <c r="N16" s="109">
        <f>IF(T16="",(IFERROR(AVERAGE('1. Rates'!AA19:AE19),0)),T16)</f>
        <v>3.3736319642592587</v>
      </c>
      <c r="O16" s="107">
        <f t="shared" si="3"/>
        <v>65666.472825912992</v>
      </c>
      <c r="P16" s="107">
        <f t="shared" si="4"/>
        <v>6103.384</v>
      </c>
      <c r="Q16" s="107">
        <f t="shared" si="5"/>
        <v>59563.088825912993</v>
      </c>
      <c r="R16" s="110"/>
      <c r="S16" s="117"/>
      <c r="T16" s="118">
        <v>3.3736319642592587</v>
      </c>
      <c r="U16" s="116">
        <v>65666.472825912992</v>
      </c>
      <c r="V16" s="116">
        <v>6103.384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2.7643635600000005</v>
      </c>
      <c r="E17" s="116">
        <v>72166.937118564427</v>
      </c>
      <c r="F17" s="116">
        <v>6995.6080000000002</v>
      </c>
      <c r="G17" s="107">
        <f t="shared" si="0"/>
        <v>65171.329118564427</v>
      </c>
      <c r="H17" s="115"/>
      <c r="I17" s="106">
        <f>IFERROR(AVERAGE('1. Rates'!O20:S20),0)</f>
        <v>2.4681066083333332</v>
      </c>
      <c r="J17" s="116">
        <v>73052.961894822118</v>
      </c>
      <c r="K17" s="116">
        <v>6821.5779999999995</v>
      </c>
      <c r="L17" s="107">
        <f t="shared" si="1"/>
        <v>66231.383894822124</v>
      </c>
      <c r="M17" s="108" t="e">
        <f t="shared" si="2"/>
        <v>#DIV/0!</v>
      </c>
      <c r="N17" s="109">
        <f>IF(T17="",(IFERROR(AVERAGE('1. Rates'!AA20:AE20),0)),T17)</f>
        <v>3.1268883175925932</v>
      </c>
      <c r="O17" s="107">
        <f t="shared" si="3"/>
        <v>72609.949506693272</v>
      </c>
      <c r="P17" s="107">
        <f t="shared" si="4"/>
        <v>6908.5929999999998</v>
      </c>
      <c r="Q17" s="107">
        <f t="shared" si="5"/>
        <v>65701.356506693279</v>
      </c>
      <c r="R17" s="110"/>
      <c r="S17" s="117"/>
      <c r="T17" s="118">
        <v>3.1268883175925932</v>
      </c>
      <c r="U17" s="116">
        <v>72609.949506693272</v>
      </c>
      <c r="V17" s="116">
        <v>6908.5929999999998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3.6258797916000001</v>
      </c>
      <c r="E18" s="116">
        <v>86436.984770929572</v>
      </c>
      <c r="F18" s="116">
        <v>8524.0960000000014</v>
      </c>
      <c r="G18" s="107">
        <f t="shared" si="0"/>
        <v>77912.888770929567</v>
      </c>
      <c r="H18" s="115"/>
      <c r="I18" s="106">
        <f>IFERROR(AVERAGE('1. Rates'!O21:S21),0)</f>
        <v>2.7753320833333337</v>
      </c>
      <c r="J18" s="116">
        <v>89781.48517000406</v>
      </c>
      <c r="K18" s="116">
        <v>8318.7610000000004</v>
      </c>
      <c r="L18" s="107">
        <f t="shared" si="1"/>
        <v>81462.724170004061</v>
      </c>
      <c r="M18" s="108" t="e">
        <f t="shared" si="2"/>
        <v>#DIV/0!</v>
      </c>
      <c r="N18" s="109">
        <f>IF(T18="",(IFERROR(AVERAGE('1. Rates'!AA21:AE21),0)),T18)</f>
        <v>3.2227306583333331</v>
      </c>
      <c r="O18" s="107">
        <f t="shared" si="3"/>
        <v>86373.134957814749</v>
      </c>
      <c r="P18" s="107">
        <f t="shared" si="4"/>
        <v>8421.4285000000018</v>
      </c>
      <c r="Q18" s="107">
        <f t="shared" si="5"/>
        <v>77951.706457814755</v>
      </c>
      <c r="R18" s="110"/>
      <c r="S18" s="117"/>
      <c r="T18" s="118">
        <v>3.2227306583333331</v>
      </c>
      <c r="U18" s="116">
        <v>86373.134957814749</v>
      </c>
      <c r="V18" s="116">
        <v>8421.4285000000018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3.3299702518000003</v>
      </c>
      <c r="E19" s="116">
        <v>100455.37947824437</v>
      </c>
      <c r="F19" s="116">
        <v>14776.649000000001</v>
      </c>
      <c r="G19" s="107">
        <f t="shared" si="0"/>
        <v>85678.730478244368</v>
      </c>
      <c r="H19" s="115"/>
      <c r="I19" s="106">
        <f>IFERROR(AVERAGE('1. Rates'!O22:S22),0)</f>
        <v>2.7932825616666661</v>
      </c>
      <c r="J19" s="116">
        <v>102110.32815270255</v>
      </c>
      <c r="K19" s="116">
        <v>15221.222000000002</v>
      </c>
      <c r="L19" s="107">
        <f t="shared" si="1"/>
        <v>86889.106152702559</v>
      </c>
      <c r="M19" s="108" t="e">
        <f t="shared" si="2"/>
        <v>#DIV/0!</v>
      </c>
      <c r="N19" s="109">
        <f>IF(T19="",(IFERROR(AVERAGE('1. Rates'!AA22:AE22),0)),T19)</f>
        <v>3.2285652248333334</v>
      </c>
      <c r="O19" s="107">
        <f t="shared" si="3"/>
        <v>100280.053282647</v>
      </c>
      <c r="P19" s="107">
        <f t="shared" si="4"/>
        <v>14998.935500000001</v>
      </c>
      <c r="Q19" s="107">
        <f t="shared" si="5"/>
        <v>85281.117782646994</v>
      </c>
      <c r="R19" s="110"/>
      <c r="S19" s="117"/>
      <c r="T19" s="118">
        <v>3.2285652248333334</v>
      </c>
      <c r="U19" s="116">
        <v>100280.053282647</v>
      </c>
      <c r="V19" s="116">
        <v>14998.935500000001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3.4755243499999997</v>
      </c>
      <c r="E20" s="116">
        <v>105369.88260763243</v>
      </c>
      <c r="F20" s="116">
        <v>14807.147000000001</v>
      </c>
      <c r="G20" s="107">
        <f t="shared" si="0"/>
        <v>90562.735607632436</v>
      </c>
      <c r="H20" s="115"/>
      <c r="I20" s="106">
        <f>IFERROR(AVERAGE('1. Rates'!O23:S23),0)</f>
        <v>3.1582357766666673</v>
      </c>
      <c r="J20" s="116">
        <v>109798.03526800268</v>
      </c>
      <c r="K20" s="116">
        <v>15132.909</v>
      </c>
      <c r="L20" s="107">
        <f t="shared" si="1"/>
        <v>94665.126268002685</v>
      </c>
      <c r="M20" s="108" t="e">
        <f t="shared" si="2"/>
        <v>#DIV/0!</v>
      </c>
      <c r="N20" s="109">
        <f>IF(T20="",(IFERROR(AVERAGE('1. Rates'!AA23:AE23),0)),T20)</f>
        <v>3.4463123538333336</v>
      </c>
      <c r="O20" s="107">
        <f t="shared" si="3"/>
        <v>105464.12992629895</v>
      </c>
      <c r="P20" s="107">
        <f t="shared" si="4"/>
        <v>14970.028</v>
      </c>
      <c r="Q20" s="107">
        <f t="shared" si="5"/>
        <v>90494.101926298943</v>
      </c>
      <c r="R20" s="110"/>
      <c r="S20" s="117"/>
      <c r="T20" s="118">
        <v>3.4463123538333336</v>
      </c>
      <c r="U20" s="116">
        <v>105464.12992629895</v>
      </c>
      <c r="V20" s="116">
        <v>14970.028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3.7158061816000001</v>
      </c>
      <c r="E21" s="116">
        <v>107139.8046087017</v>
      </c>
      <c r="F21" s="116">
        <v>14861.003000000001</v>
      </c>
      <c r="G21" s="107">
        <f t="shared" si="0"/>
        <v>92278.801608701702</v>
      </c>
      <c r="H21" s="115"/>
      <c r="I21" s="106">
        <f>IFERROR(AVERAGE('1. Rates'!O24:S24),0)</f>
        <v>2.9597700083333338</v>
      </c>
      <c r="J21" s="116">
        <v>110962.63712712209</v>
      </c>
      <c r="K21" s="116">
        <v>15601.411</v>
      </c>
      <c r="L21" s="107">
        <f t="shared" si="1"/>
        <v>95361.226127122092</v>
      </c>
      <c r="M21" s="108" t="e">
        <f t="shared" si="2"/>
        <v>#DIV/0!</v>
      </c>
      <c r="N21" s="109">
        <f>IF(T21="",(IFERROR(AVERAGE('1. Rates'!AA24:AE24),0)),T21)</f>
        <v>3.3507212874999999</v>
      </c>
      <c r="O21" s="107">
        <f t="shared" si="3"/>
        <v>107971.50580981375</v>
      </c>
      <c r="P21" s="107">
        <f t="shared" si="4"/>
        <v>15231.207</v>
      </c>
      <c r="Q21" s="107">
        <f t="shared" si="5"/>
        <v>92740.298809813758</v>
      </c>
      <c r="R21" s="110"/>
      <c r="S21" s="117"/>
      <c r="T21" s="118">
        <v>3.3507212874999999</v>
      </c>
      <c r="U21" s="116">
        <v>107971.50580981375</v>
      </c>
      <c r="V21" s="116">
        <v>15231.207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3.6672625950000004</v>
      </c>
      <c r="E22" s="116">
        <v>108066.88116540547</v>
      </c>
      <c r="F22" s="116">
        <v>14959.057000000001</v>
      </c>
      <c r="G22" s="107">
        <f t="shared" si="0"/>
        <v>93107.824165405473</v>
      </c>
      <c r="H22" s="115"/>
      <c r="I22" s="106">
        <f>IFERROR(AVERAGE('1. Rates'!O25:S25),0)</f>
        <v>3.254511373333334</v>
      </c>
      <c r="J22" s="116">
        <v>110044.24881152525</v>
      </c>
      <c r="K22" s="116">
        <v>15911.889000000001</v>
      </c>
      <c r="L22" s="107">
        <f t="shared" si="1"/>
        <v>94132.359811525253</v>
      </c>
      <c r="M22" s="108" t="e">
        <f t="shared" si="2"/>
        <v>#DIV/0!</v>
      </c>
      <c r="N22" s="109">
        <f>IF(T22="",(IFERROR(AVERAGE('1. Rates'!AA25:AE25),0)),T22)</f>
        <v>3.3440436085000003</v>
      </c>
      <c r="O22" s="107">
        <f t="shared" si="3"/>
        <v>107975.80691927264</v>
      </c>
      <c r="P22" s="107">
        <f t="shared" si="4"/>
        <v>15435.473000000002</v>
      </c>
      <c r="Q22" s="107">
        <f t="shared" si="5"/>
        <v>92540.333919272642</v>
      </c>
      <c r="R22" s="110"/>
      <c r="S22" s="117"/>
      <c r="T22" s="118">
        <v>3.3440436085000003</v>
      </c>
      <c r="U22" s="116">
        <v>107975.80691927264</v>
      </c>
      <c r="V22" s="116">
        <v>15435.473000000002</v>
      </c>
      <c r="W22" s="116"/>
    </row>
    <row r="23" spans="2:24" x14ac:dyDescent="0.3">
      <c r="B23" s="105">
        <v>14</v>
      </c>
      <c r="C23" s="115"/>
      <c r="D23" s="106">
        <f>IFERROR(AVERAGE('1. Rates'!C26:G26),0)</f>
        <v>4.2490161665999988</v>
      </c>
      <c r="E23" s="116">
        <v>113097.89517567403</v>
      </c>
      <c r="F23" s="116">
        <v>15226.323999999999</v>
      </c>
      <c r="G23" s="107">
        <f t="shared" si="0"/>
        <v>97871.571175674035</v>
      </c>
      <c r="H23" s="115"/>
      <c r="I23" s="106">
        <f>IFERROR(AVERAGE('1. Rates'!O26:S26),0)</f>
        <v>3.379267281666666</v>
      </c>
      <c r="J23" s="116">
        <v>112564.82577233891</v>
      </c>
      <c r="K23" s="116">
        <v>16641.813999999998</v>
      </c>
      <c r="L23" s="107">
        <f t="shared" si="1"/>
        <v>95923.011772338912</v>
      </c>
      <c r="M23" s="108" t="e">
        <f t="shared" si="2"/>
        <v>#DIV/0!</v>
      </c>
      <c r="N23" s="109">
        <f>IF(T23="",(IFERROR(AVERAGE('1. Rates'!AA26:AE26),0)),T23)</f>
        <v>3.7517299050303032</v>
      </c>
      <c r="O23" s="107">
        <f t="shared" si="3"/>
        <v>111714.21829109552</v>
      </c>
      <c r="P23" s="107">
        <f t="shared" si="4"/>
        <v>15934.069</v>
      </c>
      <c r="Q23" s="107">
        <f t="shared" si="5"/>
        <v>95780.149291095513</v>
      </c>
      <c r="R23" s="110"/>
      <c r="S23" s="117"/>
      <c r="T23" s="118">
        <v>3.7517299050303032</v>
      </c>
      <c r="U23" s="116">
        <v>111714.21829109552</v>
      </c>
      <c r="V23" s="116">
        <v>15934.069</v>
      </c>
      <c r="W23" s="116"/>
    </row>
    <row r="24" spans="2:24" x14ac:dyDescent="0.3">
      <c r="B24" s="105">
        <v>15</v>
      </c>
      <c r="C24" s="115"/>
      <c r="D24" s="106">
        <f>IFERROR(AVERAGE('1. Rates'!C27:G27),0)</f>
        <v>3.7827512264000007</v>
      </c>
      <c r="E24" s="116">
        <v>115819.53092456271</v>
      </c>
      <c r="F24" s="116">
        <v>15717.980000000001</v>
      </c>
      <c r="G24" s="107">
        <f t="shared" si="0"/>
        <v>100101.55092456272</v>
      </c>
      <c r="H24" s="115"/>
      <c r="I24" s="106">
        <f>IFERROR(AVERAGE('1. Rates'!O27:S27),0)</f>
        <v>4.3234331066666662</v>
      </c>
      <c r="J24" s="116">
        <v>117239.3301283489</v>
      </c>
      <c r="K24" s="116">
        <v>16285.310999999998</v>
      </c>
      <c r="L24" s="107">
        <f t="shared" si="1"/>
        <v>100954.0191283489</v>
      </c>
      <c r="M24" s="108" t="e">
        <f t="shared" si="2"/>
        <v>#DIV/0!</v>
      </c>
      <c r="N24" s="109">
        <f>IF(T24="",(IFERROR(AVERAGE('1. Rates'!AA27:AE27),0)),T24)</f>
        <v>3.9843689048333331</v>
      </c>
      <c r="O24" s="107">
        <f t="shared" si="3"/>
        <v>115375.6737885701</v>
      </c>
      <c r="P24" s="107">
        <f t="shared" si="4"/>
        <v>16001.645499999999</v>
      </c>
      <c r="Q24" s="107">
        <f t="shared" si="5"/>
        <v>99374.028288570102</v>
      </c>
      <c r="R24" s="110"/>
      <c r="S24" s="117"/>
      <c r="T24" s="118">
        <v>3.9843689048333331</v>
      </c>
      <c r="U24" s="116">
        <v>115375.6737885701</v>
      </c>
      <c r="V24" s="116">
        <v>16001.645499999999</v>
      </c>
      <c r="W24" s="116"/>
    </row>
    <row r="25" spans="2:24" x14ac:dyDescent="0.3">
      <c r="B25" s="105">
        <v>16</v>
      </c>
      <c r="C25" s="115"/>
      <c r="D25" s="106">
        <f>IFERROR(AVERAGE('1. Rates'!C28:G28),0)</f>
        <v>4.1526952984000003</v>
      </c>
      <c r="E25" s="116">
        <v>116196.43655731296</v>
      </c>
      <c r="F25" s="116">
        <v>16413.115000000002</v>
      </c>
      <c r="G25" s="107">
        <f t="shared" si="0"/>
        <v>99783.321557312956</v>
      </c>
      <c r="H25" s="115"/>
      <c r="I25" s="106">
        <f>IFERROR(AVERAGE('1. Rates'!O28:S28),0)</f>
        <v>3.8714224033333329</v>
      </c>
      <c r="J25" s="116">
        <v>116372.96282404228</v>
      </c>
      <c r="K25" s="116">
        <v>16458.113000000001</v>
      </c>
      <c r="L25" s="107">
        <f t="shared" si="1"/>
        <v>99914.849824042278</v>
      </c>
      <c r="M25" s="108" t="e">
        <f t="shared" si="2"/>
        <v>#DIV/0!</v>
      </c>
      <c r="N25" s="109">
        <f>IF(T25="",(IFERROR(AVERAGE('1. Rates'!AA28:AE28),0)),T25)</f>
        <v>3.9934035205000002</v>
      </c>
      <c r="O25" s="107">
        <f t="shared" si="3"/>
        <v>115133.36603037387</v>
      </c>
      <c r="P25" s="107">
        <f t="shared" si="4"/>
        <v>16435.614000000001</v>
      </c>
      <c r="Q25" s="107">
        <f t="shared" si="5"/>
        <v>98697.752030373871</v>
      </c>
      <c r="R25" s="110"/>
      <c r="S25" s="117"/>
      <c r="T25" s="118">
        <v>3.9934035205000002</v>
      </c>
      <c r="U25" s="116">
        <v>115133.36603037387</v>
      </c>
      <c r="V25" s="116">
        <v>16435.614000000001</v>
      </c>
      <c r="W25" s="116"/>
    </row>
    <row r="26" spans="2:24" x14ac:dyDescent="0.3">
      <c r="B26" s="105">
        <v>17</v>
      </c>
      <c r="C26" s="115"/>
      <c r="D26" s="106">
        <f>IFERROR(AVERAGE('1. Rates'!C29:G29),0)</f>
        <v>4.2226444318</v>
      </c>
      <c r="E26" s="116">
        <v>113355.80411681932</v>
      </c>
      <c r="F26" s="116">
        <v>17156.553</v>
      </c>
      <c r="G26" s="107">
        <f t="shared" si="0"/>
        <v>96199.251116819316</v>
      </c>
      <c r="H26" s="115"/>
      <c r="I26" s="106">
        <f>IFERROR(AVERAGE('1. Rates'!O29:S29),0)</f>
        <v>3.9877476566666665</v>
      </c>
      <c r="J26" s="116">
        <v>112054.49143298533</v>
      </c>
      <c r="K26" s="116">
        <v>17199.812000000002</v>
      </c>
      <c r="L26" s="107">
        <f t="shared" si="1"/>
        <v>94854.679432985329</v>
      </c>
      <c r="M26" s="108" t="e">
        <f t="shared" si="2"/>
        <v>#DIV/0!</v>
      </c>
      <c r="N26" s="109">
        <f>IF(T26="",(IFERROR(AVERAGE('1. Rates'!AA29:AE29),0)),T26)</f>
        <v>4.0973266582272725</v>
      </c>
      <c r="O26" s="107">
        <f t="shared" si="3"/>
        <v>111589.25522267557</v>
      </c>
      <c r="P26" s="107">
        <f t="shared" si="4"/>
        <v>17178.182500000003</v>
      </c>
      <c r="Q26" s="107">
        <f t="shared" si="5"/>
        <v>94411.07272267557</v>
      </c>
      <c r="R26" s="110"/>
      <c r="S26" s="117"/>
      <c r="T26" s="118">
        <v>4.0973266582272725</v>
      </c>
      <c r="U26" s="116">
        <v>111589.25522267557</v>
      </c>
      <c r="V26" s="116">
        <v>17178.182500000003</v>
      </c>
      <c r="W26" s="116"/>
    </row>
    <row r="27" spans="2:24" x14ac:dyDescent="0.3">
      <c r="B27" s="105">
        <v>18</v>
      </c>
      <c r="C27" s="115"/>
      <c r="D27" s="106">
        <f>IFERROR(AVERAGE('1. Rates'!C30:G30),0)</f>
        <v>5.5070563598000009</v>
      </c>
      <c r="E27" s="116">
        <v>106627.30635023404</v>
      </c>
      <c r="F27" s="116">
        <v>17006.031999999999</v>
      </c>
      <c r="G27" s="107">
        <f t="shared" si="0"/>
        <v>89621.274350234045</v>
      </c>
      <c r="H27" s="115"/>
      <c r="I27" s="106">
        <f>IFERROR(AVERAGE('1. Rates'!O30:S30),0)</f>
        <v>5.7525521850000008</v>
      </c>
      <c r="J27" s="116">
        <v>104935.83440599046</v>
      </c>
      <c r="K27" s="116">
        <v>16871.974000000002</v>
      </c>
      <c r="L27" s="107">
        <f t="shared" si="1"/>
        <v>88063.860405990461</v>
      </c>
      <c r="M27" s="108" t="e">
        <f t="shared" si="2"/>
        <v>#DIV/0!</v>
      </c>
      <c r="N27" s="109">
        <f>IF(T27="",(IFERROR(AVERAGE('1. Rates'!AA30:AE30),0)),T27)</f>
        <v>5.7460511374999994</v>
      </c>
      <c r="O27" s="107">
        <f t="shared" si="3"/>
        <v>104734.22809714085</v>
      </c>
      <c r="P27" s="107">
        <f t="shared" si="4"/>
        <v>16939.003000000001</v>
      </c>
      <c r="Q27" s="107">
        <f t="shared" si="5"/>
        <v>87795.22509714085</v>
      </c>
      <c r="S27" s="117"/>
      <c r="T27" s="118">
        <v>5.7460511374999994</v>
      </c>
      <c r="U27" s="116">
        <v>104734.22809714085</v>
      </c>
      <c r="V27" s="116">
        <v>16939.003000000001</v>
      </c>
      <c r="W27" s="116"/>
    </row>
    <row r="28" spans="2:24" x14ac:dyDescent="0.3">
      <c r="B28" s="105">
        <v>19</v>
      </c>
      <c r="C28" s="115"/>
      <c r="D28" s="106">
        <f>IFERROR(AVERAGE('1. Rates'!C31:G31),0)</f>
        <v>6.2436282752000007</v>
      </c>
      <c r="E28" s="116">
        <v>106710.82461183929</v>
      </c>
      <c r="F28" s="116">
        <v>16589.342000000001</v>
      </c>
      <c r="G28" s="107">
        <f t="shared" si="0"/>
        <v>90121.482611839281</v>
      </c>
      <c r="H28" s="115"/>
      <c r="I28" s="106">
        <f>IFERROR(AVERAGE('1. Rates'!O31:S31),0)</f>
        <v>5.7310927316666662</v>
      </c>
      <c r="J28" s="116">
        <v>104817.13597568934</v>
      </c>
      <c r="K28" s="116">
        <v>16782.423000000003</v>
      </c>
      <c r="L28" s="107">
        <f t="shared" si="1"/>
        <v>88034.712975689326</v>
      </c>
      <c r="M28" s="108" t="e">
        <f t="shared" si="2"/>
        <v>#DIV/0!</v>
      </c>
      <c r="N28" s="109">
        <f>IF(T28="",(IFERROR(AVERAGE('1. Rates'!AA31:AE31),0)),T28)</f>
        <v>5.2604860086666658</v>
      </c>
      <c r="O28" s="107">
        <f t="shared" si="3"/>
        <v>104716.81217204386</v>
      </c>
      <c r="P28" s="107">
        <f t="shared" si="4"/>
        <v>16685.8825</v>
      </c>
      <c r="Q28" s="107">
        <f t="shared" si="5"/>
        <v>88030.929672043858</v>
      </c>
      <c r="S28" s="117"/>
      <c r="T28" s="118">
        <v>5.2604860086666658</v>
      </c>
      <c r="U28" s="116">
        <v>104716.81217204386</v>
      </c>
      <c r="V28" s="116">
        <v>16685.8825</v>
      </c>
      <c r="W28" s="116"/>
    </row>
    <row r="29" spans="2:24" x14ac:dyDescent="0.3">
      <c r="B29" s="105">
        <v>20</v>
      </c>
      <c r="C29" s="115"/>
      <c r="D29" s="106">
        <f>IFERROR(AVERAGE('1. Rates'!C32:G32),0)</f>
        <v>4.0700260848000003</v>
      </c>
      <c r="E29" s="116">
        <v>101621.26142228127</v>
      </c>
      <c r="F29" s="116">
        <v>14940.140000000001</v>
      </c>
      <c r="G29" s="107">
        <f t="shared" si="0"/>
        <v>86681.12142228127</v>
      </c>
      <c r="H29" s="115"/>
      <c r="I29" s="106">
        <f>IFERROR(AVERAGE('1. Rates'!O32:S32),0)</f>
        <v>4.8298814016666665</v>
      </c>
      <c r="J29" s="116">
        <v>98267.262422847474</v>
      </c>
      <c r="K29" s="116">
        <v>15454.733000000002</v>
      </c>
      <c r="L29" s="107">
        <f t="shared" si="1"/>
        <v>82812.529422847467</v>
      </c>
      <c r="M29" s="108" t="e">
        <f t="shared" si="2"/>
        <v>#DIV/0!</v>
      </c>
      <c r="N29" s="109">
        <f>IF(T29="",(IFERROR(AVERAGE('1. Rates'!AA32:AE32),0)),T29)</f>
        <v>4.1989660793333332</v>
      </c>
      <c r="O29" s="107">
        <f t="shared" si="3"/>
        <v>98954.71477481621</v>
      </c>
      <c r="P29" s="107">
        <f t="shared" si="4"/>
        <v>15197.436500000002</v>
      </c>
      <c r="Q29" s="107">
        <f t="shared" si="5"/>
        <v>83757.278274816214</v>
      </c>
      <c r="S29" s="117"/>
      <c r="T29" s="118">
        <v>4.1989660793333332</v>
      </c>
      <c r="U29" s="116">
        <v>98954.71477481621</v>
      </c>
      <c r="V29" s="116">
        <v>15197.436500000002</v>
      </c>
      <c r="W29" s="116"/>
    </row>
    <row r="30" spans="2:24" x14ac:dyDescent="0.3">
      <c r="B30" s="105">
        <v>21</v>
      </c>
      <c r="C30" s="115"/>
      <c r="D30" s="106">
        <f>IFERROR(AVERAGE('1. Rates'!C33:G33),0)</f>
        <v>5.0428311036000002</v>
      </c>
      <c r="E30" s="116">
        <v>96684.575157460858</v>
      </c>
      <c r="F30" s="116">
        <v>13315.511</v>
      </c>
      <c r="G30" s="107">
        <f t="shared" si="0"/>
        <v>83369.06415746086</v>
      </c>
      <c r="H30" s="115"/>
      <c r="I30" s="106">
        <f>IFERROR(AVERAGE('1. Rates'!O33:S33),0)</f>
        <v>3.9940185850000001</v>
      </c>
      <c r="J30" s="116">
        <v>94257.971195334801</v>
      </c>
      <c r="K30" s="116">
        <v>13369.279</v>
      </c>
      <c r="L30" s="107">
        <f t="shared" si="1"/>
        <v>80888.692195334806</v>
      </c>
      <c r="M30" s="108" t="e">
        <f t="shared" si="2"/>
        <v>#DIV/0!</v>
      </c>
      <c r="N30" s="109">
        <f>IF(T30="",(IFERROR(AVERAGE('1. Rates'!AA33:AE33),0)),T30)</f>
        <v>4.1586384865000001</v>
      </c>
      <c r="O30" s="107">
        <f t="shared" si="3"/>
        <v>94526.013045938453</v>
      </c>
      <c r="P30" s="107">
        <f t="shared" si="4"/>
        <v>13342.395</v>
      </c>
      <c r="Q30" s="107">
        <f t="shared" si="5"/>
        <v>81183.618045938449</v>
      </c>
      <c r="S30" s="117"/>
      <c r="T30" s="118">
        <v>4.1586384865000001</v>
      </c>
      <c r="U30" s="116">
        <v>94526.013045938453</v>
      </c>
      <c r="V30" s="116">
        <v>13342.395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3.4051924184</v>
      </c>
      <c r="E31" s="116">
        <v>91658.376339146009</v>
      </c>
      <c r="F31" s="116">
        <v>10407.030000000001</v>
      </c>
      <c r="G31" s="107">
        <f t="shared" si="0"/>
        <v>81251.34633914601</v>
      </c>
      <c r="H31" s="115"/>
      <c r="I31" s="106">
        <f>IFERROR(AVERAGE('1. Rates'!O34:S34),0)</f>
        <v>4.352574203333333</v>
      </c>
      <c r="J31" s="116">
        <v>89480.267382575024</v>
      </c>
      <c r="K31" s="116">
        <v>9026.7510000000002</v>
      </c>
      <c r="L31" s="107">
        <f t="shared" si="1"/>
        <v>80453.516382575021</v>
      </c>
      <c r="M31" s="108" t="e">
        <f t="shared" si="2"/>
        <v>#DIV/0!</v>
      </c>
      <c r="N31" s="109">
        <f>IF(T31="",(IFERROR(AVERAGE('1. Rates'!AA34:AE34),0)),T31)</f>
        <v>3.6974940184999996</v>
      </c>
      <c r="O31" s="107">
        <f t="shared" si="3"/>
        <v>88784.748417665425</v>
      </c>
      <c r="P31" s="107">
        <f t="shared" si="4"/>
        <v>9716.8905000000013</v>
      </c>
      <c r="Q31" s="107">
        <f t="shared" si="5"/>
        <v>79067.857917665417</v>
      </c>
      <c r="S31" s="117"/>
      <c r="T31" s="118">
        <v>3.6974940184999996</v>
      </c>
      <c r="U31" s="116">
        <v>88784.748417665425</v>
      </c>
      <c r="V31" s="116">
        <v>9716.8905000000013</v>
      </c>
      <c r="W31" s="116"/>
    </row>
    <row r="32" spans="2:24" x14ac:dyDescent="0.3">
      <c r="B32" s="105">
        <v>23</v>
      </c>
      <c r="C32" s="115"/>
      <c r="D32" s="106">
        <f>IFERROR(AVERAGE('1. Rates'!C35:G35),0)</f>
        <v>3.5412231802000003</v>
      </c>
      <c r="E32" s="116">
        <v>85893.681362171308</v>
      </c>
      <c r="F32" s="116">
        <v>6565.8539999999994</v>
      </c>
      <c r="G32" s="107">
        <f t="shared" si="0"/>
        <v>79327.827362171316</v>
      </c>
      <c r="H32" s="115"/>
      <c r="I32" s="106">
        <f>IFERROR(AVERAGE('1. Rates'!O35:S35),0)</f>
        <v>3.6684116716666666</v>
      </c>
      <c r="J32" s="116">
        <v>83028.519352377887</v>
      </c>
      <c r="K32" s="116">
        <v>6217.7459999999992</v>
      </c>
      <c r="L32" s="107">
        <f t="shared" si="1"/>
        <v>76810.773352377888</v>
      </c>
      <c r="M32" s="108" t="e">
        <f t="shared" si="2"/>
        <v>#DIV/0!</v>
      </c>
      <c r="N32" s="109">
        <f>IF(T32="",(IFERROR(AVERAGE('1. Rates'!AA35:AE35),0)),T32)</f>
        <v>3.5592570600000002</v>
      </c>
      <c r="O32" s="107">
        <f t="shared" si="3"/>
        <v>82796.883008797755</v>
      </c>
      <c r="P32" s="107">
        <f t="shared" si="4"/>
        <v>6391.7999999999993</v>
      </c>
      <c r="Q32" s="107">
        <f t="shared" si="5"/>
        <v>76405.083008797752</v>
      </c>
      <c r="S32" s="117"/>
      <c r="T32" s="118">
        <v>3.5592570600000002</v>
      </c>
      <c r="U32" s="116">
        <v>82796.883008797755</v>
      </c>
      <c r="V32" s="116">
        <v>6391.7999999999993</v>
      </c>
      <c r="W32" s="116"/>
    </row>
    <row r="33" spans="2:24" x14ac:dyDescent="0.3">
      <c r="B33" s="105">
        <v>24</v>
      </c>
      <c r="C33" s="115"/>
      <c r="D33" s="106">
        <f>IFERROR(AVERAGE('1. Rates'!C36:G36),0)</f>
        <v>3.7625104136000003</v>
      </c>
      <c r="E33" s="116">
        <v>81549.283141745793</v>
      </c>
      <c r="F33" s="116">
        <v>5866.4030000000002</v>
      </c>
      <c r="G33" s="107">
        <f t="shared" si="0"/>
        <v>75682.880141745787</v>
      </c>
      <c r="H33" s="115"/>
      <c r="I33" s="106">
        <f>IFERROR(AVERAGE('1. Rates'!O36:S36),0)</f>
        <v>3.9429726450000002</v>
      </c>
      <c r="J33" s="116">
        <v>78794.550016005422</v>
      </c>
      <c r="K33" s="116">
        <v>5829.991</v>
      </c>
      <c r="L33" s="107">
        <f t="shared" si="1"/>
        <v>72964.559016005427</v>
      </c>
      <c r="M33" s="108" t="e">
        <f t="shared" si="2"/>
        <v>#DIV/0!</v>
      </c>
      <c r="N33" s="109">
        <f>IF(T33="",(IFERROR(AVERAGE('1. Rates'!AA36:AE36),0)),T33)</f>
        <v>3.5425540156666671</v>
      </c>
      <c r="O33" s="107">
        <f t="shared" si="3"/>
        <v>78592.213095652973</v>
      </c>
      <c r="P33" s="107">
        <f t="shared" si="4"/>
        <v>5848.1970000000001</v>
      </c>
      <c r="Q33" s="107">
        <f t="shared" si="5"/>
        <v>72744.016095652973</v>
      </c>
      <c r="S33" s="117"/>
      <c r="T33" s="118">
        <v>3.5425540156666671</v>
      </c>
      <c r="U33" s="116">
        <v>78592.213095652973</v>
      </c>
      <c r="V33" s="116">
        <v>5848.1970000000001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2.7643635600000005</v>
      </c>
      <c r="E34" s="114">
        <f t="shared" si="6"/>
        <v>63976.146823139301</v>
      </c>
      <c r="F34" s="114">
        <f t="shared" si="6"/>
        <v>5526.2470000000003</v>
      </c>
      <c r="G34" s="114">
        <f t="shared" ref="G34:K34" si="7">MIN(G10:G33)</f>
        <v>58449.899823139298</v>
      </c>
      <c r="H34" s="112">
        <f t="shared" si="7"/>
        <v>0</v>
      </c>
      <c r="I34" s="113">
        <f t="shared" si="7"/>
        <v>2.3732842783333332</v>
      </c>
      <c r="J34" s="114">
        <f t="shared" si="7"/>
        <v>65048.10925742962</v>
      </c>
      <c r="K34" s="114">
        <f t="shared" si="7"/>
        <v>5463.7430000000004</v>
      </c>
      <c r="L34" s="114">
        <f t="shared" ref="L34:Q34" si="8">MIN(L10:L33)</f>
        <v>59580.354257429623</v>
      </c>
      <c r="M34" s="112" t="e">
        <f t="shared" si="8"/>
        <v>#DIV/0!</v>
      </c>
      <c r="N34" s="113">
        <f t="shared" si="8"/>
        <v>2.7296710018518513</v>
      </c>
      <c r="O34" s="114">
        <f t="shared" si="8"/>
        <v>63240.984256724296</v>
      </c>
      <c r="P34" s="114">
        <f t="shared" si="8"/>
        <v>5497.0010000000002</v>
      </c>
      <c r="Q34" s="114">
        <f t="shared" si="8"/>
        <v>57743.983256724299</v>
      </c>
      <c r="S34" s="112">
        <f>MIN(S10:S33)</f>
        <v>0</v>
      </c>
      <c r="T34" s="113">
        <f t="shared" ref="T34:W34" si="9">MIN(T10:T33)</f>
        <v>2.7296710018518513</v>
      </c>
      <c r="U34" s="114">
        <f t="shared" si="9"/>
        <v>63240.984256724296</v>
      </c>
      <c r="V34" s="114">
        <f t="shared" si="9"/>
        <v>5497.0010000000002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3.7436226260666672</v>
      </c>
      <c r="E35" s="114">
        <f t="shared" si="10"/>
        <v>90863.276247667774</v>
      </c>
      <c r="F35" s="114">
        <f t="shared" si="10"/>
        <v>11019.822333333335</v>
      </c>
      <c r="G35" s="114">
        <f t="shared" ref="G35:K35" si="12">AVERAGE(G10:G33)</f>
        <v>79843.45391433443</v>
      </c>
      <c r="H35" s="112" t="e">
        <f t="shared" si="12"/>
        <v>#DIV/0!</v>
      </c>
      <c r="I35" s="113">
        <f t="shared" si="12"/>
        <v>3.551833731111111</v>
      </c>
      <c r="J35" s="114">
        <f t="shared" si="12"/>
        <v>91093.090406174553</v>
      </c>
      <c r="K35" s="114">
        <f t="shared" si="12"/>
        <v>11105.081416666668</v>
      </c>
      <c r="L35" s="114">
        <f t="shared" ref="L35:Q35" si="13">AVERAGE(L10:L33)</f>
        <v>79988.008989507871</v>
      </c>
      <c r="M35" s="112" t="e">
        <f t="shared" si="13"/>
        <v>#DIV/0!</v>
      </c>
      <c r="N35" s="113">
        <f t="shared" si="13"/>
        <v>3.6542531523988493</v>
      </c>
      <c r="O35" s="114">
        <f t="shared" si="13"/>
        <v>89788.059293348982</v>
      </c>
      <c r="P35" s="114">
        <f t="shared" si="13"/>
        <v>11062.451875000001</v>
      </c>
      <c r="Q35" s="114">
        <f t="shared" si="13"/>
        <v>78725.607418348969</v>
      </c>
      <c r="S35" s="112" t="str">
        <f>IFERROR(AVERAGE(S10:S33),"")</f>
        <v/>
      </c>
      <c r="T35" s="113">
        <f>IFERROR(AVERAGE(T10:T33),"")</f>
        <v>3.6542531523988493</v>
      </c>
      <c r="U35" s="114">
        <f>IFERROR(AVERAGE(U10:U33),"")</f>
        <v>89788.059293348982</v>
      </c>
      <c r="V35" s="114">
        <f t="shared" ref="V35:W35" si="14">IFERROR(AVERAGE(V10:V33),"")</f>
        <v>11062.451875000001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6.2436282752000007</v>
      </c>
      <c r="E36" s="114">
        <f t="shared" si="15"/>
        <v>116196.43655731296</v>
      </c>
      <c r="F36" s="114">
        <f t="shared" si="15"/>
        <v>17156.553</v>
      </c>
      <c r="G36" s="114">
        <f t="shared" ref="G36:K36" si="17">MAX(G10:G33)</f>
        <v>100101.55092456272</v>
      </c>
      <c r="H36" s="112">
        <f t="shared" si="17"/>
        <v>0</v>
      </c>
      <c r="I36" s="113">
        <f t="shared" si="17"/>
        <v>5.7525521850000008</v>
      </c>
      <c r="J36" s="114">
        <f t="shared" si="17"/>
        <v>117239.3301283489</v>
      </c>
      <c r="K36" s="114">
        <f t="shared" si="17"/>
        <v>17199.812000000002</v>
      </c>
      <c r="L36" s="114">
        <f t="shared" ref="L36:Q36" si="18">MAX(L10:L33)</f>
        <v>100954.0191283489</v>
      </c>
      <c r="M36" s="112" t="e">
        <f t="shared" si="18"/>
        <v>#DIV/0!</v>
      </c>
      <c r="N36" s="113">
        <f t="shared" si="18"/>
        <v>5.7460511374999994</v>
      </c>
      <c r="O36" s="114">
        <f t="shared" si="18"/>
        <v>115375.6737885701</v>
      </c>
      <c r="P36" s="114">
        <f t="shared" si="18"/>
        <v>17178.182500000003</v>
      </c>
      <c r="Q36" s="114">
        <f t="shared" si="18"/>
        <v>99374.028288570102</v>
      </c>
      <c r="S36" s="112">
        <f t="shared" ref="S36:W36" si="19">MAX(S10:S33)</f>
        <v>0</v>
      </c>
      <c r="T36" s="113">
        <f t="shared" si="19"/>
        <v>5.7460511374999994</v>
      </c>
      <c r="U36" s="114">
        <f t="shared" si="19"/>
        <v>115375.6737885701</v>
      </c>
      <c r="V36" s="114">
        <f t="shared" si="19"/>
        <v>17178.182500000003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2180718.6299440265</v>
      </c>
      <c r="F37" s="114">
        <f t="shared" ref="F37" si="20">SUM(F10:F33)</f>
        <v>264475.73600000003</v>
      </c>
      <c r="G37" s="114">
        <f t="shared" ref="G37" si="21">SUM(G10:G33)</f>
        <v>1916242.8939440264</v>
      </c>
      <c r="H37" s="112"/>
      <c r="I37" s="112"/>
      <c r="J37" s="114">
        <f t="shared" ref="J37:L37" si="22">SUM(J10:J33)</f>
        <v>2186234.1697481894</v>
      </c>
      <c r="K37" s="114">
        <f t="shared" si="22"/>
        <v>266521.95400000003</v>
      </c>
      <c r="L37" s="114">
        <f t="shared" si="22"/>
        <v>1919712.2157481888</v>
      </c>
      <c r="M37" s="112"/>
      <c r="N37" s="112"/>
      <c r="O37" s="114">
        <f t="shared" ref="O37:P37" si="23">SUM(O10:O33)</f>
        <v>2154913.4230403756</v>
      </c>
      <c r="P37" s="114">
        <f t="shared" si="23"/>
        <v>265498.84500000003</v>
      </c>
      <c r="Q37" s="114">
        <f>SUM(Q10:Q33)</f>
        <v>1889414.5780403754</v>
      </c>
      <c r="S37" s="112"/>
      <c r="T37" s="112"/>
      <c r="U37" s="114">
        <f t="shared" ref="U37:W37" si="24">SUM(U10:U33)</f>
        <v>2154913.4230403756</v>
      </c>
      <c r="V37" s="114">
        <f t="shared" si="24"/>
        <v>265498.84500000003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S7:W7"/>
    <mergeCell ref="S8:W8"/>
    <mergeCell ref="C2:E2"/>
    <mergeCell ref="H8:L8"/>
    <mergeCell ref="M8:Q8"/>
    <mergeCell ref="B7:B9"/>
    <mergeCell ref="C8:G8"/>
    <mergeCell ref="C7:G7"/>
    <mergeCell ref="H7:L7"/>
    <mergeCell ref="M7:Q7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tabSelected="1" zoomScale="84" zoomScaleNormal="84" workbookViewId="0">
      <pane xSplit="2" ySplit="5" topLeftCell="L6" activePane="bottomRight" state="frozen"/>
      <selection pane="topRight" activeCell="C1" sqref="C1"/>
      <selection pane="bottomLeft" activeCell="A5" sqref="A5"/>
      <selection pane="bottomRight" activeCell="N6" sqref="N6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5.1681205805059056</v>
      </c>
      <c r="P2" s="4" t="s">
        <v>124</v>
      </c>
      <c r="R2" s="59">
        <f>'4.Projected'!BX29</f>
        <v>5.5991691760865487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71" t="s">
        <v>130</v>
      </c>
      <c r="O4" s="171"/>
      <c r="P4" s="171"/>
      <c r="Q4" s="171"/>
      <c r="R4" s="171"/>
      <c r="S4" s="171"/>
      <c r="T4" s="171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73122.491304349824</v>
      </c>
      <c r="D6" s="53">
        <f>'2. Energy'!P10</f>
        <v>5801.1880000000001</v>
      </c>
      <c r="E6" s="53">
        <f>'2. Energy'!Q10</f>
        <v>67321.303304349829</v>
      </c>
      <c r="F6" s="53">
        <f>IF('1. Rates'!$C$62&lt;'2. Energy'!N10*(1+'1. Rates'!$J$60),'1. Rates'!$C$41,'1. Rates'!$C$42)</f>
        <v>20000</v>
      </c>
      <c r="G6" s="53">
        <f>IF('1. Rates'!$D$62&lt;'2. Energy'!N10*(1+'1. Rates'!$J$60),'1. Rates'!$D$41,'1. Rates'!$D$42)</f>
        <v>5000</v>
      </c>
      <c r="H6" s="53">
        <f>IF('1. Rates'!$E$62&lt;'2. Energy'!N10*(1+'1. Rates'!$J$60),'1. Rates'!$E$41,'1. Rates'!$E$42)</f>
        <v>10000</v>
      </c>
      <c r="I6" s="53">
        <f>IF('1. Rates'!F$62&lt;'2. Energy'!$N10*(1+'1. Rates'!$J$60),'1. Rates'!F$41,'1. Rates'!F$42)</f>
        <v>10000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22321.303304349829</v>
      </c>
      <c r="N6" s="119">
        <v>14000</v>
      </c>
      <c r="O6" s="119">
        <v>2500</v>
      </c>
      <c r="P6" s="119">
        <v>10000</v>
      </c>
      <c r="Q6" s="119">
        <v>10000</v>
      </c>
      <c r="R6" s="119">
        <v>20000</v>
      </c>
      <c r="S6" s="119">
        <v>10000</v>
      </c>
      <c r="T6" s="119"/>
      <c r="U6" s="53">
        <f>'2. Energy'!N10*(1+'1. Rates'!$J$60)</f>
        <v>3.705728593867502</v>
      </c>
      <c r="V6" s="53">
        <f>(SUM('4.Projected'!W5:AC5)+SUM('4.Projected'!AF5:AK5))/(SUM('4.Projected'!F5:K5))</f>
        <v>4.6425311660594524</v>
      </c>
      <c r="W6" s="53">
        <f t="shared" ref="W6:AC6" si="0">IF(N6="",F6,N6)</f>
        <v>14000</v>
      </c>
      <c r="X6" s="53">
        <f t="shared" si="0"/>
        <v>2500</v>
      </c>
      <c r="Y6" s="53">
        <f t="shared" si="0"/>
        <v>10000</v>
      </c>
      <c r="Z6" s="53">
        <f t="shared" si="0"/>
        <v>10000</v>
      </c>
      <c r="AA6" s="53">
        <f t="shared" si="0"/>
        <v>20000</v>
      </c>
      <c r="AB6" s="53">
        <f t="shared" si="0"/>
        <v>10000</v>
      </c>
      <c r="AC6" s="53">
        <f t="shared" si="0"/>
        <v>0</v>
      </c>
      <c r="AD6" s="53">
        <f>E6-(W6+X6+Y6+Z6+AA6+AB6+AC6)</f>
        <v>821.30330434982898</v>
      </c>
    </row>
    <row r="7" spans="2:30" ht="18" customHeight="1" x14ac:dyDescent="0.3">
      <c r="B7" s="14">
        <v>2</v>
      </c>
      <c r="C7" s="53">
        <f>'2. Energy'!O11</f>
        <v>69735.585161123177</v>
      </c>
      <c r="D7" s="53">
        <f>'2. Energy'!P11</f>
        <v>5641.719000000001</v>
      </c>
      <c r="E7" s="53">
        <f>'2. Energy'!Q11</f>
        <v>64093.86616112318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41593.86616112318</v>
      </c>
      <c r="N7" s="119">
        <v>10000</v>
      </c>
      <c r="O7" s="119">
        <v>2500</v>
      </c>
      <c r="P7" s="119">
        <v>5000</v>
      </c>
      <c r="Q7" s="119">
        <v>5000</v>
      </c>
      <c r="R7" s="119">
        <v>10000</v>
      </c>
      <c r="S7" s="119">
        <v>0</v>
      </c>
      <c r="T7" s="119"/>
      <c r="U7" s="53">
        <f>'2. Energy'!N11*(1+'1. Rates'!$J$60)</f>
        <v>3.4290673159524201</v>
      </c>
      <c r="V7" s="53">
        <f>(SUM('4.Projected'!W6:AC6)+SUM('4.Projected'!AF6:AK6))/(SUM('4.Projected'!F6:K6))</f>
        <v>4.8096861818188366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10000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31593.86616112318</v>
      </c>
    </row>
    <row r="8" spans="2:30" ht="18" customHeight="1" x14ac:dyDescent="0.3">
      <c r="B8" s="14">
        <v>3</v>
      </c>
      <c r="C8" s="53">
        <f>'2. Energy'!O12</f>
        <v>66861.164265107829</v>
      </c>
      <c r="D8" s="53">
        <f>'2. Energy'!P12</f>
        <v>5541.0945000000002</v>
      </c>
      <c r="E8" s="53">
        <f>'2. Energy'!Q12</f>
        <v>61320.06976510783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38820.06976510783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2.9894237691211831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38820.06976510783</v>
      </c>
    </row>
    <row r="9" spans="2:30" ht="18" customHeight="1" x14ac:dyDescent="0.3">
      <c r="B9" s="14">
        <v>4</v>
      </c>
      <c r="C9" s="53">
        <f>'2. Energy'!O13</f>
        <v>64470.53926994084</v>
      </c>
      <c r="D9" s="53">
        <f>'2. Energy'!P13</f>
        <v>5516.2800000000007</v>
      </c>
      <c r="E9" s="53">
        <f>'2. Energy'!Q13</f>
        <v>58954.259269940841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36454.259269940841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2.959415632779645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36454.259269940841</v>
      </c>
    </row>
    <row r="10" spans="2:30" ht="18" customHeight="1" x14ac:dyDescent="0.3">
      <c r="B10" s="14">
        <v>5</v>
      </c>
      <c r="C10" s="53">
        <f>'2. Energy'!O14</f>
        <v>63240.984256724296</v>
      </c>
      <c r="D10" s="53">
        <f>'2. Energy'!P14</f>
        <v>5497.0010000000002</v>
      </c>
      <c r="E10" s="53">
        <f>'2. Energy'!Q14</f>
        <v>57743.983256724299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35243.983256724299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10000</v>
      </c>
      <c r="S10" s="119">
        <v>0</v>
      </c>
      <c r="T10" s="119"/>
      <c r="U10" s="53">
        <f>'2. Energy'!N14*(1+'1. Rates'!$J$60)</f>
        <v>3.4385324120530871</v>
      </c>
      <c r="V10" s="53">
        <f>(SUM('4.Projected'!W9:AC9)+SUM('4.Projected'!AF9:AK9))/(SUM('4.Projected'!F9:K9))</f>
        <v>4.8096861818188366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10000</v>
      </c>
      <c r="AB10" s="53">
        <f t="shared" si="7"/>
        <v>0</v>
      </c>
      <c r="AC10" s="53">
        <f t="shared" si="8"/>
        <v>0</v>
      </c>
      <c r="AD10" s="53">
        <f t="shared" si="9"/>
        <v>25243.983256724299</v>
      </c>
    </row>
    <row r="11" spans="2:30" ht="18" customHeight="1" x14ac:dyDescent="0.3">
      <c r="B11" s="14">
        <v>6</v>
      </c>
      <c r="C11" s="53">
        <f>'2. Energy'!O15</f>
        <v>64223.479609905698</v>
      </c>
      <c r="D11" s="53">
        <f>'2. Energy'!P15</f>
        <v>5761.3979999999992</v>
      </c>
      <c r="E11" s="53">
        <f>'2. Energy'!Q15</f>
        <v>58462.081609905697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35962.081609905697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10000</v>
      </c>
      <c r="S11" s="119">
        <v>0</v>
      </c>
      <c r="T11" s="119"/>
      <c r="U11" s="53">
        <f>'2. Energy'!N15*(1+'1. Rates'!$J$60)</f>
        <v>3.6638117477382575</v>
      </c>
      <c r="V11" s="53">
        <f>(SUM('4.Projected'!W10:AC10)+SUM('4.Projected'!AF10:AK10))/(SUM('4.Projected'!F10:K10))</f>
        <v>4.8096861818188366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10000</v>
      </c>
      <c r="AB11" s="53">
        <f t="shared" si="7"/>
        <v>0</v>
      </c>
      <c r="AC11" s="53">
        <f t="shared" si="8"/>
        <v>0</v>
      </c>
      <c r="AD11" s="53">
        <f t="shared" si="9"/>
        <v>25962.081609905697</v>
      </c>
    </row>
    <row r="12" spans="2:30" ht="18" customHeight="1" x14ac:dyDescent="0.3">
      <c r="B12" s="14">
        <v>7</v>
      </c>
      <c r="C12" s="53">
        <f>'2. Energy'!O16</f>
        <v>65666.472825912992</v>
      </c>
      <c r="D12" s="53">
        <f>'2. Energy'!P16</f>
        <v>6103.384</v>
      </c>
      <c r="E12" s="53">
        <f>'2. Energy'!Q16</f>
        <v>59563.088825912993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37063.088825912993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10000</v>
      </c>
      <c r="S12" s="119">
        <v>0</v>
      </c>
      <c r="T12" s="119"/>
      <c r="U12" s="53">
        <f>'2. Energy'!N16*(1+'1. Rates'!$J$60)</f>
        <v>3.6575760109920439</v>
      </c>
      <c r="V12" s="53">
        <f>(SUM('4.Projected'!W11:AC11)+SUM('4.Projected'!AF11:AK11))/(SUM('4.Projected'!F11:K11))</f>
        <v>4.8096861818188366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10000</v>
      </c>
      <c r="AB12" s="53">
        <f t="shared" si="7"/>
        <v>0</v>
      </c>
      <c r="AC12" s="53">
        <f t="shared" si="8"/>
        <v>0</v>
      </c>
      <c r="AD12" s="53">
        <f t="shared" si="9"/>
        <v>27063.088825912993</v>
      </c>
    </row>
    <row r="13" spans="2:30" ht="18" customHeight="1" x14ac:dyDescent="0.3">
      <c r="B13" s="14">
        <v>8</v>
      </c>
      <c r="C13" s="53">
        <f>'2. Energy'!O17</f>
        <v>72609.949506693272</v>
      </c>
      <c r="D13" s="53">
        <f>'2. Energy'!P17</f>
        <v>6908.5929999999998</v>
      </c>
      <c r="E13" s="53">
        <f>'2. Energy'!Q17</f>
        <v>65701.356506693279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43201.356506693279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10000</v>
      </c>
      <c r="S13" s="119">
        <v>0</v>
      </c>
      <c r="T13" s="119"/>
      <c r="U13" s="53">
        <f>'2. Energy'!N17*(1+'1. Rates'!$J$60)</f>
        <v>3.3900650161728896</v>
      </c>
      <c r="V13" s="53">
        <f>(SUM('4.Projected'!W12:AC12)+SUM('4.Projected'!AF12:AK12))/(SUM('4.Projected'!F12:K12))</f>
        <v>4.8096861818188366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10000</v>
      </c>
      <c r="AB13" s="53">
        <f t="shared" si="7"/>
        <v>0</v>
      </c>
      <c r="AC13" s="53">
        <f t="shared" si="8"/>
        <v>0</v>
      </c>
      <c r="AD13" s="53">
        <f t="shared" si="9"/>
        <v>33201.356506693279</v>
      </c>
    </row>
    <row r="14" spans="2:30" ht="18" customHeight="1" x14ac:dyDescent="0.3">
      <c r="B14" s="14">
        <v>9</v>
      </c>
      <c r="C14" s="53">
        <f>'2. Energy'!O18</f>
        <v>86373.134957814749</v>
      </c>
      <c r="D14" s="53">
        <f>'2. Energy'!P18</f>
        <v>8421.4285000000018</v>
      </c>
      <c r="E14" s="53">
        <f>'2. Energy'!Q18</f>
        <v>77951.706457814755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55451.706457814755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3.4939739932173444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35451.706457814755</v>
      </c>
    </row>
    <row r="15" spans="2:30" ht="18" customHeight="1" x14ac:dyDescent="0.3">
      <c r="B15" s="14">
        <v>10</v>
      </c>
      <c r="C15" s="53">
        <f>'2. Energy'!O19</f>
        <v>100280.053282647</v>
      </c>
      <c r="D15" s="53">
        <f>'2. Energy'!P19</f>
        <v>14998.935500000001</v>
      </c>
      <c r="E15" s="53">
        <f>'2. Energy'!Q19</f>
        <v>85281.117782646994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62781.117782646994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0</v>
      </c>
      <c r="T15" s="119"/>
      <c r="U15" s="53">
        <f>'2. Energy'!N19*(1+'1. Rates'!$J$60)</f>
        <v>3.5002996300061295</v>
      </c>
      <c r="V15" s="53">
        <f>(SUM('4.Projected'!W14:AC14)+SUM('4.Projected'!AF14:AK14))/(SUM('4.Projected'!F14:K14))</f>
        <v>5.1324423743320509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0</v>
      </c>
      <c r="AC15" s="53">
        <f t="shared" si="8"/>
        <v>0</v>
      </c>
      <c r="AD15" s="53">
        <f t="shared" si="9"/>
        <v>42781.117782646994</v>
      </c>
    </row>
    <row r="16" spans="2:30" ht="18" customHeight="1" x14ac:dyDescent="0.3">
      <c r="B16" s="14">
        <v>11</v>
      </c>
      <c r="C16" s="53">
        <f>'2. Energy'!O20</f>
        <v>105464.12992629895</v>
      </c>
      <c r="D16" s="53">
        <f>'2. Energy'!P20</f>
        <v>14970.028</v>
      </c>
      <c r="E16" s="53">
        <f>'2. Energy'!Q20</f>
        <v>90494.101926298943</v>
      </c>
      <c r="F16" s="53">
        <f>IF('1. Rates'!$C$62&lt;'2. Energy'!N20*(1+'1. Rates'!$J$60),'1. Rates'!$C$41,'1. Rates'!$C$42)</f>
        <v>20000</v>
      </c>
      <c r="G16" s="53">
        <f>IF('1. Rates'!$D$62&lt;'2. Energy'!N20*(1+'1. Rates'!$J$60),'1. Rates'!$D$41,'1. Rates'!$D$42)</f>
        <v>5000</v>
      </c>
      <c r="H16" s="53">
        <f>IF('1. Rates'!$E$62&lt;'2. Energy'!N20*(1+'1. Rates'!$J$60),'1. Rates'!$E$41,'1. Rates'!$E$42)</f>
        <v>10000</v>
      </c>
      <c r="I16" s="53">
        <f>IF('1. Rates'!F$62&lt;'2. Energy'!$N20*(1+'1. Rates'!$J$60),'1. Rates'!F$41,'1. Rates'!F$42)</f>
        <v>10000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45494.101926298943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10000</v>
      </c>
      <c r="T16" s="119"/>
      <c r="U16" s="53">
        <f>'2. Energy'!N20*(1+'1. Rates'!$J$60)</f>
        <v>3.7363735953734989</v>
      </c>
      <c r="V16" s="53">
        <f>(SUM('4.Projected'!W15:AC15)+SUM('4.Projected'!AF15:AK15))/(SUM('4.Projected'!F15:K15))</f>
        <v>4.895147360982989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10000</v>
      </c>
      <c r="AC16" s="53">
        <f t="shared" si="8"/>
        <v>0</v>
      </c>
      <c r="AD16" s="53">
        <f t="shared" si="9"/>
        <v>37994.101926298943</v>
      </c>
    </row>
    <row r="17" spans="2:30" ht="18" customHeight="1" x14ac:dyDescent="0.3">
      <c r="B17" s="14">
        <v>12</v>
      </c>
      <c r="C17" s="53">
        <f>'2. Energy'!O21</f>
        <v>107971.50580981375</v>
      </c>
      <c r="D17" s="53">
        <f>'2. Energy'!P21</f>
        <v>15231.207</v>
      </c>
      <c r="E17" s="53">
        <f>'2. Energy'!Q21</f>
        <v>92740.298809813758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70240.298809813758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10000</v>
      </c>
      <c r="T17" s="119"/>
      <c r="U17" s="53">
        <f>'2. Energy'!N21*(1+'1. Rates'!$J$60)</f>
        <v>3.6327370414191855</v>
      </c>
      <c r="V17" s="53">
        <f>(SUM('4.Projected'!W16:AC16)+SUM('4.Projected'!AF16:AK16))/(SUM('4.Projected'!F16:K16))</f>
        <v>4.895147360982989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10000</v>
      </c>
      <c r="AC17" s="53">
        <f t="shared" si="8"/>
        <v>0</v>
      </c>
      <c r="AD17" s="53">
        <f t="shared" si="9"/>
        <v>40240.298809813758</v>
      </c>
    </row>
    <row r="18" spans="2:30" ht="18" customHeight="1" x14ac:dyDescent="0.3">
      <c r="B18" s="14">
        <v>13</v>
      </c>
      <c r="C18" s="53">
        <f>'2. Energy'!O22</f>
        <v>107975.80691927264</v>
      </c>
      <c r="D18" s="53">
        <f>'2. Energy'!P22</f>
        <v>15435.473000000002</v>
      </c>
      <c r="E18" s="53">
        <f>'2. Energy'!Q22</f>
        <v>92540.333919272642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70040.333919272642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10000</v>
      </c>
      <c r="T18" s="119"/>
      <c r="U18" s="53">
        <f>'2. Energy'!N22*(1+'1. Rates'!$J$60)</f>
        <v>3.6254973309889262</v>
      </c>
      <c r="V18" s="53">
        <f>(SUM('4.Projected'!W17:AC17)+SUM('4.Projected'!AF17:AK17))/(SUM('4.Projected'!F17:K17))</f>
        <v>4.895147360982989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10000</v>
      </c>
      <c r="AC18" s="53">
        <f t="shared" si="8"/>
        <v>0</v>
      </c>
      <c r="AD18" s="53">
        <f t="shared" si="9"/>
        <v>40040.333919272642</v>
      </c>
    </row>
    <row r="19" spans="2:30" ht="18" customHeight="1" x14ac:dyDescent="0.3">
      <c r="B19" s="14">
        <v>14</v>
      </c>
      <c r="C19" s="53">
        <f>'2. Energy'!O23</f>
        <v>111714.21829109552</v>
      </c>
      <c r="D19" s="53">
        <f>'2. Energy'!P23</f>
        <v>15934.069</v>
      </c>
      <c r="E19" s="53">
        <f>'2. Energy'!Q23</f>
        <v>95780.149291095513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10000</v>
      </c>
      <c r="L19" s="53">
        <f>IF('1. Rates'!Q54&lt;('2. Energy'!N23*(1+'1. Rates'!$J$60)),'1. Rates'!$I$42,0)</f>
        <v>0</v>
      </c>
      <c r="M19" s="53">
        <f t="shared" si="1"/>
        <v>40780.149291095513</v>
      </c>
      <c r="N19" s="119">
        <v>20000</v>
      </c>
      <c r="O19" s="119">
        <v>5000</v>
      </c>
      <c r="P19" s="119">
        <v>10000</v>
      </c>
      <c r="Q19" s="119">
        <v>10000</v>
      </c>
      <c r="R19" s="119">
        <v>20000</v>
      </c>
      <c r="S19" s="119">
        <v>10000</v>
      </c>
      <c r="T19" s="119"/>
      <c r="U19" s="53">
        <f>'2. Energy'!N23*(1+'1. Rates'!$J$60)</f>
        <v>4.0674968241158629</v>
      </c>
      <c r="V19" s="53">
        <f>(SUM('4.Projected'!W18:AC18)+SUM('4.Projected'!AF18:AK18))/(SUM('4.Projected'!F18:K18))</f>
        <v>4.5330645807973484</v>
      </c>
      <c r="W19" s="53">
        <f t="shared" si="2"/>
        <v>20000</v>
      </c>
      <c r="X19" s="53">
        <f t="shared" si="3"/>
        <v>5000</v>
      </c>
      <c r="Y19" s="53">
        <f t="shared" si="4"/>
        <v>10000</v>
      </c>
      <c r="Z19" s="53">
        <f t="shared" si="5"/>
        <v>10000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20780.149291095513</v>
      </c>
    </row>
    <row r="20" spans="2:30" ht="18" customHeight="1" x14ac:dyDescent="0.3">
      <c r="B20" s="14">
        <v>15</v>
      </c>
      <c r="C20" s="53">
        <f>'2. Energy'!O24</f>
        <v>115375.6737885701</v>
      </c>
      <c r="D20" s="53">
        <f>'2. Energy'!P24</f>
        <v>16001.645499999999</v>
      </c>
      <c r="E20" s="53">
        <f>'2. Energy'!Q24</f>
        <v>99374.028288570102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10000</v>
      </c>
      <c r="L20" s="53">
        <f>IF('1. Rates'!Q55&lt;('2. Energy'!N24*(1+'1. Rates'!$J$60)),'1. Rates'!$I$42,0)</f>
        <v>0</v>
      </c>
      <c r="M20" s="53">
        <f t="shared" si="1"/>
        <v>44374.028288570102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4.319716044800054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24374.028288570102</v>
      </c>
    </row>
    <row r="21" spans="2:30" ht="18" customHeight="1" x14ac:dyDescent="0.3">
      <c r="B21" s="14">
        <v>16</v>
      </c>
      <c r="C21" s="53">
        <f>'2. Energy'!O25</f>
        <v>115133.36603037387</v>
      </c>
      <c r="D21" s="53">
        <f>'2. Energy'!P25</f>
        <v>16435.614000000001</v>
      </c>
      <c r="E21" s="53">
        <f>'2. Energy'!Q25</f>
        <v>98697.752030373871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43697.752030373871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4.3295110650870967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23697.752030373871</v>
      </c>
    </row>
    <row r="22" spans="2:30" ht="18" customHeight="1" x14ac:dyDescent="0.3">
      <c r="B22" s="14">
        <v>17</v>
      </c>
      <c r="C22" s="53">
        <f>'2. Energy'!O26</f>
        <v>111589.25522267557</v>
      </c>
      <c r="D22" s="53">
        <f>'2. Energy'!P26</f>
        <v>17178.182500000003</v>
      </c>
      <c r="E22" s="53">
        <f>'2. Energy'!Q26</f>
        <v>94411.07272267557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39411.07272267557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4.4421809649354493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19411.07272267557</v>
      </c>
    </row>
    <row r="23" spans="2:30" ht="18" customHeight="1" x14ac:dyDescent="0.3">
      <c r="B23" s="14">
        <v>18</v>
      </c>
      <c r="C23" s="53">
        <f>'2. Energy'!O27</f>
        <v>104734.22809714085</v>
      </c>
      <c r="D23" s="53">
        <f>'2. Energy'!P27</f>
        <v>16939.003000000001</v>
      </c>
      <c r="E23" s="53">
        <f>'2. Energy'!Q27</f>
        <v>87795.22509714085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20000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12795.22509714085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6.2296714701267417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12795.22509714085</v>
      </c>
    </row>
    <row r="24" spans="2:30" ht="18" customHeight="1" x14ac:dyDescent="0.3">
      <c r="B24" s="14">
        <v>19</v>
      </c>
      <c r="C24" s="53">
        <f>'2. Energy'!O28</f>
        <v>104716.81217204386</v>
      </c>
      <c r="D24" s="53">
        <f>'2. Energy'!P28</f>
        <v>16685.8825</v>
      </c>
      <c r="E24" s="53">
        <f>'2. Energy'!Q28</f>
        <v>88030.929672043858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33030.929672043858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5.7032384193938315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13030.929672043858</v>
      </c>
    </row>
    <row r="25" spans="2:30" ht="18" customHeight="1" x14ac:dyDescent="0.3">
      <c r="B25" s="14">
        <v>20</v>
      </c>
      <c r="C25" s="53">
        <f>'2. Energy'!O29</f>
        <v>98954.71477481621</v>
      </c>
      <c r="D25" s="53">
        <f>'2. Energy'!P29</f>
        <v>15197.436500000002</v>
      </c>
      <c r="E25" s="53">
        <f>'2. Energy'!Q29</f>
        <v>83757.278274816214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28757.278274816214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4.55237493758779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8757.2782748162135</v>
      </c>
    </row>
    <row r="26" spans="2:30" ht="18" customHeight="1" x14ac:dyDescent="0.3">
      <c r="B26" s="14">
        <v>21</v>
      </c>
      <c r="C26" s="53">
        <f>'2. Energy'!O30</f>
        <v>94526.013045938453</v>
      </c>
      <c r="D26" s="53">
        <f>'2. Energy'!P30</f>
        <v>13342.395</v>
      </c>
      <c r="E26" s="53">
        <f>'2. Energy'!Q30</f>
        <v>81183.618045938449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26183.618045938449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4.5086531452610323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6183.6180459384486</v>
      </c>
    </row>
    <row r="27" spans="2:30" ht="18" customHeight="1" x14ac:dyDescent="0.3">
      <c r="B27" s="14">
        <v>22</v>
      </c>
      <c r="C27" s="53">
        <f>'2. Energy'!O31</f>
        <v>88784.748417665425</v>
      </c>
      <c r="D27" s="53">
        <f>'2. Energy'!P31</f>
        <v>9716.8905000000013</v>
      </c>
      <c r="E27" s="53">
        <f>'2. Energy'!Q31</f>
        <v>79067.857917665417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24067.857917665417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4.0086961370196699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4067.8579176654166</v>
      </c>
    </row>
    <row r="28" spans="2:30" ht="18" customHeight="1" x14ac:dyDescent="0.3">
      <c r="B28" s="14">
        <v>23</v>
      </c>
      <c r="C28" s="53">
        <f>'2. Energy'!O32</f>
        <v>82796.883008797755</v>
      </c>
      <c r="D28" s="53">
        <f>'2. Energy'!P32</f>
        <v>6391.7999999999993</v>
      </c>
      <c r="E28" s="53">
        <f>'2. Energy'!Q32</f>
        <v>76405.083008797752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0</v>
      </c>
      <c r="L28" s="53">
        <f>IF('1. Rates'!Q63&lt;('2. Energy'!N32*(1+'1. Rates'!$J$60)),'1. Rates'!$I$41,0)</f>
        <v>0</v>
      </c>
      <c r="M28" s="53">
        <f t="shared" si="1"/>
        <v>31405.083008797752</v>
      </c>
      <c r="N28" s="119">
        <v>20000</v>
      </c>
      <c r="O28" s="119">
        <v>5000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3.8588243701527949</v>
      </c>
      <c r="V28" s="53">
        <f>(SUM('4.Projected'!W27:AC27)+SUM('4.Projected'!AF27:AK27))/(SUM('4.Projected'!F27:K27))</f>
        <v>4.5330645807973484</v>
      </c>
      <c r="W28" s="53">
        <f t="shared" si="2"/>
        <v>20000</v>
      </c>
      <c r="X28" s="53">
        <f t="shared" si="3"/>
        <v>5000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1405.083008797752</v>
      </c>
    </row>
    <row r="29" spans="2:30" ht="18" customHeight="1" x14ac:dyDescent="0.3">
      <c r="B29" s="14">
        <v>24</v>
      </c>
      <c r="C29" s="53">
        <f>'2. Energy'!O33</f>
        <v>78592.213095652973</v>
      </c>
      <c r="D29" s="53">
        <f>'2. Energy'!P33</f>
        <v>5848.1970000000001</v>
      </c>
      <c r="E29" s="53">
        <f>'2. Energy'!Q33</f>
        <v>72744.016095652973</v>
      </c>
      <c r="F29" s="53">
        <f>IF('1. Rates'!$C$62&lt;'2. Energy'!N33*(1+'1. Rates'!$J$60),'1. Rates'!$C$41,'1. Rates'!$C$42)</f>
        <v>20000</v>
      </c>
      <c r="G29" s="53">
        <f>IF('1. Rates'!$D$62&lt;'2. Energy'!N33*(1+'1. Rates'!$J$60),'1. Rates'!$D$41,'1. Rates'!$D$42)</f>
        <v>5000</v>
      </c>
      <c r="H29" s="53">
        <f>IF('1. Rates'!$E$62&lt;'2. Energy'!N33*(1+'1. Rates'!$J$60),'1. Rates'!$E$41,'1. Rates'!$E$42)</f>
        <v>10000</v>
      </c>
      <c r="I29" s="53">
        <f>IF('1. Rates'!F$62&lt;'2. Energy'!$N33*(1+'1. Rates'!$J$60),'1. Rates'!F$41,'1. Rates'!F$42)</f>
        <v>10000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27744.016095652973</v>
      </c>
      <c r="N29" s="119">
        <v>20000</v>
      </c>
      <c r="O29" s="119">
        <v>2500</v>
      </c>
      <c r="P29" s="119">
        <v>10000</v>
      </c>
      <c r="Q29" s="119">
        <v>10000</v>
      </c>
      <c r="R29" s="119">
        <v>20000</v>
      </c>
      <c r="S29" s="119">
        <v>10000</v>
      </c>
      <c r="T29" s="123"/>
      <c r="U29" s="53">
        <f>'2. Energy'!N33*(1+'1. Rates'!$J$60)</f>
        <v>3.840715502644021</v>
      </c>
      <c r="V29" s="53">
        <f>(SUM('4.Projected'!W28:AC28)+SUM('4.Projected'!AF28:AK28))/(SUM('4.Projected'!F28:K28))</f>
        <v>4.5625961342250561</v>
      </c>
      <c r="W29" s="53">
        <f t="shared" si="2"/>
        <v>20000</v>
      </c>
      <c r="X29" s="53">
        <f t="shared" si="3"/>
        <v>2500</v>
      </c>
      <c r="Y29" s="53">
        <f t="shared" si="4"/>
        <v>10000</v>
      </c>
      <c r="Z29" s="53">
        <f t="shared" si="5"/>
        <v>10000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244.01609565297258</v>
      </c>
    </row>
    <row r="30" spans="2:30" ht="21" customHeight="1" x14ac:dyDescent="0.3">
      <c r="B30" s="55" t="s">
        <v>137</v>
      </c>
      <c r="C30" s="56">
        <f t="shared" ref="C30:D30" si="10">SUM(C6:C29)</f>
        <v>2154913.4230403756</v>
      </c>
      <c r="D30" s="56">
        <f t="shared" si="10"/>
        <v>265498.84500000003</v>
      </c>
      <c r="E30" s="56">
        <f>SUM(E6:E29)</f>
        <v>1889414.5780403754</v>
      </c>
      <c r="F30" s="56">
        <f t="shared" ref="F30:M30" si="11">SUM(F6:F29)</f>
        <v>370000</v>
      </c>
      <c r="G30" s="56">
        <f>SUM(G6:G29)</f>
        <v>92500</v>
      </c>
      <c r="H30" s="56">
        <f t="shared" si="11"/>
        <v>185000</v>
      </c>
      <c r="I30" s="56">
        <f t="shared" si="11"/>
        <v>185000</v>
      </c>
      <c r="J30" s="56">
        <f t="shared" si="11"/>
        <v>20000</v>
      </c>
      <c r="K30" s="56">
        <f t="shared" si="11"/>
        <v>90000</v>
      </c>
      <c r="L30" s="56">
        <f t="shared" si="11"/>
        <v>0</v>
      </c>
      <c r="M30" s="56">
        <f t="shared" si="11"/>
        <v>946914.57804037561</v>
      </c>
      <c r="N30" s="56">
        <f t="shared" ref="N30:T30" si="12">SUM(N6:N29)</f>
        <v>354000</v>
      </c>
      <c r="O30" s="56">
        <f t="shared" si="12"/>
        <v>85000</v>
      </c>
      <c r="P30" s="56">
        <f t="shared" si="12"/>
        <v>180000</v>
      </c>
      <c r="Q30" s="56">
        <f t="shared" si="12"/>
        <v>180000</v>
      </c>
      <c r="R30" s="56">
        <f t="shared" si="12"/>
        <v>390000</v>
      </c>
      <c r="S30" s="56">
        <f t="shared" si="12"/>
        <v>150000</v>
      </c>
      <c r="T30" s="56">
        <f t="shared" si="12"/>
        <v>0</v>
      </c>
      <c r="U30" s="56">
        <f>AVERAGE(U6:U29)</f>
        <v>3.961815873783602</v>
      </c>
      <c r="V30" s="56">
        <f>SUM('4.Projected'!W29:AC29)/SUM('4.Projected'!F29:K29)</f>
        <v>4.1542427479109429</v>
      </c>
      <c r="W30" s="56">
        <f t="shared" ref="W30:AD30" si="13">SUM(W6:W29)</f>
        <v>354000</v>
      </c>
      <c r="X30" s="56">
        <f t="shared" si="13"/>
        <v>85000</v>
      </c>
      <c r="Y30" s="56">
        <f t="shared" si="13"/>
        <v>180000</v>
      </c>
      <c r="Z30" s="56">
        <f t="shared" si="13"/>
        <v>180000</v>
      </c>
      <c r="AA30" s="56">
        <f t="shared" si="13"/>
        <v>390000</v>
      </c>
      <c r="AB30" s="56">
        <f t="shared" si="13"/>
        <v>150000</v>
      </c>
      <c r="AC30" s="56">
        <f t="shared" si="13"/>
        <v>0</v>
      </c>
      <c r="AD30" s="56">
        <f t="shared" si="13"/>
        <v>550414.57804037549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73122.491304349824</v>
      </c>
      <c r="D5" s="53">
        <f>'2. Energy'!P10</f>
        <v>5801.1880000000001</v>
      </c>
      <c r="E5" s="53">
        <f>'2. Energy'!Q10</f>
        <v>67321.303304349829</v>
      </c>
      <c r="F5" s="53">
        <f>'3. Nomination'!W6</f>
        <v>14000</v>
      </c>
      <c r="G5" s="53">
        <f>'3. Nomination'!X6</f>
        <v>2500</v>
      </c>
      <c r="H5" s="53">
        <f>'3. Nomination'!Y6</f>
        <v>10000</v>
      </c>
      <c r="I5" s="53">
        <f>'3. Nomination'!Z6</f>
        <v>10000</v>
      </c>
      <c r="J5" s="53">
        <f>'3. Nomination'!AA6</f>
        <v>20000</v>
      </c>
      <c r="K5" s="53">
        <f>'3. Nomination'!AB6</f>
        <v>10000</v>
      </c>
      <c r="L5" s="53">
        <f>'3. Nomination'!AC6</f>
        <v>0</v>
      </c>
      <c r="M5" s="53">
        <f>'3. Nomination'!AD6</f>
        <v>821.30330434982898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45958.11914242286</v>
      </c>
      <c r="X5" s="53">
        <f>G5*'1. Rates'!D$56</f>
        <v>8206.8069897183686</v>
      </c>
      <c r="Y5" s="53">
        <f>H5*'1. Rates'!E$56</f>
        <v>33059.364255153028</v>
      </c>
      <c r="Z5" s="53">
        <f>I5*'1. Rates'!F$56</f>
        <v>33059.364255153028</v>
      </c>
      <c r="AA5" s="53">
        <f>J5*'1. Rates'!G$56</f>
        <v>123628</v>
      </c>
      <c r="AB5" s="53">
        <f>K5*'1. Rates'!H$56</f>
        <v>34702.174591513132</v>
      </c>
      <c r="AC5" s="53">
        <f>L5*'1. Rates'!Q41</f>
        <v>0</v>
      </c>
      <c r="AD5" s="53">
        <f>M5*'2. Energy'!N10</f>
        <v>2807.2527843377597</v>
      </c>
      <c r="AE5" s="53">
        <f>W5+X5+Y5+Z5+AA5+AB5+AC5+AD5</f>
        <v>281421.08201829816</v>
      </c>
      <c r="AF5" s="53">
        <f>(N5+W5)*'1. Rates'!C$60</f>
        <v>9393.6250433593996</v>
      </c>
      <c r="AG5" s="53">
        <f>(O5+X5)*'1. Rates'!D$60</f>
        <v>1954.4795253333684</v>
      </c>
      <c r="AH5" s="53">
        <f>(P5+Y5)*'1. Rates'!E$60</f>
        <v>5889.6838946594207</v>
      </c>
      <c r="AI5" s="53">
        <f>(Q5+Z5)*'1. Rates'!F$60</f>
        <v>5942.7238946594207</v>
      </c>
      <c r="AJ5" s="53">
        <f>(R5+AA5)*'1. Rates'!G$60</f>
        <v>0</v>
      </c>
      <c r="AK5" s="53">
        <f>(S5+AB5)*'1. Rates'!H$60</f>
        <v>6933.9809509815759</v>
      </c>
      <c r="AL5" s="53">
        <f>(T5+AC5)*'1. Rates'!$I$60</f>
        <v>0</v>
      </c>
      <c r="AM5" s="53">
        <f>(U5+AD5)*'1. Rates'!$J$60</f>
        <v>236.27435482926472</v>
      </c>
      <c r="AN5" s="53">
        <f>AF5+AG5+AH5+AI5+AJ5+AK5+AL5+AM5</f>
        <v>30350.767663822451</v>
      </c>
      <c r="AO5" s="53">
        <f>N5+W5</f>
        <v>78280.208694661662</v>
      </c>
      <c r="AP5" s="53">
        <f t="shared" ref="AP5:AV20" si="0">O5+X5</f>
        <v>16287.329377778071</v>
      </c>
      <c r="AQ5" s="53">
        <f t="shared" si="0"/>
        <v>49080.699122161845</v>
      </c>
      <c r="AR5" s="53">
        <f t="shared" si="0"/>
        <v>49522.699122161837</v>
      </c>
      <c r="AS5" s="53">
        <f t="shared" si="0"/>
        <v>123628</v>
      </c>
      <c r="AT5" s="53">
        <f t="shared" si="0"/>
        <v>57783.174591513132</v>
      </c>
      <c r="AU5" s="53">
        <f t="shared" si="0"/>
        <v>0</v>
      </c>
      <c r="AV5" s="53">
        <f t="shared" si="0"/>
        <v>2807.2527843377597</v>
      </c>
      <c r="AW5" s="53">
        <f>AO5+AP5+AQ5+AR5+AS5+AT5+AU5+AV5</f>
        <v>377389.36369261425</v>
      </c>
      <c r="AX5" s="53">
        <f>N5+W5+AF5</f>
        <v>87673.833738021058</v>
      </c>
      <c r="AY5" s="53">
        <f t="shared" ref="AY5:BE5" si="1">O5+X5+AG5</f>
        <v>18241.80890311144</v>
      </c>
      <c r="AZ5" s="53">
        <f t="shared" si="1"/>
        <v>54970.383016821266</v>
      </c>
      <c r="BA5" s="53">
        <f t="shared" si="1"/>
        <v>55465.42301682126</v>
      </c>
      <c r="BB5" s="53">
        <f t="shared" si="1"/>
        <v>123628</v>
      </c>
      <c r="BC5" s="53">
        <f t="shared" si="1"/>
        <v>64717.155542494707</v>
      </c>
      <c r="BD5" s="53">
        <f t="shared" si="1"/>
        <v>0</v>
      </c>
      <c r="BE5" s="53">
        <f t="shared" si="1"/>
        <v>3043.5271391670244</v>
      </c>
      <c r="BF5" s="53">
        <f>AX5+AY5+AZ5+BA5+BB5+BC5+BD5+BE5</f>
        <v>407740.13135643676</v>
      </c>
      <c r="BG5" s="54">
        <f>AO5/F5</f>
        <v>5.5914434781901186</v>
      </c>
      <c r="BH5" s="54">
        <f t="shared" ref="BH5:BL20" si="2">AP5/G5</f>
        <v>6.5149317511112281</v>
      </c>
      <c r="BI5" s="54">
        <f t="shared" si="2"/>
        <v>4.9080699122161846</v>
      </c>
      <c r="BJ5" s="54">
        <f t="shared" si="2"/>
        <v>4.9522699122161837</v>
      </c>
      <c r="BK5" s="54">
        <f t="shared" si="2"/>
        <v>6.1814</v>
      </c>
      <c r="BL5" s="54">
        <f>AT5/K5</f>
        <v>5.7783174591513129</v>
      </c>
      <c r="BM5" s="54"/>
      <c r="BN5" s="54">
        <f>AV5/M5</f>
        <v>3.4180463775925927</v>
      </c>
      <c r="BO5" s="54">
        <f>AW5/E5</f>
        <v>5.6057940825431105</v>
      </c>
      <c r="BP5" s="54">
        <f>AX5/F5</f>
        <v>6.2624166955729326</v>
      </c>
      <c r="BQ5" s="54">
        <f t="shared" ref="BQ5:BU20" si="3">AY5/G5</f>
        <v>7.2967235612445762</v>
      </c>
      <c r="BR5" s="54">
        <f t="shared" si="3"/>
        <v>5.4970383016821263</v>
      </c>
      <c r="BS5" s="54">
        <f t="shared" si="3"/>
        <v>5.546542301682126</v>
      </c>
      <c r="BT5" s="54">
        <f t="shared" si="3"/>
        <v>6.1814</v>
      </c>
      <c r="BU5" s="54">
        <f>BC5/K5</f>
        <v>6.4717155542494709</v>
      </c>
      <c r="BV5" s="54"/>
      <c r="BW5" s="54">
        <f t="shared" ref="BW5:BW20" si="4">BE5/M5</f>
        <v>3.7057285938675015</v>
      </c>
      <c r="BX5" s="54">
        <f>BF5/E5</f>
        <v>6.056628605555999</v>
      </c>
    </row>
    <row r="6" spans="2:76" ht="18" customHeight="1" x14ac:dyDescent="0.3">
      <c r="B6" s="14">
        <v>2</v>
      </c>
      <c r="C6" s="53">
        <f>'2. Energy'!O11</f>
        <v>69735.585161123177</v>
      </c>
      <c r="D6" s="53">
        <f>'2. Energy'!P11</f>
        <v>5641.719000000001</v>
      </c>
      <c r="E6" s="53">
        <f>'2. Energy'!Q11</f>
        <v>64093.86616112318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10000</v>
      </c>
      <c r="K6" s="53">
        <f>'3. Nomination'!AB7</f>
        <v>0</v>
      </c>
      <c r="L6" s="53">
        <f>'3. Nomination'!AC7</f>
        <v>0</v>
      </c>
      <c r="M6" s="53">
        <f>'3. Nomination'!AD7</f>
        <v>31593.86616112318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61814</v>
      </c>
      <c r="AB6" s="53">
        <f>K6*'1. Rates'!H$56</f>
        <v>0</v>
      </c>
      <c r="AC6" s="53">
        <f>L6*'1. Rates'!Q42</f>
        <v>0</v>
      </c>
      <c r="AD6" s="53">
        <f>M6*'2. Energy'!N11</f>
        <v>99927.06400089676</v>
      </c>
      <c r="AE6" s="53">
        <f t="shared" ref="AE6:AE28" si="6">W6+X6+Y6+Z6+AA6+AB6+AC6+AD6</f>
        <v>235834.46320464162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8410.4298367858792</v>
      </c>
      <c r="AN6" s="53">
        <f t="shared" ref="AN6:AN28" si="7">AF6+AG6+AH6+AI6+AJ6+AK6+AL6+AM6</f>
        <v>28817.831542153199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61814</v>
      </c>
      <c r="AT6" s="53">
        <f t="shared" si="0"/>
        <v>23081</v>
      </c>
      <c r="AU6" s="53">
        <f t="shared" si="0"/>
        <v>0</v>
      </c>
      <c r="AV6" s="53">
        <f t="shared" si="0"/>
        <v>99927.06400089676</v>
      </c>
      <c r="AW6" s="53">
        <f t="shared" ref="AW6:AW28" si="9">AO6+AP6+AQ6+AR6+AS6+AT6+AU6+AV6</f>
        <v>331802.74487895775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61814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108337.49383768265</v>
      </c>
      <c r="BF6" s="53">
        <f t="shared" ref="BF6:BF28" si="17">AX6+AY6+AZ6+BA6+BB6+BC6+BD6+BE6</f>
        <v>360620.57642111101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>
        <f t="shared" si="2"/>
        <v>6.1814</v>
      </c>
      <c r="BL6" s="54" t="e">
        <f t="shared" si="2"/>
        <v>#DIV/0!</v>
      </c>
      <c r="BM6" s="54"/>
      <c r="BN6" s="54">
        <f t="shared" ref="BN6:BN28" si="19">AV6/M6</f>
        <v>3.1628628003703709</v>
      </c>
      <c r="BO6" s="54">
        <f>AW6/E6</f>
        <v>5.1768252525889329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>
        <f t="shared" si="3"/>
        <v>6.1814</v>
      </c>
      <c r="BU6" s="54" t="e">
        <f t="shared" si="3"/>
        <v>#DIV/0!</v>
      </c>
      <c r="BV6" s="54"/>
      <c r="BW6" s="54">
        <f t="shared" si="4"/>
        <v>3.4290673159524201</v>
      </c>
      <c r="BX6" s="54">
        <f t="shared" ref="BX6:BX28" si="21">BF6/E6</f>
        <v>5.6264444325227689</v>
      </c>
    </row>
    <row r="7" spans="2:76" ht="18" customHeight="1" x14ac:dyDescent="0.3">
      <c r="B7" s="14">
        <v>3</v>
      </c>
      <c r="C7" s="53">
        <f>'2. Energy'!O12</f>
        <v>66861.164265107829</v>
      </c>
      <c r="D7" s="53">
        <f>'2. Energy'!P12</f>
        <v>5541.0945000000002</v>
      </c>
      <c r="E7" s="53">
        <f>'2. Energy'!Q12</f>
        <v>61320.06976510783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38820.06976510783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107040.5020487556</v>
      </c>
      <c r="AE7" s="53">
        <f t="shared" si="6"/>
        <v>181133.90125250048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9009.1372260003063</v>
      </c>
      <c r="AN7" s="53">
        <f t="shared" si="7"/>
        <v>29416.538931367628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107040.5020487556</v>
      </c>
      <c r="AW7" s="53">
        <f t="shared" si="9"/>
        <v>277102.18292681663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116049.63927475591</v>
      </c>
      <c r="BF7" s="53">
        <f t="shared" si="17"/>
        <v>306518.72185818426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2.7573495538888886</v>
      </c>
      <c r="BO7" s="54">
        <f t="shared" ref="BO7:BO28" si="22">AW7/E7</f>
        <v>4.5189476135347215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2.9894237691211827</v>
      </c>
      <c r="BX7" s="54">
        <f t="shared" si="21"/>
        <v>4.9986688376633035</v>
      </c>
    </row>
    <row r="8" spans="2:76" ht="18" customHeight="1" x14ac:dyDescent="0.3">
      <c r="B8" s="14">
        <v>4</v>
      </c>
      <c r="C8" s="53">
        <f>'2. Energy'!O13</f>
        <v>64470.53926994084</v>
      </c>
      <c r="D8" s="53">
        <f>'2. Energy'!P13</f>
        <v>5516.2800000000007</v>
      </c>
      <c r="E8" s="53">
        <f>'2. Energy'!Q13</f>
        <v>58954.259269940841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36454.259269940841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99508.134423146548</v>
      </c>
      <c r="AE8" s="53">
        <f t="shared" si="6"/>
        <v>173601.53362689141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8375.1703417186473</v>
      </c>
      <c r="AN8" s="53">
        <f t="shared" si="7"/>
        <v>28782.572047085967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99508.134423146548</v>
      </c>
      <c r="AW8" s="53">
        <f t="shared" si="9"/>
        <v>269569.81530120759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107883.3047648652</v>
      </c>
      <c r="BF8" s="53">
        <f t="shared" si="17"/>
        <v>298352.38734829356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2.7296710018518513</v>
      </c>
      <c r="BO8" s="54">
        <f t="shared" si="22"/>
        <v>4.5725248462014658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2.9594156327796446</v>
      </c>
      <c r="BX8" s="54">
        <f t="shared" si="21"/>
        <v>5.0607435500494065</v>
      </c>
    </row>
    <row r="9" spans="2:76" ht="18" customHeight="1" x14ac:dyDescent="0.3">
      <c r="B9" s="14">
        <v>5</v>
      </c>
      <c r="C9" s="53">
        <f>'2. Energy'!O14</f>
        <v>63240.984256724296</v>
      </c>
      <c r="D9" s="53">
        <f>'2. Energy'!P14</f>
        <v>5497.0010000000002</v>
      </c>
      <c r="E9" s="53">
        <f>'2. Energy'!Q14</f>
        <v>57743.983256724299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10000</v>
      </c>
      <c r="K9" s="53">
        <f>'3. Nomination'!AB10</f>
        <v>0</v>
      </c>
      <c r="L9" s="53">
        <f>'3. Nomination'!AC10</f>
        <v>0</v>
      </c>
      <c r="M9" s="53">
        <f>'3. Nomination'!AD10</f>
        <v>25243.983256724299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61814</v>
      </c>
      <c r="AB9" s="53">
        <f>K9*'1. Rates'!H$56</f>
        <v>0</v>
      </c>
      <c r="AC9" s="53">
        <f>L9*'1. Rates'!Q45</f>
        <v>0</v>
      </c>
      <c r="AD9" s="53">
        <f>M9*'2. Energy'!N14</f>
        <v>80063.643225737789</v>
      </c>
      <c r="AE9" s="53">
        <f t="shared" si="6"/>
        <v>215971.04242948265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6738.6114118341529</v>
      </c>
      <c r="AN9" s="53">
        <f t="shared" si="7"/>
        <v>27146.013117201474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61814</v>
      </c>
      <c r="AT9" s="53">
        <f t="shared" si="0"/>
        <v>23081</v>
      </c>
      <c r="AU9" s="53">
        <f t="shared" si="0"/>
        <v>0</v>
      </c>
      <c r="AV9" s="53">
        <f t="shared" si="0"/>
        <v>80063.643225737789</v>
      </c>
      <c r="AW9" s="53">
        <f t="shared" si="9"/>
        <v>311939.32410379883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61814</v>
      </c>
      <c r="BC9" s="53">
        <f t="shared" si="14"/>
        <v>25850.720000000001</v>
      </c>
      <c r="BD9" s="53">
        <f t="shared" si="15"/>
        <v>0</v>
      </c>
      <c r="BE9" s="53">
        <f t="shared" si="16"/>
        <v>86802.254637571939</v>
      </c>
      <c r="BF9" s="53">
        <f t="shared" si="17"/>
        <v>339085.33722100029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>
        <f t="shared" si="2"/>
        <v>6.1814</v>
      </c>
      <c r="BL9" s="54" t="e">
        <f t="shared" si="2"/>
        <v>#DIV/0!</v>
      </c>
      <c r="BM9" s="54"/>
      <c r="BN9" s="54">
        <f t="shared" si="19"/>
        <v>3.1715931044444443</v>
      </c>
      <c r="BO9" s="54">
        <f t="shared" si="22"/>
        <v>5.4021095620810575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>
        <f t="shared" si="3"/>
        <v>6.1814</v>
      </c>
      <c r="BU9" s="54" t="e">
        <f t="shared" si="3"/>
        <v>#DIV/0!</v>
      </c>
      <c r="BV9" s="54"/>
      <c r="BW9" s="54">
        <f t="shared" si="4"/>
        <v>3.4385324120530867</v>
      </c>
      <c r="BX9" s="54">
        <f t="shared" si="21"/>
        <v>5.8722193741546871</v>
      </c>
    </row>
    <row r="10" spans="2:76" ht="18" customHeight="1" x14ac:dyDescent="0.3">
      <c r="B10" s="14">
        <v>6</v>
      </c>
      <c r="C10" s="53">
        <f>'2. Energy'!O15</f>
        <v>64223.479609905698</v>
      </c>
      <c r="D10" s="53">
        <f>'2. Energy'!P15</f>
        <v>5761.3979999999992</v>
      </c>
      <c r="E10" s="53">
        <f>'2. Energy'!Q15</f>
        <v>58462.081609905697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10000</v>
      </c>
      <c r="K10" s="53">
        <f>'3. Nomination'!AB11</f>
        <v>0</v>
      </c>
      <c r="L10" s="53">
        <f>'3. Nomination'!AC11</f>
        <v>0</v>
      </c>
      <c r="M10" s="53">
        <f>'3. Nomination'!AD11</f>
        <v>25962.081609905697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61814</v>
      </c>
      <c r="AB10" s="53">
        <f>K10*'1. Rates'!H$56</f>
        <v>0</v>
      </c>
      <c r="AC10" s="53">
        <f>L10*'1. Rates'!Q46</f>
        <v>0</v>
      </c>
      <c r="AD10" s="53">
        <f>M10*'2. Energy'!N15</f>
        <v>87735.833069189932</v>
      </c>
      <c r="AE10" s="53">
        <f t="shared" si="6"/>
        <v>223643.23227293481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7384.3465289219157</v>
      </c>
      <c r="AN10" s="53">
        <f t="shared" si="7"/>
        <v>27791.748234289236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61814</v>
      </c>
      <c r="AT10" s="53">
        <f t="shared" si="0"/>
        <v>23081</v>
      </c>
      <c r="AU10" s="53">
        <f t="shared" si="0"/>
        <v>0</v>
      </c>
      <c r="AV10" s="53">
        <f t="shared" si="0"/>
        <v>87735.833069189932</v>
      </c>
      <c r="AW10" s="53">
        <f t="shared" si="9"/>
        <v>319611.51394725096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61814</v>
      </c>
      <c r="BC10" s="53">
        <f t="shared" si="14"/>
        <v>25850.720000000001</v>
      </c>
      <c r="BD10" s="53">
        <f t="shared" si="15"/>
        <v>0</v>
      </c>
      <c r="BE10" s="53">
        <f t="shared" si="16"/>
        <v>95120.179598111848</v>
      </c>
      <c r="BF10" s="53">
        <f t="shared" si="17"/>
        <v>347403.26218154019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>
        <f t="shared" si="2"/>
        <v>6.1814</v>
      </c>
      <c r="BL10" s="54" t="e">
        <f t="shared" si="2"/>
        <v>#DIV/0!</v>
      </c>
      <c r="BM10" s="54"/>
      <c r="BN10" s="54">
        <f t="shared" si="19"/>
        <v>3.3793836098148149</v>
      </c>
      <c r="BO10" s="54">
        <f t="shared" si="22"/>
        <v>5.4669882622362289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>
        <f t="shared" si="3"/>
        <v>6.1814</v>
      </c>
      <c r="BU10" s="54" t="e">
        <f t="shared" si="3"/>
        <v>#DIV/0!</v>
      </c>
      <c r="BV10" s="54"/>
      <c r="BW10" s="54">
        <f t="shared" si="4"/>
        <v>3.6638117477382566</v>
      </c>
      <c r="BX10" s="54">
        <f t="shared" si="21"/>
        <v>5.9423690127837814</v>
      </c>
    </row>
    <row r="11" spans="2:76" ht="18" customHeight="1" x14ac:dyDescent="0.3">
      <c r="B11" s="14">
        <v>7</v>
      </c>
      <c r="C11" s="53">
        <f>'2. Energy'!O16</f>
        <v>65666.472825912992</v>
      </c>
      <c r="D11" s="53">
        <f>'2. Energy'!P16</f>
        <v>6103.384</v>
      </c>
      <c r="E11" s="53">
        <f>'2. Energy'!Q16</f>
        <v>59563.088825912993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10000</v>
      </c>
      <c r="K11" s="53">
        <f>'3. Nomination'!AB12</f>
        <v>0</v>
      </c>
      <c r="L11" s="53">
        <f>'3. Nomination'!AC12</f>
        <v>0</v>
      </c>
      <c r="M11" s="53">
        <f>'3. Nomination'!AD12</f>
        <v>27063.088825912993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61814</v>
      </c>
      <c r="AB11" s="53">
        <f>K11*'1. Rates'!H$56</f>
        <v>0</v>
      </c>
      <c r="AC11" s="53">
        <f>L11*'1. Rates'!Q47</f>
        <v>0</v>
      </c>
      <c r="AD11" s="53">
        <f>M11*'2. Energy'!N16</f>
        <v>91300.901514687648</v>
      </c>
      <c r="AE11" s="53">
        <f t="shared" si="6"/>
        <v>227208.30071843253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7684.4029583185484</v>
      </c>
      <c r="AN11" s="53">
        <f t="shared" si="7"/>
        <v>28091.804663685867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61814</v>
      </c>
      <c r="AT11" s="53">
        <f t="shared" si="0"/>
        <v>23081</v>
      </c>
      <c r="AU11" s="53">
        <f t="shared" si="0"/>
        <v>0</v>
      </c>
      <c r="AV11" s="53">
        <f t="shared" si="0"/>
        <v>91300.901514687648</v>
      </c>
      <c r="AW11" s="53">
        <f t="shared" si="9"/>
        <v>323176.58239274868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61814</v>
      </c>
      <c r="BC11" s="53">
        <f t="shared" si="14"/>
        <v>25850.720000000001</v>
      </c>
      <c r="BD11" s="53">
        <f t="shared" si="15"/>
        <v>0</v>
      </c>
      <c r="BE11" s="53">
        <f t="shared" si="16"/>
        <v>98985.304473006196</v>
      </c>
      <c r="BF11" s="53">
        <f t="shared" si="17"/>
        <v>351268.38705643453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>
        <f t="shared" si="2"/>
        <v>6.1814</v>
      </c>
      <c r="BL11" s="54" t="e">
        <f t="shared" si="2"/>
        <v>#DIV/0!</v>
      </c>
      <c r="BM11" s="54"/>
      <c r="BN11" s="54">
        <f t="shared" si="19"/>
        <v>3.3736319642592587</v>
      </c>
      <c r="BO11" s="54">
        <f t="shared" si="22"/>
        <v>5.4257861498302677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>
        <f t="shared" si="3"/>
        <v>6.1814</v>
      </c>
      <c r="BU11" s="54" t="e">
        <f t="shared" si="3"/>
        <v>#DIV/0!</v>
      </c>
      <c r="BV11" s="54"/>
      <c r="BW11" s="54">
        <f t="shared" si="4"/>
        <v>3.6575760109920434</v>
      </c>
      <c r="BX11" s="54">
        <f t="shared" si="21"/>
        <v>5.8974172424653499</v>
      </c>
    </row>
    <row r="12" spans="2:76" ht="18" customHeight="1" x14ac:dyDescent="0.3">
      <c r="B12" s="14">
        <v>8</v>
      </c>
      <c r="C12" s="53">
        <f>'2. Energy'!O17</f>
        <v>72609.949506693272</v>
      </c>
      <c r="D12" s="53">
        <f>'2. Energy'!P17</f>
        <v>6908.5929999999998</v>
      </c>
      <c r="E12" s="53">
        <f>'2. Energy'!Q17</f>
        <v>65701.356506693279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10000</v>
      </c>
      <c r="K12" s="53">
        <f>'3. Nomination'!AB13</f>
        <v>0</v>
      </c>
      <c r="L12" s="53">
        <f>'3. Nomination'!AC13</f>
        <v>0</v>
      </c>
      <c r="M12" s="53">
        <f>'3. Nomination'!AD13</f>
        <v>33201.356506693279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61814</v>
      </c>
      <c r="AB12" s="53">
        <f>K12*'1. Rates'!H$56</f>
        <v>0</v>
      </c>
      <c r="AC12" s="53">
        <f>L12*'1. Rates'!Q48</f>
        <v>0</v>
      </c>
      <c r="AD12" s="53">
        <f>M12*'2. Energy'!N17</f>
        <v>103816.93378900604</v>
      </c>
      <c r="AE12" s="53">
        <f t="shared" si="6"/>
        <v>239724.33299275092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8737.8233938189624</v>
      </c>
      <c r="AN12" s="53">
        <f t="shared" si="7"/>
        <v>29145.225099186282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61814</v>
      </c>
      <c r="AT12" s="53">
        <f t="shared" si="0"/>
        <v>23081</v>
      </c>
      <c r="AU12" s="53">
        <f t="shared" si="0"/>
        <v>0</v>
      </c>
      <c r="AV12" s="53">
        <f t="shared" si="0"/>
        <v>103816.93378900604</v>
      </c>
      <c r="AW12" s="53">
        <f t="shared" si="9"/>
        <v>335692.61466706707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61814</v>
      </c>
      <c r="BC12" s="53">
        <f t="shared" si="14"/>
        <v>25850.720000000001</v>
      </c>
      <c r="BD12" s="53">
        <f t="shared" si="15"/>
        <v>0</v>
      </c>
      <c r="BE12" s="53">
        <f t="shared" si="16"/>
        <v>112554.75718282501</v>
      </c>
      <c r="BF12" s="53">
        <f t="shared" si="17"/>
        <v>364837.83976625337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>
        <f t="shared" si="2"/>
        <v>6.1814</v>
      </c>
      <c r="BL12" s="54" t="e">
        <f t="shared" si="2"/>
        <v>#DIV/0!</v>
      </c>
      <c r="BM12" s="54"/>
      <c r="BN12" s="54">
        <f t="shared" si="19"/>
        <v>3.1268883175925932</v>
      </c>
      <c r="BO12" s="54">
        <f t="shared" si="22"/>
        <v>5.1093711380657512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>
        <f t="shared" si="3"/>
        <v>6.1814</v>
      </c>
      <c r="BU12" s="54" t="e">
        <f t="shared" si="3"/>
        <v>#DIV/0!</v>
      </c>
      <c r="BV12" s="54"/>
      <c r="BW12" s="54">
        <f t="shared" si="4"/>
        <v>3.3900650161728891</v>
      </c>
      <c r="BX12" s="54">
        <f t="shared" si="21"/>
        <v>5.5529727111355118</v>
      </c>
    </row>
    <row r="13" spans="2:76" ht="18" customHeight="1" x14ac:dyDescent="0.3">
      <c r="B13" s="14">
        <v>9</v>
      </c>
      <c r="C13" s="53">
        <f>'2. Energy'!O18</f>
        <v>86373.134957814749</v>
      </c>
      <c r="D13" s="53">
        <f>'2. Energy'!P18</f>
        <v>8421.4285000000018</v>
      </c>
      <c r="E13" s="53">
        <f>'2. Energy'!Q18</f>
        <v>77951.706457814755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35451.706457814755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114251.30129183341</v>
      </c>
      <c r="AE13" s="53">
        <f t="shared" si="6"/>
        <v>311972.70049557829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9616.0390869467101</v>
      </c>
      <c r="AN13" s="53">
        <f t="shared" si="7"/>
        <v>30023.440792314032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114251.30129183341</v>
      </c>
      <c r="AW13" s="53">
        <f t="shared" si="9"/>
        <v>407940.98216989439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123867.34037878012</v>
      </c>
      <c r="BF13" s="53">
        <f t="shared" si="17"/>
        <v>437964.42296220851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3.2227306583333331</v>
      </c>
      <c r="BO13" s="54">
        <f t="shared" si="22"/>
        <v>5.2332527497734826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3.4939739932173439</v>
      </c>
      <c r="BX13" s="54">
        <f t="shared" si="21"/>
        <v>5.6184071249193552</v>
      </c>
    </row>
    <row r="14" spans="2:76" ht="18" customHeight="1" x14ac:dyDescent="0.3">
      <c r="B14" s="14">
        <v>10</v>
      </c>
      <c r="C14" s="53">
        <f>'2. Energy'!O19</f>
        <v>100280.053282647</v>
      </c>
      <c r="D14" s="53">
        <f>'2. Energy'!P19</f>
        <v>14998.935500000001</v>
      </c>
      <c r="E14" s="53">
        <f>'2. Energy'!Q19</f>
        <v>85281.117782646994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0</v>
      </c>
      <c r="L14" s="53">
        <f>'3. Nomination'!AC15</f>
        <v>0</v>
      </c>
      <c r="M14" s="53">
        <f>'3. Nomination'!AD15</f>
        <v>42781.117782646994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0</v>
      </c>
      <c r="AC14" s="53">
        <f>L14*'1. Rates'!Q50</f>
        <v>0</v>
      </c>
      <c r="AD14" s="53">
        <f>M14*'2. Energy'!N19</f>
        <v>138121.62915255301</v>
      </c>
      <c r="AE14" s="53">
        <f t="shared" si="6"/>
        <v>335843.02835629787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11625.101593294896</v>
      </c>
      <c r="AN14" s="53">
        <f t="shared" si="7"/>
        <v>32032.503298662217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23081</v>
      </c>
      <c r="AU14" s="53">
        <f t="shared" si="0"/>
        <v>0</v>
      </c>
      <c r="AV14" s="53">
        <f t="shared" si="0"/>
        <v>138121.62915255301</v>
      </c>
      <c r="AW14" s="53">
        <f t="shared" si="9"/>
        <v>431811.31003061403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25850.720000000001</v>
      </c>
      <c r="BD14" s="53">
        <f t="shared" si="15"/>
        <v>0</v>
      </c>
      <c r="BE14" s="53">
        <f t="shared" si="16"/>
        <v>149746.73074584792</v>
      </c>
      <c r="BF14" s="53">
        <f t="shared" si="17"/>
        <v>463843.81332927628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3.2285652248333334</v>
      </c>
      <c r="BO14" s="54">
        <f t="shared" si="22"/>
        <v>5.0633870809615376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3.5002996300061295</v>
      </c>
      <c r="BX14" s="54">
        <f t="shared" si="21"/>
        <v>5.4389978155710716</v>
      </c>
    </row>
    <row r="15" spans="2:76" ht="18" customHeight="1" x14ac:dyDescent="0.3">
      <c r="B15" s="14">
        <v>11</v>
      </c>
      <c r="C15" s="53">
        <f>'2. Energy'!O20</f>
        <v>105464.12992629895</v>
      </c>
      <c r="D15" s="53">
        <f>'2. Energy'!P20</f>
        <v>14970.028</v>
      </c>
      <c r="E15" s="53">
        <f>'2. Energy'!Q20</f>
        <v>90494.101926298943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10000</v>
      </c>
      <c r="L15" s="53">
        <f>'3. Nomination'!AC16</f>
        <v>0</v>
      </c>
      <c r="M15" s="53">
        <f>'3. Nomination'!AD16</f>
        <v>37994.101926298943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34702.174591513132</v>
      </c>
      <c r="AC15" s="53">
        <f>L15*'1. Rates'!Q51</f>
        <v>0</v>
      </c>
      <c r="AD15" s="53">
        <f>M15*'2. Energy'!N20</f>
        <v>130939.5428414069</v>
      </c>
      <c r="AE15" s="53">
        <f t="shared" si="6"/>
        <v>363363.1166366649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6933.9809509815759</v>
      </c>
      <c r="AL15" s="53">
        <f>(T15+AC15)*'1. Rates'!$I$60</f>
        <v>0</v>
      </c>
      <c r="AM15" s="53">
        <f>(U15+AD15)*'1. Rates'!$J$60</f>
        <v>11020.616375945845</v>
      </c>
      <c r="AN15" s="53">
        <f t="shared" si="7"/>
        <v>35592.27903229474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57783.174591513132</v>
      </c>
      <c r="AU15" s="53">
        <f t="shared" si="0"/>
        <v>0</v>
      </c>
      <c r="AV15" s="53">
        <f t="shared" si="0"/>
        <v>130939.5428414069</v>
      </c>
      <c r="AW15" s="53">
        <f t="shared" si="9"/>
        <v>459331.39831098099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64717.155542494707</v>
      </c>
      <c r="BD15" s="53">
        <f t="shared" si="15"/>
        <v>0</v>
      </c>
      <c r="BE15" s="53">
        <f t="shared" si="16"/>
        <v>141960.15921735275</v>
      </c>
      <c r="BF15" s="53">
        <f t="shared" si="17"/>
        <v>494923.67734327581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>
        <f t="shared" si="2"/>
        <v>5.7783174591513129</v>
      </c>
      <c r="BM15" s="54"/>
      <c r="BN15" s="54">
        <f t="shared" si="19"/>
        <v>3.4463123538333336</v>
      </c>
      <c r="BO15" s="54">
        <f t="shared" si="22"/>
        <v>5.0758158657132588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>
        <f t="shared" si="3"/>
        <v>6.4717155542494709</v>
      </c>
      <c r="BV15" s="54"/>
      <c r="BW15" s="54">
        <f t="shared" si="4"/>
        <v>3.7363735953734984</v>
      </c>
      <c r="BX15" s="54">
        <f t="shared" si="21"/>
        <v>5.4691263497631724</v>
      </c>
    </row>
    <row r="16" spans="2:76" ht="18" customHeight="1" x14ac:dyDescent="0.3">
      <c r="B16" s="14">
        <v>12</v>
      </c>
      <c r="C16" s="53">
        <f>'2. Energy'!O21</f>
        <v>107971.50580981375</v>
      </c>
      <c r="D16" s="53">
        <f>'2. Energy'!P21</f>
        <v>15231.207</v>
      </c>
      <c r="E16" s="53">
        <f>'2. Energy'!Q21</f>
        <v>92740.298809813758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10000</v>
      </c>
      <c r="L16" s="53">
        <f>'3. Nomination'!AC17</f>
        <v>0</v>
      </c>
      <c r="M16" s="53">
        <f>'3. Nomination'!AD17</f>
        <v>40240.298809813758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34702.174591513132</v>
      </c>
      <c r="AC16" s="53">
        <f>L16*'1. Rates'!Q52</f>
        <v>0</v>
      </c>
      <c r="AD16" s="53">
        <f>M16*'2. Energy'!N21</f>
        <v>134834.02583740387</v>
      </c>
      <c r="AE16" s="53">
        <f t="shared" si="6"/>
        <v>367257.59963266191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6933.9809509815759</v>
      </c>
      <c r="AL16" s="53">
        <f>(T16+AC16)*'1. Rates'!$I$60</f>
        <v>0</v>
      </c>
      <c r="AM16" s="53">
        <f>(U16+AD16)*'1. Rates'!$J$60</f>
        <v>11348.398206782926</v>
      </c>
      <c r="AN16" s="53">
        <f t="shared" si="7"/>
        <v>35920.060863131817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57783.174591513132</v>
      </c>
      <c r="AU16" s="53">
        <f t="shared" si="0"/>
        <v>0</v>
      </c>
      <c r="AV16" s="53">
        <f t="shared" si="0"/>
        <v>134834.02583740387</v>
      </c>
      <c r="AW16" s="53">
        <f t="shared" si="9"/>
        <v>463225.88130697794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64717.155542494707</v>
      </c>
      <c r="BD16" s="53">
        <f t="shared" si="15"/>
        <v>0</v>
      </c>
      <c r="BE16" s="53">
        <f t="shared" si="16"/>
        <v>146182.4240441868</v>
      </c>
      <c r="BF16" s="53">
        <f t="shared" si="17"/>
        <v>499145.94217010983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>
        <f t="shared" si="2"/>
        <v>5.7783174591513129</v>
      </c>
      <c r="BM16" s="54"/>
      <c r="BN16" s="54">
        <f t="shared" si="19"/>
        <v>3.3507212874999999</v>
      </c>
      <c r="BO16" s="54">
        <f t="shared" si="22"/>
        <v>4.9948715634066891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>
        <f t="shared" si="3"/>
        <v>6.4717155542494709</v>
      </c>
      <c r="BV16" s="54"/>
      <c r="BW16" s="54">
        <f t="shared" si="4"/>
        <v>3.6327370414191855</v>
      </c>
      <c r="BX16" s="54">
        <f t="shared" si="21"/>
        <v>5.382190359271199</v>
      </c>
    </row>
    <row r="17" spans="2:76" ht="18" customHeight="1" x14ac:dyDescent="0.3">
      <c r="B17" s="14">
        <v>13</v>
      </c>
      <c r="C17" s="53">
        <f>'2. Energy'!O22</f>
        <v>107975.80691927264</v>
      </c>
      <c r="D17" s="53">
        <f>'2. Energy'!P22</f>
        <v>15435.473000000002</v>
      </c>
      <c r="E17" s="53">
        <f>'2. Energy'!Q22</f>
        <v>92540.333919272642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10000</v>
      </c>
      <c r="L17" s="53">
        <f>'3. Nomination'!AC18</f>
        <v>0</v>
      </c>
      <c r="M17" s="53">
        <f>'3. Nomination'!AD18</f>
        <v>40040.333919272642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34702.174591513132</v>
      </c>
      <c r="AC17" s="53">
        <f>L17*'1. Rates'!Q53</f>
        <v>0</v>
      </c>
      <c r="AD17" s="53">
        <f>M17*'2. Energy'!N22</f>
        <v>133896.62272494944</v>
      </c>
      <c r="AE17" s="53">
        <f t="shared" si="6"/>
        <v>366320.19652020745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6933.9809509815759</v>
      </c>
      <c r="AL17" s="53">
        <f>(T17+AC17)*'1. Rates'!$I$60</f>
        <v>0</v>
      </c>
      <c r="AM17" s="53">
        <f>(U17+AD17)*'1. Rates'!$J$60</f>
        <v>11269.501031278882</v>
      </c>
      <c r="AN17" s="53">
        <f t="shared" si="7"/>
        <v>35841.163687627777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57783.174591513132</v>
      </c>
      <c r="AU17" s="53">
        <f t="shared" si="0"/>
        <v>0</v>
      </c>
      <c r="AV17" s="53">
        <f t="shared" si="0"/>
        <v>133896.62272494944</v>
      </c>
      <c r="AW17" s="53">
        <f t="shared" si="9"/>
        <v>462288.47819452354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64717.155542494707</v>
      </c>
      <c r="BD17" s="53">
        <f t="shared" si="15"/>
        <v>0</v>
      </c>
      <c r="BE17" s="53">
        <f t="shared" si="16"/>
        <v>145166.12375622833</v>
      </c>
      <c r="BF17" s="53">
        <f t="shared" si="17"/>
        <v>498129.64188215137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>
        <f t="shared" si="2"/>
        <v>5.7783174591513129</v>
      </c>
      <c r="BM17" s="54"/>
      <c r="BN17" s="54">
        <f t="shared" si="19"/>
        <v>3.3440436085000003</v>
      </c>
      <c r="BO17" s="54">
        <f t="shared" si="22"/>
        <v>4.995535012849639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>
        <f t="shared" si="3"/>
        <v>6.4717155542494709</v>
      </c>
      <c r="BV17" s="54"/>
      <c r="BW17" s="54">
        <f t="shared" si="4"/>
        <v>3.6254973309889262</v>
      </c>
      <c r="BX17" s="54">
        <f t="shared" si="21"/>
        <v>5.3828381721282064</v>
      </c>
    </row>
    <row r="18" spans="2:76" ht="18" customHeight="1" x14ac:dyDescent="0.3">
      <c r="B18" s="14">
        <v>14</v>
      </c>
      <c r="C18" s="53">
        <f>'2. Energy'!O23</f>
        <v>111714.21829109552</v>
      </c>
      <c r="D18" s="53">
        <f>'2. Energy'!P23</f>
        <v>15934.069</v>
      </c>
      <c r="E18" s="53">
        <f>'2. Energy'!Q23</f>
        <v>95780.149291095513</v>
      </c>
      <c r="F18" s="53">
        <f>'3. Nomination'!W19</f>
        <v>20000</v>
      </c>
      <c r="G18" s="53">
        <f>'3. Nomination'!X19</f>
        <v>5000</v>
      </c>
      <c r="H18" s="53">
        <f>'3. Nomination'!Y19</f>
        <v>10000</v>
      </c>
      <c r="I18" s="53">
        <f>'3. Nomination'!Z19</f>
        <v>10000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20780.149291095513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65654.455917746949</v>
      </c>
      <c r="X18" s="53">
        <f>G18*'1. Rates'!D$56</f>
        <v>16413.613979436737</v>
      </c>
      <c r="Y18" s="53">
        <f>H18*'1. Rates'!E$56</f>
        <v>33059.364255153028</v>
      </c>
      <c r="Z18" s="53">
        <f>I18*'1. Rates'!F$56</f>
        <v>33059.364255153028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77961.507526397298</v>
      </c>
      <c r="AE18" s="53">
        <f t="shared" si="6"/>
        <v>384478.48052540014</v>
      </c>
      <c r="AF18" s="53">
        <f>(N18+W18)*'1. Rates'!C$60</f>
        <v>11757.185456398289</v>
      </c>
      <c r="AG18" s="53">
        <f>(O18+X18)*'1. Rates'!D$60</f>
        <v>2939.2963640995722</v>
      </c>
      <c r="AH18" s="53">
        <f>(P18+Y18)*'1. Rates'!E$60</f>
        <v>5889.6838946594207</v>
      </c>
      <c r="AI18" s="53">
        <f>(Q18+Z18)*'1. Rates'!F$60</f>
        <v>5942.7238946594207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6561.6837197872082</v>
      </c>
      <c r="AN18" s="53">
        <f t="shared" si="7"/>
        <v>40024.554280585486</v>
      </c>
      <c r="AO18" s="53">
        <f t="shared" si="8"/>
        <v>97976.545469985751</v>
      </c>
      <c r="AP18" s="53">
        <f t="shared" si="0"/>
        <v>24494.136367496438</v>
      </c>
      <c r="AQ18" s="53">
        <f t="shared" si="0"/>
        <v>49080.699122161845</v>
      </c>
      <c r="AR18" s="53">
        <f t="shared" si="0"/>
        <v>49522.699122161837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77961.507526397298</v>
      </c>
      <c r="AW18" s="53">
        <f t="shared" si="9"/>
        <v>480446.76219971629</v>
      </c>
      <c r="AX18" s="53">
        <f t="shared" si="10"/>
        <v>109733.73092638404</v>
      </c>
      <c r="AY18" s="53">
        <f t="shared" si="11"/>
        <v>27433.432731596011</v>
      </c>
      <c r="AZ18" s="53">
        <f t="shared" si="12"/>
        <v>54970.383016821266</v>
      </c>
      <c r="BA18" s="53">
        <f t="shared" si="13"/>
        <v>55465.42301682126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84523.191246184506</v>
      </c>
      <c r="BF18" s="53">
        <f t="shared" si="17"/>
        <v>520471.31648030179</v>
      </c>
      <c r="BG18" s="54">
        <f t="shared" si="18"/>
        <v>4.8988272734992879</v>
      </c>
      <c r="BH18" s="54">
        <f t="shared" si="2"/>
        <v>4.8988272734992879</v>
      </c>
      <c r="BI18" s="54">
        <f t="shared" si="2"/>
        <v>4.9080699122161846</v>
      </c>
      <c r="BJ18" s="54">
        <f t="shared" si="2"/>
        <v>4.9522699122161837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3.7517299050303037</v>
      </c>
      <c r="BO18" s="54">
        <f t="shared" si="22"/>
        <v>5.0161412960376586</v>
      </c>
      <c r="BP18" s="54">
        <f t="shared" si="20"/>
        <v>5.4866865463192021</v>
      </c>
      <c r="BQ18" s="54">
        <f t="shared" si="3"/>
        <v>5.4866865463192021</v>
      </c>
      <c r="BR18" s="54">
        <f t="shared" si="3"/>
        <v>5.4970383016821263</v>
      </c>
      <c r="BS18" s="54">
        <f t="shared" si="3"/>
        <v>5.546542301682126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4.0674968241158629</v>
      </c>
      <c r="BX18" s="54">
        <f t="shared" si="21"/>
        <v>5.4340207269721699</v>
      </c>
    </row>
    <row r="19" spans="2:76" ht="18" customHeight="1" x14ac:dyDescent="0.3">
      <c r="B19" s="14">
        <v>15</v>
      </c>
      <c r="C19" s="53">
        <f>'2. Energy'!O24</f>
        <v>115375.6737885701</v>
      </c>
      <c r="D19" s="53">
        <f>'2. Energy'!P24</f>
        <v>16001.645499999999</v>
      </c>
      <c r="E19" s="53">
        <f>'2. Energy'!Q24</f>
        <v>99374.028288570102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24374.028288570102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97115.12039850674</v>
      </c>
      <c r="AE19" s="53">
        <f t="shared" si="6"/>
        <v>403632.0933975096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8173.7606760399176</v>
      </c>
      <c r="AN19" s="53">
        <f t="shared" si="7"/>
        <v>41636.631236838191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97115.12039850674</v>
      </c>
      <c r="AW19" s="53">
        <f t="shared" si="9"/>
        <v>499600.37507182575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105288.88107454666</v>
      </c>
      <c r="BF19" s="53">
        <f t="shared" si="17"/>
        <v>541237.00630866387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3.9843689048333331</v>
      </c>
      <c r="BO19" s="54">
        <f t="shared" si="22"/>
        <v>5.0274743177467558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4.319716044800054</v>
      </c>
      <c r="BX19" s="54">
        <f t="shared" si="21"/>
        <v>5.4464633831384734</v>
      </c>
    </row>
    <row r="20" spans="2:76" ht="18" customHeight="1" x14ac:dyDescent="0.3">
      <c r="B20" s="14">
        <v>16</v>
      </c>
      <c r="C20" s="53">
        <f>'2. Energy'!O25</f>
        <v>115133.36603037387</v>
      </c>
      <c r="D20" s="53">
        <f>'2. Energy'!P25</f>
        <v>16435.614000000001</v>
      </c>
      <c r="E20" s="53">
        <f>'2. Energy'!Q25</f>
        <v>98697.752030373871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23697.752030373871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94634.68638603104</v>
      </c>
      <c r="AE20" s="53">
        <f t="shared" si="6"/>
        <v>401151.65938503388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7964.9932471628217</v>
      </c>
      <c r="AN20" s="53">
        <f t="shared" si="7"/>
        <v>41427.863807961097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94634.68638603104</v>
      </c>
      <c r="AW20" s="53">
        <f t="shared" si="9"/>
        <v>497119.94105935004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102599.67963319387</v>
      </c>
      <c r="BF20" s="53">
        <f t="shared" si="17"/>
        <v>538547.80486731115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3.9934035205000002</v>
      </c>
      <c r="BO20" s="54">
        <f t="shared" si="22"/>
        <v>5.0367909180582267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4.3295110650870958</v>
      </c>
      <c r="BX20" s="54">
        <f t="shared" si="21"/>
        <v>5.4565356736957398</v>
      </c>
    </row>
    <row r="21" spans="2:76" ht="18" customHeight="1" x14ac:dyDescent="0.3">
      <c r="B21" s="14">
        <v>17</v>
      </c>
      <c r="C21" s="53">
        <f>'2. Energy'!O26</f>
        <v>111589.25522267557</v>
      </c>
      <c r="D21" s="53">
        <f>'2. Energy'!P26</f>
        <v>17178.182500000003</v>
      </c>
      <c r="E21" s="53">
        <f>'2. Energy'!Q26</f>
        <v>94411.07272267557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19411.07272267557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79533.505731406854</v>
      </c>
      <c r="AE21" s="53">
        <f t="shared" si="6"/>
        <v>386050.4787304097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6693.9920262402784</v>
      </c>
      <c r="AN21" s="53">
        <f t="shared" si="7"/>
        <v>40156.862587038559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79533.505731406854</v>
      </c>
      <c r="AW21" s="53">
        <f t="shared" si="9"/>
        <v>482018.76040472585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86227.497757647128</v>
      </c>
      <c r="BF21" s="53">
        <f t="shared" si="17"/>
        <v>522175.62299176439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4.0973266582272725</v>
      </c>
      <c r="BO21" s="54">
        <f t="shared" si="22"/>
        <v>5.1055320790667702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4.4421809649354485</v>
      </c>
      <c r="BX21" s="54">
        <f t="shared" si="21"/>
        <v>5.5308726819110561</v>
      </c>
    </row>
    <row r="22" spans="2:76" ht="18" customHeight="1" x14ac:dyDescent="0.3">
      <c r="B22" s="14">
        <v>18</v>
      </c>
      <c r="C22" s="53">
        <f>'2. Energy'!O27</f>
        <v>104734.22809714085</v>
      </c>
      <c r="D22" s="53">
        <f>'2. Energy'!P27</f>
        <v>16939.003000000001</v>
      </c>
      <c r="E22" s="53">
        <f>'2. Energy'!Q27</f>
        <v>87795.22509714085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12795.22509714085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73522.017723994722</v>
      </c>
      <c r="AE22" s="53">
        <f t="shared" si="6"/>
        <v>380038.99072299758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6188.0310175132954</v>
      </c>
      <c r="AN22" s="53">
        <f t="shared" si="7"/>
        <v>39650.901578311576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73522.017723994722</v>
      </c>
      <c r="AW22" s="53">
        <f t="shared" si="9"/>
        <v>476007.27239731373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79710.048741508013</v>
      </c>
      <c r="BF22" s="53">
        <f t="shared" si="17"/>
        <v>515658.17397562531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5.7460511374999994</v>
      </c>
      <c r="BO22" s="54">
        <f t="shared" si="22"/>
        <v>5.4217899876745737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6.2296714701267408</v>
      </c>
      <c r="BX22" s="54">
        <f t="shared" si="21"/>
        <v>5.8734193505976702</v>
      </c>
    </row>
    <row r="23" spans="2:76" ht="18" customHeight="1" x14ac:dyDescent="0.3">
      <c r="B23" s="14">
        <v>19</v>
      </c>
      <c r="C23" s="53">
        <f>'2. Energy'!O28</f>
        <v>104716.81217204386</v>
      </c>
      <c r="D23" s="53">
        <f>'2. Energy'!P28</f>
        <v>16685.8825</v>
      </c>
      <c r="E23" s="53">
        <f>'2. Energy'!Q28</f>
        <v>88030.929672043858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13030.929672043858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68549.023219706025</v>
      </c>
      <c r="AE23" s="53">
        <f t="shared" si="6"/>
        <v>375065.99621870887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5769.4755263135694</v>
      </c>
      <c r="AN23" s="53">
        <f t="shared" si="7"/>
        <v>39232.346087111844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68549.023219706025</v>
      </c>
      <c r="AW23" s="53">
        <f t="shared" si="9"/>
        <v>471034.27789302502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74318.498746019599</v>
      </c>
      <c r="BF23" s="53">
        <f t="shared" si="17"/>
        <v>510266.62398013688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5.2604860086666667</v>
      </c>
      <c r="BO23" s="54">
        <f t="shared" si="22"/>
        <v>5.3507815906051057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5.7032384193938324</v>
      </c>
      <c r="BX23" s="54">
        <f t="shared" si="21"/>
        <v>5.7964470656065687</v>
      </c>
    </row>
    <row r="24" spans="2:76" ht="18" customHeight="1" x14ac:dyDescent="0.3">
      <c r="B24" s="14">
        <v>20</v>
      </c>
      <c r="C24" s="53">
        <f>'2. Energy'!O29</f>
        <v>98954.71477481621</v>
      </c>
      <c r="D24" s="53">
        <f>'2. Energy'!P29</f>
        <v>15197.436500000002</v>
      </c>
      <c r="E24" s="53">
        <f>'2. Energy'!Q29</f>
        <v>83757.278274816214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8757.2782748162135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36771.514423236011</v>
      </c>
      <c r="AE24" s="53">
        <f t="shared" si="6"/>
        <v>343288.48742223886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3094.8997165193509</v>
      </c>
      <c r="AN24" s="53">
        <f t="shared" si="7"/>
        <v>36557.770277317628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36771.514423236011</v>
      </c>
      <c r="AW24" s="53">
        <f t="shared" si="9"/>
        <v>439256.76909655501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39866.414139755361</v>
      </c>
      <c r="BF24" s="53">
        <f t="shared" si="17"/>
        <v>475814.53937387263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4.1989660793333332</v>
      </c>
      <c r="BO24" s="54">
        <f t="shared" si="22"/>
        <v>5.2444011809374764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4.5523749375877891</v>
      </c>
      <c r="BX24" s="54">
        <f t="shared" si="21"/>
        <v>5.6808739392495102</v>
      </c>
    </row>
    <row r="25" spans="2:76" ht="18" customHeight="1" x14ac:dyDescent="0.3">
      <c r="B25" s="14">
        <v>21</v>
      </c>
      <c r="C25" s="53">
        <f>'2. Energy'!O30</f>
        <v>94526.013045938453</v>
      </c>
      <c r="D25" s="53">
        <f>'2. Energy'!P30</f>
        <v>13342.395</v>
      </c>
      <c r="E25" s="53">
        <f>'2. Energy'!Q30</f>
        <v>81183.618045938449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6183.6180459384486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25715.431991655558</v>
      </c>
      <c r="AE25" s="53">
        <f t="shared" si="6"/>
        <v>332232.4049906584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2164.3569602577045</v>
      </c>
      <c r="AN25" s="53">
        <f t="shared" si="7"/>
        <v>35627.227521055982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25715.431991655558</v>
      </c>
      <c r="AW25" s="53">
        <f t="shared" si="9"/>
        <v>428200.68666497455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27879.788951913262</v>
      </c>
      <c r="BF25" s="53">
        <f t="shared" si="17"/>
        <v>463827.91418603051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4.1586384865000001</v>
      </c>
      <c r="BO25" s="54">
        <f t="shared" si="22"/>
        <v>5.2744715864064284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4.5086531452610314</v>
      </c>
      <c r="BX25" s="54">
        <f t="shared" si="21"/>
        <v>5.7133190827189972</v>
      </c>
    </row>
    <row r="26" spans="2:76" ht="18" customHeight="1" x14ac:dyDescent="0.3">
      <c r="B26" s="14">
        <v>22</v>
      </c>
      <c r="C26" s="53">
        <f>'2. Energy'!O31</f>
        <v>88784.748417665425</v>
      </c>
      <c r="D26" s="53">
        <f>'2. Energy'!P31</f>
        <v>9716.8905000000013</v>
      </c>
      <c r="E26" s="53">
        <f>'2. Energy'!Q31</f>
        <v>79067.857917665417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4067.8579176654166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15040.880318675741</v>
      </c>
      <c r="AE26" s="53">
        <f t="shared" si="6"/>
        <v>321557.85331767856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1265.9260018144905</v>
      </c>
      <c r="AN26" s="53">
        <f t="shared" si="7"/>
        <v>34728.79656261277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15040.880318675741</v>
      </c>
      <c r="AW26" s="53">
        <f t="shared" si="9"/>
        <v>417526.13499199471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16306.806320490232</v>
      </c>
      <c r="BF26" s="53">
        <f t="shared" si="17"/>
        <v>452254.93155460752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3.6974940184999996</v>
      </c>
      <c r="BO26" s="54">
        <f t="shared" si="22"/>
        <v>5.2806051155043452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4.008696137019669</v>
      </c>
      <c r="BX26" s="54">
        <f t="shared" si="21"/>
        <v>5.7198328557926486</v>
      </c>
    </row>
    <row r="27" spans="2:76" ht="18" customHeight="1" x14ac:dyDescent="0.3">
      <c r="B27" s="14">
        <v>23</v>
      </c>
      <c r="C27" s="53">
        <f>'2. Energy'!O32</f>
        <v>82796.883008797755</v>
      </c>
      <c r="D27" s="53">
        <f>'2. Energy'!P32</f>
        <v>6391.7999999999993</v>
      </c>
      <c r="E27" s="53">
        <f>'2. Energy'!Q32</f>
        <v>76405.083008797752</v>
      </c>
      <c r="F27" s="53">
        <f>'3. Nomination'!W28</f>
        <v>20000</v>
      </c>
      <c r="G27" s="53">
        <f>'3. Nomination'!X28</f>
        <v>5000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1405.083008797752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65654.455917746949</v>
      </c>
      <c r="X27" s="53">
        <f>G27*'1. Rates'!D$56</f>
        <v>16413.613979436737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5001.051618949441</v>
      </c>
      <c r="AE27" s="53">
        <f t="shared" si="6"/>
        <v>311518.02461795229</v>
      </c>
      <c r="AF27" s="53">
        <f>(N27+W27)*'1. Rates'!C$60</f>
        <v>11757.185456398289</v>
      </c>
      <c r="AG27" s="53">
        <f>(O27+X27)*'1. Rates'!D$60</f>
        <v>2939.2963640995722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420.91693748693785</v>
      </c>
      <c r="AN27" s="53">
        <f t="shared" si="7"/>
        <v>33883.787498285215</v>
      </c>
      <c r="AO27" s="53">
        <f t="shared" si="8"/>
        <v>97976.545469985751</v>
      </c>
      <c r="AP27" s="53">
        <f t="shared" si="23"/>
        <v>24494.136367496438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5001.051618949441</v>
      </c>
      <c r="AW27" s="53">
        <f t="shared" si="9"/>
        <v>407486.30629226845</v>
      </c>
      <c r="AX27" s="53">
        <f t="shared" si="10"/>
        <v>109733.73092638404</v>
      </c>
      <c r="AY27" s="53">
        <f t="shared" si="11"/>
        <v>27433.432731596011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5421.968556436379</v>
      </c>
      <c r="BF27" s="53">
        <f t="shared" si="17"/>
        <v>441370.09379055363</v>
      </c>
      <c r="BG27" s="54">
        <f t="shared" si="18"/>
        <v>4.8988272734992879</v>
      </c>
      <c r="BH27" s="54">
        <f t="shared" si="29"/>
        <v>4.8988272734992879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3.5592570600000002</v>
      </c>
      <c r="BO27" s="54">
        <f t="shared" si="22"/>
        <v>5.3332355681800383</v>
      </c>
      <c r="BP27" s="54">
        <f t="shared" si="20"/>
        <v>5.4866865463192021</v>
      </c>
      <c r="BQ27" s="54">
        <f t="shared" si="32"/>
        <v>5.4866865463192021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3.8588243701527949</v>
      </c>
      <c r="BX27" s="54">
        <f t="shared" si="21"/>
        <v>5.7767111350396876</v>
      </c>
    </row>
    <row r="28" spans="2:76" ht="18" customHeight="1" x14ac:dyDescent="0.3">
      <c r="B28" s="14">
        <v>24</v>
      </c>
      <c r="C28" s="53">
        <f>'2. Energy'!O33</f>
        <v>78592.213095652973</v>
      </c>
      <c r="D28" s="53">
        <f>'2. Energy'!P33</f>
        <v>5848.1970000000001</v>
      </c>
      <c r="E28" s="53">
        <f>'2. Energy'!Q33</f>
        <v>72744.016095652973</v>
      </c>
      <c r="F28" s="53">
        <f>'3. Nomination'!W29</f>
        <v>20000</v>
      </c>
      <c r="G28" s="53">
        <f>'3. Nomination'!X29</f>
        <v>2500</v>
      </c>
      <c r="H28" s="53">
        <f>'3. Nomination'!Y29</f>
        <v>10000</v>
      </c>
      <c r="I28" s="53">
        <f>'3. Nomination'!Z29</f>
        <v>10000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244.01609565297258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65654.455917746949</v>
      </c>
      <c r="X28" s="53">
        <f>G28*'1. Rates'!D$56</f>
        <v>8206.8069897183686</v>
      </c>
      <c r="Y28" s="53">
        <f>H28*'1. Rates'!E$56</f>
        <v>33059.364255153028</v>
      </c>
      <c r="Z28" s="53">
        <f>I28*'1. Rates'!F$56</f>
        <v>33059.364255153028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864.44019954273961</v>
      </c>
      <c r="AE28" s="53">
        <f t="shared" si="6"/>
        <v>299174.60620882723</v>
      </c>
      <c r="AF28" s="53">
        <f>(N28+W28)*'1. Rates'!C$60</f>
        <v>11757.185456398289</v>
      </c>
      <c r="AG28" s="53">
        <f>(O28+X28)*'1. Rates'!D$60</f>
        <v>1954.4795253333684</v>
      </c>
      <c r="AH28" s="53">
        <f>(P28+Y28)*'1. Rates'!E$60</f>
        <v>5889.6838946594207</v>
      </c>
      <c r="AI28" s="53">
        <f>(Q28+Z28)*'1. Rates'!F$60</f>
        <v>5942.7238946594207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72.756201926298473</v>
      </c>
      <c r="AN28" s="53">
        <f t="shared" si="7"/>
        <v>32550.809923958375</v>
      </c>
      <c r="AO28" s="53">
        <f t="shared" si="8"/>
        <v>97976.545469985751</v>
      </c>
      <c r="AP28" s="53">
        <f t="shared" si="23"/>
        <v>16287.329377778071</v>
      </c>
      <c r="AQ28" s="53">
        <f t="shared" si="24"/>
        <v>49080.699122161845</v>
      </c>
      <c r="AR28" s="53">
        <f t="shared" si="25"/>
        <v>49522.699122161837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864.44019954273961</v>
      </c>
      <c r="AW28" s="53">
        <f t="shared" si="9"/>
        <v>395142.88788314332</v>
      </c>
      <c r="AX28" s="53">
        <f t="shared" si="10"/>
        <v>109733.73092638404</v>
      </c>
      <c r="AY28" s="53">
        <f t="shared" si="11"/>
        <v>18241.80890311144</v>
      </c>
      <c r="AZ28" s="53">
        <f t="shared" si="12"/>
        <v>54970.383016821266</v>
      </c>
      <c r="BA28" s="53">
        <f t="shared" si="13"/>
        <v>55465.42301682126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937.19640146903805</v>
      </c>
      <c r="BF28" s="53">
        <f t="shared" si="17"/>
        <v>427693.69780710177</v>
      </c>
      <c r="BG28" s="54">
        <f t="shared" si="18"/>
        <v>4.8988272734992879</v>
      </c>
      <c r="BH28" s="54">
        <f t="shared" si="29"/>
        <v>6.5149317511112281</v>
      </c>
      <c r="BI28" s="54">
        <f t="shared" si="30"/>
        <v>4.9080699122161846</v>
      </c>
      <c r="BJ28" s="54">
        <f t="shared" si="31"/>
        <v>4.9522699122161837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3.5425540156666671</v>
      </c>
      <c r="BO28" s="54">
        <f t="shared" si="22"/>
        <v>5.4319641544613075</v>
      </c>
      <c r="BP28" s="54">
        <f>AX28/F28</f>
        <v>5.4866865463192021</v>
      </c>
      <c r="BQ28" s="54">
        <f t="shared" si="32"/>
        <v>7.2967235612445762</v>
      </c>
      <c r="BR28" s="54">
        <f t="shared" si="33"/>
        <v>5.4970383016821263</v>
      </c>
      <c r="BS28" s="54">
        <f t="shared" si="34"/>
        <v>5.546542301682126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3.840715502644021</v>
      </c>
      <c r="BX28" s="54">
        <f t="shared" si="21"/>
        <v>5.879434773641262</v>
      </c>
    </row>
    <row r="29" spans="2:76" ht="21" customHeight="1" x14ac:dyDescent="0.3">
      <c r="B29" s="55" t="s">
        <v>137</v>
      </c>
      <c r="C29" s="56">
        <f t="shared" ref="C29:D29" si="36">SUM(C5:C28)</f>
        <v>2154913.4230403756</v>
      </c>
      <c r="D29" s="56">
        <f t="shared" si="36"/>
        <v>265498.84500000003</v>
      </c>
      <c r="E29" s="56">
        <f>SUM(E5:E28)</f>
        <v>1889414.5780403754</v>
      </c>
      <c r="F29" s="56">
        <f t="shared" ref="F29:L29" si="37">SUM(F5:F28)</f>
        <v>354000</v>
      </c>
      <c r="G29" s="56">
        <f t="shared" si="37"/>
        <v>85000</v>
      </c>
      <c r="H29" s="56">
        <f t="shared" si="37"/>
        <v>180000</v>
      </c>
      <c r="I29" s="56">
        <f t="shared" si="37"/>
        <v>180000</v>
      </c>
      <c r="J29" s="56">
        <f t="shared" si="37"/>
        <v>390000</v>
      </c>
      <c r="K29" s="56">
        <f t="shared" si="37"/>
        <v>150000</v>
      </c>
      <c r="L29" s="56">
        <f t="shared" si="37"/>
        <v>0</v>
      </c>
      <c r="M29" s="56">
        <f>SUM(M5:M28)</f>
        <v>550414.57804037549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1162083.8697441213</v>
      </c>
      <c r="X29" s="56">
        <f t="shared" ref="X29" si="45">SUM(X5:X28)</f>
        <v>279031.4376504246</v>
      </c>
      <c r="Y29" s="56">
        <f t="shared" ref="Y29" si="46">SUM(Y5:Y28)</f>
        <v>595068.55659275467</v>
      </c>
      <c r="Z29" s="56">
        <f t="shared" ref="Z29" si="47">SUM(Z5:Z28)</f>
        <v>595068.55659275467</v>
      </c>
      <c r="AA29" s="56">
        <f t="shared" ref="AA29" si="48">SUM(AA5:AA28)</f>
        <v>2410746</v>
      </c>
      <c r="AB29" s="56">
        <f t="shared" ref="AB29" si="49">SUM(AB5:AB28)</f>
        <v>520532.61887269682</v>
      </c>
      <c r="AC29" s="56">
        <f t="shared" ref="AC29" si="50">SUM(AC5:AC28)</f>
        <v>0</v>
      </c>
      <c r="AD29" s="56">
        <f t="shared" ref="AD29" si="51">SUM(AD5:AD28)</f>
        <v>1898952.5662420073</v>
      </c>
      <c r="AE29" s="56">
        <f t="shared" ref="AE29" si="52">SUM(AE5:AE28)</f>
        <v>7461483.6056947578</v>
      </c>
      <c r="AF29" s="56">
        <f t="shared" ref="AF29" si="53">SUM(AF5:AF28)</f>
        <v>232537.68227974229</v>
      </c>
      <c r="AG29" s="56">
        <f t="shared" ref="AG29" si="54">SUM(AG5:AG28)</f>
        <v>56755.676995662885</v>
      </c>
      <c r="AH29" s="56">
        <f t="shared" ref="AH29" si="55">SUM(AH5:AH28)</f>
        <v>117549.67120811591</v>
      </c>
      <c r="AI29" s="56">
        <f t="shared" ref="AI29" si="56">SUM(AI5:AI28)</f>
        <v>118822.63120811587</v>
      </c>
      <c r="AJ29" s="56">
        <f t="shared" ref="AJ29" si="57">SUM(AJ5:AJ28)</f>
        <v>0</v>
      </c>
      <c r="AK29" s="56">
        <f t="shared" ref="AK29" si="58">SUM(AK5:AK28)</f>
        <v>128937.1942647237</v>
      </c>
      <c r="AL29" s="56">
        <f t="shared" ref="AL29" si="59">SUM(AL5:AL28)</f>
        <v>0</v>
      </c>
      <c r="AM29" s="56">
        <f t="shared" ref="AM29" si="60">SUM(AM5:AM28)</f>
        <v>159826.64437753876</v>
      </c>
      <c r="AN29" s="56">
        <f t="shared" ref="AN29" si="61">SUM(AN5:AN28)</f>
        <v>814429.5003338994</v>
      </c>
      <c r="AO29" s="56">
        <f t="shared" ref="AO29" si="62">SUM(AO5:AO28)</f>
        <v>1937814.0189978532</v>
      </c>
      <c r="AP29" s="56">
        <f t="shared" ref="AP29" si="63">SUM(AP5:AP28)</f>
        <v>472963.97496385756</v>
      </c>
      <c r="AQ29" s="56">
        <f t="shared" ref="AQ29" si="64">SUM(AQ5:AQ28)</f>
        <v>979580.59340096614</v>
      </c>
      <c r="AR29" s="56">
        <f t="shared" ref="AR29" si="65">SUM(AR5:AR28)</f>
        <v>990188.59340096614</v>
      </c>
      <c r="AS29" s="56">
        <f t="shared" ref="AS29" si="66">SUM(AS5:AS28)</f>
        <v>2410746</v>
      </c>
      <c r="AT29" s="56">
        <f t="shared" ref="AT29" si="67">SUM(AT5:AT28)</f>
        <v>1074476.6188726968</v>
      </c>
      <c r="AU29" s="56">
        <f t="shared" ref="AU29" si="68">SUM(AU5:AU28)</f>
        <v>0</v>
      </c>
      <c r="AV29" s="56">
        <f t="shared" ref="AV29" si="69">SUM(AV5:AV28)</f>
        <v>1898952.5662420073</v>
      </c>
      <c r="AW29" s="56">
        <f t="shared" ref="AW29" si="70">SUM(AW5:AW28)</f>
        <v>9764722.3658783454</v>
      </c>
      <c r="AX29" s="56">
        <f t="shared" ref="AX29" si="71">SUM(AX5:AX28)</f>
        <v>2170351.7012775941</v>
      </c>
      <c r="AY29" s="56">
        <f t="shared" ref="AY29" si="72">SUM(AY5:AY28)</f>
        <v>529719.65195952018</v>
      </c>
      <c r="AZ29" s="56">
        <f t="shared" ref="AZ29" si="73">SUM(AZ5:AZ28)</f>
        <v>1097130.2646090817</v>
      </c>
      <c r="BA29" s="56">
        <f t="shared" ref="BA29" si="74">SUM(BA5:BA28)</f>
        <v>1109011.2246090819</v>
      </c>
      <c r="BB29" s="56">
        <f t="shared" ref="BB29" si="75">SUM(BB5:BB28)</f>
        <v>2410746</v>
      </c>
      <c r="BC29" s="56">
        <f t="shared" ref="BC29" si="76">SUM(BC5:BC28)</f>
        <v>1203413.8131374209</v>
      </c>
      <c r="BD29" s="56">
        <f t="shared" ref="BD29" si="77">SUM(BD5:BD28)</f>
        <v>0</v>
      </c>
      <c r="BE29" s="56">
        <f t="shared" ref="BE29" si="78">SUM(BE5:BE28)</f>
        <v>2058779.2106195458</v>
      </c>
      <c r="BF29" s="56">
        <f t="shared" ref="BF29" si="79">SUM(BF5:BF28)</f>
        <v>10579151.866212243</v>
      </c>
      <c r="BG29" s="58">
        <f t="shared" ref="BG29" si="80">AO29/F29</f>
        <v>5.4740509011238787</v>
      </c>
      <c r="BH29" s="58">
        <f t="shared" si="29"/>
        <v>5.5642820583983239</v>
      </c>
      <c r="BI29" s="58">
        <f t="shared" si="30"/>
        <v>5.4421144077831451</v>
      </c>
      <c r="BJ29" s="58">
        <f t="shared" si="31"/>
        <v>5.5010477411164782</v>
      </c>
      <c r="BK29" s="58">
        <f t="shared" si="31"/>
        <v>6.1814</v>
      </c>
      <c r="BL29" s="58">
        <f t="shared" si="31"/>
        <v>7.1631774591513118</v>
      </c>
      <c r="BM29" s="58"/>
      <c r="BN29" s="58">
        <f t="shared" ref="BN29" si="81">AV29/M29</f>
        <v>3.4500404640494646</v>
      </c>
      <c r="BO29" s="59">
        <f t="shared" ref="BO29" si="82">AW29/E29</f>
        <v>5.1681205805059056</v>
      </c>
      <c r="BP29" s="58">
        <f>AX29/F29</f>
        <v>6.1309370092587407</v>
      </c>
      <c r="BQ29" s="58">
        <f t="shared" ref="BQ29:BV29" si="83">AY29/G29</f>
        <v>6.2319959054061194</v>
      </c>
      <c r="BR29" s="58">
        <f t="shared" si="83"/>
        <v>6.0951681367171204</v>
      </c>
      <c r="BS29" s="58">
        <f>BA29/I29</f>
        <v>6.1611734700504552</v>
      </c>
      <c r="BT29" s="58">
        <f t="shared" si="83"/>
        <v>6.1814</v>
      </c>
      <c r="BU29" s="58">
        <f t="shared" si="83"/>
        <v>8.0227587542494732</v>
      </c>
      <c r="BV29" s="58" t="e">
        <f t="shared" si="83"/>
        <v>#DIV/0!</v>
      </c>
      <c r="BW29" s="58">
        <f t="shared" ref="BW29" si="84">BE29/M29</f>
        <v>3.7404154845414079</v>
      </c>
      <c r="BX29" s="59">
        <f>BF29/E29</f>
        <v>5.5991691760865487</v>
      </c>
    </row>
  </sheetData>
  <mergeCells count="18">
    <mergeCell ref="AO3:AV3"/>
    <mergeCell ref="AW3:AW4"/>
    <mergeCell ref="BX3:BX4"/>
    <mergeCell ref="AX3:BE3"/>
    <mergeCell ref="BF3:BF4"/>
    <mergeCell ref="BG3:BN3"/>
    <mergeCell ref="BO3:BO4"/>
    <mergeCell ref="BP3:BW3"/>
    <mergeCell ref="V3:V4"/>
    <mergeCell ref="AE3:AE4"/>
    <mergeCell ref="AN3:AN4"/>
    <mergeCell ref="AF3:AM3"/>
    <mergeCell ref="W3:AD3"/>
    <mergeCell ref="C3:E3"/>
    <mergeCell ref="F3:L3"/>
    <mergeCell ref="M3:M4"/>
    <mergeCell ref="B3:B4"/>
    <mergeCell ref="N3:U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zoomScale="80" zoomScaleNormal="80" zoomScaleSheetLayoutView="70" workbookViewId="0">
      <selection activeCell="N21" sqref="N21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45666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73122.491304349824</v>
      </c>
      <c r="E11" s="65">
        <f>'4.Projected'!D5</f>
        <v>5801.1880000000001</v>
      </c>
      <c r="F11" s="65">
        <f>'4.Projected'!E5</f>
        <v>67321.303304349829</v>
      </c>
      <c r="G11" s="80">
        <f>'4.Projected'!F5+'4.Projected'!G5</f>
        <v>16500</v>
      </c>
      <c r="H11" s="80">
        <f>'4.Projected'!H5+'4.Projected'!I5</f>
        <v>20000</v>
      </c>
      <c r="I11" s="80">
        <f>'4.Projected'!J5</f>
        <v>20000</v>
      </c>
      <c r="J11" s="80">
        <f>'4.Projected'!K5</f>
        <v>10000</v>
      </c>
      <c r="K11" s="80">
        <f>'4.Projected'!L5</f>
        <v>0</v>
      </c>
      <c r="L11" s="65">
        <f>'4.Projected'!M5</f>
        <v>821.30330434982898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3.4180463775925927</v>
      </c>
      <c r="S11" s="77">
        <f>SUM('5. Actual'!AH5:AN5)/SUM('5. Actual'!Q5:V5)</f>
        <v>4.1896816426159464</v>
      </c>
      <c r="T11" s="66">
        <f>'4.Projected'!AW5</f>
        <v>377389.36369261425</v>
      </c>
      <c r="U11" s="66">
        <f>'4.Projected'!BF5</f>
        <v>407740.13135643676</v>
      </c>
      <c r="V11" s="77">
        <f>T11/F11</f>
        <v>5.6057940825431105</v>
      </c>
      <c r="W11" s="77">
        <f>U11/F11</f>
        <v>6.056628605555999</v>
      </c>
    </row>
    <row r="12" spans="3:23" ht="19.350000000000001" customHeight="1" x14ac:dyDescent="0.3">
      <c r="C12" s="64">
        <v>2</v>
      </c>
      <c r="D12" s="65">
        <f>'4.Projected'!C6</f>
        <v>69735.585161123177</v>
      </c>
      <c r="E12" s="65">
        <f>'4.Projected'!D6</f>
        <v>5641.719000000001</v>
      </c>
      <c r="F12" s="65">
        <f>'4.Projected'!E6</f>
        <v>64093.86616112318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10000</v>
      </c>
      <c r="J12" s="80">
        <f>'4.Projected'!K6</f>
        <v>0</v>
      </c>
      <c r="K12" s="80">
        <f>'4.Projected'!L6</f>
        <v>0</v>
      </c>
      <c r="L12" s="65">
        <f>'4.Projected'!M6</f>
        <v>31593.86616112318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3.1628628003703709</v>
      </c>
      <c r="S12" s="77">
        <f>SUM('5. Actual'!AH6:AN6)/SUM('5. Actual'!Q6:V6)</f>
        <v>4.1817661293459958</v>
      </c>
      <c r="T12" s="66">
        <f>'4.Projected'!AW6</f>
        <v>331802.74487895775</v>
      </c>
      <c r="U12" s="66">
        <f>'4.Projected'!BF6</f>
        <v>360620.57642111101</v>
      </c>
      <c r="V12" s="77">
        <f t="shared" ref="V12:V34" si="0">T12/F12</f>
        <v>5.1768252525889329</v>
      </c>
      <c r="W12" s="77">
        <f t="shared" ref="W12:W34" si="1">U12/F12</f>
        <v>5.6264444325227689</v>
      </c>
    </row>
    <row r="13" spans="3:23" ht="19.350000000000001" customHeight="1" x14ac:dyDescent="0.3">
      <c r="C13" s="64">
        <v>3</v>
      </c>
      <c r="D13" s="65">
        <f>'4.Projected'!C7</f>
        <v>66861.164265107829</v>
      </c>
      <c r="E13" s="65">
        <f>'4.Projected'!D7</f>
        <v>5541.0945000000002</v>
      </c>
      <c r="F13" s="65">
        <f>'4.Projected'!E7</f>
        <v>61320.06976510783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38820.06976510783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2.7573495538888886</v>
      </c>
      <c r="S13" s="77">
        <f>SUM('5. Actual'!AH7:AN7)/SUM('5. Actual'!Q7:V7)</f>
        <v>3.293039964610883</v>
      </c>
      <c r="T13" s="66">
        <f>'4.Projected'!AW7</f>
        <v>277102.18292681663</v>
      </c>
      <c r="U13" s="66">
        <f>'4.Projected'!BF7</f>
        <v>306518.72185818426</v>
      </c>
      <c r="V13" s="77">
        <f t="shared" si="0"/>
        <v>4.5189476135347215</v>
      </c>
      <c r="W13" s="77">
        <f t="shared" si="1"/>
        <v>4.9986688376633035</v>
      </c>
    </row>
    <row r="14" spans="3:23" ht="19.350000000000001" customHeight="1" x14ac:dyDescent="0.3">
      <c r="C14" s="64">
        <v>4</v>
      </c>
      <c r="D14" s="65">
        <f>'4.Projected'!C8</f>
        <v>64470.53926994084</v>
      </c>
      <c r="E14" s="65">
        <f>'4.Projected'!D8</f>
        <v>5516.2800000000007</v>
      </c>
      <c r="F14" s="65">
        <f>'4.Projected'!E8</f>
        <v>58954.259269940841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36454.259269940841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2.7296710018518513</v>
      </c>
      <c r="S14" s="77">
        <f>SUM('5. Actual'!AH8:AN8)/SUM('5. Actual'!Q8:V8)</f>
        <v>3.293039964610883</v>
      </c>
      <c r="T14" s="66">
        <f>'4.Projected'!AW8</f>
        <v>269569.81530120759</v>
      </c>
      <c r="U14" s="66">
        <f>'4.Projected'!BF8</f>
        <v>298352.38734829356</v>
      </c>
      <c r="V14" s="77">
        <f t="shared" si="0"/>
        <v>4.5725248462014658</v>
      </c>
      <c r="W14" s="77">
        <f t="shared" si="1"/>
        <v>5.0607435500494065</v>
      </c>
    </row>
    <row r="15" spans="3:23" ht="19.350000000000001" customHeight="1" x14ac:dyDescent="0.3">
      <c r="C15" s="64">
        <v>5</v>
      </c>
      <c r="D15" s="65">
        <f>'4.Projected'!C9</f>
        <v>63240.984256724296</v>
      </c>
      <c r="E15" s="65">
        <f>'4.Projected'!D9</f>
        <v>5497.0010000000002</v>
      </c>
      <c r="F15" s="65">
        <f>'4.Projected'!E9</f>
        <v>57743.983256724299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10000</v>
      </c>
      <c r="J15" s="80">
        <f>'4.Projected'!K9</f>
        <v>0</v>
      </c>
      <c r="K15" s="80">
        <f>'4.Projected'!L9</f>
        <v>0</v>
      </c>
      <c r="L15" s="65">
        <f>'4.Projected'!M9</f>
        <v>25243.983256724299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3.1715931044444443</v>
      </c>
      <c r="S15" s="77">
        <f>SUM('5. Actual'!AH9:AN9)/SUM('5. Actual'!Q9:V9)</f>
        <v>4.1817661293459958</v>
      </c>
      <c r="T15" s="66">
        <f>'4.Projected'!AW9</f>
        <v>311939.32410379883</v>
      </c>
      <c r="U15" s="66">
        <f>'4.Projected'!BF9</f>
        <v>339085.33722100029</v>
      </c>
      <c r="V15" s="77">
        <f t="shared" si="0"/>
        <v>5.4021095620810575</v>
      </c>
      <c r="W15" s="77">
        <f t="shared" si="1"/>
        <v>5.8722193741546871</v>
      </c>
    </row>
    <row r="16" spans="3:23" ht="19.350000000000001" customHeight="1" x14ac:dyDescent="0.3">
      <c r="C16" s="64">
        <v>6</v>
      </c>
      <c r="D16" s="65">
        <f>'4.Projected'!C10</f>
        <v>64223.479609905698</v>
      </c>
      <c r="E16" s="65">
        <f>'4.Projected'!D10</f>
        <v>5761.3979999999992</v>
      </c>
      <c r="F16" s="65">
        <f>'4.Projected'!E10</f>
        <v>58462.081609905697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10000</v>
      </c>
      <c r="J16" s="80">
        <f>'4.Projected'!K10</f>
        <v>0</v>
      </c>
      <c r="K16" s="80">
        <f>'4.Projected'!L10</f>
        <v>0</v>
      </c>
      <c r="L16" s="65">
        <f>'4.Projected'!M10</f>
        <v>25962.081609905697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3.3793836098148149</v>
      </c>
      <c r="S16" s="77">
        <f>SUM('5. Actual'!AH10:AN10)/SUM('5. Actual'!Q10:V10)</f>
        <v>4.1817661293459958</v>
      </c>
      <c r="T16" s="66">
        <f>'4.Projected'!AW10</f>
        <v>319611.51394725096</v>
      </c>
      <c r="U16" s="66">
        <f>'4.Projected'!BF10</f>
        <v>347403.26218154019</v>
      </c>
      <c r="V16" s="77">
        <f t="shared" si="0"/>
        <v>5.4669882622362289</v>
      </c>
      <c r="W16" s="77">
        <f t="shared" si="1"/>
        <v>5.9423690127837814</v>
      </c>
    </row>
    <row r="17" spans="3:23" ht="19.350000000000001" customHeight="1" x14ac:dyDescent="0.3">
      <c r="C17" s="64">
        <v>7</v>
      </c>
      <c r="D17" s="65">
        <f>'4.Projected'!C11</f>
        <v>65666.472825912992</v>
      </c>
      <c r="E17" s="65">
        <f>'4.Projected'!D11</f>
        <v>6103.384</v>
      </c>
      <c r="F17" s="65">
        <f>'4.Projected'!E11</f>
        <v>59563.088825912993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10000</v>
      </c>
      <c r="J17" s="80">
        <f>'4.Projected'!K11</f>
        <v>0</v>
      </c>
      <c r="K17" s="80">
        <f>'4.Projected'!L11</f>
        <v>0</v>
      </c>
      <c r="L17" s="65">
        <f>'4.Projected'!M11</f>
        <v>27063.088825912993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3.3736319642592587</v>
      </c>
      <c r="S17" s="77">
        <f>SUM('5. Actual'!AH11:AN11)/SUM('5. Actual'!Q11:V11)</f>
        <v>4.1817661293459958</v>
      </c>
      <c r="T17" s="66">
        <f>'4.Projected'!AW11</f>
        <v>323176.58239274868</v>
      </c>
      <c r="U17" s="66">
        <f>'4.Projected'!BF11</f>
        <v>351268.38705643453</v>
      </c>
      <c r="V17" s="77">
        <f t="shared" si="0"/>
        <v>5.4257861498302677</v>
      </c>
      <c r="W17" s="77">
        <f t="shared" si="1"/>
        <v>5.8974172424653499</v>
      </c>
    </row>
    <row r="18" spans="3:23" ht="19.350000000000001" customHeight="1" x14ac:dyDescent="0.3">
      <c r="C18" s="64">
        <v>8</v>
      </c>
      <c r="D18" s="65">
        <f>'4.Projected'!C12</f>
        <v>72609.949506693272</v>
      </c>
      <c r="E18" s="65">
        <f>'4.Projected'!D12</f>
        <v>6908.5929999999998</v>
      </c>
      <c r="F18" s="65">
        <f>'4.Projected'!E12</f>
        <v>65701.356506693279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10000</v>
      </c>
      <c r="J18" s="80">
        <f>'4.Projected'!K12</f>
        <v>0</v>
      </c>
      <c r="K18" s="80">
        <f>'4.Projected'!L12</f>
        <v>0</v>
      </c>
      <c r="L18" s="65">
        <f>'4.Projected'!M12</f>
        <v>33201.356506693279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3.1268883175925932</v>
      </c>
      <c r="S18" s="77">
        <f>SUM('5. Actual'!AH12:AN12)/SUM('5. Actual'!Q12:V12)</f>
        <v>4.1817661293459958</v>
      </c>
      <c r="T18" s="66">
        <f>'4.Projected'!AW12</f>
        <v>335692.61466706707</v>
      </c>
      <c r="U18" s="66">
        <f>'4.Projected'!BF12</f>
        <v>364837.83976625337</v>
      </c>
      <c r="V18" s="77">
        <f t="shared" si="0"/>
        <v>5.1093711380657512</v>
      </c>
      <c r="W18" s="77">
        <f t="shared" si="1"/>
        <v>5.5529727111355118</v>
      </c>
    </row>
    <row r="19" spans="3:23" ht="19.350000000000001" customHeight="1" x14ac:dyDescent="0.3">
      <c r="C19" s="64">
        <v>9</v>
      </c>
      <c r="D19" s="65">
        <f>'4.Projected'!C13</f>
        <v>86373.134957814749</v>
      </c>
      <c r="E19" s="65">
        <f>'4.Projected'!D13</f>
        <v>8421.4285000000018</v>
      </c>
      <c r="F19" s="65">
        <f>'4.Projected'!E13</f>
        <v>77951.706457814755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35451.706457814755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3.2227306583333331</v>
      </c>
      <c r="S19" s="77">
        <f>SUM('5. Actual'!AH13:AN13)/SUM('5. Actual'!Q13:V13)</f>
        <v>4.6522682165587028</v>
      </c>
      <c r="T19" s="66">
        <f>'4.Projected'!AW13</f>
        <v>407940.98216989439</v>
      </c>
      <c r="U19" s="66">
        <f>'4.Projected'!BF13</f>
        <v>437964.42296220851</v>
      </c>
      <c r="V19" s="77">
        <f t="shared" si="0"/>
        <v>5.2332527497734826</v>
      </c>
      <c r="W19" s="77">
        <f t="shared" si="1"/>
        <v>5.6184071249193552</v>
      </c>
    </row>
    <row r="20" spans="3:23" ht="19.350000000000001" customHeight="1" x14ac:dyDescent="0.3">
      <c r="C20" s="64">
        <v>10</v>
      </c>
      <c r="D20" s="65">
        <f>'4.Projected'!C14</f>
        <v>100280.053282647</v>
      </c>
      <c r="E20" s="65">
        <f>'4.Projected'!D14</f>
        <v>14998.935500000001</v>
      </c>
      <c r="F20" s="65">
        <f>'4.Projected'!E14</f>
        <v>85281.117782646994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0</v>
      </c>
      <c r="K20" s="80">
        <f>'4.Projected'!L14</f>
        <v>0</v>
      </c>
      <c r="L20" s="65">
        <f>'4.Projected'!M14</f>
        <v>42781.117782646994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3.2285652248333334</v>
      </c>
      <c r="S20" s="77">
        <f>SUM('5. Actual'!AH14:AN14)/SUM('5. Actual'!Q14:V14)</f>
        <v>4.6522682165587028</v>
      </c>
      <c r="T20" s="66">
        <f>'4.Projected'!AW14</f>
        <v>431811.31003061403</v>
      </c>
      <c r="U20" s="66">
        <f>'4.Projected'!BF14</f>
        <v>463843.81332927628</v>
      </c>
      <c r="V20" s="77">
        <f t="shared" si="0"/>
        <v>5.0633870809615376</v>
      </c>
      <c r="W20" s="77">
        <f t="shared" si="1"/>
        <v>5.4389978155710716</v>
      </c>
    </row>
    <row r="21" spans="3:23" ht="19.350000000000001" customHeight="1" x14ac:dyDescent="0.3">
      <c r="C21" s="64">
        <v>11</v>
      </c>
      <c r="D21" s="65">
        <f>'4.Projected'!C15</f>
        <v>105464.12992629895</v>
      </c>
      <c r="E21" s="65">
        <f>'4.Projected'!D15</f>
        <v>14970.028</v>
      </c>
      <c r="F21" s="65">
        <f>'4.Projected'!E15</f>
        <v>90494.101926298943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10000</v>
      </c>
      <c r="K21" s="80">
        <f>'4.Projected'!L15</f>
        <v>0</v>
      </c>
      <c r="L21" s="65">
        <f>'4.Projected'!M15</f>
        <v>37994.101926298943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3.4463123538333336</v>
      </c>
      <c r="S21" s="77">
        <f>SUM('5. Actual'!AH15:AN15)/SUM('5. Actual'!Q15:V15)</f>
        <v>4.4271156913382477</v>
      </c>
      <c r="T21" s="66">
        <f>'4.Projected'!AW15</f>
        <v>459331.39831098099</v>
      </c>
      <c r="U21" s="66">
        <f>'4.Projected'!BF15</f>
        <v>494923.67734327581</v>
      </c>
      <c r="V21" s="77">
        <f t="shared" si="0"/>
        <v>5.0758158657132588</v>
      </c>
      <c r="W21" s="77">
        <f t="shared" si="1"/>
        <v>5.4691263497631724</v>
      </c>
    </row>
    <row r="22" spans="3:23" ht="19.350000000000001" customHeight="1" x14ac:dyDescent="0.3">
      <c r="C22" s="64">
        <v>12</v>
      </c>
      <c r="D22" s="65">
        <f>'4.Projected'!C16</f>
        <v>107971.50580981375</v>
      </c>
      <c r="E22" s="65">
        <f>'4.Projected'!D16</f>
        <v>15231.207</v>
      </c>
      <c r="F22" s="65">
        <f>'4.Projected'!E16</f>
        <v>92740.298809813758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10000</v>
      </c>
      <c r="K22" s="80">
        <f>'4.Projected'!L16</f>
        <v>0</v>
      </c>
      <c r="L22" s="65">
        <f>'4.Projected'!M16</f>
        <v>40240.298809813758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3.3507212874999999</v>
      </c>
      <c r="S22" s="77">
        <f>SUM('5. Actual'!AH16:AN16)/SUM('5. Actual'!Q16:V16)</f>
        <v>4.4271156913382477</v>
      </c>
      <c r="T22" s="66">
        <f>'4.Projected'!AW16</f>
        <v>463225.88130697794</v>
      </c>
      <c r="U22" s="66">
        <f>'4.Projected'!BF16</f>
        <v>499145.94217010983</v>
      </c>
      <c r="V22" s="77">
        <f t="shared" si="0"/>
        <v>4.9948715634066891</v>
      </c>
      <c r="W22" s="77">
        <f t="shared" si="1"/>
        <v>5.382190359271199</v>
      </c>
    </row>
    <row r="23" spans="3:23" ht="19.350000000000001" customHeight="1" x14ac:dyDescent="0.3">
      <c r="C23" s="64">
        <v>13</v>
      </c>
      <c r="D23" s="65">
        <f>'4.Projected'!C17</f>
        <v>107975.80691927264</v>
      </c>
      <c r="E23" s="65">
        <f>'4.Projected'!D17</f>
        <v>15435.473000000002</v>
      </c>
      <c r="F23" s="65">
        <f>'4.Projected'!E17</f>
        <v>92540.333919272642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10000</v>
      </c>
      <c r="K23" s="80">
        <f>'4.Projected'!L17</f>
        <v>0</v>
      </c>
      <c r="L23" s="65">
        <f>'4.Projected'!M17</f>
        <v>40040.333919272642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3.3440436085000003</v>
      </c>
      <c r="S23" s="77">
        <f>SUM('5. Actual'!AH17:AN17)/SUM('5. Actual'!Q17:V17)</f>
        <v>4.4271156913382477</v>
      </c>
      <c r="T23" s="66">
        <f>'4.Projected'!AW17</f>
        <v>462288.47819452354</v>
      </c>
      <c r="U23" s="66">
        <f>'4.Projected'!BF17</f>
        <v>498129.64188215137</v>
      </c>
      <c r="V23" s="77">
        <f t="shared" si="0"/>
        <v>4.995535012849639</v>
      </c>
      <c r="W23" s="77">
        <f t="shared" si="1"/>
        <v>5.3828381721282064</v>
      </c>
    </row>
    <row r="24" spans="3:23" ht="19.350000000000001" customHeight="1" x14ac:dyDescent="0.3">
      <c r="C24" s="64">
        <v>14</v>
      </c>
      <c r="D24" s="65">
        <f>'4.Projected'!C18</f>
        <v>111714.21829109552</v>
      </c>
      <c r="E24" s="65">
        <f>'4.Projected'!D18</f>
        <v>15934.069</v>
      </c>
      <c r="F24" s="65">
        <f>'4.Projected'!E18</f>
        <v>95780.149291095513</v>
      </c>
      <c r="G24" s="80">
        <f>'4.Projected'!F18+'4.Projected'!G18</f>
        <v>25000</v>
      </c>
      <c r="H24" s="80">
        <f>'4.Projected'!H18+'4.Projected'!I18</f>
        <v>20000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20780.149291095513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3.7517299050303032</v>
      </c>
      <c r="S24" s="77">
        <f>SUM('5. Actual'!AH18:AN18)/SUM('5. Actual'!Q18:V18)</f>
        <v>4.0868929733200376</v>
      </c>
      <c r="T24" s="66">
        <f>'4.Projected'!AW18</f>
        <v>480446.76219971629</v>
      </c>
      <c r="U24" s="66">
        <f>'4.Projected'!BF18</f>
        <v>520471.31648030179</v>
      </c>
      <c r="V24" s="77">
        <f t="shared" si="0"/>
        <v>5.0161412960376586</v>
      </c>
      <c r="W24" s="77">
        <f t="shared" si="1"/>
        <v>5.4340207269721699</v>
      </c>
    </row>
    <row r="25" spans="3:23" ht="19.350000000000001" customHeight="1" x14ac:dyDescent="0.3">
      <c r="C25" s="64">
        <v>15</v>
      </c>
      <c r="D25" s="65">
        <f>'4.Projected'!C19</f>
        <v>115375.6737885701</v>
      </c>
      <c r="E25" s="65">
        <f>'4.Projected'!D19</f>
        <v>16001.645499999999</v>
      </c>
      <c r="F25" s="65">
        <f>'4.Projected'!E19</f>
        <v>99374.028288570102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24374.028288570102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3.9843689048333331</v>
      </c>
      <c r="S25" s="77">
        <f>SUM('5. Actual'!AH19:AN19)/SUM('5. Actual'!Q19:V19)</f>
        <v>4.0868929733200376</v>
      </c>
      <c r="T25" s="66">
        <f>'4.Projected'!AW19</f>
        <v>499600.37507182575</v>
      </c>
      <c r="U25" s="66">
        <f>'4.Projected'!BF19</f>
        <v>541237.00630866387</v>
      </c>
      <c r="V25" s="77">
        <f t="shared" si="0"/>
        <v>5.0274743177467558</v>
      </c>
      <c r="W25" s="77">
        <f t="shared" si="1"/>
        <v>5.4464633831384734</v>
      </c>
    </row>
    <row r="26" spans="3:23" ht="19.350000000000001" customHeight="1" x14ac:dyDescent="0.3">
      <c r="C26" s="64">
        <v>16</v>
      </c>
      <c r="D26" s="65">
        <f>'4.Projected'!C20</f>
        <v>115133.36603037387</v>
      </c>
      <c r="E26" s="65">
        <f>'4.Projected'!D20</f>
        <v>16435.614000000001</v>
      </c>
      <c r="F26" s="65">
        <f>'4.Projected'!E20</f>
        <v>98697.752030373871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23697.752030373871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3.9934035205000002</v>
      </c>
      <c r="S26" s="77">
        <f>SUM('5. Actual'!AH20:AN20)/SUM('5. Actual'!Q20:V20)</f>
        <v>4.0868929733200376</v>
      </c>
      <c r="T26" s="66">
        <f>'4.Projected'!AW20</f>
        <v>497119.94105935004</v>
      </c>
      <c r="U26" s="66">
        <f>'4.Projected'!BF20</f>
        <v>538547.80486731115</v>
      </c>
      <c r="V26" s="77">
        <f t="shared" si="0"/>
        <v>5.0367909180582267</v>
      </c>
      <c r="W26" s="77">
        <f t="shared" si="1"/>
        <v>5.4565356736957398</v>
      </c>
    </row>
    <row r="27" spans="3:23" ht="19.350000000000001" customHeight="1" x14ac:dyDescent="0.3">
      <c r="C27" s="64">
        <v>17</v>
      </c>
      <c r="D27" s="65">
        <f>'4.Projected'!C21</f>
        <v>111589.25522267557</v>
      </c>
      <c r="E27" s="65">
        <f>'4.Projected'!D21</f>
        <v>17178.182500000003</v>
      </c>
      <c r="F27" s="65">
        <f>'4.Projected'!E21</f>
        <v>94411.07272267557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19411.07272267557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4.0973266582272725</v>
      </c>
      <c r="S27" s="77">
        <f>SUM('5. Actual'!AH21:AN21)/SUM('5. Actual'!Q21:V21)</f>
        <v>4.0868929733200376</v>
      </c>
      <c r="T27" s="66">
        <f>'4.Projected'!AW21</f>
        <v>482018.76040472585</v>
      </c>
      <c r="U27" s="66">
        <f>'4.Projected'!BF21</f>
        <v>522175.62299176439</v>
      </c>
      <c r="V27" s="77">
        <f t="shared" si="0"/>
        <v>5.1055320790667702</v>
      </c>
      <c r="W27" s="77">
        <f t="shared" si="1"/>
        <v>5.5308726819110561</v>
      </c>
    </row>
    <row r="28" spans="3:23" ht="19.350000000000001" customHeight="1" x14ac:dyDescent="0.3">
      <c r="C28" s="64">
        <v>18</v>
      </c>
      <c r="D28" s="65">
        <f>'4.Projected'!C22</f>
        <v>104734.22809714085</v>
      </c>
      <c r="E28" s="65">
        <f>'4.Projected'!D22</f>
        <v>16939.003000000001</v>
      </c>
      <c r="F28" s="65">
        <f>'4.Projected'!E22</f>
        <v>87795.22509714085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12795.22509714085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5.7460511374999994</v>
      </c>
      <c r="S28" s="77">
        <f>SUM('5. Actual'!AH22:AN22)/SUM('5. Actual'!Q22:V22)</f>
        <v>4.0868929733200376</v>
      </c>
      <c r="T28" s="66">
        <f>'4.Projected'!AW22</f>
        <v>476007.27239731373</v>
      </c>
      <c r="U28" s="66">
        <f>'4.Projected'!BF22</f>
        <v>515658.17397562531</v>
      </c>
      <c r="V28" s="77">
        <f t="shared" si="0"/>
        <v>5.4217899876745737</v>
      </c>
      <c r="W28" s="77">
        <f t="shared" si="1"/>
        <v>5.8734193505976702</v>
      </c>
    </row>
    <row r="29" spans="3:23" ht="19.350000000000001" customHeight="1" x14ac:dyDescent="0.3">
      <c r="C29" s="64">
        <v>19</v>
      </c>
      <c r="D29" s="65">
        <f>'4.Projected'!C23</f>
        <v>104716.81217204386</v>
      </c>
      <c r="E29" s="65">
        <f>'4.Projected'!D23</f>
        <v>16685.8825</v>
      </c>
      <c r="F29" s="65">
        <f>'4.Projected'!E23</f>
        <v>88030.929672043858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13030.929672043858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5.2604860086666658</v>
      </c>
      <c r="S29" s="77">
        <f>SUM('5. Actual'!AH23:AN23)/SUM('5. Actual'!Q23:V23)</f>
        <v>4.0868929733200376</v>
      </c>
      <c r="T29" s="66">
        <f>'4.Projected'!AW23</f>
        <v>471034.27789302502</v>
      </c>
      <c r="U29" s="66">
        <f>'4.Projected'!BF23</f>
        <v>510266.62398013688</v>
      </c>
      <c r="V29" s="77">
        <f t="shared" si="0"/>
        <v>5.3507815906051057</v>
      </c>
      <c r="W29" s="77">
        <f t="shared" si="1"/>
        <v>5.7964470656065687</v>
      </c>
    </row>
    <row r="30" spans="3:23" ht="19.350000000000001" customHeight="1" x14ac:dyDescent="0.3">
      <c r="C30" s="64">
        <v>20</v>
      </c>
      <c r="D30" s="65">
        <f>'4.Projected'!C24</f>
        <v>98954.71477481621</v>
      </c>
      <c r="E30" s="65">
        <f>'4.Projected'!D24</f>
        <v>15197.436500000002</v>
      </c>
      <c r="F30" s="65">
        <f>'4.Projected'!E24</f>
        <v>83757.278274816214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8757.2782748162135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4.1989660793333332</v>
      </c>
      <c r="S30" s="77">
        <f>SUM('5. Actual'!AH24:AN24)/SUM('5. Actual'!Q24:V24)</f>
        <v>4.0868929733200376</v>
      </c>
      <c r="T30" s="66">
        <f>'4.Projected'!AW24</f>
        <v>439256.76909655501</v>
      </c>
      <c r="U30" s="66">
        <f>'4.Projected'!BF24</f>
        <v>475814.53937387263</v>
      </c>
      <c r="V30" s="77">
        <f t="shared" si="0"/>
        <v>5.2444011809374764</v>
      </c>
      <c r="W30" s="77">
        <f t="shared" si="1"/>
        <v>5.6808739392495102</v>
      </c>
    </row>
    <row r="31" spans="3:23" ht="19.350000000000001" customHeight="1" x14ac:dyDescent="0.3">
      <c r="C31" s="64">
        <v>21</v>
      </c>
      <c r="D31" s="65">
        <f>'4.Projected'!C25</f>
        <v>94526.013045938453</v>
      </c>
      <c r="E31" s="65">
        <f>'4.Projected'!D25</f>
        <v>13342.395</v>
      </c>
      <c r="F31" s="65">
        <f>'4.Projected'!E25</f>
        <v>81183.618045938449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6183.6180459384486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4.1586384865000001</v>
      </c>
      <c r="S31" s="77">
        <f>SUM('5. Actual'!AH25:AN25)/SUM('5. Actual'!Q25:V25)</f>
        <v>4.0868929733200376</v>
      </c>
      <c r="T31" s="66">
        <f>'4.Projected'!AW25</f>
        <v>428200.68666497455</v>
      </c>
      <c r="U31" s="66">
        <f>'4.Projected'!BF25</f>
        <v>463827.91418603051</v>
      </c>
      <c r="V31" s="77">
        <f t="shared" si="0"/>
        <v>5.2744715864064284</v>
      </c>
      <c r="W31" s="77">
        <f t="shared" si="1"/>
        <v>5.7133190827189972</v>
      </c>
    </row>
    <row r="32" spans="3:23" ht="19.350000000000001" customHeight="1" x14ac:dyDescent="0.3">
      <c r="C32" s="64">
        <v>22</v>
      </c>
      <c r="D32" s="65">
        <f>'4.Projected'!C26</f>
        <v>88784.748417665425</v>
      </c>
      <c r="E32" s="65">
        <f>'4.Projected'!D26</f>
        <v>9716.8905000000013</v>
      </c>
      <c r="F32" s="65">
        <f>'4.Projected'!E26</f>
        <v>79067.857917665417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4067.8579176654166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3.6974940184999996</v>
      </c>
      <c r="S32" s="77">
        <f>SUM('5. Actual'!AH26:AN26)/SUM('5. Actual'!Q26:V26)</f>
        <v>4.0868929733200376</v>
      </c>
      <c r="T32" s="66">
        <f>'4.Projected'!AW26</f>
        <v>417526.13499199471</v>
      </c>
      <c r="U32" s="66">
        <f>'4.Projected'!BF26</f>
        <v>452254.93155460752</v>
      </c>
      <c r="V32" s="77">
        <f t="shared" si="0"/>
        <v>5.2806051155043452</v>
      </c>
      <c r="W32" s="77">
        <f t="shared" si="1"/>
        <v>5.7198328557926486</v>
      </c>
    </row>
    <row r="33" spans="1:27" ht="19.350000000000001" customHeight="1" x14ac:dyDescent="0.3">
      <c r="C33" s="64">
        <v>23</v>
      </c>
      <c r="D33" s="65">
        <f>'4.Projected'!C27</f>
        <v>82796.883008797755</v>
      </c>
      <c r="E33" s="65">
        <f>'4.Projected'!D27</f>
        <v>6391.7999999999993</v>
      </c>
      <c r="F33" s="65">
        <f>'4.Projected'!E27</f>
        <v>76405.083008797752</v>
      </c>
      <c r="G33" s="80">
        <f>'4.Projected'!F27+'4.Projected'!G27</f>
        <v>25000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1405.083008797752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3.5592570600000002</v>
      </c>
      <c r="S33" s="77">
        <f>SUM('5. Actual'!AH27:AN27)/SUM('5. Actual'!Q27:V27)</f>
        <v>4.0868929733200376</v>
      </c>
      <c r="T33" s="66">
        <f>'4.Projected'!AW27</f>
        <v>407486.30629226845</v>
      </c>
      <c r="U33" s="66">
        <f>'4.Projected'!BF27</f>
        <v>441370.09379055363</v>
      </c>
      <c r="V33" s="77">
        <f t="shared" si="0"/>
        <v>5.3332355681800383</v>
      </c>
      <c r="W33" s="77">
        <f t="shared" si="1"/>
        <v>5.7767111350396876</v>
      </c>
    </row>
    <row r="34" spans="1:27" ht="20.85" customHeight="1" x14ac:dyDescent="0.3">
      <c r="C34" s="64">
        <v>24</v>
      </c>
      <c r="D34" s="65">
        <f>'4.Projected'!C28</f>
        <v>78592.213095652973</v>
      </c>
      <c r="E34" s="65">
        <f>'4.Projected'!D28</f>
        <v>5848.1970000000001</v>
      </c>
      <c r="F34" s="65">
        <f>'4.Projected'!E28</f>
        <v>72744.016095652973</v>
      </c>
      <c r="G34" s="80">
        <f>'4.Projected'!F28+'4.Projected'!G28</f>
        <v>22500</v>
      </c>
      <c r="H34" s="80">
        <f>'4.Projected'!H28+'4.Projected'!I28</f>
        <v>20000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244.01609565297258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3.5425540156666671</v>
      </c>
      <c r="S34" s="77">
        <f>SUM('5. Actual'!AH28:AN28)/SUM('5. Actual'!Q28:V28)</f>
        <v>4.1146229794384066</v>
      </c>
      <c r="T34" s="66">
        <f>'4.Projected'!AW28</f>
        <v>395142.88788314332</v>
      </c>
      <c r="U34" s="66">
        <f>'4.Projected'!BF28</f>
        <v>427693.69780710177</v>
      </c>
      <c r="V34" s="77">
        <f t="shared" si="0"/>
        <v>5.4319641544613075</v>
      </c>
      <c r="W34" s="77">
        <f t="shared" si="1"/>
        <v>5.879434773641262</v>
      </c>
    </row>
    <row r="35" spans="1:27" ht="23.85" customHeight="1" x14ac:dyDescent="0.3">
      <c r="C35" s="67" t="s">
        <v>92</v>
      </c>
      <c r="D35" s="68">
        <f>SUM(D11:D34)</f>
        <v>2154913.4230403756</v>
      </c>
      <c r="E35" s="68">
        <f>SUM(E11:E34)</f>
        <v>265498.84500000003</v>
      </c>
      <c r="F35" s="68">
        <f t="shared" ref="F35:L35" si="2">SUM(F11:F34)</f>
        <v>1889414.5780403754</v>
      </c>
      <c r="G35" s="82">
        <f t="shared" si="2"/>
        <v>439000</v>
      </c>
      <c r="H35" s="82">
        <f t="shared" si="2"/>
        <v>360000</v>
      </c>
      <c r="I35" s="82">
        <f t="shared" si="2"/>
        <v>390000</v>
      </c>
      <c r="J35" s="82">
        <f t="shared" ref="J35" si="3">SUM(J11:J34)</f>
        <v>150000</v>
      </c>
      <c r="K35" s="82">
        <f t="shared" si="2"/>
        <v>0</v>
      </c>
      <c r="L35" s="68">
        <f t="shared" si="2"/>
        <v>550414.57804037549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3.6542531523988493</v>
      </c>
      <c r="S35" s="79">
        <f>'3. Nomination'!V30</f>
        <v>4.1542427479109429</v>
      </c>
      <c r="T35" s="68">
        <f>SUM(T11:T34)</f>
        <v>9764722.3658783454</v>
      </c>
      <c r="U35" s="68">
        <f t="shared" ref="U35" si="6">SUM(U11:U34)</f>
        <v>10579151.866212243</v>
      </c>
      <c r="V35" s="79">
        <f t="shared" ref="V35" si="7">T35/F35</f>
        <v>5.1681205805059056</v>
      </c>
      <c r="W35" s="79">
        <f t="shared" ref="W35" si="8">U35/F35</f>
        <v>5.5991691760865487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0.73166666666666669</v>
      </c>
      <c r="H38" s="124">
        <f>H35/(20*24*1000)</f>
        <v>0.75</v>
      </c>
      <c r="I38" s="124">
        <f>I35/(20*24*1000)</f>
        <v>0.8125</v>
      </c>
      <c r="J38" s="124">
        <f>J35/(10*24*1000)</f>
        <v>0.625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0.23234710110859477</v>
      </c>
      <c r="H39" s="126">
        <f t="shared" si="9"/>
        <v>0.19053520819839206</v>
      </c>
      <c r="I39" s="126">
        <f t="shared" si="9"/>
        <v>0.20641314221492474</v>
      </c>
      <c r="J39" s="126">
        <f>J35/$F$35</f>
        <v>7.9389670082663358E-2</v>
      </c>
      <c r="K39" s="126">
        <f t="shared" si="9"/>
        <v>0</v>
      </c>
      <c r="L39" s="127">
        <f t="shared" si="9"/>
        <v>0.29131487839542514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BV54" sqref="BV54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6" t="s">
        <v>187</v>
      </c>
      <c r="G3" s="167"/>
      <c r="H3" s="167"/>
      <c r="I3" s="167"/>
      <c r="J3" s="167"/>
      <c r="K3" s="169">
        <f>'1. Rates'!C4</f>
        <v>45666</v>
      </c>
      <c r="L3" s="169"/>
      <c r="M3" s="169"/>
      <c r="N3" s="169"/>
      <c r="O3" s="170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14000</v>
      </c>
      <c r="R5" s="53">
        <f>'3. Nomination'!X6</f>
        <v>2500</v>
      </c>
      <c r="S5" s="53">
        <f>'3. Nomination'!Y6</f>
        <v>10000</v>
      </c>
      <c r="T5" s="53">
        <f>'3. Nomination'!Z6</f>
        <v>10000</v>
      </c>
      <c r="U5" s="53">
        <f>'3. Nomination'!AA6</f>
        <v>20000</v>
      </c>
      <c r="V5" s="53">
        <f>'3. Nomination'!AB6</f>
        <v>10000</v>
      </c>
      <c r="W5" s="53">
        <f>'3. Nomination'!AC6</f>
        <v>0</v>
      </c>
      <c r="X5" s="53">
        <f>E5-Q5-R5-S5-T5-U5-V5-W5</f>
        <v>-66500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45958.11914242286</v>
      </c>
      <c r="AI5" s="53">
        <f>R5*'1. Rates'!D$56</f>
        <v>8206.8069897183686</v>
      </c>
      <c r="AJ5" s="53">
        <f>S5*'1. Rates'!E$56</f>
        <v>33059.364255153028</v>
      </c>
      <c r="AK5" s="53">
        <f>T5*'1. Rates'!F$56</f>
        <v>33059.364255153028</v>
      </c>
      <c r="AL5" s="53">
        <f>U5*'1. Rates'!G$56</f>
        <v>123628</v>
      </c>
      <c r="AM5" s="53">
        <f>V5*'1. Rates'!H$56</f>
        <v>34702.174591513132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9393.6250433593996</v>
      </c>
      <c r="AR5" s="53">
        <f>(Z5+AI5)*'1. Rates'!D$60</f>
        <v>1954.4795253333684</v>
      </c>
      <c r="AS5" s="53">
        <f>(AA5+AJ5)*'1. Rates'!E$60</f>
        <v>5889.6838946594207</v>
      </c>
      <c r="AT5" s="53">
        <f>(AB5+AK5)*'1. Rates'!F$60</f>
        <v>5942.7238946594207</v>
      </c>
      <c r="AU5" s="53">
        <f>(AC5+AL5)*'1. Rates'!G$60</f>
        <v>0</v>
      </c>
      <c r="AV5" s="53">
        <f>(AD5+AM5)*'1. Rates'!H$60</f>
        <v>6933.9809509815759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78280.208694661662</v>
      </c>
      <c r="BA5" s="53">
        <f t="shared" ref="BA5:BG20" si="0">Z5+AI5</f>
        <v>16287.329377778071</v>
      </c>
      <c r="BB5" s="53">
        <f t="shared" si="0"/>
        <v>49080.699122161845</v>
      </c>
      <c r="BC5" s="53">
        <f t="shared" si="0"/>
        <v>49522.699122161837</v>
      </c>
      <c r="BD5" s="53">
        <f t="shared" si="0"/>
        <v>123628</v>
      </c>
      <c r="BE5" s="53">
        <f t="shared" si="0"/>
        <v>57783.174591513132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87673.833738021058</v>
      </c>
      <c r="BJ5" s="53">
        <f t="shared" ref="BJ5:BP20" si="1">Z5+AI5+AR5</f>
        <v>18241.80890311144</v>
      </c>
      <c r="BK5" s="53">
        <f t="shared" si="1"/>
        <v>54970.383016821266</v>
      </c>
      <c r="BL5" s="53">
        <f t="shared" si="1"/>
        <v>55465.42301682126</v>
      </c>
      <c r="BM5" s="53">
        <f t="shared" si="1"/>
        <v>123628</v>
      </c>
      <c r="BN5" s="53">
        <f t="shared" si="1"/>
        <v>64717.155542494707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5.5914434781901186</v>
      </c>
      <c r="BS5" s="54">
        <f t="shared" ref="BS5:BW20" si="2">BA5/R5</f>
        <v>6.5149317511112281</v>
      </c>
      <c r="BT5" s="54">
        <f t="shared" si="2"/>
        <v>4.9080699122161846</v>
      </c>
      <c r="BU5" s="54">
        <f t="shared" si="2"/>
        <v>4.9522699122161837</v>
      </c>
      <c r="BV5" s="54">
        <f t="shared" si="2"/>
        <v>6.1814</v>
      </c>
      <c r="BW5" s="54">
        <f t="shared" si="2"/>
        <v>5.7783174591513129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6.2624166955729326</v>
      </c>
      <c r="CB5" s="54">
        <f t="shared" ref="CB5:CF20" si="5">BJ5/R5</f>
        <v>7.2967235612445762</v>
      </c>
      <c r="CC5" s="54">
        <f t="shared" si="5"/>
        <v>5.4970383016821263</v>
      </c>
      <c r="CD5" s="54">
        <f t="shared" si="5"/>
        <v>5.546542301682126</v>
      </c>
      <c r="CE5" s="54">
        <f t="shared" si="5"/>
        <v>6.1814</v>
      </c>
      <c r="CF5" s="54">
        <f t="shared" si="5"/>
        <v>6.4717155542494709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10000</v>
      </c>
      <c r="V6" s="53">
        <f>'3. Nomination'!AB7</f>
        <v>0</v>
      </c>
      <c r="W6" s="53">
        <f>'3. Nomination'!AC7</f>
        <v>0</v>
      </c>
      <c r="X6" s="53">
        <f>E6-Q6-R6-S6-T6-U6-V6-W6</f>
        <v>-32500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61814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61814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61814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>
        <f t="shared" si="2"/>
        <v>6.1814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>
        <f t="shared" si="5"/>
        <v>6.1814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10000</v>
      </c>
      <c r="V9" s="53">
        <f>'3. Nomination'!AB10</f>
        <v>0</v>
      </c>
      <c r="W9" s="53">
        <f>'3. Nomination'!AC10</f>
        <v>0</v>
      </c>
      <c r="X9" s="53">
        <f t="shared" si="19"/>
        <v>-32500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61814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61814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61814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>
        <f t="shared" si="2"/>
        <v>6.1814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>
        <f t="shared" si="5"/>
        <v>6.1814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10000</v>
      </c>
      <c r="V10" s="53">
        <f>'3. Nomination'!AB11</f>
        <v>0</v>
      </c>
      <c r="W10" s="53">
        <f>'3. Nomination'!AC11</f>
        <v>0</v>
      </c>
      <c r="X10" s="53">
        <f t="shared" si="19"/>
        <v>-32500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61814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61814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61814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>
        <f t="shared" si="2"/>
        <v>6.1814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>
        <f t="shared" si="5"/>
        <v>6.1814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10000</v>
      </c>
      <c r="V11" s="53">
        <f>'3. Nomination'!AB12</f>
        <v>0</v>
      </c>
      <c r="W11" s="53">
        <f>'3. Nomination'!AC12</f>
        <v>0</v>
      </c>
      <c r="X11" s="53">
        <f t="shared" si="19"/>
        <v>-32500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61814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61814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61814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>
        <f t="shared" si="2"/>
        <v>6.1814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>
        <f t="shared" si="5"/>
        <v>6.1814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10000</v>
      </c>
      <c r="V12" s="53">
        <f>'3. Nomination'!AB13</f>
        <v>0</v>
      </c>
      <c r="W12" s="53">
        <f>'3. Nomination'!AC13</f>
        <v>0</v>
      </c>
      <c r="X12" s="53">
        <f t="shared" si="19"/>
        <v>-32500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61814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61814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61814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>
        <f t="shared" si="2"/>
        <v>6.1814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>
        <f t="shared" si="5"/>
        <v>6.1814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0</v>
      </c>
      <c r="W14" s="53">
        <f>'3. Nomination'!AC15</f>
        <v>0</v>
      </c>
      <c r="X14" s="53">
        <f t="shared" si="19"/>
        <v>-42500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10000</v>
      </c>
      <c r="W15" s="53">
        <f>'3. Nomination'!AC16</f>
        <v>0</v>
      </c>
      <c r="X15" s="53">
        <f t="shared" si="19"/>
        <v>-52500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34702.174591513132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6933.9809509815759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57783.174591513132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64717.155542494707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>
        <f t="shared" si="2"/>
        <v>5.7783174591513129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>
        <f t="shared" si="5"/>
        <v>6.4717155542494709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10000</v>
      </c>
      <c r="W16" s="53">
        <f>'3. Nomination'!AC17</f>
        <v>0</v>
      </c>
      <c r="X16" s="53">
        <f t="shared" si="19"/>
        <v>-52500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34702.174591513132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6933.9809509815759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57783.174591513132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64717.155542494707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>
        <f t="shared" si="2"/>
        <v>5.7783174591513129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>
        <f t="shared" si="5"/>
        <v>6.4717155542494709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10000</v>
      </c>
      <c r="W17" s="53">
        <f>'3. Nomination'!AC18</f>
        <v>0</v>
      </c>
      <c r="X17" s="53">
        <f t="shared" si="19"/>
        <v>-52500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34702.174591513132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6933.9809509815759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57783.174591513132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64717.155542494707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>
        <f t="shared" si="2"/>
        <v>5.7783174591513129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>
        <f t="shared" si="5"/>
        <v>6.4717155542494709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20000</v>
      </c>
      <c r="R18" s="53">
        <f>'3. Nomination'!X19</f>
        <v>5000</v>
      </c>
      <c r="S18" s="53">
        <f>'3. Nomination'!Y19</f>
        <v>10000</v>
      </c>
      <c r="T18" s="53">
        <f>'3. Nomination'!Z19</f>
        <v>10000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-75000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65654.455917746949</v>
      </c>
      <c r="AI18" s="53">
        <f>R18*'1. Rates'!D$56</f>
        <v>16413.613979436737</v>
      </c>
      <c r="AJ18" s="53">
        <f>S18*'1. Rates'!E$56</f>
        <v>33059.364255153028</v>
      </c>
      <c r="AK18" s="53">
        <f>T18*'1. Rates'!F$56</f>
        <v>33059.364255153028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11757.185456398289</v>
      </c>
      <c r="AR18" s="53">
        <f>(Z18+AI18)*'1. Rates'!D$60</f>
        <v>2939.2963640995722</v>
      </c>
      <c r="AS18" s="53">
        <f>(AA18+AJ18)*'1. Rates'!E$60</f>
        <v>5889.6838946594207</v>
      </c>
      <c r="AT18" s="53">
        <f>(AB18+AK18)*'1. Rates'!F$60</f>
        <v>5942.7238946594207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97976.545469985751</v>
      </c>
      <c r="BA18" s="53">
        <f t="shared" si="0"/>
        <v>24494.136367496438</v>
      </c>
      <c r="BB18" s="53">
        <f t="shared" si="0"/>
        <v>49080.699122161845</v>
      </c>
      <c r="BC18" s="53">
        <f t="shared" si="0"/>
        <v>49522.699122161837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109733.73092638404</v>
      </c>
      <c r="BJ18" s="53">
        <f t="shared" si="1"/>
        <v>27433.432731596011</v>
      </c>
      <c r="BK18" s="53">
        <f t="shared" si="1"/>
        <v>54970.383016821266</v>
      </c>
      <c r="BL18" s="53">
        <f t="shared" si="1"/>
        <v>55465.42301682126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4.8988272734992879</v>
      </c>
      <c r="BS18" s="54">
        <f t="shared" si="2"/>
        <v>4.8988272734992879</v>
      </c>
      <c r="BT18" s="54">
        <f t="shared" si="2"/>
        <v>4.9080699122161846</v>
      </c>
      <c r="BU18" s="54">
        <f t="shared" si="2"/>
        <v>4.9522699122161837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5.4866865463192021</v>
      </c>
      <c r="CB18" s="54">
        <f t="shared" si="5"/>
        <v>5.4866865463192021</v>
      </c>
      <c r="CC18" s="54">
        <f t="shared" si="5"/>
        <v>5.4970383016821263</v>
      </c>
      <c r="CD18" s="54">
        <f t="shared" si="5"/>
        <v>5.546542301682126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20000</v>
      </c>
      <c r="R27" s="53">
        <f>'3. Nomination'!X28</f>
        <v>5000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-75000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65654.455917746949</v>
      </c>
      <c r="AI27" s="53">
        <f>R27*'1. Rates'!D$56</f>
        <v>16413.613979436737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11757.185456398289</v>
      </c>
      <c r="AR27" s="53">
        <f>(Z27+AI27)*'1. Rates'!D$60</f>
        <v>2939.2963640995722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97976.545469985751</v>
      </c>
      <c r="BA27" s="53">
        <f t="shared" si="12"/>
        <v>24494.136367496438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109733.73092638404</v>
      </c>
      <c r="BJ27" s="53">
        <f t="shared" si="14"/>
        <v>27433.432731596011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4.8988272734992879</v>
      </c>
      <c r="BS27" s="54">
        <f t="shared" si="20"/>
        <v>4.8988272734992879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5.4866865463192021</v>
      </c>
      <c r="CB27" s="54">
        <f t="shared" si="23"/>
        <v>5.4866865463192021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20000</v>
      </c>
      <c r="R28" s="53">
        <f>'3. Nomination'!X29</f>
        <v>2500</v>
      </c>
      <c r="S28" s="53">
        <f>'3. Nomination'!Y29</f>
        <v>10000</v>
      </c>
      <c r="T28" s="53">
        <f>'3. Nomination'!Z29</f>
        <v>10000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-72500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65654.455917746949</v>
      </c>
      <c r="AI28" s="53">
        <f>R28*'1. Rates'!D$56</f>
        <v>8206.8069897183686</v>
      </c>
      <c r="AJ28" s="53">
        <f>S28*'1. Rates'!E$56</f>
        <v>33059.364255153028</v>
      </c>
      <c r="AK28" s="53">
        <f>T28*'1. Rates'!F$56</f>
        <v>33059.364255153028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11757.185456398289</v>
      </c>
      <c r="AR28" s="53">
        <f>(Z28+AI28)*'1. Rates'!D$60</f>
        <v>1954.4795253333684</v>
      </c>
      <c r="AS28" s="53">
        <f>(AA28+AJ28)*'1. Rates'!E$60</f>
        <v>5889.6838946594207</v>
      </c>
      <c r="AT28" s="53">
        <f>(AB28+AK28)*'1. Rates'!F$60</f>
        <v>5942.7238946594207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97976.545469985751</v>
      </c>
      <c r="BA28" s="53">
        <f t="shared" si="12"/>
        <v>16287.329377778071</v>
      </c>
      <c r="BB28" s="53">
        <f t="shared" si="12"/>
        <v>49080.699122161845</v>
      </c>
      <c r="BC28" s="53">
        <f t="shared" si="12"/>
        <v>49522.699122161837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109733.73092638404</v>
      </c>
      <c r="BJ28" s="53">
        <f t="shared" si="14"/>
        <v>18241.80890311144</v>
      </c>
      <c r="BK28" s="53">
        <f t="shared" si="14"/>
        <v>54970.383016821266</v>
      </c>
      <c r="BL28" s="53">
        <f t="shared" si="14"/>
        <v>55465.42301682126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4.8988272734992879</v>
      </c>
      <c r="BS28" s="54">
        <f t="shared" si="20"/>
        <v>6.5149317511112281</v>
      </c>
      <c r="BT28" s="54">
        <f t="shared" si="21"/>
        <v>4.9080699122161846</v>
      </c>
      <c r="BU28" s="54">
        <f t="shared" si="22"/>
        <v>4.9522699122161837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5.4866865463192021</v>
      </c>
      <c r="CB28" s="54">
        <f t="shared" si="23"/>
        <v>7.2967235612445762</v>
      </c>
      <c r="CC28" s="54">
        <f t="shared" si="24"/>
        <v>5.4970383016821263</v>
      </c>
      <c r="CD28" s="54">
        <f t="shared" si="25"/>
        <v>5.546542301682126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354000</v>
      </c>
      <c r="R29" s="56">
        <f t="shared" si="28"/>
        <v>85000</v>
      </c>
      <c r="S29" s="56">
        <f t="shared" si="28"/>
        <v>180000</v>
      </c>
      <c r="T29" s="56">
        <f t="shared" si="28"/>
        <v>180000</v>
      </c>
      <c r="U29" s="56">
        <f t="shared" si="28"/>
        <v>390000</v>
      </c>
      <c r="V29" s="56">
        <f t="shared" si="28"/>
        <v>150000</v>
      </c>
      <c r="W29" s="56">
        <f t="shared" si="28"/>
        <v>0</v>
      </c>
      <c r="X29" s="56">
        <f>SUM(X5:X28)</f>
        <v>-1339000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1162083.8697441213</v>
      </c>
      <c r="AI29" s="56">
        <f t="shared" si="29"/>
        <v>279031.4376504246</v>
      </c>
      <c r="AJ29" s="56">
        <f t="shared" si="29"/>
        <v>595068.55659275467</v>
      </c>
      <c r="AK29" s="56">
        <f t="shared" si="29"/>
        <v>595068.55659275467</v>
      </c>
      <c r="AL29" s="56">
        <f t="shared" si="29"/>
        <v>2410746</v>
      </c>
      <c r="AM29" s="56">
        <f t="shared" si="29"/>
        <v>520532.61887269682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232537.68227974229</v>
      </c>
      <c r="AR29" s="56">
        <f t="shared" si="29"/>
        <v>56755.676995662885</v>
      </c>
      <c r="AS29" s="56">
        <f t="shared" si="29"/>
        <v>117549.67120811591</v>
      </c>
      <c r="AT29" s="56">
        <f t="shared" si="29"/>
        <v>118822.63120811587</v>
      </c>
      <c r="AU29" s="56">
        <f t="shared" si="29"/>
        <v>0</v>
      </c>
      <c r="AV29" s="56">
        <f t="shared" si="29"/>
        <v>128937.1942647237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1937814.0189978532</v>
      </c>
      <c r="BA29" s="56">
        <f t="shared" si="29"/>
        <v>472963.97496385756</v>
      </c>
      <c r="BB29" s="56">
        <f t="shared" si="29"/>
        <v>979580.59340096614</v>
      </c>
      <c r="BC29" s="56">
        <f t="shared" si="29"/>
        <v>990188.59340096614</v>
      </c>
      <c r="BD29" s="56">
        <f t="shared" si="29"/>
        <v>2410746</v>
      </c>
      <c r="BE29" s="56">
        <f t="shared" si="29"/>
        <v>1074476.6188726968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2170351.7012775941</v>
      </c>
      <c r="BJ29" s="56">
        <f t="shared" si="29"/>
        <v>529719.65195952018</v>
      </c>
      <c r="BK29" s="56">
        <f t="shared" si="29"/>
        <v>1097130.2646090817</v>
      </c>
      <c r="BL29" s="56">
        <f t="shared" si="29"/>
        <v>1109011.2246090819</v>
      </c>
      <c r="BM29" s="56">
        <f t="shared" si="29"/>
        <v>2410746</v>
      </c>
      <c r="BN29" s="56">
        <f t="shared" si="29"/>
        <v>1203413.8131374209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5.4740509011238787</v>
      </c>
      <c r="BS29" s="58">
        <f t="shared" si="20"/>
        <v>5.5642820583983239</v>
      </c>
      <c r="BT29" s="58">
        <f t="shared" si="21"/>
        <v>5.4421144077831451</v>
      </c>
      <c r="BU29" s="58">
        <f t="shared" si="22"/>
        <v>5.5010477411164782</v>
      </c>
      <c r="BV29" s="58">
        <f t="shared" si="22"/>
        <v>6.1814</v>
      </c>
      <c r="BW29" s="58">
        <f t="shared" si="22"/>
        <v>7.1631774591513118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6.1309370092587407</v>
      </c>
      <c r="CB29" s="58">
        <f>BJ29/R29</f>
        <v>6.2319959054061194</v>
      </c>
      <c r="CC29" s="58">
        <f t="shared" ref="CC29:CG29" si="31">BK29/S29</f>
        <v>6.0951681367171204</v>
      </c>
      <c r="CD29" s="58">
        <f>BL29/T29</f>
        <v>6.1611734700504552</v>
      </c>
      <c r="CE29" s="58">
        <f>BM29/U29</f>
        <v>6.1814</v>
      </c>
      <c r="CF29" s="58">
        <f t="shared" si="31"/>
        <v>8.0227587542494732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  <mergeCell ref="AG3:AG4"/>
    <mergeCell ref="F3:J3"/>
    <mergeCell ref="K3:O3"/>
    <mergeCell ref="P3:P4"/>
    <mergeCell ref="B3:B4"/>
    <mergeCell ref="C3:E3"/>
    <mergeCell ref="Q3:W3"/>
    <mergeCell ref="X3:X4"/>
    <mergeCell ref="Y3:A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45666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45666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16500</v>
      </c>
      <c r="H11" s="80">
        <f>'5. Actual'!S5+'5. Actual'!T5</f>
        <v>20000</v>
      </c>
      <c r="I11" s="80">
        <f>'5. Actual'!U5</f>
        <v>20000</v>
      </c>
      <c r="J11" s="80">
        <f>'5. Actual'!V5</f>
        <v>10000</v>
      </c>
      <c r="K11" s="81">
        <f>'5. Actual'!W5</f>
        <v>0</v>
      </c>
      <c r="L11" s="65">
        <f>'5. Actual'!X5</f>
        <v>-66500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4.1896816426159464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10000</v>
      </c>
      <c r="J12" s="80">
        <f>'5. Actual'!V6</f>
        <v>0</v>
      </c>
      <c r="K12" s="81">
        <f>'5. Actual'!W6</f>
        <v>0</v>
      </c>
      <c r="L12" s="65">
        <f>'5. Actual'!X6</f>
        <v>-32500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4.1817661293459958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10000</v>
      </c>
      <c r="J15" s="80">
        <f>'5. Actual'!V9</f>
        <v>0</v>
      </c>
      <c r="K15" s="81">
        <f>'5. Actual'!W9</f>
        <v>0</v>
      </c>
      <c r="L15" s="65">
        <f>'5. Actual'!X9</f>
        <v>-32500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4.1817661293459958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10000</v>
      </c>
      <c r="J16" s="80">
        <f>'5. Actual'!V10</f>
        <v>0</v>
      </c>
      <c r="K16" s="81">
        <f>'5. Actual'!W10</f>
        <v>0</v>
      </c>
      <c r="L16" s="65">
        <f>'5. Actual'!X10</f>
        <v>-32500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4.1817661293459958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10000</v>
      </c>
      <c r="J17" s="80">
        <f>'5. Actual'!V11</f>
        <v>0</v>
      </c>
      <c r="K17" s="81">
        <f>'5. Actual'!W11</f>
        <v>0</v>
      </c>
      <c r="L17" s="65">
        <f>'5. Actual'!X11</f>
        <v>-32500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4.1817661293459958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10000</v>
      </c>
      <c r="J18" s="80">
        <f>'5. Actual'!V12</f>
        <v>0</v>
      </c>
      <c r="K18" s="81">
        <f>'5. Actual'!W12</f>
        <v>0</v>
      </c>
      <c r="L18" s="65">
        <f>'5. Actual'!X12</f>
        <v>-32500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4.1817661293459958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0</v>
      </c>
      <c r="K20" s="81">
        <f>'5. Actual'!W14</f>
        <v>0</v>
      </c>
      <c r="L20" s="65">
        <f>'5. Actual'!X14</f>
        <v>-42500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4.6522682165587028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10000</v>
      </c>
      <c r="K21" s="81">
        <f>'5. Actual'!W15</f>
        <v>0</v>
      </c>
      <c r="L21" s="65">
        <f>'5. Actual'!X15</f>
        <v>-52500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4.4271156913382477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10000</v>
      </c>
      <c r="K22" s="81">
        <f>'5. Actual'!W16</f>
        <v>0</v>
      </c>
      <c r="L22" s="65">
        <f>'5. Actual'!X16</f>
        <v>-52500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4.4271156913382477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10000</v>
      </c>
      <c r="K23" s="81">
        <f>'5. Actual'!W17</f>
        <v>0</v>
      </c>
      <c r="L23" s="65">
        <f>'5. Actual'!X17</f>
        <v>-52500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4.4271156913382477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25000</v>
      </c>
      <c r="H24" s="80">
        <f>'5. Actual'!S18+'5. Actual'!T18</f>
        <v>20000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-75000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4.0868929733200376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5.1681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25000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-75000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4.0868929733200376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22500</v>
      </c>
      <c r="H34" s="80">
        <f>'5. Actual'!S28+'5. Actual'!T28</f>
        <v>20000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-72500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4.1146229794384066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439000</v>
      </c>
      <c r="H35" s="82">
        <f t="shared" si="2"/>
        <v>360000</v>
      </c>
      <c r="I35" s="82">
        <f t="shared" si="2"/>
        <v>390000</v>
      </c>
      <c r="J35" s="82">
        <f t="shared" ref="J35" si="3">SUM(J11:J34)</f>
        <v>150000</v>
      </c>
      <c r="K35" s="82">
        <f t="shared" si="2"/>
        <v>0</v>
      </c>
      <c r="L35" s="68">
        <f t="shared" si="2"/>
        <v>-1339000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4.1542427479109429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0.73166666666666669</v>
      </c>
      <c r="H38" s="124">
        <f>H35/(20*24*1000)</f>
        <v>0.75</v>
      </c>
      <c r="I38" s="124">
        <f>I35/(20*24*1000)</f>
        <v>0.8125</v>
      </c>
      <c r="J38" s="124">
        <f>J35/(10*24*1000)</f>
        <v>0.625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2025-01-08T08:08:53Z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