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101" documentId="8_{D82A1506-15FA-4575-B3CF-305714C2B12D}" xr6:coauthVersionLast="47" xr6:coauthVersionMax="47" xr10:uidLastSave="{DE29AD48-D209-4851-AD8E-5088F50BFC12}"/>
  <bookViews>
    <workbookView xWindow="28680" yWindow="-45" windowWidth="29040" windowHeight="15720" tabRatio="674" firstSheet="1" activeTab="3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<sst xmlns="http://schemas.openxmlformats.org/spreadsheetml/2006/main" count="598" uniqueCount="194">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</sst>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0" fontId="37" fillId="40" borderId="1" xfId="0" applyFont="1" applyFill="1" applyBorder="1" applyAlignment="1">
      <alignment horizontal="center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3.0369632765674317</c:v>
                </c:pt>
                <c:pt idx="1">
                  <c:v>2.8889254812116656</c:v>
                </c:pt>
                <c:pt idx="2">
                  <c:v>2.7672555578631668</c:v>
                </c:pt>
                <c:pt idx="3">
                  <c:v>2.6776066856621608</c:v>
                </c:pt>
                <c:pt idx="4">
                  <c:v>2.6620332509339799</c:v>
                </c:pt>
                <c:pt idx="5">
                  <c:v>1.4585207287698447</c:v>
                </c:pt>
                <c:pt idx="6">
                  <c:v>1.5082920323606228</c:v>
                </c:pt>
                <c:pt idx="7">
                  <c:v>1.6524505555951645</c:v>
                </c:pt>
                <c:pt idx="8">
                  <c:v>1.549891465408838</c:v>
                </c:pt>
                <c:pt idx="9">
                  <c:v>1.6904495057809477</c:v>
                </c:pt>
                <c:pt idx="10">
                  <c:v>1.7464078819758979</c:v>
                </c:pt>
                <c:pt idx="11">
                  <c:v>1.7648111733539709</c:v>
                </c:pt>
                <c:pt idx="12">
                  <c:v>1.7504361790292966</c:v>
                </c:pt>
                <c:pt idx="13">
                  <c:v>1.2909011000554091</c:v>
                </c:pt>
                <c:pt idx="14">
                  <c:v>1.3236841447161527</c:v>
                </c:pt>
                <c:pt idx="15">
                  <c:v>1.3130696348880853</c:v>
                </c:pt>
                <c:pt idx="16">
                  <c:v>1.2660389809258019</c:v>
                </c:pt>
                <c:pt idx="17">
                  <c:v>1.1941117902473255</c:v>
                </c:pt>
                <c:pt idx="18">
                  <c:v>1.2005329419734911</c:v>
                </c:pt>
                <c:pt idx="19">
                  <c:v>1.1343289900954763</c:v>
                </c:pt>
                <c:pt idx="20">
                  <c:v>1.0962014604541999</c:v>
                </c:pt>
                <c:pt idx="21">
                  <c:v>1.0542437005022627</c:v>
                </c:pt>
                <c:pt idx="22">
                  <c:v>1.0130163457723116</c:v>
                </c:pt>
                <c:pt idx="23">
                  <c:v>1.3521046096977705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62417.527420454251</c:v>
                </c:pt>
                <c:pt idx="1">
                  <c:v>58965.391406413473</c:v>
                </c:pt>
                <c:pt idx="2">
                  <c:v>56189.885057487678</c:v>
                </c:pt>
                <c:pt idx="3">
                  <c:v>54391.751277409472</c:v>
                </c:pt>
                <c:pt idx="4">
                  <c:v>54491.718725620471</c:v>
                </c:pt>
                <c:pt idx="5">
                  <c:v>57256.988393147556</c:v>
                </c:pt>
                <c:pt idx="6">
                  <c:v>58574.550765581385</c:v>
                </c:pt>
                <c:pt idx="7">
                  <c:v>62737.66238797133</c:v>
                </c:pt>
                <c:pt idx="8">
                  <c:v>77061.837864230154</c:v>
                </c:pt>
                <c:pt idx="9">
                  <c:v>85305.594863895167</c:v>
                </c:pt>
                <c:pt idx="10">
                  <c:v>92029.110704378938</c:v>
                </c:pt>
                <c:pt idx="11">
                  <c:v>94595.139621410024</c:v>
                </c:pt>
                <c:pt idx="12">
                  <c:v>93757.349242768847</c:v>
                </c:pt>
                <c:pt idx="13">
                  <c:v>99474.45882648445</c:v>
                </c:pt>
                <c:pt idx="14">
                  <c:v>102044.59000151161</c:v>
                </c:pt>
                <c:pt idx="15">
                  <c:v>103004.97567166328</c:v>
                </c:pt>
                <c:pt idx="16">
                  <c:v>97718.092187739821</c:v>
                </c:pt>
                <c:pt idx="17">
                  <c:v>90179.139153298369</c:v>
                </c:pt>
                <c:pt idx="18">
                  <c:v>90191.007127664823</c:v>
                </c:pt>
                <c:pt idx="19">
                  <c:v>86124.601322559844</c:v>
                </c:pt>
                <c:pt idx="20">
                  <c:v>82851.045319421886</c:v>
                </c:pt>
                <c:pt idx="21">
                  <c:v>80283.394561692607</c:v>
                </c:pt>
                <c:pt idx="22">
                  <c:v>76553.444402591384</c:v>
                </c:pt>
                <c:pt idx="23">
                  <c:v>71998.898727078296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62956.133250343817</c:v>
                </c:pt>
                <c:pt idx="1">
                  <c:v>59709.385459588979</c:v>
                </c:pt>
                <c:pt idx="2">
                  <c:v>57149.972070987089</c:v>
                </c:pt>
                <c:pt idx="3">
                  <c:v>55240.390643353516</c:v>
                </c:pt>
                <c:pt idx="4">
                  <c:v>54731.859001691439</c:v>
                </c:pt>
                <c:pt idx="5">
                  <c:v>56051.455178681055</c:v>
                </c:pt>
                <c:pt idx="6">
                  <c:v>58207.441987152357</c:v>
                </c:pt>
                <c:pt idx="7">
                  <c:v>64600.346759278473</c:v>
                </c:pt>
                <c:pt idx="8">
                  <c:v>77066.916947356571</c:v>
                </c:pt>
                <c:pt idx="9">
                  <c:v>85018.80660625454</c:v>
                </c:pt>
                <c:pt idx="10">
                  <c:v>85628.786105260515</c:v>
                </c:pt>
                <c:pt idx="11">
                  <c:v>88517.181557953329</c:v>
                </c:pt>
                <c:pt idx="12">
                  <c:v>90179.728217554555</c:v>
                </c:pt>
                <c:pt idx="13">
                  <c:v>94037.197028730225</c:v>
                </c:pt>
                <c:pt idx="14">
                  <c:v>91642.844147114563</c:v>
                </c:pt>
                <c:pt idx="15">
                  <c:v>93302.50495933088</c:v>
                </c:pt>
                <c:pt idx="16">
                  <c:v>91256.049550851996</c:v>
                </c:pt>
                <c:pt idx="17">
                  <c:v>85996.210812010802</c:v>
                </c:pt>
                <c:pt idx="18">
                  <c:v>86807.424258334067</c:v>
                </c:pt>
                <c:pt idx="19">
                  <c:v>81553.96113524375</c:v>
                </c:pt>
                <c:pt idx="20">
                  <c:v>79184.763069413544</c:v>
                </c:pt>
                <c:pt idx="21">
                  <c:v>77706.840050443163</c:v>
                </c:pt>
                <c:pt idx="22">
                  <c:v>75053.179663883391</c:v>
                </c:pt>
                <c:pt idx="23">
                  <c:v>70626.196183071996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68331.673722767213</c:v>
                </c:pt>
                <c:pt idx="1">
                  <c:v>65000.823327262478</c:v>
                </c:pt>
                <c:pt idx="2">
                  <c:v>62263.250051921248</c:v>
                </c:pt>
                <c:pt idx="3">
                  <c:v>60246.150427398621</c:v>
                </c:pt>
                <c:pt idx="4">
                  <c:v>59895.74814601455</c:v>
                </c:pt>
                <c:pt idx="5">
                  <c:v>61987.130972718405</c:v>
                </c:pt>
                <c:pt idx="6">
                  <c:v>64102.411375326468</c:v>
                </c:pt>
                <c:pt idx="7">
                  <c:v>70229.148612794495</c:v>
                </c:pt>
                <c:pt idx="8">
                  <c:v>81369.301933964001</c:v>
                </c:pt>
                <c:pt idx="9">
                  <c:v>88748.599053499755</c:v>
                </c:pt>
                <c:pt idx="10">
                  <c:v>91686.413803734642</c:v>
                </c:pt>
                <c:pt idx="11">
                  <c:v>92652.586601083472</c:v>
                </c:pt>
                <c:pt idx="12">
                  <c:v>91897.89939903807</c:v>
                </c:pt>
                <c:pt idx="13">
                  <c:v>96817.582504155682</c:v>
                </c:pt>
                <c:pt idx="14">
                  <c:v>99276.31085371146</c:v>
                </c:pt>
                <c:pt idx="15">
                  <c:v>98480.222616606392</c:v>
                </c:pt>
                <c:pt idx="16">
                  <c:v>94952.923569435152</c:v>
                </c:pt>
                <c:pt idx="17">
                  <c:v>89558.384268549416</c:v>
                </c:pt>
                <c:pt idx="18">
                  <c:v>90039.970648011833</c:v>
                </c:pt>
                <c:pt idx="19">
                  <c:v>85074.674257160717</c:v>
                </c:pt>
                <c:pt idx="20">
                  <c:v>82215.109534064992</c:v>
                </c:pt>
                <c:pt idx="21">
                  <c:v>79068.277537669695</c:v>
                </c:pt>
                <c:pt idx="22">
                  <c:v>75976.225932923364</c:v>
                </c:pt>
                <c:pt idx="23">
                  <c:v>70985.492009132955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3.3325748783333333</c:v>
                </c:pt>
                <c:pt idx="1">
                  <c:v>3.3332333466666668</c:v>
                </c:pt>
                <c:pt idx="2">
                  <c:v>2.8638421383333332</c:v>
                </c:pt>
                <c:pt idx="3">
                  <c:v>2.7688244950000001</c:v>
                </c:pt>
                <c:pt idx="4">
                  <c:v>3.1836751083333334</c:v>
                </c:pt>
                <c:pt idx="5">
                  <c:v>3.4299398866666664</c:v>
                </c:pt>
                <c:pt idx="6">
                  <c:v>3.4639938116666671</c:v>
                </c:pt>
                <c:pt idx="7">
                  <c:v>3.2666314116666668</c:v>
                </c:pt>
                <c:pt idx="8">
                  <c:v>2.4094241533333332</c:v>
                </c:pt>
                <c:pt idx="9">
                  <c:v>3.1775479600000005</c:v>
                </c:pt>
                <c:pt idx="10">
                  <c:v>3.6352114116666669</c:v>
                </c:pt>
                <c:pt idx="11">
                  <c:v>3.3874664266666672</c:v>
                </c:pt>
                <c:pt idx="12">
                  <c:v>3.1248651633333333</c:v>
                </c:pt>
                <c:pt idx="13">
                  <c:v>3.7210044799999999</c:v>
                </c:pt>
                <c:pt idx="14">
                  <c:v>3.3980129383333328</c:v>
                </c:pt>
                <c:pt idx="15">
                  <c:v>4.6184671449999994</c:v>
                </c:pt>
                <c:pt idx="16">
                  <c:v>3.788147673333333</c:v>
                </c:pt>
                <c:pt idx="17">
                  <c:v>7.346224133333334</c:v>
                </c:pt>
                <c:pt idx="18">
                  <c:v>5.586923399999999</c:v>
                </c:pt>
                <c:pt idx="19">
                  <c:v>3.8340555983333338</c:v>
                </c:pt>
                <c:pt idx="20">
                  <c:v>3.5762280499999997</c:v>
                </c:pt>
                <c:pt idx="21">
                  <c:v>3.6873889216666669</c:v>
                </c:pt>
                <c:pt idx="22">
                  <c:v>5.2766617</c:v>
                </c:pt>
                <c:pt idx="23">
                  <c:v>3.4668278433333333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2.7411548733333331</c:v>
                </c:pt>
                <c:pt idx="1">
                  <c:v>1.0773140616666665</c:v>
                </c:pt>
                <c:pt idx="2">
                  <c:v>5.6878598333333329E-2</c:v>
                </c:pt>
                <c:pt idx="3">
                  <c:v>0.93084493666666668</c:v>
                </c:pt>
                <c:pt idx="4">
                  <c:v>2.0684925083333332</c:v>
                </c:pt>
                <c:pt idx="5">
                  <c:v>3.3009967216666665</c:v>
                </c:pt>
                <c:pt idx="6">
                  <c:v>2.9945202483333331</c:v>
                </c:pt>
                <c:pt idx="7">
                  <c:v>3.4116822650000005</c:v>
                </c:pt>
                <c:pt idx="8">
                  <c:v>3.1456058683333334</c:v>
                </c:pt>
                <c:pt idx="9">
                  <c:v>3.2894044249999999</c:v>
                </c:pt>
                <c:pt idx="10">
                  <c:v>3.4719981400000002</c:v>
                </c:pt>
                <c:pt idx="11">
                  <c:v>2.6952361883333338</c:v>
                </c:pt>
                <c:pt idx="12">
                  <c:v>2.9897764600000003</c:v>
                </c:pt>
                <c:pt idx="13">
                  <c:v>3.2626439116666668</c:v>
                </c:pt>
                <c:pt idx="14">
                  <c:v>3.3402676383333336</c:v>
                </c:pt>
                <c:pt idx="15">
                  <c:v>3.4962769300000005</c:v>
                </c:pt>
                <c:pt idx="16">
                  <c:v>3.4376853733333332</c:v>
                </c:pt>
                <c:pt idx="17">
                  <c:v>3.6420023216666673</c:v>
                </c:pt>
                <c:pt idx="18">
                  <c:v>4.3135480816666671</c:v>
                </c:pt>
                <c:pt idx="19">
                  <c:v>3.3957915750000005</c:v>
                </c:pt>
                <c:pt idx="20">
                  <c:v>3.47789546</c:v>
                </c:pt>
                <c:pt idx="21">
                  <c:v>3.1808366233333332</c:v>
                </c:pt>
                <c:pt idx="22">
                  <c:v>3.1848890049999996</c:v>
                </c:pt>
                <c:pt idx="23">
                  <c:v>2.189731173333334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2.7587967920833329</c:v>
                </c:pt>
                <c:pt idx="1">
                  <c:v>2.1493768641666668</c:v>
                </c:pt>
                <c:pt idx="2">
                  <c:v>1.6681755883333331</c:v>
                </c:pt>
                <c:pt idx="3">
                  <c:v>1.4291755518749998</c:v>
                </c:pt>
                <c:pt idx="4">
                  <c:v>2.3389981187499997</c:v>
                </c:pt>
                <c:pt idx="5">
                  <c:v>3.2938351731250002</c:v>
                </c:pt>
                <c:pt idx="6">
                  <c:v>3.0964303925000003</c:v>
                </c:pt>
                <c:pt idx="7">
                  <c:v>2.8869952216666666</c:v>
                </c:pt>
                <c:pt idx="8">
                  <c:v>3.3366598077083336</c:v>
                </c:pt>
                <c:pt idx="9">
                  <c:v>3.5413133166666664</c:v>
                </c:pt>
                <c:pt idx="10">
                  <c:v>3.3954759227083331</c:v>
                </c:pt>
                <c:pt idx="11">
                  <c:v>2.8546425104166668</c:v>
                </c:pt>
                <c:pt idx="12">
                  <c:v>3.133152086875</c:v>
                </c:pt>
                <c:pt idx="13">
                  <c:v>4.2559070089962123</c:v>
                </c:pt>
                <c:pt idx="14">
                  <c:v>4.2613910904166667</c:v>
                </c:pt>
                <c:pt idx="15">
                  <c:v>5.0638802470833335</c:v>
                </c:pt>
                <c:pt idx="16">
                  <c:v>4.3638817614583338</c:v>
                </c:pt>
                <c:pt idx="17">
                  <c:v>6.3120880302083338</c:v>
                </c:pt>
                <c:pt idx="18">
                  <c:v>5.9216326343749994</c:v>
                </c:pt>
                <c:pt idx="19">
                  <c:v>3.8081905314583331</c:v>
                </c:pt>
                <c:pt idx="20">
                  <c:v>3.7603792656249997</c:v>
                </c:pt>
                <c:pt idx="21">
                  <c:v>3.6133683104166665</c:v>
                </c:pt>
                <c:pt idx="22">
                  <c:v>3.6664453087499997</c:v>
                </c:pt>
                <c:pt idx="23">
                  <c:v>3.2116134400000003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5677.5309999999999</c:v>
                </c:pt>
                <c:pt idx="1">
                  <c:v>5562.3690000000006</c:v>
                </c:pt>
                <c:pt idx="2">
                  <c:v>5533.7969999999996</c:v>
                </c:pt>
                <c:pt idx="3">
                  <c:v>5555.5460000000003</c:v>
                </c:pt>
                <c:pt idx="4">
                  <c:v>5519.1960000000008</c:v>
                </c:pt>
                <c:pt idx="5">
                  <c:v>5658.991</c:v>
                </c:pt>
                <c:pt idx="6">
                  <c:v>5963.8760000000002</c:v>
                </c:pt>
                <c:pt idx="7">
                  <c:v>7586.7729999999992</c:v>
                </c:pt>
                <c:pt idx="8">
                  <c:v>9549.6910000000007</c:v>
                </c:pt>
                <c:pt idx="9">
                  <c:v>15705.504000000001</c:v>
                </c:pt>
                <c:pt idx="10">
                  <c:v>16046.035</c:v>
                </c:pt>
                <c:pt idx="11">
                  <c:v>15725.275</c:v>
                </c:pt>
                <c:pt idx="12">
                  <c:v>15805.329999999998</c:v>
                </c:pt>
                <c:pt idx="13">
                  <c:v>15751.339</c:v>
                </c:pt>
                <c:pt idx="14">
                  <c:v>15691.645</c:v>
                </c:pt>
                <c:pt idx="15">
                  <c:v>15503.385</c:v>
                </c:pt>
                <c:pt idx="16">
                  <c:v>15928.435999999998</c:v>
                </c:pt>
                <c:pt idx="17">
                  <c:v>15769.228999999999</c:v>
                </c:pt>
                <c:pt idx="18">
                  <c:v>15042.944</c:v>
                </c:pt>
                <c:pt idx="19">
                  <c:v>13418.830999999998</c:v>
                </c:pt>
                <c:pt idx="20">
                  <c:v>11708.072</c:v>
                </c:pt>
                <c:pt idx="21">
                  <c:v>8995.1329999999998</c:v>
                </c:pt>
                <c:pt idx="22">
                  <c:v>6164.8740000000007</c:v>
                </c:pt>
                <c:pt idx="23">
                  <c:v>5704.7910000000002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4780.2809999999999</c:v>
                </c:pt>
                <c:pt idx="1">
                  <c:v>4814.4029999999984</c:v>
                </c:pt>
                <c:pt idx="2">
                  <c:v>4753.1499999999978</c:v>
                </c:pt>
                <c:pt idx="3">
                  <c:v>4634.619999999999</c:v>
                </c:pt>
                <c:pt idx="4">
                  <c:v>4735.3179999999975</c:v>
                </c:pt>
                <c:pt idx="5">
                  <c:v>4993.7709999999988</c:v>
                </c:pt>
                <c:pt idx="6">
                  <c:v>5873.5339999999969</c:v>
                </c:pt>
                <c:pt idx="7">
                  <c:v>6376.7349999999988</c:v>
                </c:pt>
                <c:pt idx="8">
                  <c:v>8318.1989999999987</c:v>
                </c:pt>
                <c:pt idx="9">
                  <c:v>14032.888999999988</c:v>
                </c:pt>
                <c:pt idx="10">
                  <c:v>15062.475999999999</c:v>
                </c:pt>
                <c:pt idx="11">
                  <c:v>14245.599999999999</c:v>
                </c:pt>
                <c:pt idx="12">
                  <c:v>13113.159</c:v>
                </c:pt>
                <c:pt idx="13">
                  <c:v>14584.86399999999</c:v>
                </c:pt>
                <c:pt idx="14">
                  <c:v>14999.80799999999</c:v>
                </c:pt>
                <c:pt idx="15">
                  <c:v>15787.17599999999</c:v>
                </c:pt>
                <c:pt idx="16">
                  <c:v>15863.715999999997</c:v>
                </c:pt>
                <c:pt idx="17">
                  <c:v>15819.495999999981</c:v>
                </c:pt>
                <c:pt idx="18">
                  <c:v>15442.495999999988</c:v>
                </c:pt>
                <c:pt idx="19">
                  <c:v>13597.650999999998</c:v>
                </c:pt>
                <c:pt idx="20">
                  <c:v>11791.115999999998</c:v>
                </c:pt>
                <c:pt idx="21">
                  <c:v>8862.8029999999981</c:v>
                </c:pt>
                <c:pt idx="22">
                  <c:v>6090.003999999999</c:v>
                </c:pt>
                <c:pt idx="23">
                  <c:v>5640.8169999999973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5441.2205515130599</c:v>
                </c:pt>
                <c:pt idx="1">
                  <c:v>5399.05527702786</c:v>
                </c:pt>
                <c:pt idx="2">
                  <c:v>5352.319149428733</c:v>
                </c:pt>
                <c:pt idx="3">
                  <c:v>5354.9834390936576</c:v>
                </c:pt>
                <c:pt idx="4">
                  <c:v>5335.4441945005701</c:v>
                </c:pt>
                <c:pt idx="5">
                  <c:v>5433.4412580999997</c:v>
                </c:pt>
                <c:pt idx="6">
                  <c:v>6037.6709704999985</c:v>
                </c:pt>
                <c:pt idx="7">
                  <c:v>7337.8936213258748</c:v>
                </c:pt>
                <c:pt idx="8">
                  <c:v>9389.6659820406439</c:v>
                </c:pt>
                <c:pt idx="9">
                  <c:v>15319.748023146494</c:v>
                </c:pt>
                <c:pt idx="10">
                  <c:v>15709.798054999999</c:v>
                </c:pt>
                <c:pt idx="11">
                  <c:v>15593.906354104376</c:v>
                </c:pt>
                <c:pt idx="12">
                  <c:v>15502.267193208847</c:v>
                </c:pt>
                <c:pt idx="13">
                  <c:v>15472.980340149996</c:v>
                </c:pt>
                <c:pt idx="14">
                  <c:v>15345.726499999995</c:v>
                </c:pt>
                <c:pt idx="15">
                  <c:v>15645.280499999995</c:v>
                </c:pt>
                <c:pt idx="16">
                  <c:v>15896.075999999997</c:v>
                </c:pt>
                <c:pt idx="17">
                  <c:v>15794.36249999999</c:v>
                </c:pt>
                <c:pt idx="18">
                  <c:v>15242.719999999994</c:v>
                </c:pt>
                <c:pt idx="19">
                  <c:v>13508.240999999998</c:v>
                </c:pt>
                <c:pt idx="20">
                  <c:v>11749.593999999999</c:v>
                </c:pt>
                <c:pt idx="21">
                  <c:v>8928.9679999999989</c:v>
                </c:pt>
                <c:pt idx="22">
                  <c:v>6127.4390000000003</c:v>
                </c:pt>
                <c:pt idx="23">
                  <c:v>5672.8039999999983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45831.673722767213</c:v>
                </c:pt>
                <c:pt idx="1">
                  <c:v>42500.823327262478</c:v>
                </c:pt>
                <c:pt idx="2">
                  <c:v>39763.250051921248</c:v>
                </c:pt>
                <c:pt idx="3">
                  <c:v>37746.150427398621</c:v>
                </c:pt>
                <c:pt idx="4">
                  <c:v>37395.74814601455</c:v>
                </c:pt>
                <c:pt idx="5">
                  <c:v>19487.130972718405</c:v>
                </c:pt>
                <c:pt idx="6">
                  <c:v>21602.411375326468</c:v>
                </c:pt>
                <c:pt idx="7">
                  <c:v>27729.148612794495</c:v>
                </c:pt>
                <c:pt idx="8">
                  <c:v>28869.301933964001</c:v>
                </c:pt>
                <c:pt idx="9">
                  <c:v>36248.599053499755</c:v>
                </c:pt>
                <c:pt idx="10">
                  <c:v>39186.413803734642</c:v>
                </c:pt>
                <c:pt idx="11">
                  <c:v>40152.586601083472</c:v>
                </c:pt>
                <c:pt idx="12">
                  <c:v>39397.89939903807</c:v>
                </c:pt>
                <c:pt idx="13">
                  <c:v>21817.582504155682</c:v>
                </c:pt>
                <c:pt idx="14">
                  <c:v>24276.31085371146</c:v>
                </c:pt>
                <c:pt idx="15">
                  <c:v>23480.222616606392</c:v>
                </c:pt>
                <c:pt idx="16">
                  <c:v>19952.923569435152</c:v>
                </c:pt>
                <c:pt idx="17">
                  <c:v>14558.384268549416</c:v>
                </c:pt>
                <c:pt idx="18">
                  <c:v>15039.970648011833</c:v>
                </c:pt>
                <c:pt idx="19">
                  <c:v>10074.674257160717</c:v>
                </c:pt>
                <c:pt idx="20">
                  <c:v>7215.1095340649917</c:v>
                </c:pt>
                <c:pt idx="21">
                  <c:v>4068.2775376696954</c:v>
                </c:pt>
                <c:pt idx="22">
                  <c:v>976.22593292336387</c:v>
                </c:pt>
                <c:pt idx="23">
                  <c:v>18485.492009132955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68331.673722767213</c:v>
                </c:pt>
                <c:pt idx="1">
                  <c:v>65000.823327262478</c:v>
                </c:pt>
                <c:pt idx="2">
                  <c:v>62263.250051921248</c:v>
                </c:pt>
                <c:pt idx="3">
                  <c:v>60246.150427398621</c:v>
                </c:pt>
                <c:pt idx="4">
                  <c:v>59895.74814601455</c:v>
                </c:pt>
                <c:pt idx="5">
                  <c:v>61987.130972718405</c:v>
                </c:pt>
                <c:pt idx="6">
                  <c:v>64102.411375326468</c:v>
                </c:pt>
                <c:pt idx="7">
                  <c:v>70229.148612794495</c:v>
                </c:pt>
                <c:pt idx="8">
                  <c:v>81369.301933964001</c:v>
                </c:pt>
                <c:pt idx="9">
                  <c:v>88748.599053499755</c:v>
                </c:pt>
                <c:pt idx="10">
                  <c:v>91686.413803734642</c:v>
                </c:pt>
                <c:pt idx="11">
                  <c:v>92652.586601083472</c:v>
                </c:pt>
                <c:pt idx="12">
                  <c:v>91897.89939903807</c:v>
                </c:pt>
                <c:pt idx="13">
                  <c:v>96817.582504155682</c:v>
                </c:pt>
                <c:pt idx="14">
                  <c:v>99276.31085371146</c:v>
                </c:pt>
                <c:pt idx="15">
                  <c:v>98480.222616606392</c:v>
                </c:pt>
                <c:pt idx="16">
                  <c:v>94952.923569435152</c:v>
                </c:pt>
                <c:pt idx="17">
                  <c:v>89558.384268549416</c:v>
                </c:pt>
                <c:pt idx="18">
                  <c:v>90039.970648011833</c:v>
                </c:pt>
                <c:pt idx="19">
                  <c:v>85074.674257160717</c:v>
                </c:pt>
                <c:pt idx="20">
                  <c:v>82215.109534064992</c:v>
                </c:pt>
                <c:pt idx="21">
                  <c:v>79068.277537669695</c:v>
                </c:pt>
                <c:pt idx="22">
                  <c:v>75976.225932923364</c:v>
                </c:pt>
                <c:pt idx="23">
                  <c:v>70985.492009132955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45831.673722767213</c:v>
                </c:pt>
                <c:pt idx="1">
                  <c:v>42500.823327262478</c:v>
                </c:pt>
                <c:pt idx="2">
                  <c:v>39763.250051921248</c:v>
                </c:pt>
                <c:pt idx="3">
                  <c:v>37746.150427398621</c:v>
                </c:pt>
                <c:pt idx="4">
                  <c:v>37395.74814601455</c:v>
                </c:pt>
                <c:pt idx="5">
                  <c:v>19487.130972718405</c:v>
                </c:pt>
                <c:pt idx="6">
                  <c:v>21602.411375326468</c:v>
                </c:pt>
                <c:pt idx="7">
                  <c:v>27729.148612794495</c:v>
                </c:pt>
                <c:pt idx="8">
                  <c:v>28869.301933964001</c:v>
                </c:pt>
                <c:pt idx="9">
                  <c:v>36248.599053499755</c:v>
                </c:pt>
                <c:pt idx="10">
                  <c:v>39186.413803734642</c:v>
                </c:pt>
                <c:pt idx="11">
                  <c:v>40152.586601083472</c:v>
                </c:pt>
                <c:pt idx="12">
                  <c:v>39397.89939903807</c:v>
                </c:pt>
                <c:pt idx="13">
                  <c:v>21817.582504155682</c:v>
                </c:pt>
                <c:pt idx="14">
                  <c:v>24276.31085371146</c:v>
                </c:pt>
                <c:pt idx="15">
                  <c:v>23480.222616606392</c:v>
                </c:pt>
                <c:pt idx="16">
                  <c:v>19952.923569435152</c:v>
                </c:pt>
                <c:pt idx="17">
                  <c:v>14558.384268549416</c:v>
                </c:pt>
                <c:pt idx="18">
                  <c:v>15039.970648011833</c:v>
                </c:pt>
                <c:pt idx="19">
                  <c:v>10074.674257160717</c:v>
                </c:pt>
                <c:pt idx="20">
                  <c:v>7215.1095340649917</c:v>
                </c:pt>
                <c:pt idx="21">
                  <c:v>4068.2775376696954</c:v>
                </c:pt>
                <c:pt idx="22">
                  <c:v>976.22593292336387</c:v>
                </c:pt>
                <c:pt idx="23">
                  <c:v>18485.492009132955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2.7587967920833329</c:v>
                </c:pt>
                <c:pt idx="1">
                  <c:v>2.1493768641666668</c:v>
                </c:pt>
                <c:pt idx="2">
                  <c:v>1.6681755883333331</c:v>
                </c:pt>
                <c:pt idx="3">
                  <c:v>1.4291755518749998</c:v>
                </c:pt>
                <c:pt idx="4">
                  <c:v>2.3389981187499997</c:v>
                </c:pt>
                <c:pt idx="5">
                  <c:v>3.2938351731250002</c:v>
                </c:pt>
                <c:pt idx="6">
                  <c:v>3.0964303925000003</c:v>
                </c:pt>
                <c:pt idx="7">
                  <c:v>2.8869952216666666</c:v>
                </c:pt>
                <c:pt idx="8">
                  <c:v>3.3366598077083336</c:v>
                </c:pt>
                <c:pt idx="9">
                  <c:v>3.5413133166666664</c:v>
                </c:pt>
                <c:pt idx="10">
                  <c:v>3.3954759227083331</c:v>
                </c:pt>
                <c:pt idx="11">
                  <c:v>2.8546425104166668</c:v>
                </c:pt>
                <c:pt idx="12">
                  <c:v>3.133152086875</c:v>
                </c:pt>
                <c:pt idx="13">
                  <c:v>4.2559070089962123</c:v>
                </c:pt>
                <c:pt idx="14">
                  <c:v>4.2613910904166667</c:v>
                </c:pt>
                <c:pt idx="15">
                  <c:v>5.0638802470833335</c:v>
                </c:pt>
                <c:pt idx="16">
                  <c:v>4.3638817614583338</c:v>
                </c:pt>
                <c:pt idx="17">
                  <c:v>6.3120880302083338</c:v>
                </c:pt>
                <c:pt idx="18">
                  <c:v>5.9216326343749994</c:v>
                </c:pt>
                <c:pt idx="19">
                  <c:v>3.8081905314583331</c:v>
                </c:pt>
                <c:pt idx="20">
                  <c:v>3.7603792656249997</c:v>
                </c:pt>
                <c:pt idx="21">
                  <c:v>3.6133683104166665</c:v>
                </c:pt>
                <c:pt idx="22">
                  <c:v>3.6664453087499997</c:v>
                </c:pt>
                <c:pt idx="23">
                  <c:v>3.2116134400000003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68331.673722767213</c:v>
                </c:pt>
                <c:pt idx="1">
                  <c:v>65000.823327262478</c:v>
                </c:pt>
                <c:pt idx="2">
                  <c:v>62263.250051921248</c:v>
                </c:pt>
                <c:pt idx="3">
                  <c:v>60246.150427398621</c:v>
                </c:pt>
                <c:pt idx="4">
                  <c:v>59895.74814601455</c:v>
                </c:pt>
                <c:pt idx="5">
                  <c:v>61987.130972718405</c:v>
                </c:pt>
                <c:pt idx="6">
                  <c:v>64102.411375326468</c:v>
                </c:pt>
                <c:pt idx="7">
                  <c:v>70229.148612794495</c:v>
                </c:pt>
                <c:pt idx="8">
                  <c:v>81369.301933964001</c:v>
                </c:pt>
                <c:pt idx="9">
                  <c:v>88748.599053499755</c:v>
                </c:pt>
                <c:pt idx="10">
                  <c:v>91686.413803734642</c:v>
                </c:pt>
                <c:pt idx="11">
                  <c:v>92652.586601083472</c:v>
                </c:pt>
                <c:pt idx="12">
                  <c:v>91897.89939903807</c:v>
                </c:pt>
                <c:pt idx="13">
                  <c:v>96817.582504155682</c:v>
                </c:pt>
                <c:pt idx="14">
                  <c:v>99276.31085371146</c:v>
                </c:pt>
                <c:pt idx="15">
                  <c:v>98480.222616606392</c:v>
                </c:pt>
                <c:pt idx="16">
                  <c:v>94952.923569435152</c:v>
                </c:pt>
                <c:pt idx="17">
                  <c:v>89558.384268549416</c:v>
                </c:pt>
                <c:pt idx="18">
                  <c:v>90039.970648011833</c:v>
                </c:pt>
                <c:pt idx="19">
                  <c:v>85074.674257160717</c:v>
                </c:pt>
                <c:pt idx="20">
                  <c:v>82215.109534064992</c:v>
                </c:pt>
                <c:pt idx="21">
                  <c:v>79068.277537669695</c:v>
                </c:pt>
                <c:pt idx="22">
                  <c:v>75976.225932923364</c:v>
                </c:pt>
                <c:pt idx="23">
                  <c:v>70985.492009132955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-22500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-42500</c:v>
                </c:pt>
                <c:pt idx="6">
                  <c:v>-42500</c:v>
                </c:pt>
                <c:pt idx="7">
                  <c:v>-42500</c:v>
                </c:pt>
                <c:pt idx="8">
                  <c:v>-52500</c:v>
                </c:pt>
                <c:pt idx="9">
                  <c:v>-52500</c:v>
                </c:pt>
                <c:pt idx="10">
                  <c:v>-52500</c:v>
                </c:pt>
                <c:pt idx="11">
                  <c:v>-52500</c:v>
                </c:pt>
                <c:pt idx="12">
                  <c:v>-52500</c:v>
                </c:pt>
                <c:pt idx="13">
                  <c:v>-75000</c:v>
                </c:pt>
                <c:pt idx="14">
                  <c:v>-75000</c:v>
                </c:pt>
                <c:pt idx="15">
                  <c:v>-75000</c:v>
                </c:pt>
                <c:pt idx="16">
                  <c:v>-75000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-75000</c:v>
                </c:pt>
                <c:pt idx="22">
                  <c:v>-75000</c:v>
                </c:pt>
                <c:pt idx="23">
                  <c:v>-52500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45831.673722767213</c:v>
                </c:pt>
                <c:pt idx="1">
                  <c:v>42500.823327262478</c:v>
                </c:pt>
                <c:pt idx="2">
                  <c:v>39763.250051921248</c:v>
                </c:pt>
                <c:pt idx="3">
                  <c:v>37746.150427398621</c:v>
                </c:pt>
                <c:pt idx="4">
                  <c:v>37395.74814601455</c:v>
                </c:pt>
                <c:pt idx="5">
                  <c:v>19487.130972718405</c:v>
                </c:pt>
                <c:pt idx="6">
                  <c:v>21602.411375326468</c:v>
                </c:pt>
                <c:pt idx="7">
                  <c:v>27729.148612794495</c:v>
                </c:pt>
                <c:pt idx="8">
                  <c:v>28869.301933964001</c:v>
                </c:pt>
                <c:pt idx="9">
                  <c:v>36248.599053499755</c:v>
                </c:pt>
                <c:pt idx="10">
                  <c:v>39186.413803734642</c:v>
                </c:pt>
                <c:pt idx="11">
                  <c:v>40152.586601083472</c:v>
                </c:pt>
                <c:pt idx="12">
                  <c:v>39397.89939903807</c:v>
                </c:pt>
                <c:pt idx="13">
                  <c:v>21817.582504155682</c:v>
                </c:pt>
                <c:pt idx="14">
                  <c:v>24276.31085371146</c:v>
                </c:pt>
                <c:pt idx="15">
                  <c:v>23480.222616606392</c:v>
                </c:pt>
                <c:pt idx="16">
                  <c:v>19952.923569435152</c:v>
                </c:pt>
                <c:pt idx="17">
                  <c:v>14558.384268549416</c:v>
                </c:pt>
                <c:pt idx="18">
                  <c:v>15039.970648011833</c:v>
                </c:pt>
                <c:pt idx="19">
                  <c:v>10074.674257160717</c:v>
                </c:pt>
                <c:pt idx="20">
                  <c:v>7215.1095340649917</c:v>
                </c:pt>
                <c:pt idx="21">
                  <c:v>4068.2775376696954</c:v>
                </c:pt>
                <c:pt idx="22">
                  <c:v>976.22593292336387</c:v>
                </c:pt>
                <c:pt idx="23">
                  <c:v>18485.492009132955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2.7587967920833329</c:v>
                </c:pt>
                <c:pt idx="1">
                  <c:v>2.1493768641666668</c:v>
                </c:pt>
                <c:pt idx="2">
                  <c:v>1.6681755883333331</c:v>
                </c:pt>
                <c:pt idx="3">
                  <c:v>1.4291755518749998</c:v>
                </c:pt>
                <c:pt idx="4">
                  <c:v>2.3389981187499997</c:v>
                </c:pt>
                <c:pt idx="5">
                  <c:v>3.2938351731250002</c:v>
                </c:pt>
                <c:pt idx="6">
                  <c:v>3.0964303925000003</c:v>
                </c:pt>
                <c:pt idx="7">
                  <c:v>2.8869952216666666</c:v>
                </c:pt>
                <c:pt idx="8">
                  <c:v>3.3366598077083336</c:v>
                </c:pt>
                <c:pt idx="9">
                  <c:v>3.5413133166666664</c:v>
                </c:pt>
                <c:pt idx="10">
                  <c:v>3.3954759227083331</c:v>
                </c:pt>
                <c:pt idx="11">
                  <c:v>2.8546425104166668</c:v>
                </c:pt>
                <c:pt idx="12">
                  <c:v>3.133152086875</c:v>
                </c:pt>
                <c:pt idx="13">
                  <c:v>4.2559070089962123</c:v>
                </c:pt>
                <c:pt idx="14">
                  <c:v>4.2613910904166667</c:v>
                </c:pt>
                <c:pt idx="15">
                  <c:v>5.0638802470833335</c:v>
                </c:pt>
                <c:pt idx="16">
                  <c:v>4.3638817614583338</c:v>
                </c:pt>
                <c:pt idx="17">
                  <c:v>6.3120880302083338</c:v>
                </c:pt>
                <c:pt idx="18">
                  <c:v>5.9216326343749994</c:v>
                </c:pt>
                <c:pt idx="19">
                  <c:v>3.8081905314583331</c:v>
                </c:pt>
                <c:pt idx="20">
                  <c:v>3.7603792656249997</c:v>
                </c:pt>
                <c:pt idx="21">
                  <c:v>3.6133683104166665</c:v>
                </c:pt>
                <c:pt idx="22">
                  <c:v>3.6664453087499997</c:v>
                </c:pt>
                <c:pt idx="23">
                  <c:v>3.2116134400000003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3.293039964610883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4.6522682165587028</c:v>
                </c:pt>
                <c:pt idx="6">
                  <c:v>4.6522682165587028</c:v>
                </c:pt>
                <c:pt idx="7">
                  <c:v>4.6522682165587028</c:v>
                </c:pt>
                <c:pt idx="8">
                  <c:v>4.4271156913382477</c:v>
                </c:pt>
                <c:pt idx="9">
                  <c:v>4.4271156913382477</c:v>
                </c:pt>
                <c:pt idx="10">
                  <c:v>4.4271156913382477</c:v>
                </c:pt>
                <c:pt idx="11">
                  <c:v>4.4271156913382477</c:v>
                </c:pt>
                <c:pt idx="12">
                  <c:v>4.4271156913382477</c:v>
                </c:pt>
                <c:pt idx="13">
                  <c:v>4.0868929733200376</c:v>
                </c:pt>
                <c:pt idx="14">
                  <c:v>4.0868929733200376</c:v>
                </c:pt>
                <c:pt idx="15">
                  <c:v>4.0868929733200376</c:v>
                </c:pt>
                <c:pt idx="16">
                  <c:v>4.0868929733200376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4.0868929733200376</c:v>
                </c:pt>
                <c:pt idx="22">
                  <c:v>4.0868929733200376</c:v>
                </c:pt>
                <c:pt idx="23">
                  <c:v>4.4271156913382477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5.0423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file:///C:\Users\User\Desktop\OneDrive%20-%20MORE%20ELECTRIC%20AND%20POWER%20CORPORATION\01_Energy%20Sourcing%20Files\03_Daily%20Reports\01_Day%20Ahead%20Projections\2025\001.%20January%202025\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61" t="s">
        <v>1</v>
      </c>
      <c r="H1" s="161"/>
      <c r="I1" s="161"/>
      <c r="J1" s="161"/>
      <c r="K1" s="161"/>
    </row>
    <row r="2" spans="2:39" ht="10.35" customHeight="1" x14ac:dyDescent="0.3"/>
    <row r="3" spans="2:39" ht="22.5" customHeight="1" x14ac:dyDescent="0.3">
      <c r="B3" s="47" t="s">
        <v>2</v>
      </c>
      <c r="G3" s="162" t="s">
        <v>3</v>
      </c>
      <c r="H3" s="162"/>
      <c r="I3" s="162"/>
      <c r="J3" s="45" t="e">
        <f>AM46</f>
        <v>#REF!</v>
      </c>
      <c r="L3" s="162" t="s">
        <v>4</v>
      </c>
      <c r="M3" s="162"/>
      <c r="N3" s="162"/>
      <c r="O3" s="45" t="e">
        <f>AM47</f>
        <v>#REF!</v>
      </c>
      <c r="Q3" s="162" t="s">
        <v>5</v>
      </c>
      <c r="R3" s="162"/>
      <c r="S3" s="162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62" t="s">
        <v>3</v>
      </c>
      <c r="H5" s="162"/>
      <c r="I5" s="162"/>
      <c r="J5" s="45" t="e">
        <f>AM51</f>
        <v>#REF!</v>
      </c>
      <c r="L5" s="162" t="s">
        <v>4</v>
      </c>
      <c r="M5" s="162"/>
      <c r="N5" s="162"/>
      <c r="O5" s="45" t="e">
        <f>AM47</f>
        <v>#REF!</v>
      </c>
      <c r="Q5" s="162" t="s">
        <v>5</v>
      </c>
      <c r="R5" s="162"/>
      <c r="S5" s="162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43" t="s">
        <v>9</v>
      </c>
      <c r="C8" s="145" t="s">
        <v>10</v>
      </c>
      <c r="D8" s="146"/>
      <c r="E8" s="147"/>
      <c r="F8" s="143" t="s">
        <v>11</v>
      </c>
      <c r="G8" s="153" t="s">
        <v>12</v>
      </c>
      <c r="H8" s="153"/>
      <c r="I8" s="153" t="s">
        <v>13</v>
      </c>
      <c r="J8" s="153"/>
      <c r="K8" s="153" t="s">
        <v>14</v>
      </c>
      <c r="L8" s="153"/>
      <c r="M8" s="148" t="s">
        <v>15</v>
      </c>
      <c r="N8" s="148" t="s">
        <v>16</v>
      </c>
      <c r="O8" s="148" t="s">
        <v>17</v>
      </c>
      <c r="P8" s="145" t="s">
        <v>18</v>
      </c>
      <c r="Q8" s="146"/>
      <c r="R8" s="147"/>
      <c r="S8" s="150" t="s">
        <v>19</v>
      </c>
      <c r="T8" s="151"/>
      <c r="U8" s="152"/>
      <c r="V8" s="150" t="s">
        <v>20</v>
      </c>
      <c r="W8" s="151"/>
      <c r="X8" s="152"/>
      <c r="Y8" s="154" t="s">
        <v>21</v>
      </c>
      <c r="Z8" s="155"/>
      <c r="AA8" s="156"/>
      <c r="AB8" s="157" t="s">
        <v>22</v>
      </c>
      <c r="AC8" s="1"/>
      <c r="AE8" s="143" t="s">
        <v>12</v>
      </c>
      <c r="AF8" s="143" t="s">
        <v>23</v>
      </c>
      <c r="AG8" s="143" t="s">
        <v>14</v>
      </c>
      <c r="AH8" s="143" t="s">
        <v>15</v>
      </c>
      <c r="AI8" s="143" t="s">
        <v>16</v>
      </c>
      <c r="AJ8" s="143" t="s">
        <v>17</v>
      </c>
      <c r="AK8" s="157" t="s">
        <v>24</v>
      </c>
      <c r="AL8" s="157" t="s">
        <v>25</v>
      </c>
      <c r="AM8" s="159" t="s">
        <v>26</v>
      </c>
    </row>
    <row r="9" spans="2:39" s="12" customFormat="1" ht="17.850000000000001" customHeight="1" x14ac:dyDescent="0.3">
      <c r="B9" s="144"/>
      <c r="C9" s="13" t="s">
        <v>27</v>
      </c>
      <c r="D9" s="13" t="s">
        <v>28</v>
      </c>
      <c r="E9" s="13" t="s">
        <v>29</v>
      </c>
      <c r="F9" s="144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49"/>
      <c r="N9" s="149"/>
      <c r="O9" s="149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58"/>
      <c r="AC9" s="1"/>
      <c r="AE9" s="144" t="s">
        <v>30</v>
      </c>
      <c r="AF9" s="144" t="s">
        <v>13</v>
      </c>
      <c r="AG9" s="144" t="s">
        <v>14</v>
      </c>
      <c r="AH9" s="144" t="s">
        <v>15</v>
      </c>
      <c r="AI9" s="144" t="s">
        <v>16</v>
      </c>
      <c r="AJ9" s="144"/>
      <c r="AK9" s="158"/>
      <c r="AL9" s="158"/>
      <c r="AM9" s="160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G1:K1"/>
    <mergeCell ref="L3:N3"/>
    <mergeCell ref="Q3:S3"/>
    <mergeCell ref="G5:I5"/>
    <mergeCell ref="L5:N5"/>
    <mergeCell ref="Q5:S5"/>
    <mergeCell ref="G3:I3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45672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-73772.894274280276</v>
      </c>
      <c r="E11" s="65">
        <f>'7. EOD Report'!E11-'6. DAP Report'!E11</f>
        <v>-5441.2205515130599</v>
      </c>
      <c r="F11" s="65">
        <f>'7. EOD Report'!F11-'6. DAP Report'!F11</f>
        <v>-68331.673722767213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-68331.673722767213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-70399.878604290338</v>
      </c>
      <c r="E12" s="65">
        <f>'7. EOD Report'!E12-'6. DAP Report'!E12</f>
        <v>-5399.05527702786</v>
      </c>
      <c r="F12" s="65">
        <f>'7. EOD Report'!F12-'6. DAP Report'!F12</f>
        <v>-65000.823327262478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-65000.823327262478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-67615.569201349979</v>
      </c>
      <c r="E13" s="65">
        <f>'7. EOD Report'!E13-'6. DAP Report'!E13</f>
        <v>-5352.319149428733</v>
      </c>
      <c r="F13" s="65">
        <f>'7. EOD Report'!F13-'6. DAP Report'!F13</f>
        <v>-62263.250051921248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-62263.250051921248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-65601.133866492281</v>
      </c>
      <c r="E14" s="65">
        <f>'7. EOD Report'!E14-'6. DAP Report'!E14</f>
        <v>-5354.9834390936576</v>
      </c>
      <c r="F14" s="65">
        <f>'7. EOD Report'!F14-'6. DAP Report'!F14</f>
        <v>-60246.150427398621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-60246.150427398621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-65231.192340515117</v>
      </c>
      <c r="E15" s="65">
        <f>'7. EOD Report'!E15-'6. DAP Report'!E15</f>
        <v>-5335.4441945005701</v>
      </c>
      <c r="F15" s="65">
        <f>'7. EOD Report'!F15-'6. DAP Report'!F15</f>
        <v>-59895.74814601455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-59895.74814601455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-67420.572230818405</v>
      </c>
      <c r="E16" s="65">
        <f>'7. EOD Report'!E16-'6. DAP Report'!E16</f>
        <v>-5433.4412580999997</v>
      </c>
      <c r="F16" s="65">
        <f>'7. EOD Report'!F16-'6. DAP Report'!F16</f>
        <v>-61987.130972718405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-61987.130972718405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-70140.082345826464</v>
      </c>
      <c r="E17" s="65">
        <f>'7. EOD Report'!E17-'6. DAP Report'!E17</f>
        <v>-6037.6709704999985</v>
      </c>
      <c r="F17" s="65">
        <f>'7. EOD Report'!F17-'6. DAP Report'!F17</f>
        <v>-64102.411375326468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-64102.411375326468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-77567.042234120367</v>
      </c>
      <c r="E18" s="65">
        <f>'7. EOD Report'!E18-'6. DAP Report'!E18</f>
        <v>-7337.8936213258748</v>
      </c>
      <c r="F18" s="65">
        <f>'7. EOD Report'!F18-'6. DAP Report'!F18</f>
        <v>-70229.148612794495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-70229.148612794495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-90758.967916004651</v>
      </c>
      <c r="E19" s="65">
        <f>'7. EOD Report'!E19-'6. DAP Report'!E19</f>
        <v>-9389.6659820406439</v>
      </c>
      <c r="F19" s="65">
        <f>'7. EOD Report'!F19-'6. DAP Report'!F19</f>
        <v>-81369.301933964001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-81369.301933964001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-104068.34707664626</v>
      </c>
      <c r="E20" s="65">
        <f>'7. EOD Report'!E20-'6. DAP Report'!E20</f>
        <v>-15319.748023146494</v>
      </c>
      <c r="F20" s="65">
        <f>'7. EOD Report'!F20-'6. DAP Report'!F20</f>
        <v>-88748.599053499755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-88748.599053499755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-107396.21185873465</v>
      </c>
      <c r="E21" s="65">
        <f>'7. EOD Report'!E21-'6. DAP Report'!E21</f>
        <v>-15709.798054999999</v>
      </c>
      <c r="F21" s="65">
        <f>'7. EOD Report'!F21-'6. DAP Report'!F21</f>
        <v>-91686.413803734642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-91686.413803734642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-108246.49295518784</v>
      </c>
      <c r="E22" s="65">
        <f>'7. EOD Report'!E22-'6. DAP Report'!E22</f>
        <v>-15593.906354104376</v>
      </c>
      <c r="F22" s="65">
        <f>'7. EOD Report'!F22-'6. DAP Report'!F22</f>
        <v>-92652.586601083472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-92652.586601083472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-107400.16659224691</v>
      </c>
      <c r="E23" s="65">
        <f>'7. EOD Report'!E23-'6. DAP Report'!E23</f>
        <v>-15502.267193208847</v>
      </c>
      <c r="F23" s="65">
        <f>'7. EOD Report'!F23-'6. DAP Report'!F23</f>
        <v>-91897.89939903807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-91897.89939903807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-112290.56284430568</v>
      </c>
      <c r="E24" s="65">
        <f>'7. EOD Report'!E24-'6. DAP Report'!E24</f>
        <v>-15472.980340149996</v>
      </c>
      <c r="F24" s="65">
        <f>'7. EOD Report'!F24-'6. DAP Report'!F24</f>
        <v>-96817.582504155682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-96817.582504155682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-114622.03735371145</v>
      </c>
      <c r="E25" s="65">
        <f>'7. EOD Report'!E25-'6. DAP Report'!E25</f>
        <v>-15345.726499999995</v>
      </c>
      <c r="F25" s="65">
        <f>'7. EOD Report'!F25-'6. DAP Report'!F25</f>
        <v>-99276.31085371146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-99276.31085371146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-114125.50311660639</v>
      </c>
      <c r="E26" s="65">
        <f>'7. EOD Report'!E26-'6. DAP Report'!E26</f>
        <v>-15645.280499999995</v>
      </c>
      <c r="F26" s="65">
        <f>'7. EOD Report'!F26-'6. DAP Report'!F26</f>
        <v>-98480.222616606392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-98480.222616606392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-110848.99956943515</v>
      </c>
      <c r="E27" s="65">
        <f>'7. EOD Report'!E27-'6. DAP Report'!E27</f>
        <v>-15896.075999999997</v>
      </c>
      <c r="F27" s="65">
        <f>'7. EOD Report'!F27-'6. DAP Report'!F27</f>
        <v>-94952.923569435152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-94952.923569435152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-105352.7467685494</v>
      </c>
      <c r="E28" s="65">
        <f>'7. EOD Report'!E28-'6. DAP Report'!E28</f>
        <v>-15794.36249999999</v>
      </c>
      <c r="F28" s="65">
        <f>'7. EOD Report'!F28-'6. DAP Report'!F28</f>
        <v>-89558.384268549416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-89558.384268549416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-105282.69064801182</v>
      </c>
      <c r="E29" s="65">
        <f>'7. EOD Report'!E29-'6. DAP Report'!E29</f>
        <v>-15242.719999999994</v>
      </c>
      <c r="F29" s="65">
        <f>'7. EOD Report'!F29-'6. DAP Report'!F29</f>
        <v>-90039.970648011833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-90039.970648011833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-98582.915257160712</v>
      </c>
      <c r="E30" s="65">
        <f>'7. EOD Report'!E30-'6. DAP Report'!E30</f>
        <v>-13508.240999999998</v>
      </c>
      <c r="F30" s="65">
        <f>'7. EOD Report'!F30-'6. DAP Report'!F30</f>
        <v>-85074.674257160717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-85074.674257160717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-93964.703534064989</v>
      </c>
      <c r="E31" s="65">
        <f>'7. EOD Report'!E31-'6. DAP Report'!E31</f>
        <v>-11749.593999999999</v>
      </c>
      <c r="F31" s="65">
        <f>'7. EOD Report'!F31-'6. DAP Report'!F31</f>
        <v>-82215.109534064992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-82215.109534064992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-87997.245537669689</v>
      </c>
      <c r="E32" s="65">
        <f>'7. EOD Report'!E32-'6. DAP Report'!E32</f>
        <v>-8928.9679999999989</v>
      </c>
      <c r="F32" s="65">
        <f>'7. EOD Report'!F32-'6. DAP Report'!F32</f>
        <v>-79068.277537669695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-79068.277537669695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-82103.664932923362</v>
      </c>
      <c r="E33" s="65">
        <f>'7. EOD Report'!E33-'6. DAP Report'!E33</f>
        <v>-6127.4390000000003</v>
      </c>
      <c r="F33" s="65">
        <f>'7. EOD Report'!F33-'6. DAP Report'!F33</f>
        <v>-75976.225932923364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-75976.225932923364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-76658.296009132959</v>
      </c>
      <c r="E34" s="65">
        <f>'7. EOD Report'!E34-'6. DAP Report'!E34</f>
        <v>-5672.8039999999983</v>
      </c>
      <c r="F34" s="65">
        <f>'7. EOD Report'!F34-'6. DAP Report'!F34</f>
        <v>-70985.492009132955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-70985.492009132955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-2177447.9170680852</v>
      </c>
      <c r="E35" s="68">
        <f>SUM(E11:E34)</f>
        <v>-256591.60590914011</v>
      </c>
      <c r="F35" s="68">
        <f>SUM(F11:F34)</f>
        <v>-1920856.3111589453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-1920856.3111589453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>
        <f>'1. Rates'!C6</f>
        <v>0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45672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3.0369632765674317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2.8889254812116656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2.7672555578631668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2.6776066856621608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2.6620332509339799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1.4585207287698447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1.5082920323606228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1.6524505555951645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1.549891465408838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1.6904495057809477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1.7464078819758979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1.7648111733539709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1.7504361790292966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1.2909011000554091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1.3236841447161527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1.3130696348880853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1.2660389809258019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1.1941117902473255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1.2005329419734911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1.1343289900954763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1.0962014604541999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1.0542437005022627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1.0130163457723116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1.3521046096977705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1.4719205449493831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>
        <f>'1. Rates'!C6</f>
        <v>0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zoomScale="55" zoomScaleNormal="50" workbookViewId="0">
      <selection activeCell="O13" sqref="O13:W36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3">
        <v>45672</v>
      </c>
      <c r="D4" s="164"/>
      <c r="E4" s="165"/>
      <c r="J4" s="88"/>
      <c r="K4" s="89" t="s">
        <v>47</v>
      </c>
      <c r="L4" s="100" t="s">
        <v>103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3"/>
      <c r="D6" s="164"/>
      <c r="E6" s="165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68" t="s">
        <v>52</v>
      </c>
      <c r="C11" s="166" t="s">
        <v>53</v>
      </c>
      <c r="D11" s="167"/>
      <c r="E11" s="167"/>
      <c r="F11" s="167"/>
      <c r="G11" s="167"/>
      <c r="H11" s="169">
        <f>C4-7</f>
        <v>45665</v>
      </c>
      <c r="I11" s="169"/>
      <c r="J11" s="169"/>
      <c r="K11" s="169"/>
      <c r="L11" s="170"/>
      <c r="N11" s="171" t="s">
        <v>52</v>
      </c>
      <c r="O11" s="166" t="s">
        <v>54</v>
      </c>
      <c r="P11" s="167"/>
      <c r="Q11" s="167"/>
      <c r="R11" s="167"/>
      <c r="S11" s="167"/>
      <c r="T11" s="169">
        <f>C4-2</f>
        <v>45670</v>
      </c>
      <c r="U11" s="169"/>
      <c r="V11" s="169"/>
      <c r="W11" s="169"/>
      <c r="X11" s="170"/>
      <c r="Z11" s="171" t="s">
        <v>52</v>
      </c>
      <c r="AA11" s="166" t="s">
        <v>55</v>
      </c>
      <c r="AB11" s="167"/>
      <c r="AC11" s="167"/>
      <c r="AD11" s="167"/>
      <c r="AE11" s="167"/>
      <c r="AF11" s="169">
        <f>C4</f>
        <v>45672</v>
      </c>
      <c r="AG11" s="169"/>
      <c r="AH11" s="169"/>
      <c r="AI11" s="169"/>
      <c r="AJ11" s="170"/>
    </row>
    <row r="12" spans="2:36" ht="45" customHeight="1" x14ac:dyDescent="0.3">
      <c r="B12" s="168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71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71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3.3141571666666665</v>
      </c>
      <c r="D13" s="101">
        <v>3.382436775</v>
      </c>
      <c r="E13" s="101">
        <v>3.3375259000000002</v>
      </c>
      <c r="F13" s="101">
        <v>3.3143772749999996</v>
      </c>
      <c r="G13" s="101">
        <v>3.3143772749999996</v>
      </c>
      <c r="H13" s="101">
        <v>3.3033392333333338</v>
      </c>
      <c r="I13" s="101">
        <v>3.3010269083333332</v>
      </c>
      <c r="J13" s="101">
        <v>3.4492117333333341</v>
      </c>
      <c r="K13" s="101">
        <v>3.3139373583333329</v>
      </c>
      <c r="L13" s="101"/>
      <c r="N13" s="14">
        <v>1</v>
      </c>
      <c r="O13" s="101">
        <v>2.7355657166666667</v>
      </c>
      <c r="P13" s="101">
        <v>2.7471953666666669</v>
      </c>
      <c r="Q13" s="101">
        <v>2.7516084333333333</v>
      </c>
      <c r="R13" s="101">
        <v>2.7357024249999999</v>
      </c>
      <c r="S13" s="101">
        <v>2.7357024249999999</v>
      </c>
      <c r="T13" s="101">
        <v>2.7045163916666666</v>
      </c>
      <c r="U13" s="101">
        <v>2.7339228166666665</v>
      </c>
      <c r="V13" s="101">
        <v>2.6747626999999996</v>
      </c>
      <c r="W13" s="101">
        <v>2.7354527916666664</v>
      </c>
      <c r="X13" s="101"/>
      <c r="Z13" s="14">
        <v>1</v>
      </c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</row>
    <row r="14" spans="2:36" ht="24" customHeight="1" x14ac:dyDescent="0.3">
      <c r="B14" s="51">
        <v>2</v>
      </c>
      <c r="C14" s="101">
        <v>3.3159218500000001</v>
      </c>
      <c r="D14" s="101">
        <v>3.3825731833333332</v>
      </c>
      <c r="E14" s="101">
        <v>3.3354876499999997</v>
      </c>
      <c r="F14" s="101">
        <v>3.3160920250000001</v>
      </c>
      <c r="G14" s="101">
        <v>3.3160920250000001</v>
      </c>
      <c r="H14" s="101">
        <v>3.2967874666666668</v>
      </c>
      <c r="I14" s="101">
        <v>3.2944797249999995</v>
      </c>
      <c r="J14" s="101">
        <v>3.4724204583333336</v>
      </c>
      <c r="K14" s="101">
        <v>3.3157153583333332</v>
      </c>
      <c r="L14" s="101"/>
      <c r="N14" s="14">
        <v>2</v>
      </c>
      <c r="O14" s="101">
        <v>1.0752917083333333</v>
      </c>
      <c r="P14" s="101">
        <v>1.0789169916666668</v>
      </c>
      <c r="Q14" s="101">
        <v>1.0817076083333335</v>
      </c>
      <c r="R14" s="101">
        <v>1.0753269999999999</v>
      </c>
      <c r="S14" s="101">
        <v>1.0753269999999999</v>
      </c>
      <c r="T14" s="101">
        <v>1.0682296583333335</v>
      </c>
      <c r="U14" s="101">
        <v>1.0775594916666666</v>
      </c>
      <c r="V14" s="101">
        <v>1.0720062166666666</v>
      </c>
      <c r="W14" s="101">
        <v>1.0752192416666666</v>
      </c>
      <c r="X14" s="101"/>
      <c r="Z14" s="14">
        <v>2</v>
      </c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</row>
    <row r="15" spans="2:36" ht="24" customHeight="1" x14ac:dyDescent="0.3">
      <c r="B15" s="51">
        <v>3</v>
      </c>
      <c r="C15" s="101">
        <v>2.8491707000000002</v>
      </c>
      <c r="D15" s="101">
        <v>2.9067635833333334</v>
      </c>
      <c r="E15" s="101">
        <v>2.8646128083333333</v>
      </c>
      <c r="F15" s="101">
        <v>2.8493317999999999</v>
      </c>
      <c r="G15" s="101">
        <v>2.8493317999999999</v>
      </c>
      <c r="H15" s="101">
        <v>2.8257806249999997</v>
      </c>
      <c r="I15" s="101">
        <v>2.8238025833333338</v>
      </c>
      <c r="J15" s="101">
        <v>2.9642375750000007</v>
      </c>
      <c r="K15" s="101">
        <v>2.849001266666666</v>
      </c>
      <c r="L15" s="101"/>
      <c r="N15" s="14">
        <v>3</v>
      </c>
      <c r="O15" s="101">
        <v>5.6727E-2</v>
      </c>
      <c r="P15" s="101">
        <v>5.7120408333333324E-2</v>
      </c>
      <c r="Q15" s="101">
        <v>5.7080216666666662E-2</v>
      </c>
      <c r="R15" s="101">
        <v>5.6732683333333332E-2</v>
      </c>
      <c r="S15" s="101">
        <v>5.6732683333333332E-2</v>
      </c>
      <c r="T15" s="101">
        <v>5.6322308333333335E-2</v>
      </c>
      <c r="U15" s="101">
        <v>5.6971691666666664E-2</v>
      </c>
      <c r="V15" s="101">
        <v>5.6782733333333335E-2</v>
      </c>
      <c r="W15" s="101">
        <v>5.6726983333333321E-2</v>
      </c>
      <c r="X15" s="101"/>
      <c r="Z15" s="14">
        <v>3</v>
      </c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</row>
    <row r="16" spans="2:36" ht="24" customHeight="1" x14ac:dyDescent="0.3">
      <c r="B16" s="51">
        <v>4</v>
      </c>
      <c r="C16" s="101">
        <v>2.7547921333333329</v>
      </c>
      <c r="D16" s="101">
        <v>2.8089379083333332</v>
      </c>
      <c r="E16" s="101">
        <v>2.7704007333333336</v>
      </c>
      <c r="F16" s="101">
        <v>2.7549958499999998</v>
      </c>
      <c r="G16" s="101">
        <v>2.7549958499999998</v>
      </c>
      <c r="H16" s="101">
        <v>2.7342760666666672</v>
      </c>
      <c r="I16" s="101">
        <v>2.7323620666666666</v>
      </c>
      <c r="J16" s="101">
        <v>2.8614815833333327</v>
      </c>
      <c r="K16" s="101">
        <v>2.754678591666667</v>
      </c>
      <c r="L16" s="101"/>
      <c r="N16" s="14">
        <v>4</v>
      </c>
      <c r="O16" s="101">
        <v>0.92782955833333336</v>
      </c>
      <c r="P16" s="101">
        <v>0.93699651666666661</v>
      </c>
      <c r="Q16" s="101">
        <v>0.93361809166666676</v>
      </c>
      <c r="R16" s="101">
        <v>0.92789025833333327</v>
      </c>
      <c r="S16" s="101">
        <v>0.92789025833333327</v>
      </c>
      <c r="T16" s="101">
        <v>0.92022186666666661</v>
      </c>
      <c r="U16" s="101">
        <v>0.93096558333333324</v>
      </c>
      <c r="V16" s="101">
        <v>0.93237809999999999</v>
      </c>
      <c r="W16" s="101">
        <v>0.92779714999999985</v>
      </c>
      <c r="X16" s="101"/>
      <c r="Z16" s="14">
        <v>4</v>
      </c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</row>
    <row r="17" spans="2:36" ht="24" customHeight="1" x14ac:dyDescent="0.3">
      <c r="B17" s="51">
        <v>5</v>
      </c>
      <c r="C17" s="101">
        <v>3.1666941083333331</v>
      </c>
      <c r="D17" s="101">
        <v>3.2333228249999997</v>
      </c>
      <c r="E17" s="101">
        <v>3.1846582583333327</v>
      </c>
      <c r="F17" s="101">
        <v>3.166850175</v>
      </c>
      <c r="G17" s="101">
        <v>3.166850175</v>
      </c>
      <c r="H17" s="101">
        <v>3.1388316000000001</v>
      </c>
      <c r="I17" s="101">
        <v>3.1366344416666667</v>
      </c>
      <c r="J17" s="101">
        <v>3.3034978749999997</v>
      </c>
      <c r="K17" s="101">
        <v>3.1665362749999999</v>
      </c>
      <c r="L17" s="101"/>
      <c r="N17" s="14">
        <v>5</v>
      </c>
      <c r="O17" s="101">
        <v>2.0627343749999998</v>
      </c>
      <c r="P17" s="101">
        <v>2.0786152750000002</v>
      </c>
      <c r="Q17" s="101">
        <v>2.0754556083333333</v>
      </c>
      <c r="R17" s="101">
        <v>2.0628286416666666</v>
      </c>
      <c r="S17" s="101">
        <v>2.0628286416666666</v>
      </c>
      <c r="T17" s="101">
        <v>2.0385316500000004</v>
      </c>
      <c r="U17" s="101">
        <v>2.062113825</v>
      </c>
      <c r="V17" s="101">
        <v>2.0499858166666662</v>
      </c>
      <c r="W17" s="101">
        <v>2.0626224249999998</v>
      </c>
      <c r="X17" s="101"/>
      <c r="Z17" s="14">
        <v>5</v>
      </c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</row>
    <row r="18" spans="2:36" ht="24" customHeight="1" x14ac:dyDescent="0.3">
      <c r="B18" s="51">
        <v>6</v>
      </c>
      <c r="C18" s="101">
        <v>3.4085828749999996</v>
      </c>
      <c r="D18" s="101">
        <v>3.4964631166666673</v>
      </c>
      <c r="E18" s="101">
        <v>3.4269860416666664</v>
      </c>
      <c r="F18" s="101">
        <v>3.4088336999999997</v>
      </c>
      <c r="G18" s="101">
        <v>3.4088336999999997</v>
      </c>
      <c r="H18" s="101">
        <v>3.358389816666667</v>
      </c>
      <c r="I18" s="101">
        <v>3.3560389416666663</v>
      </c>
      <c r="J18" s="101">
        <v>3.5268104750000009</v>
      </c>
      <c r="K18" s="101">
        <v>3.40844915</v>
      </c>
      <c r="L18" s="101"/>
      <c r="N18" s="14">
        <v>6</v>
      </c>
      <c r="O18" s="101">
        <v>3.2913919416666668</v>
      </c>
      <c r="P18" s="101">
        <v>3.3186190499999997</v>
      </c>
      <c r="Q18" s="101">
        <v>3.3118048000000004</v>
      </c>
      <c r="R18" s="101">
        <v>3.291583908333334</v>
      </c>
      <c r="S18" s="101">
        <v>3.291583908333334</v>
      </c>
      <c r="T18" s="101">
        <v>3.2355483999999999</v>
      </c>
      <c r="U18" s="101">
        <v>3.2731355750000004</v>
      </c>
      <c r="V18" s="101">
        <v>3.2936310416666661</v>
      </c>
      <c r="W18" s="101">
        <v>3.2912566000000001</v>
      </c>
      <c r="X18" s="101"/>
      <c r="Z18" s="14">
        <v>6</v>
      </c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2:36" ht="24" customHeight="1" x14ac:dyDescent="0.3">
      <c r="B19" s="51">
        <v>7</v>
      </c>
      <c r="C19" s="101">
        <v>3.4463180083333333</v>
      </c>
      <c r="D19" s="101">
        <v>3.5166761916666669</v>
      </c>
      <c r="E19" s="101">
        <v>3.4641628583333333</v>
      </c>
      <c r="F19" s="101">
        <v>3.4464060000000005</v>
      </c>
      <c r="G19" s="101">
        <v>3.4464060000000005</v>
      </c>
      <c r="H19" s="101">
        <v>3.4174200583333332</v>
      </c>
      <c r="I19" s="101">
        <v>3.4150278666666667</v>
      </c>
      <c r="J19" s="101">
        <v>3.5970942333333338</v>
      </c>
      <c r="K19" s="101">
        <v>3.4460642583333332</v>
      </c>
      <c r="L19" s="101"/>
      <c r="N19" s="14">
        <v>7</v>
      </c>
      <c r="O19" s="101">
        <v>2.9859054500000002</v>
      </c>
      <c r="P19" s="101">
        <v>3.0120886666666671</v>
      </c>
      <c r="Q19" s="101">
        <v>3.0026573083333332</v>
      </c>
      <c r="R19" s="101">
        <v>2.9859749083333331</v>
      </c>
      <c r="S19" s="101">
        <v>2.9859749083333331</v>
      </c>
      <c r="T19" s="101">
        <v>2.9384956500000001</v>
      </c>
      <c r="U19" s="101">
        <v>2.9703024583333333</v>
      </c>
      <c r="V19" s="101">
        <v>2.951896375</v>
      </c>
      <c r="W19" s="101">
        <v>2.9857496333333335</v>
      </c>
      <c r="X19" s="101"/>
      <c r="Z19" s="14">
        <v>7</v>
      </c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2:36" ht="24" customHeight="1" x14ac:dyDescent="0.3">
      <c r="B20" s="51">
        <v>8</v>
      </c>
      <c r="C20" s="101">
        <v>3.2484887583333335</v>
      </c>
      <c r="D20" s="101">
        <v>3.3223036333333336</v>
      </c>
      <c r="E20" s="101">
        <v>3.2652052333333335</v>
      </c>
      <c r="F20" s="101">
        <v>3.2485797166666672</v>
      </c>
      <c r="G20" s="101">
        <v>3.2485797166666672</v>
      </c>
      <c r="H20" s="101">
        <v>3.2151000250000004</v>
      </c>
      <c r="I20" s="101">
        <v>3.2128494416666671</v>
      </c>
      <c r="J20" s="101">
        <v>3.3722058666666666</v>
      </c>
      <c r="K20" s="101">
        <v>3.2482264666666669</v>
      </c>
      <c r="L20" s="101"/>
      <c r="N20" s="14">
        <v>8</v>
      </c>
      <c r="O20" s="101">
        <v>3.401240566666667</v>
      </c>
      <c r="P20" s="101">
        <v>3.4329990083333337</v>
      </c>
      <c r="Q20" s="101">
        <v>3.4212613833333338</v>
      </c>
      <c r="R20" s="101">
        <v>3.4014551833333329</v>
      </c>
      <c r="S20" s="101">
        <v>3.4014551833333329</v>
      </c>
      <c r="T20" s="101">
        <v>3.3536372833333332</v>
      </c>
      <c r="U20" s="101">
        <v>3.3906330083333329</v>
      </c>
      <c r="V20" s="101">
        <v>3.3614636750000004</v>
      </c>
      <c r="W20" s="101">
        <v>3.4010326666666675</v>
      </c>
      <c r="X20" s="101"/>
      <c r="Z20" s="14">
        <v>8</v>
      </c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2:36" ht="24" customHeight="1" x14ac:dyDescent="0.3">
      <c r="B21" s="51">
        <v>9</v>
      </c>
      <c r="C21" s="101">
        <v>2.395459741666667</v>
      </c>
      <c r="D21" s="101">
        <v>2.4556888749999999</v>
      </c>
      <c r="E21" s="101">
        <v>2.4048346833333336</v>
      </c>
      <c r="F21" s="101">
        <v>2.3955687333333331</v>
      </c>
      <c r="G21" s="101">
        <v>2.3955687333333331</v>
      </c>
      <c r="H21" s="101">
        <v>2.3209609999999996</v>
      </c>
      <c r="I21" s="101">
        <v>2.3195684083333332</v>
      </c>
      <c r="J21" s="101">
        <v>2.2815039499999998</v>
      </c>
      <c r="K21" s="101">
        <v>2.3953098000000006</v>
      </c>
      <c r="L21" s="101"/>
      <c r="N21" s="14">
        <v>9</v>
      </c>
      <c r="O21" s="101">
        <v>3.1388067916666662</v>
      </c>
      <c r="P21" s="101">
        <v>3.1570857000000001</v>
      </c>
      <c r="Q21" s="101">
        <v>3.1542207666666671</v>
      </c>
      <c r="R21" s="101">
        <v>3.1389580416666667</v>
      </c>
      <c r="S21" s="101">
        <v>3.1389580416666667</v>
      </c>
      <c r="T21" s="101">
        <v>3.0674222750000002</v>
      </c>
      <c r="U21" s="101">
        <v>3.0973439833333338</v>
      </c>
      <c r="V21" s="101">
        <v>3.0354381083333335</v>
      </c>
      <c r="W21" s="101">
        <v>3.1386176166666666</v>
      </c>
      <c r="X21" s="101"/>
      <c r="Z21" s="14">
        <v>9</v>
      </c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</row>
    <row r="22" spans="2:36" ht="24" customHeight="1" x14ac:dyDescent="0.3">
      <c r="B22" s="51">
        <v>10</v>
      </c>
      <c r="C22" s="101">
        <v>3.1605305500000007</v>
      </c>
      <c r="D22" s="101">
        <v>3.2332671750000004</v>
      </c>
      <c r="E22" s="101">
        <v>3.1726478249999999</v>
      </c>
      <c r="F22" s="101">
        <v>3.1606471250000001</v>
      </c>
      <c r="G22" s="101">
        <v>3.1606471250000001</v>
      </c>
      <c r="H22" s="101">
        <v>2.9807960916666669</v>
      </c>
      <c r="I22" s="101">
        <v>3.0508148499999992</v>
      </c>
      <c r="J22" s="101">
        <v>2.9710632916666668</v>
      </c>
      <c r="K22" s="101">
        <v>3.1603418500000009</v>
      </c>
      <c r="L22" s="101"/>
      <c r="N22" s="14">
        <v>10</v>
      </c>
      <c r="O22" s="101">
        <v>3.2848608833333328</v>
      </c>
      <c r="P22" s="101">
        <v>3.29273675</v>
      </c>
      <c r="Q22" s="101">
        <v>3.2992002249999999</v>
      </c>
      <c r="R22" s="101">
        <v>3.2851121333333335</v>
      </c>
      <c r="S22" s="101">
        <v>3.2851121333333335</v>
      </c>
      <c r="T22" s="101">
        <v>3.1932993166666659</v>
      </c>
      <c r="U22" s="101">
        <v>3.2239823083333334</v>
      </c>
      <c r="V22" s="101">
        <v>3.0805872333333335</v>
      </c>
      <c r="W22" s="101">
        <v>3.2847278583333335</v>
      </c>
      <c r="X22" s="101"/>
      <c r="Z22" s="14">
        <v>10</v>
      </c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2:36" ht="24" customHeight="1" x14ac:dyDescent="0.3">
      <c r="B23" s="51">
        <v>11</v>
      </c>
      <c r="C23" s="101">
        <v>3.6211287916666661</v>
      </c>
      <c r="D23" s="101">
        <v>3.6723659333333338</v>
      </c>
      <c r="E23" s="101">
        <v>3.6398331166666669</v>
      </c>
      <c r="F23" s="101">
        <v>3.6213646083333328</v>
      </c>
      <c r="G23" s="101">
        <v>3.6213646083333328</v>
      </c>
      <c r="H23" s="101">
        <v>3.5004030583333328</v>
      </c>
      <c r="I23" s="101">
        <v>3.5358306499999999</v>
      </c>
      <c r="J23" s="101">
        <v>3.5316053333333333</v>
      </c>
      <c r="K23" s="101">
        <v>3.6208591499999998</v>
      </c>
      <c r="L23" s="101"/>
      <c r="N23" s="14">
        <v>11</v>
      </c>
      <c r="O23" s="101">
        <v>3.4656194500000006</v>
      </c>
      <c r="P23" s="101">
        <v>3.4831549249999996</v>
      </c>
      <c r="Q23" s="101">
        <v>3.4798048416666663</v>
      </c>
      <c r="R23" s="101">
        <v>3.465705741666667</v>
      </c>
      <c r="S23" s="101">
        <v>3.465705741666667</v>
      </c>
      <c r="T23" s="101">
        <v>3.3578579083333335</v>
      </c>
      <c r="U23" s="101">
        <v>3.3896060749999997</v>
      </c>
      <c r="V23" s="101">
        <v>3.2597147083333331</v>
      </c>
      <c r="W23" s="101">
        <v>3.4653363750000001</v>
      </c>
      <c r="X23" s="101"/>
      <c r="Z23" s="14">
        <v>11</v>
      </c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</row>
    <row r="24" spans="2:36" ht="24" customHeight="1" x14ac:dyDescent="0.3">
      <c r="B24" s="51">
        <v>12</v>
      </c>
      <c r="C24" s="101">
        <v>3.3770375833333333</v>
      </c>
      <c r="D24" s="101">
        <v>3.417699591666667</v>
      </c>
      <c r="E24" s="101">
        <v>3.3881903083333333</v>
      </c>
      <c r="F24" s="101">
        <v>3.3772023250000003</v>
      </c>
      <c r="G24" s="101">
        <v>3.3772023250000003</v>
      </c>
      <c r="H24" s="101">
        <v>3.2348145583333334</v>
      </c>
      <c r="I24" s="101">
        <v>3.2764029416666669</v>
      </c>
      <c r="J24" s="101">
        <v>3.2782442749999996</v>
      </c>
      <c r="K24" s="101">
        <v>3.3768993000000007</v>
      </c>
      <c r="L24" s="101"/>
      <c r="N24" s="14">
        <v>12</v>
      </c>
      <c r="O24" s="101">
        <v>2.6900675083333336</v>
      </c>
      <c r="P24" s="101">
        <v>2.7058468000000002</v>
      </c>
      <c r="Q24" s="101">
        <v>2.6998386333333331</v>
      </c>
      <c r="R24" s="101">
        <v>2.6902140000000001</v>
      </c>
      <c r="S24" s="101">
        <v>2.6902140000000001</v>
      </c>
      <c r="T24" s="101">
        <v>1.9850232583333336</v>
      </c>
      <c r="U24" s="101">
        <v>2.6134263999999998</v>
      </c>
      <c r="V24" s="101">
        <v>2.4236888750000003</v>
      </c>
      <c r="W24" s="101">
        <v>2.6899526500000008</v>
      </c>
      <c r="X24" s="101"/>
      <c r="Z24" s="14">
        <v>12</v>
      </c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</row>
    <row r="25" spans="2:36" ht="24" customHeight="1" x14ac:dyDescent="0.3">
      <c r="B25" s="51">
        <v>13</v>
      </c>
      <c r="C25" s="101">
        <v>3.1164713333333331</v>
      </c>
      <c r="D25" s="101">
        <v>3.1488164416666664</v>
      </c>
      <c r="E25" s="101">
        <v>3.125836558333333</v>
      </c>
      <c r="F25" s="101">
        <v>3.1166007416666672</v>
      </c>
      <c r="G25" s="101">
        <v>3.1166007416666672</v>
      </c>
      <c r="H25" s="101">
        <v>2.9389548083333326</v>
      </c>
      <c r="I25" s="101">
        <v>3.01892</v>
      </c>
      <c r="J25" s="101">
        <v>2.9314448916666667</v>
      </c>
      <c r="K25" s="101">
        <v>3.1163244749999999</v>
      </c>
      <c r="L25" s="101"/>
      <c r="N25" s="14">
        <v>13</v>
      </c>
      <c r="O25" s="101">
        <v>2.9836503333333333</v>
      </c>
      <c r="P25" s="101">
        <v>3.0010406249999999</v>
      </c>
      <c r="Q25" s="101">
        <v>2.9965525916666667</v>
      </c>
      <c r="R25" s="101">
        <v>2.9838193750000004</v>
      </c>
      <c r="S25" s="101">
        <v>2.9838193750000004</v>
      </c>
      <c r="T25" s="101">
        <v>2.1951819000000001</v>
      </c>
      <c r="U25" s="101">
        <v>2.9101921666666661</v>
      </c>
      <c r="V25" s="101">
        <v>2.6828873416666665</v>
      </c>
      <c r="W25" s="101">
        <v>2.9834791333333328</v>
      </c>
      <c r="X25" s="101"/>
      <c r="Z25" s="14">
        <v>13</v>
      </c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</row>
    <row r="26" spans="2:36" ht="24" customHeight="1" x14ac:dyDescent="0.3">
      <c r="B26" s="51">
        <v>14</v>
      </c>
      <c r="C26" s="101">
        <v>3.7078029833333326</v>
      </c>
      <c r="D26" s="101">
        <v>3.7514886999999999</v>
      </c>
      <c r="E26" s="101">
        <v>3.7296896333333329</v>
      </c>
      <c r="F26" s="101">
        <v>3.7080205416666665</v>
      </c>
      <c r="G26" s="101">
        <v>3.7080205416666665</v>
      </c>
      <c r="H26" s="101">
        <v>3.5667302333333333</v>
      </c>
      <c r="I26" s="101">
        <v>3.6382785333333336</v>
      </c>
      <c r="J26" s="101">
        <v>3.576503483333334</v>
      </c>
      <c r="K26" s="101">
        <v>3.7073799583333336</v>
      </c>
      <c r="L26" s="101"/>
      <c r="N26" s="14">
        <v>14</v>
      </c>
      <c r="O26" s="101">
        <v>3.2533988250000001</v>
      </c>
      <c r="P26" s="101">
        <v>3.2820572749999997</v>
      </c>
      <c r="Q26" s="101">
        <v>3.270487825</v>
      </c>
      <c r="R26" s="101">
        <v>3.2536378166666666</v>
      </c>
      <c r="S26" s="101">
        <v>3.2536378166666666</v>
      </c>
      <c r="T26" s="101">
        <v>3.1534448416666661</v>
      </c>
      <c r="U26" s="101">
        <v>3.1807035583333332</v>
      </c>
      <c r="V26" s="101">
        <v>2.9707664916666667</v>
      </c>
      <c r="W26" s="101">
        <v>3.2532051333333332</v>
      </c>
      <c r="X26" s="101"/>
      <c r="Z26" s="14">
        <v>14</v>
      </c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</row>
    <row r="27" spans="2:36" ht="24" customHeight="1" x14ac:dyDescent="0.3">
      <c r="B27" s="51">
        <v>15</v>
      </c>
      <c r="C27" s="101">
        <v>3.3851645833333333</v>
      </c>
      <c r="D27" s="101">
        <v>3.4315097666666667</v>
      </c>
      <c r="E27" s="101">
        <v>3.4026193250000003</v>
      </c>
      <c r="F27" s="101">
        <v>3.3853855083333331</v>
      </c>
      <c r="G27" s="101">
        <v>3.3853855083333331</v>
      </c>
      <c r="H27" s="101">
        <v>3.2172097833333337</v>
      </c>
      <c r="I27" s="101">
        <v>3.3033795000000006</v>
      </c>
      <c r="J27" s="101">
        <v>3.2312966666666672</v>
      </c>
      <c r="K27" s="101">
        <v>3.3849179750000005</v>
      </c>
      <c r="L27" s="101"/>
      <c r="N27" s="14">
        <v>15</v>
      </c>
      <c r="O27" s="101">
        <v>3.3303387916666671</v>
      </c>
      <c r="P27" s="101">
        <v>3.3603865499999999</v>
      </c>
      <c r="Q27" s="101">
        <v>3.3495998500000002</v>
      </c>
      <c r="R27" s="101">
        <v>3.3305064999999998</v>
      </c>
      <c r="S27" s="101">
        <v>3.3305064999999998</v>
      </c>
      <c r="T27" s="101">
        <v>3.0370360166666672</v>
      </c>
      <c r="U27" s="101">
        <v>3.2575722583333335</v>
      </c>
      <c r="V27" s="101">
        <v>3.0275796333333331</v>
      </c>
      <c r="W27" s="101">
        <v>3.3300641333333334</v>
      </c>
      <c r="X27" s="101"/>
      <c r="Z27" s="14">
        <v>15</v>
      </c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</row>
    <row r="28" spans="2:36" ht="24" customHeight="1" x14ac:dyDescent="0.3">
      <c r="B28" s="51">
        <v>16</v>
      </c>
      <c r="C28" s="101">
        <v>4.5987215333333333</v>
      </c>
      <c r="D28" s="101">
        <v>4.6779217166666669</v>
      </c>
      <c r="E28" s="101">
        <v>4.6180151916666663</v>
      </c>
      <c r="F28" s="101">
        <v>4.5988386416666662</v>
      </c>
      <c r="G28" s="101">
        <v>4.5988386416666662</v>
      </c>
      <c r="H28" s="101">
        <v>4.4433056916666676</v>
      </c>
      <c r="I28" s="101">
        <v>4.4799463416666665</v>
      </c>
      <c r="J28" s="101">
        <v>4.476179300000001</v>
      </c>
      <c r="K28" s="101">
        <v>4.5983596833333333</v>
      </c>
      <c r="L28" s="101"/>
      <c r="N28" s="14">
        <v>16</v>
      </c>
      <c r="O28" s="101">
        <v>3.4859497666666672</v>
      </c>
      <c r="P28" s="101">
        <v>3.5148261999999999</v>
      </c>
      <c r="Q28" s="101">
        <v>3.5080846000000001</v>
      </c>
      <c r="R28" s="101">
        <v>3.486262041666667</v>
      </c>
      <c r="S28" s="101">
        <v>3.486262041666667</v>
      </c>
      <c r="T28" s="101">
        <v>3.3961672916666665</v>
      </c>
      <c r="U28" s="101">
        <v>3.4260077416666666</v>
      </c>
      <c r="V28" s="101">
        <v>3.2519019833333331</v>
      </c>
      <c r="W28" s="101">
        <v>3.4855765166666672</v>
      </c>
      <c r="X28" s="101"/>
      <c r="Z28" s="14">
        <v>16</v>
      </c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</row>
    <row r="29" spans="2:36" ht="24" customHeight="1" x14ac:dyDescent="0.3">
      <c r="B29" s="51">
        <v>17</v>
      </c>
      <c r="C29" s="101">
        <v>3.769386491666666</v>
      </c>
      <c r="D29" s="101">
        <v>3.8443384999999997</v>
      </c>
      <c r="E29" s="101">
        <v>3.7877446749999999</v>
      </c>
      <c r="F29" s="101">
        <v>3.76963435</v>
      </c>
      <c r="G29" s="101">
        <v>3.76963435</v>
      </c>
      <c r="H29" s="101">
        <v>3.6814764833333333</v>
      </c>
      <c r="I29" s="101">
        <v>3.6792676000000006</v>
      </c>
      <c r="J29" s="101">
        <v>3.6402388666666665</v>
      </c>
      <c r="K29" s="101">
        <v>3.7691080416666662</v>
      </c>
      <c r="L29" s="101"/>
      <c r="N29" s="14">
        <v>17</v>
      </c>
      <c r="O29" s="101">
        <v>3.4309646833333329</v>
      </c>
      <c r="P29" s="101">
        <v>3.4499144916666666</v>
      </c>
      <c r="Q29" s="101">
        <v>3.4450630083333329</v>
      </c>
      <c r="R29" s="101">
        <v>3.4312423416666666</v>
      </c>
      <c r="S29" s="101">
        <v>3.4312423416666666</v>
      </c>
      <c r="T29" s="101">
        <v>3.150565958333333</v>
      </c>
      <c r="U29" s="101">
        <v>3.3321256916666666</v>
      </c>
      <c r="V29" s="101">
        <v>3.1099173583333335</v>
      </c>
      <c r="W29" s="101">
        <v>3.4308241500000003</v>
      </c>
      <c r="X29" s="101"/>
      <c r="Z29" s="14">
        <v>17</v>
      </c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</row>
    <row r="30" spans="2:36" ht="24" customHeight="1" x14ac:dyDescent="0.3">
      <c r="B30" s="51">
        <v>18</v>
      </c>
      <c r="C30" s="101">
        <v>7.3047889333333336</v>
      </c>
      <c r="D30" s="101">
        <v>7.4597300000000004</v>
      </c>
      <c r="E30" s="101">
        <v>7.3559571000000004</v>
      </c>
      <c r="F30" s="101">
        <v>7.3053223166666656</v>
      </c>
      <c r="G30" s="101">
        <v>7.3053223166666656</v>
      </c>
      <c r="H30" s="101">
        <v>7.1981269166666655</v>
      </c>
      <c r="I30" s="101">
        <v>7.1938080666666675</v>
      </c>
      <c r="J30" s="101">
        <v>7.2047215000000007</v>
      </c>
      <c r="K30" s="101">
        <v>7.3039967000000008</v>
      </c>
      <c r="L30" s="101"/>
      <c r="N30" s="14">
        <v>18</v>
      </c>
      <c r="O30" s="101">
        <v>3.6275954333333336</v>
      </c>
      <c r="P30" s="101">
        <v>3.6755773666666678</v>
      </c>
      <c r="Q30" s="101">
        <v>3.6509899249999997</v>
      </c>
      <c r="R30" s="101">
        <v>3.6279244416666665</v>
      </c>
      <c r="S30" s="101">
        <v>3.6279244416666665</v>
      </c>
      <c r="T30" s="101">
        <v>3.3201370083333335</v>
      </c>
      <c r="U30" s="101">
        <v>3.5447974500000003</v>
      </c>
      <c r="V30" s="101">
        <v>3.3432094333333335</v>
      </c>
      <c r="W30" s="101">
        <v>3.6273844999999998</v>
      </c>
      <c r="X30" s="101"/>
      <c r="Z30" s="14">
        <v>18</v>
      </c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</row>
    <row r="31" spans="2:36" ht="24" customHeight="1" x14ac:dyDescent="0.3">
      <c r="B31" s="51">
        <v>19</v>
      </c>
      <c r="C31" s="101">
        <v>5.544710658333333</v>
      </c>
      <c r="D31" s="101">
        <v>5.6955206</v>
      </c>
      <c r="E31" s="101">
        <v>5.6035845916666664</v>
      </c>
      <c r="F31" s="101">
        <v>5.5454005749999995</v>
      </c>
      <c r="G31" s="101">
        <v>5.5454005749999995</v>
      </c>
      <c r="H31" s="101">
        <v>5.5346859250000007</v>
      </c>
      <c r="I31" s="101">
        <v>5.5308116416666673</v>
      </c>
      <c r="J31" s="101">
        <v>5.6031030249999993</v>
      </c>
      <c r="K31" s="101">
        <v>5.5437108416666669</v>
      </c>
      <c r="L31" s="101"/>
      <c r="N31" s="14">
        <v>19</v>
      </c>
      <c r="O31" s="101">
        <v>4.2901755666666661</v>
      </c>
      <c r="P31" s="101">
        <v>4.3623141250000002</v>
      </c>
      <c r="Q31" s="101">
        <v>4.3336494999999999</v>
      </c>
      <c r="R31" s="101">
        <v>4.2908006083333339</v>
      </c>
      <c r="S31" s="101">
        <v>4.2908006083333339</v>
      </c>
      <c r="T31" s="101">
        <v>4.2082747166666659</v>
      </c>
      <c r="U31" s="101">
        <v>4.2532382833333333</v>
      </c>
      <c r="V31" s="101">
        <v>4.0533671500000006</v>
      </c>
      <c r="W31" s="101">
        <v>4.2895223249999992</v>
      </c>
      <c r="X31" s="101"/>
      <c r="Z31" s="14">
        <v>19</v>
      </c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</row>
    <row r="32" spans="2:36" ht="24" customHeight="1" x14ac:dyDescent="0.3">
      <c r="B32" s="51">
        <v>20</v>
      </c>
      <c r="C32" s="101">
        <v>3.8019640249999997</v>
      </c>
      <c r="D32" s="101">
        <v>3.9204879916666671</v>
      </c>
      <c r="E32" s="101">
        <v>3.8428845416666668</v>
      </c>
      <c r="F32" s="101">
        <v>3.8024707166666674</v>
      </c>
      <c r="G32" s="101">
        <v>3.8024707166666674</v>
      </c>
      <c r="H32" s="101">
        <v>3.8002231833333333</v>
      </c>
      <c r="I32" s="101">
        <v>3.7975630416666664</v>
      </c>
      <c r="J32" s="101">
        <v>3.8889600250000003</v>
      </c>
      <c r="K32" s="101">
        <v>3.801352108333333</v>
      </c>
      <c r="L32" s="101"/>
      <c r="N32" s="14">
        <v>20</v>
      </c>
      <c r="O32" s="101">
        <v>3.3807252750000001</v>
      </c>
      <c r="P32" s="101">
        <v>3.4305470750000002</v>
      </c>
      <c r="Q32" s="101">
        <v>3.4057251583333339</v>
      </c>
      <c r="R32" s="101">
        <v>3.3809801833333344</v>
      </c>
      <c r="S32" s="101">
        <v>3.3809801833333344</v>
      </c>
      <c r="T32" s="101">
        <v>3.280669408333333</v>
      </c>
      <c r="U32" s="101">
        <v>3.3166078333333329</v>
      </c>
      <c r="V32" s="101">
        <v>3.1584662083333339</v>
      </c>
      <c r="W32" s="101">
        <v>3.3803895916666664</v>
      </c>
      <c r="X32" s="101"/>
      <c r="Z32" s="14">
        <v>20</v>
      </c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</row>
    <row r="33" spans="2:36" ht="24" customHeight="1" x14ac:dyDescent="0.3">
      <c r="B33" s="51">
        <v>21</v>
      </c>
      <c r="C33" s="101">
        <v>3.552198325</v>
      </c>
      <c r="D33" s="101">
        <v>3.6400307916666663</v>
      </c>
      <c r="E33" s="101">
        <v>3.5839688166666659</v>
      </c>
      <c r="F33" s="101">
        <v>3.5524711583333333</v>
      </c>
      <c r="G33" s="101">
        <v>3.5524711583333333</v>
      </c>
      <c r="H33" s="101">
        <v>3.5324326666666672</v>
      </c>
      <c r="I33" s="101">
        <v>3.529959966666667</v>
      </c>
      <c r="J33" s="101">
        <v>3.5984556083333334</v>
      </c>
      <c r="K33" s="101">
        <v>3.5518134999999997</v>
      </c>
      <c r="L33" s="101"/>
      <c r="N33" s="14">
        <v>21</v>
      </c>
      <c r="O33" s="101">
        <v>3.4597139666666665</v>
      </c>
      <c r="P33" s="101">
        <v>3.5275291000000002</v>
      </c>
      <c r="Q33" s="101">
        <v>3.4823573000000003</v>
      </c>
      <c r="R33" s="101">
        <v>3.4599384666666668</v>
      </c>
      <c r="S33" s="101">
        <v>3.4599384666666668</v>
      </c>
      <c r="T33" s="101">
        <v>3.3469696166666671</v>
      </c>
      <c r="U33" s="101">
        <v>3.3859269083333334</v>
      </c>
      <c r="V33" s="101">
        <v>3.2715075833333334</v>
      </c>
      <c r="W33" s="101">
        <v>3.4594837083333334</v>
      </c>
      <c r="X33" s="101"/>
      <c r="Z33" s="14">
        <v>21</v>
      </c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</row>
    <row r="34" spans="2:36" ht="24" customHeight="1" x14ac:dyDescent="0.3">
      <c r="B34" s="51">
        <v>22</v>
      </c>
      <c r="C34" s="101">
        <v>3.6637335249999996</v>
      </c>
      <c r="D34" s="101">
        <v>3.7461072499999997</v>
      </c>
      <c r="E34" s="101">
        <v>3.6990260333333334</v>
      </c>
      <c r="F34" s="101">
        <v>3.6640389000000009</v>
      </c>
      <c r="G34" s="101">
        <v>3.6640389000000009</v>
      </c>
      <c r="H34" s="101">
        <v>3.6790933083333335</v>
      </c>
      <c r="I34" s="101">
        <v>3.6765179583333336</v>
      </c>
      <c r="J34" s="101">
        <v>3.826476991666667</v>
      </c>
      <c r="K34" s="101">
        <v>3.6631823999999997</v>
      </c>
      <c r="L34" s="101"/>
      <c r="N34" s="14">
        <v>22</v>
      </c>
      <c r="O34" s="101">
        <v>3.1652285249999998</v>
      </c>
      <c r="P34" s="101">
        <v>3.2266865416666666</v>
      </c>
      <c r="Q34" s="101">
        <v>3.1814532500000001</v>
      </c>
      <c r="R34" s="101">
        <v>3.1654073999999999</v>
      </c>
      <c r="S34" s="101">
        <v>3.1654073999999999</v>
      </c>
      <c r="T34" s="101">
        <v>3.048599925</v>
      </c>
      <c r="U34" s="101">
        <v>3.0865167249999996</v>
      </c>
      <c r="V34" s="101">
        <v>2.9668886333333333</v>
      </c>
      <c r="W34" s="101">
        <v>3.1650031583333331</v>
      </c>
      <c r="X34" s="101"/>
      <c r="Z34" s="14">
        <v>22</v>
      </c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</row>
    <row r="35" spans="2:36" ht="24" customHeight="1" x14ac:dyDescent="0.3">
      <c r="B35" s="51">
        <v>23</v>
      </c>
      <c r="C35" s="101">
        <v>5.2383353416666658</v>
      </c>
      <c r="D35" s="101">
        <v>5.3665383083333333</v>
      </c>
      <c r="E35" s="101">
        <v>5.3004137833333331</v>
      </c>
      <c r="F35" s="101">
        <v>5.2390105333333334</v>
      </c>
      <c r="G35" s="101">
        <v>5.2390105333333334</v>
      </c>
      <c r="H35" s="101">
        <v>10.478418833333334</v>
      </c>
      <c r="I35" s="101">
        <v>5.3454707250000002</v>
      </c>
      <c r="J35" s="101">
        <v>5.7352587749999993</v>
      </c>
      <c r="K35" s="101">
        <v>5.2375320333333342</v>
      </c>
      <c r="L35" s="101"/>
      <c r="N35" s="14">
        <v>23</v>
      </c>
      <c r="O35" s="101">
        <v>3.1692051666666665</v>
      </c>
      <c r="P35" s="101">
        <v>3.2296812583333336</v>
      </c>
      <c r="Q35" s="101">
        <v>3.1868772999999999</v>
      </c>
      <c r="R35" s="101">
        <v>3.1693406499999996</v>
      </c>
      <c r="S35" s="101">
        <v>3.1693406499999996</v>
      </c>
      <c r="T35" s="101">
        <v>3.0618894916666668</v>
      </c>
      <c r="U35" s="101">
        <v>3.1109782916666666</v>
      </c>
      <c r="V35" s="101">
        <v>3.038416475</v>
      </c>
      <c r="W35" s="101">
        <v>3.1689998416666674</v>
      </c>
      <c r="X35" s="101"/>
      <c r="Z35" s="14">
        <v>23</v>
      </c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2:36" ht="24" customHeight="1" x14ac:dyDescent="0.3">
      <c r="B36" s="51">
        <v>24</v>
      </c>
      <c r="C36" s="101">
        <v>3.4480292666666665</v>
      </c>
      <c r="D36" s="101">
        <v>3.511339383333334</v>
      </c>
      <c r="E36" s="101">
        <v>3.478071433333334</v>
      </c>
      <c r="F36" s="101">
        <v>3.4483495666666673</v>
      </c>
      <c r="G36" s="101">
        <v>3.4483495666666673</v>
      </c>
      <c r="H36" s="101">
        <v>10.643020141666666</v>
      </c>
      <c r="I36" s="101">
        <v>3.4772534250000002</v>
      </c>
      <c r="J36" s="101">
        <v>3.7365113666666669</v>
      </c>
      <c r="K36" s="101">
        <v>3.4476769166666674</v>
      </c>
      <c r="L36" s="101"/>
      <c r="N36" s="14">
        <v>24</v>
      </c>
      <c r="O36" s="101">
        <v>2.1841766333333332</v>
      </c>
      <c r="P36" s="101">
        <v>2.2004496166666669</v>
      </c>
      <c r="Q36" s="101">
        <v>2.1953568666666672</v>
      </c>
      <c r="R36" s="101">
        <v>2.1843363750000004</v>
      </c>
      <c r="S36" s="101">
        <v>2.1843363750000004</v>
      </c>
      <c r="T36" s="101">
        <v>2.121882008333333</v>
      </c>
      <c r="U36" s="101">
        <v>2.1521603666666671</v>
      </c>
      <c r="V36" s="101">
        <v>2.0453684083333332</v>
      </c>
      <c r="W36" s="101">
        <v>2.1841211666666664</v>
      </c>
      <c r="X36" s="101"/>
      <c r="Z36" s="14">
        <v>24</v>
      </c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</row>
    <row r="37" spans="2:36" ht="24" customHeight="1" x14ac:dyDescent="0.3">
      <c r="B37" s="51" t="s">
        <v>66</v>
      </c>
      <c r="C37" s="94">
        <f>IFERROR(AVERAGE(C13:C36),0)</f>
        <v>3.7162328861111114</v>
      </c>
      <c r="D37" s="94">
        <f t="shared" ref="D37:L37" si="0">IFERROR(AVERAGE(D13:D36),0)</f>
        <v>3.7925970100694433</v>
      </c>
      <c r="E37" s="94">
        <f t="shared" si="0"/>
        <v>3.7409315458333334</v>
      </c>
      <c r="F37" s="94">
        <f t="shared" si="0"/>
        <v>3.716491370138888</v>
      </c>
      <c r="G37" s="94">
        <f t="shared" si="0"/>
        <v>3.716491370138888</v>
      </c>
      <c r="H37" s="94">
        <f t="shared" si="0"/>
        <v>4.1683573989583333</v>
      </c>
      <c r="I37" s="94">
        <f t="shared" si="0"/>
        <v>3.6719173177083335</v>
      </c>
      <c r="J37" s="94">
        <f t="shared" si="0"/>
        <v>3.75243863125</v>
      </c>
      <c r="K37" s="94">
        <f t="shared" si="0"/>
        <v>3.715890560763889</v>
      </c>
      <c r="L37" s="94">
        <f t="shared" si="0"/>
        <v>0</v>
      </c>
      <c r="N37" s="14" t="s">
        <v>66</v>
      </c>
      <c r="O37" s="94">
        <f>IFERROR(AVERAGE(O13:O36),0)</f>
        <v>2.8698818298611122</v>
      </c>
      <c r="P37" s="94">
        <f t="shared" ref="P37" si="1">IFERROR(AVERAGE(P13:P36),0)</f>
        <v>2.8984327368055554</v>
      </c>
      <c r="Q37" s="94">
        <f t="shared" ref="Q37" si="2">IFERROR(AVERAGE(Q13:Q36),0)</f>
        <v>2.8864356288194437</v>
      </c>
      <c r="R37" s="94">
        <f t="shared" ref="R37" si="3">IFERROR(AVERAGE(R13:R36),0)</f>
        <v>2.870070046875</v>
      </c>
      <c r="S37" s="94">
        <f t="shared" ref="S37" si="4">IFERROR(AVERAGE(S13:S36),0)</f>
        <v>2.870070046875</v>
      </c>
      <c r="T37" s="94">
        <f t="shared" ref="T37" si="5">IFERROR(AVERAGE(T13:T36),0)</f>
        <v>2.7183301729166671</v>
      </c>
      <c r="U37" s="94">
        <f t="shared" ref="U37" si="6">IFERROR(AVERAGE(U13:U36),0)</f>
        <v>2.8240329371527775</v>
      </c>
      <c r="V37" s="94">
        <f t="shared" ref="V37" si="7">IFERROR(AVERAGE(V13:V36),0)</f>
        <v>2.7130255118055557</v>
      </c>
      <c r="W37" s="94">
        <f t="shared" ref="W37" si="8">IFERROR(AVERAGE(W13:W36),0)</f>
        <v>2.8696893895833333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0</v>
      </c>
      <c r="AB37" s="94">
        <f t="shared" ref="AB37:AJ37" si="10">IFERROR(AVERAGE(AB13:AB36),0)</f>
        <v>0</v>
      </c>
      <c r="AC37" s="94">
        <f t="shared" si="10"/>
        <v>0</v>
      </c>
      <c r="AD37" s="94">
        <f t="shared" si="10"/>
        <v>0</v>
      </c>
      <c r="AE37" s="94">
        <f t="shared" si="10"/>
        <v>0</v>
      </c>
      <c r="AF37" s="94">
        <f t="shared" si="10"/>
        <v>0</v>
      </c>
      <c r="AG37" s="94">
        <f t="shared" si="10"/>
        <v>0</v>
      </c>
      <c r="AH37" s="94">
        <f t="shared" si="10"/>
        <v>0</v>
      </c>
      <c r="AI37" s="94">
        <f t="shared" si="10"/>
        <v>0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45672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2.3426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2.6255999999999999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5.7789999999999999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6.5282999999999998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6.5282999999999998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6.5282999999999998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6.5282999999999998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6.5282999999999998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6.5282999999999998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6.5282999999999998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5.9871999999999996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5.9871999999999996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6.5282999999999998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6.5282999999999998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5.9871999999999996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3.2593999999999999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2.6255999999999999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2.5022000000000002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4.5794291666666673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Z11:Z12"/>
    <mergeCell ref="AA11:AE11"/>
    <mergeCell ref="AF11:AJ11"/>
    <mergeCell ref="O11:S11"/>
    <mergeCell ref="T11:X11"/>
    <mergeCell ref="C4:E4"/>
    <mergeCell ref="C11:G11"/>
    <mergeCell ref="B11:B12"/>
    <mergeCell ref="H11:L11"/>
    <mergeCell ref="N11:N12"/>
    <mergeCell ref="C6:E6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opLeftCell="A4" zoomScale="77" zoomScaleNormal="91" workbookViewId="0">
      <selection activeCell="T33" sqref="T33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84">
        <f>'1. Rates'!C4</f>
        <v>45672</v>
      </c>
      <c r="D2" s="185"/>
      <c r="E2" s="186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72" t="s">
        <v>52</v>
      </c>
      <c r="C7" s="178" t="s">
        <v>109</v>
      </c>
      <c r="D7" s="179"/>
      <c r="E7" s="179"/>
      <c r="F7" s="179"/>
      <c r="G7" s="180"/>
      <c r="H7" s="178" t="s">
        <v>110</v>
      </c>
      <c r="I7" s="179"/>
      <c r="J7" s="179"/>
      <c r="K7" s="179"/>
      <c r="L7" s="180"/>
      <c r="M7" s="181" t="s">
        <v>111</v>
      </c>
      <c r="N7" s="182"/>
      <c r="O7" s="182"/>
      <c r="P7" s="182"/>
      <c r="Q7" s="183"/>
      <c r="S7" s="181" t="s">
        <v>112</v>
      </c>
      <c r="T7" s="182"/>
      <c r="U7" s="182"/>
      <c r="V7" s="182"/>
      <c r="W7" s="183"/>
    </row>
    <row r="8" spans="2:24" ht="32.25" customHeight="1" x14ac:dyDescent="0.3">
      <c r="B8" s="173"/>
      <c r="C8" s="175">
        <f>C2-7</f>
        <v>45665</v>
      </c>
      <c r="D8" s="176"/>
      <c r="E8" s="176"/>
      <c r="F8" s="176"/>
      <c r="G8" s="177"/>
      <c r="H8" s="175">
        <f>C2-2</f>
        <v>45670</v>
      </c>
      <c r="I8" s="176"/>
      <c r="J8" s="176"/>
      <c r="K8" s="176"/>
      <c r="L8" s="177"/>
      <c r="M8" s="175">
        <f>C2</f>
        <v>45672</v>
      </c>
      <c r="N8" s="176"/>
      <c r="O8" s="176"/>
      <c r="P8" s="176"/>
      <c r="Q8" s="177"/>
      <c r="S8" s="175">
        <f>M8</f>
        <v>45672</v>
      </c>
      <c r="T8" s="176"/>
      <c r="U8" s="176"/>
      <c r="V8" s="176"/>
      <c r="W8" s="177"/>
    </row>
    <row r="9" spans="2:24" ht="45" customHeight="1" x14ac:dyDescent="0.3">
      <c r="B9" s="174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3.3325748783333333</v>
      </c>
      <c r="E10" s="116">
        <v>68095.058420454254</v>
      </c>
      <c r="F10" s="116">
        <v>5677.5309999999999</v>
      </c>
      <c r="G10" s="107">
        <f>E10-F10</f>
        <v>62417.527420454251</v>
      </c>
      <c r="H10" s="115"/>
      <c r="I10" s="106">
        <f>IFERROR(AVERAGE('1. Rates'!O13:S13),0)</f>
        <v>2.7411548733333331</v>
      </c>
      <c r="J10" s="116">
        <v>67736.41425034382</v>
      </c>
      <c r="K10" s="116">
        <v>4780.2809999999999</v>
      </c>
      <c r="L10" s="107">
        <f>J10-K10</f>
        <v>62956.133250343817</v>
      </c>
      <c r="M10" s="108" t="e">
        <f>IF(S10="",AVERAGE(C10,H10),S10)</f>
        <v>#DIV/0!</v>
      </c>
      <c r="N10" s="109">
        <f>IF(T10="",(IFERROR(AVERAGE('1. Rates'!AA13:AE13),0)),T10)</f>
        <v>2.7587967920833329</v>
      </c>
      <c r="O10" s="107">
        <f>IF(U10="",AVERAGE(E10,J10),U10)</f>
        <v>73772.894274280276</v>
      </c>
      <c r="P10" s="107">
        <f>IF(V10="",AVERAGE(F10,K10),V10)</f>
        <v>5441.2205515130599</v>
      </c>
      <c r="Q10" s="107">
        <f>O10-P10</f>
        <v>68331.673722767213</v>
      </c>
      <c r="S10" s="117"/>
      <c r="T10" s="118">
        <v>2.7587967920833329</v>
      </c>
      <c r="U10" s="116">
        <v>73772.894274280276</v>
      </c>
      <c r="V10" s="116">
        <v>5441.2205515130599</v>
      </c>
      <c r="W10" s="116"/>
    </row>
    <row r="11" spans="2:24" x14ac:dyDescent="0.3">
      <c r="B11" s="105">
        <v>2</v>
      </c>
      <c r="C11" s="115"/>
      <c r="D11" s="106">
        <f>IFERROR(AVERAGE('1. Rates'!C14:G14),0)</f>
        <v>3.3332333466666668</v>
      </c>
      <c r="E11" s="116">
        <v>64527.760406413472</v>
      </c>
      <c r="F11" s="116">
        <v>5562.3690000000006</v>
      </c>
      <c r="G11" s="107">
        <f t="shared" ref="G11:G33" si="0">E11-F11</f>
        <v>58965.391406413473</v>
      </c>
      <c r="H11" s="115"/>
      <c r="I11" s="106">
        <f>IFERROR(AVERAGE('1. Rates'!O14:S14),0)</f>
        <v>1.0773140616666665</v>
      </c>
      <c r="J11" s="116">
        <v>64523.788459588977</v>
      </c>
      <c r="K11" s="116">
        <v>4814.4029999999984</v>
      </c>
      <c r="L11" s="107">
        <f t="shared" ref="L11:L33" si="1">J11-K11</f>
        <v>59709.385459588979</v>
      </c>
      <c r="M11" s="108" t="e">
        <f t="shared" ref="M11:M33" si="2">IF(S11="",AVERAGE(C11,H11),S11)</f>
        <v>#DIV/0!</v>
      </c>
      <c r="N11" s="109">
        <f>IF(T11="",(IFERROR(AVERAGE('1. Rates'!AA14:AE14),0)),T11)</f>
        <v>2.1493768641666668</v>
      </c>
      <c r="O11" s="107">
        <f t="shared" ref="O11:O33" si="3">IF(U11="",AVERAGE(E11,J11),U11)</f>
        <v>70399.878604290338</v>
      </c>
      <c r="P11" s="107">
        <f t="shared" ref="P11:P33" si="4">IF(V11="",AVERAGE(F11,K11),V11)</f>
        <v>5399.05527702786</v>
      </c>
      <c r="Q11" s="107">
        <f t="shared" ref="Q11:Q33" si="5">O11-P11</f>
        <v>65000.823327262478</v>
      </c>
      <c r="S11" s="117"/>
      <c r="T11" s="118">
        <v>2.1493768641666668</v>
      </c>
      <c r="U11" s="116">
        <v>70399.878604290338</v>
      </c>
      <c r="V11" s="116">
        <v>5399.05527702786</v>
      </c>
      <c r="W11" s="116"/>
    </row>
    <row r="12" spans="2:24" x14ac:dyDescent="0.3">
      <c r="B12" s="105">
        <v>3</v>
      </c>
      <c r="C12" s="115"/>
      <c r="D12" s="106">
        <f>IFERROR(AVERAGE('1. Rates'!C15:G15),0)</f>
        <v>2.8638421383333332</v>
      </c>
      <c r="E12" s="116">
        <v>61723.682057487677</v>
      </c>
      <c r="F12" s="116">
        <v>5533.7969999999996</v>
      </c>
      <c r="G12" s="107">
        <f t="shared" si="0"/>
        <v>56189.885057487678</v>
      </c>
      <c r="H12" s="115"/>
      <c r="I12" s="106">
        <f>IFERROR(AVERAGE('1. Rates'!O15:S15),0)</f>
        <v>5.6878598333333329E-2</v>
      </c>
      <c r="J12" s="116">
        <v>61903.122070987083</v>
      </c>
      <c r="K12" s="116">
        <v>4753.1499999999978</v>
      </c>
      <c r="L12" s="107">
        <f t="shared" si="1"/>
        <v>57149.972070987089</v>
      </c>
      <c r="M12" s="108" t="e">
        <f t="shared" si="2"/>
        <v>#DIV/0!</v>
      </c>
      <c r="N12" s="109">
        <f>IF(T12="",(IFERROR(AVERAGE('1. Rates'!AA15:AE15),0)),T12)</f>
        <v>1.6681755883333331</v>
      </c>
      <c r="O12" s="107">
        <f t="shared" si="3"/>
        <v>67615.569201349979</v>
      </c>
      <c r="P12" s="107">
        <f t="shared" si="4"/>
        <v>5352.319149428733</v>
      </c>
      <c r="Q12" s="107">
        <f t="shared" si="5"/>
        <v>62263.250051921248</v>
      </c>
      <c r="S12" s="117"/>
      <c r="T12" s="118">
        <v>1.6681755883333331</v>
      </c>
      <c r="U12" s="116">
        <v>67615.569201349979</v>
      </c>
      <c r="V12" s="116">
        <v>5352.319149428733</v>
      </c>
      <c r="W12" s="116"/>
    </row>
    <row r="13" spans="2:24" x14ac:dyDescent="0.3">
      <c r="B13" s="105">
        <v>4</v>
      </c>
      <c r="C13" s="115"/>
      <c r="D13" s="106">
        <f>IFERROR(AVERAGE('1. Rates'!C16:G16),0)</f>
        <v>2.7688244950000001</v>
      </c>
      <c r="E13" s="116">
        <v>59947.297277409474</v>
      </c>
      <c r="F13" s="116">
        <v>5555.5460000000003</v>
      </c>
      <c r="G13" s="107">
        <f t="shared" si="0"/>
        <v>54391.751277409472</v>
      </c>
      <c r="H13" s="115"/>
      <c r="I13" s="106">
        <f>IFERROR(AVERAGE('1. Rates'!O16:S16),0)</f>
        <v>0.93084493666666668</v>
      </c>
      <c r="J13" s="116">
        <v>59875.010643353511</v>
      </c>
      <c r="K13" s="116">
        <v>4634.619999999999</v>
      </c>
      <c r="L13" s="107">
        <f t="shared" si="1"/>
        <v>55240.390643353516</v>
      </c>
      <c r="M13" s="108" t="e">
        <f t="shared" si="2"/>
        <v>#DIV/0!</v>
      </c>
      <c r="N13" s="109">
        <f>IF(T13="",(IFERROR(AVERAGE('1. Rates'!AA16:AE16),0)),T13)</f>
        <v>1.4291755518749998</v>
      </c>
      <c r="O13" s="107">
        <f t="shared" si="3"/>
        <v>65601.133866492281</v>
      </c>
      <c r="P13" s="107">
        <f t="shared" si="4"/>
        <v>5354.9834390936576</v>
      </c>
      <c r="Q13" s="107">
        <f t="shared" si="5"/>
        <v>60246.150427398621</v>
      </c>
      <c r="S13" s="117"/>
      <c r="T13" s="118">
        <v>1.4291755518749998</v>
      </c>
      <c r="U13" s="116">
        <v>65601.133866492281</v>
      </c>
      <c r="V13" s="116">
        <v>5354.9834390936576</v>
      </c>
      <c r="W13" s="116"/>
    </row>
    <row r="14" spans="2:24" x14ac:dyDescent="0.3">
      <c r="B14" s="105">
        <v>5</v>
      </c>
      <c r="C14" s="115"/>
      <c r="D14" s="106">
        <f>IFERROR(AVERAGE('1. Rates'!C17:G17),0)</f>
        <v>3.1836751083333334</v>
      </c>
      <c r="E14" s="116">
        <v>60010.914725620474</v>
      </c>
      <c r="F14" s="116">
        <v>5519.1960000000008</v>
      </c>
      <c r="G14" s="107">
        <f t="shared" si="0"/>
        <v>54491.718725620471</v>
      </c>
      <c r="H14" s="115"/>
      <c r="I14" s="106">
        <f>IFERROR(AVERAGE('1. Rates'!O17:S17),0)</f>
        <v>2.0684925083333332</v>
      </c>
      <c r="J14" s="116">
        <v>59467.177001691438</v>
      </c>
      <c r="K14" s="116">
        <v>4735.3179999999975</v>
      </c>
      <c r="L14" s="107">
        <f t="shared" si="1"/>
        <v>54731.859001691439</v>
      </c>
      <c r="M14" s="108" t="e">
        <f t="shared" si="2"/>
        <v>#DIV/0!</v>
      </c>
      <c r="N14" s="109">
        <f>IF(T14="",(IFERROR(AVERAGE('1. Rates'!AA17:AE17),0)),T14)</f>
        <v>2.3389981187499997</v>
      </c>
      <c r="O14" s="107">
        <f t="shared" si="3"/>
        <v>65231.192340515117</v>
      </c>
      <c r="P14" s="107">
        <f t="shared" si="4"/>
        <v>5335.4441945005701</v>
      </c>
      <c r="Q14" s="107">
        <f t="shared" si="5"/>
        <v>59895.74814601455</v>
      </c>
      <c r="S14" s="117"/>
      <c r="T14" s="118">
        <v>2.3389981187499997</v>
      </c>
      <c r="U14" s="116">
        <v>65231.192340515117</v>
      </c>
      <c r="V14" s="116">
        <v>5335.4441945005701</v>
      </c>
      <c r="W14" s="116"/>
    </row>
    <row r="15" spans="2:24" x14ac:dyDescent="0.3">
      <c r="B15" s="105">
        <v>6</v>
      </c>
      <c r="C15" s="115"/>
      <c r="D15" s="106">
        <f>IFERROR(AVERAGE('1. Rates'!C18:G18),0)</f>
        <v>3.4299398866666664</v>
      </c>
      <c r="E15" s="116">
        <v>62915.979393147558</v>
      </c>
      <c r="F15" s="116">
        <v>5658.991</v>
      </c>
      <c r="G15" s="107">
        <f t="shared" si="0"/>
        <v>57256.988393147556</v>
      </c>
      <c r="H15" s="115"/>
      <c r="I15" s="106">
        <f>IFERROR(AVERAGE('1. Rates'!O18:S18),0)</f>
        <v>3.3009967216666665</v>
      </c>
      <c r="J15" s="116">
        <v>61045.226178681056</v>
      </c>
      <c r="K15" s="116">
        <v>4993.7709999999988</v>
      </c>
      <c r="L15" s="107">
        <f t="shared" si="1"/>
        <v>56051.455178681055</v>
      </c>
      <c r="M15" s="108" t="e">
        <f t="shared" si="2"/>
        <v>#DIV/0!</v>
      </c>
      <c r="N15" s="109">
        <f>IF(T15="",(IFERROR(AVERAGE('1. Rates'!AA18:AE18),0)),T15)</f>
        <v>3.2938351731250002</v>
      </c>
      <c r="O15" s="107">
        <f t="shared" si="3"/>
        <v>67420.572230818405</v>
      </c>
      <c r="P15" s="107">
        <f t="shared" si="4"/>
        <v>5433.4412580999997</v>
      </c>
      <c r="Q15" s="107">
        <f t="shared" si="5"/>
        <v>61987.130972718405</v>
      </c>
      <c r="S15" s="117"/>
      <c r="T15" s="118">
        <v>3.2938351731250002</v>
      </c>
      <c r="U15" s="116">
        <v>67420.572230818405</v>
      </c>
      <c r="V15" s="116">
        <v>5433.4412580999997</v>
      </c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3.4639938116666671</v>
      </c>
      <c r="E16" s="116">
        <v>64538.426765581389</v>
      </c>
      <c r="F16" s="116">
        <v>5963.8760000000002</v>
      </c>
      <c r="G16" s="107">
        <f t="shared" si="0"/>
        <v>58574.550765581385</v>
      </c>
      <c r="H16" s="115"/>
      <c r="I16" s="106">
        <f>IFERROR(AVERAGE('1. Rates'!O19:S19),0)</f>
        <v>2.9945202483333331</v>
      </c>
      <c r="J16" s="116">
        <v>64080.975987152357</v>
      </c>
      <c r="K16" s="116">
        <v>5873.5339999999969</v>
      </c>
      <c r="L16" s="107">
        <f t="shared" si="1"/>
        <v>58207.441987152357</v>
      </c>
      <c r="M16" s="108" t="e">
        <f t="shared" si="2"/>
        <v>#DIV/0!</v>
      </c>
      <c r="N16" s="109">
        <f>IF(T16="",(IFERROR(AVERAGE('1. Rates'!AA19:AE19),0)),T16)</f>
        <v>3.0964303925000003</v>
      </c>
      <c r="O16" s="107">
        <f t="shared" si="3"/>
        <v>70140.082345826464</v>
      </c>
      <c r="P16" s="107">
        <f t="shared" si="4"/>
        <v>6037.6709704999985</v>
      </c>
      <c r="Q16" s="107">
        <f t="shared" si="5"/>
        <v>64102.411375326468</v>
      </c>
      <c r="R16" s="110"/>
      <c r="S16" s="117"/>
      <c r="T16" s="118">
        <v>3.0964303925000003</v>
      </c>
      <c r="U16" s="116">
        <v>70140.082345826464</v>
      </c>
      <c r="V16" s="116">
        <v>6037.6709704999985</v>
      </c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3.2666314116666668</v>
      </c>
      <c r="E17" s="116">
        <v>70324.435387971331</v>
      </c>
      <c r="F17" s="116">
        <v>7586.7729999999992</v>
      </c>
      <c r="G17" s="107">
        <f t="shared" si="0"/>
        <v>62737.66238797133</v>
      </c>
      <c r="H17" s="115"/>
      <c r="I17" s="106">
        <f>IFERROR(AVERAGE('1. Rates'!O20:S20),0)</f>
        <v>3.4116822650000005</v>
      </c>
      <c r="J17" s="116">
        <v>70977.081759278473</v>
      </c>
      <c r="K17" s="116">
        <v>6376.7349999999988</v>
      </c>
      <c r="L17" s="107">
        <f t="shared" si="1"/>
        <v>64600.346759278473</v>
      </c>
      <c r="M17" s="108" t="e">
        <f t="shared" si="2"/>
        <v>#DIV/0!</v>
      </c>
      <c r="N17" s="109">
        <f>IF(T17="",(IFERROR(AVERAGE('1. Rates'!AA20:AE20),0)),T17)</f>
        <v>2.8869952216666666</v>
      </c>
      <c r="O17" s="107">
        <f t="shared" si="3"/>
        <v>77567.042234120367</v>
      </c>
      <c r="P17" s="107">
        <f t="shared" si="4"/>
        <v>7337.8936213258748</v>
      </c>
      <c r="Q17" s="107">
        <f t="shared" si="5"/>
        <v>70229.148612794495</v>
      </c>
      <c r="R17" s="110"/>
      <c r="S17" s="117"/>
      <c r="T17" s="118">
        <v>2.8869952216666666</v>
      </c>
      <c r="U17" s="116">
        <v>77567.042234120367</v>
      </c>
      <c r="V17" s="116">
        <v>7337.8936213258748</v>
      </c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2.4094241533333332</v>
      </c>
      <c r="E18" s="116">
        <v>86611.52886423016</v>
      </c>
      <c r="F18" s="116">
        <v>9549.6910000000007</v>
      </c>
      <c r="G18" s="107">
        <f t="shared" si="0"/>
        <v>77061.837864230154</v>
      </c>
      <c r="H18" s="115"/>
      <c r="I18" s="106">
        <f>IFERROR(AVERAGE('1. Rates'!O21:S21),0)</f>
        <v>3.1456058683333334</v>
      </c>
      <c r="J18" s="116">
        <v>85385.115947356564</v>
      </c>
      <c r="K18" s="116">
        <v>8318.1989999999987</v>
      </c>
      <c r="L18" s="107">
        <f t="shared" si="1"/>
        <v>77066.916947356571</v>
      </c>
      <c r="M18" s="108" t="e">
        <f t="shared" si="2"/>
        <v>#DIV/0!</v>
      </c>
      <c r="N18" s="109">
        <f>IF(T18="",(IFERROR(AVERAGE('1. Rates'!AA21:AE21),0)),T18)</f>
        <v>3.3366598077083336</v>
      </c>
      <c r="O18" s="107">
        <f t="shared" si="3"/>
        <v>90758.967916004651</v>
      </c>
      <c r="P18" s="107">
        <f t="shared" si="4"/>
        <v>9389.6659820406439</v>
      </c>
      <c r="Q18" s="107">
        <f t="shared" si="5"/>
        <v>81369.301933964001</v>
      </c>
      <c r="R18" s="110"/>
      <c r="S18" s="117"/>
      <c r="T18" s="118">
        <v>3.3366598077083336</v>
      </c>
      <c r="U18" s="116">
        <v>90758.967916004651</v>
      </c>
      <c r="V18" s="116">
        <v>9389.6659820406439</v>
      </c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3.1775479600000005</v>
      </c>
      <c r="E19" s="116">
        <v>101011.09886389517</v>
      </c>
      <c r="F19" s="116">
        <v>15705.504000000001</v>
      </c>
      <c r="G19" s="107">
        <f t="shared" si="0"/>
        <v>85305.594863895167</v>
      </c>
      <c r="H19" s="115"/>
      <c r="I19" s="106">
        <f>IFERROR(AVERAGE('1. Rates'!O22:S22),0)</f>
        <v>3.2894044249999999</v>
      </c>
      <c r="J19" s="116">
        <v>99051.695606254536</v>
      </c>
      <c r="K19" s="116">
        <v>14032.888999999988</v>
      </c>
      <c r="L19" s="107">
        <f t="shared" si="1"/>
        <v>85018.80660625454</v>
      </c>
      <c r="M19" s="108" t="e">
        <f t="shared" si="2"/>
        <v>#DIV/0!</v>
      </c>
      <c r="N19" s="109">
        <f>IF(T19="",(IFERROR(AVERAGE('1. Rates'!AA22:AE22),0)),T19)</f>
        <v>3.5413133166666664</v>
      </c>
      <c r="O19" s="107">
        <f t="shared" si="3"/>
        <v>104068.34707664626</v>
      </c>
      <c r="P19" s="107">
        <f t="shared" si="4"/>
        <v>15319.748023146494</v>
      </c>
      <c r="Q19" s="107">
        <f t="shared" si="5"/>
        <v>88748.599053499755</v>
      </c>
      <c r="R19" s="110"/>
      <c r="S19" s="117"/>
      <c r="T19" s="118">
        <v>3.5413133166666664</v>
      </c>
      <c r="U19" s="116">
        <v>104068.34707664626</v>
      </c>
      <c r="V19" s="116">
        <v>15319.748023146494</v>
      </c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3.6352114116666669</v>
      </c>
      <c r="E20" s="116">
        <v>108075.14570437894</v>
      </c>
      <c r="F20" s="116">
        <v>16046.035</v>
      </c>
      <c r="G20" s="107">
        <f t="shared" si="0"/>
        <v>92029.110704378938</v>
      </c>
      <c r="H20" s="115"/>
      <c r="I20" s="106">
        <f>IFERROR(AVERAGE('1. Rates'!O23:S23),0)</f>
        <v>3.4719981400000002</v>
      </c>
      <c r="J20" s="116">
        <v>100691.26210526051</v>
      </c>
      <c r="K20" s="116">
        <v>15062.475999999999</v>
      </c>
      <c r="L20" s="107">
        <f t="shared" si="1"/>
        <v>85628.786105260515</v>
      </c>
      <c r="M20" s="108" t="e">
        <f t="shared" si="2"/>
        <v>#DIV/0!</v>
      </c>
      <c r="N20" s="109">
        <f>IF(T20="",(IFERROR(AVERAGE('1. Rates'!AA23:AE23),0)),T20)</f>
        <v>3.3954759227083331</v>
      </c>
      <c r="O20" s="107">
        <f t="shared" si="3"/>
        <v>107396.21185873465</v>
      </c>
      <c r="P20" s="107">
        <f t="shared" si="4"/>
        <v>15709.798054999999</v>
      </c>
      <c r="Q20" s="107">
        <f t="shared" si="5"/>
        <v>91686.413803734642</v>
      </c>
      <c r="R20" s="110"/>
      <c r="S20" s="117"/>
      <c r="T20" s="118">
        <v>3.3954759227083331</v>
      </c>
      <c r="U20" s="116">
        <v>107396.21185873465</v>
      </c>
      <c r="V20" s="116">
        <v>15709.798054999999</v>
      </c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3.3874664266666672</v>
      </c>
      <c r="E21" s="116">
        <v>110320.41462141002</v>
      </c>
      <c r="F21" s="116">
        <v>15725.275</v>
      </c>
      <c r="G21" s="107">
        <f t="shared" si="0"/>
        <v>94595.139621410024</v>
      </c>
      <c r="H21" s="115"/>
      <c r="I21" s="106">
        <f>IFERROR(AVERAGE('1. Rates'!O24:S24),0)</f>
        <v>2.6952361883333338</v>
      </c>
      <c r="J21" s="116">
        <v>102762.78155795333</v>
      </c>
      <c r="K21" s="116">
        <v>14245.599999999999</v>
      </c>
      <c r="L21" s="107">
        <f t="shared" si="1"/>
        <v>88517.181557953329</v>
      </c>
      <c r="M21" s="108" t="e">
        <f t="shared" si="2"/>
        <v>#DIV/0!</v>
      </c>
      <c r="N21" s="109">
        <f>IF(T21="",(IFERROR(AVERAGE('1. Rates'!AA24:AE24),0)),T21)</f>
        <v>2.8546425104166668</v>
      </c>
      <c r="O21" s="107">
        <f t="shared" si="3"/>
        <v>108246.49295518784</v>
      </c>
      <c r="P21" s="107">
        <f t="shared" si="4"/>
        <v>15593.906354104376</v>
      </c>
      <c r="Q21" s="107">
        <f t="shared" si="5"/>
        <v>92652.586601083472</v>
      </c>
      <c r="R21" s="110"/>
      <c r="S21" s="117"/>
      <c r="T21" s="118">
        <v>2.8546425104166668</v>
      </c>
      <c r="U21" s="116">
        <v>108246.49295518784</v>
      </c>
      <c r="V21" s="116">
        <v>15593.906354104376</v>
      </c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3.1248651633333333</v>
      </c>
      <c r="E22" s="116">
        <v>109562.67924276885</v>
      </c>
      <c r="F22" s="116">
        <v>15805.329999999998</v>
      </c>
      <c r="G22" s="107">
        <f t="shared" si="0"/>
        <v>93757.349242768847</v>
      </c>
      <c r="H22" s="115"/>
      <c r="I22" s="106">
        <f>IFERROR(AVERAGE('1. Rates'!O25:S25),0)</f>
        <v>2.9897764600000003</v>
      </c>
      <c r="J22" s="116">
        <v>103292.88721755455</v>
      </c>
      <c r="K22" s="116">
        <v>13113.159</v>
      </c>
      <c r="L22" s="107">
        <f t="shared" si="1"/>
        <v>90179.728217554555</v>
      </c>
      <c r="M22" s="108" t="e">
        <f t="shared" si="2"/>
        <v>#DIV/0!</v>
      </c>
      <c r="N22" s="109">
        <f>IF(T22="",(IFERROR(AVERAGE('1. Rates'!AA25:AE25),0)),T22)</f>
        <v>3.133152086875</v>
      </c>
      <c r="O22" s="107">
        <f t="shared" si="3"/>
        <v>107400.16659224691</v>
      </c>
      <c r="P22" s="107">
        <f t="shared" si="4"/>
        <v>15502.267193208847</v>
      </c>
      <c r="Q22" s="107">
        <f t="shared" si="5"/>
        <v>91897.89939903807</v>
      </c>
      <c r="R22" s="110"/>
      <c r="S22" s="117"/>
      <c r="T22" s="118">
        <v>3.133152086875</v>
      </c>
      <c r="U22" s="116">
        <v>107400.16659224691</v>
      </c>
      <c r="V22" s="116">
        <v>15502.267193208847</v>
      </c>
      <c r="W22" s="116"/>
    </row>
    <row r="23" spans="2:24" x14ac:dyDescent="0.3">
      <c r="B23" s="105">
        <v>14</v>
      </c>
      <c r="C23" s="115"/>
      <c r="D23" s="106">
        <f>IFERROR(AVERAGE('1. Rates'!C26:G26),0)</f>
        <v>3.7210044799999999</v>
      </c>
      <c r="E23" s="116">
        <v>115225.79782648446</v>
      </c>
      <c r="F23" s="116">
        <v>15751.339</v>
      </c>
      <c r="G23" s="107">
        <f t="shared" si="0"/>
        <v>99474.45882648445</v>
      </c>
      <c r="H23" s="115"/>
      <c r="I23" s="106">
        <f>IFERROR(AVERAGE('1. Rates'!O26:S26),0)</f>
        <v>3.2626439116666668</v>
      </c>
      <c r="J23" s="116">
        <v>108622.06102873021</v>
      </c>
      <c r="K23" s="116">
        <v>14584.86399999999</v>
      </c>
      <c r="L23" s="107">
        <f t="shared" si="1"/>
        <v>94037.197028730225</v>
      </c>
      <c r="M23" s="108" t="e">
        <f t="shared" si="2"/>
        <v>#DIV/0!</v>
      </c>
      <c r="N23" s="109">
        <f>IF(T23="",(IFERROR(AVERAGE('1. Rates'!AA26:AE26),0)),T23)</f>
        <v>4.2559070089962123</v>
      </c>
      <c r="O23" s="107">
        <f t="shared" si="3"/>
        <v>112290.56284430568</v>
      </c>
      <c r="P23" s="107">
        <f t="shared" si="4"/>
        <v>15472.980340149996</v>
      </c>
      <c r="Q23" s="107">
        <f t="shared" si="5"/>
        <v>96817.582504155682</v>
      </c>
      <c r="R23" s="110"/>
      <c r="S23" s="117"/>
      <c r="T23" s="118">
        <v>4.2559070089962123</v>
      </c>
      <c r="U23" s="116">
        <v>112290.56284430568</v>
      </c>
      <c r="V23" s="116">
        <v>15472.980340149996</v>
      </c>
      <c r="W23" s="116"/>
    </row>
    <row r="24" spans="2:24" x14ac:dyDescent="0.3">
      <c r="B24" s="105">
        <v>15</v>
      </c>
      <c r="C24" s="115"/>
      <c r="D24" s="106">
        <f>IFERROR(AVERAGE('1. Rates'!C27:G27),0)</f>
        <v>3.3980129383333328</v>
      </c>
      <c r="E24" s="116">
        <v>117736.23500151161</v>
      </c>
      <c r="F24" s="116">
        <v>15691.645</v>
      </c>
      <c r="G24" s="107">
        <f t="shared" si="0"/>
        <v>102044.59000151161</v>
      </c>
      <c r="H24" s="115"/>
      <c r="I24" s="106">
        <f>IFERROR(AVERAGE('1. Rates'!O27:S27),0)</f>
        <v>3.3402676383333336</v>
      </c>
      <c r="J24" s="116">
        <v>106642.65214711455</v>
      </c>
      <c r="K24" s="116">
        <v>14999.80799999999</v>
      </c>
      <c r="L24" s="107">
        <f t="shared" si="1"/>
        <v>91642.844147114563</v>
      </c>
      <c r="M24" s="108" t="e">
        <f t="shared" si="2"/>
        <v>#DIV/0!</v>
      </c>
      <c r="N24" s="109">
        <f>IF(T24="",(IFERROR(AVERAGE('1. Rates'!AA27:AE27),0)),T24)</f>
        <v>4.2613910904166667</v>
      </c>
      <c r="O24" s="107">
        <f t="shared" si="3"/>
        <v>114622.03735371145</v>
      </c>
      <c r="P24" s="107">
        <f t="shared" si="4"/>
        <v>15345.726499999995</v>
      </c>
      <c r="Q24" s="107">
        <f t="shared" si="5"/>
        <v>99276.31085371146</v>
      </c>
      <c r="R24" s="110"/>
      <c r="S24" s="117"/>
      <c r="T24" s="118">
        <v>4.2613910904166667</v>
      </c>
      <c r="U24" s="116">
        <v>114622.03735371145</v>
      </c>
      <c r="V24" s="116">
        <v>15345.726499999995</v>
      </c>
      <c r="W24" s="116"/>
    </row>
    <row r="25" spans="2:24" x14ac:dyDescent="0.3">
      <c r="B25" s="105">
        <v>16</v>
      </c>
      <c r="C25" s="115"/>
      <c r="D25" s="106">
        <f>IFERROR(AVERAGE('1. Rates'!C28:G28),0)</f>
        <v>4.6184671449999994</v>
      </c>
      <c r="E25" s="116">
        <v>118508.36067166328</v>
      </c>
      <c r="F25" s="116">
        <v>15503.385</v>
      </c>
      <c r="G25" s="107">
        <f t="shared" si="0"/>
        <v>103004.97567166328</v>
      </c>
      <c r="H25" s="115"/>
      <c r="I25" s="106">
        <f>IFERROR(AVERAGE('1. Rates'!O28:S28),0)</f>
        <v>3.4962769300000005</v>
      </c>
      <c r="J25" s="116">
        <v>109089.68095933087</v>
      </c>
      <c r="K25" s="116">
        <v>15787.17599999999</v>
      </c>
      <c r="L25" s="107">
        <f t="shared" si="1"/>
        <v>93302.50495933088</v>
      </c>
      <c r="M25" s="108" t="e">
        <f t="shared" si="2"/>
        <v>#DIV/0!</v>
      </c>
      <c r="N25" s="109">
        <f>IF(T25="",(IFERROR(AVERAGE('1. Rates'!AA28:AE28),0)),T25)</f>
        <v>5.0638802470833335</v>
      </c>
      <c r="O25" s="107">
        <f t="shared" si="3"/>
        <v>114125.50311660639</v>
      </c>
      <c r="P25" s="107">
        <f t="shared" si="4"/>
        <v>15645.280499999995</v>
      </c>
      <c r="Q25" s="107">
        <f t="shared" si="5"/>
        <v>98480.222616606392</v>
      </c>
      <c r="R25" s="110"/>
      <c r="S25" s="117"/>
      <c r="T25" s="118">
        <v>5.0638802470833335</v>
      </c>
      <c r="U25" s="116">
        <v>114125.50311660639</v>
      </c>
      <c r="V25" s="116">
        <v>15645.280499999995</v>
      </c>
      <c r="W25" s="116"/>
    </row>
    <row r="26" spans="2:24" x14ac:dyDescent="0.3">
      <c r="B26" s="105">
        <v>17</v>
      </c>
      <c r="C26" s="115"/>
      <c r="D26" s="106">
        <f>IFERROR(AVERAGE('1. Rates'!C29:G29),0)</f>
        <v>3.788147673333333</v>
      </c>
      <c r="E26" s="116">
        <v>113646.52818773982</v>
      </c>
      <c r="F26" s="116">
        <v>15928.435999999998</v>
      </c>
      <c r="G26" s="107">
        <f t="shared" si="0"/>
        <v>97718.092187739821</v>
      </c>
      <c r="H26" s="115"/>
      <c r="I26" s="106">
        <f>IFERROR(AVERAGE('1. Rates'!O29:S29),0)</f>
        <v>3.4376853733333332</v>
      </c>
      <c r="J26" s="116">
        <v>107119.765550852</v>
      </c>
      <c r="K26" s="116">
        <v>15863.715999999997</v>
      </c>
      <c r="L26" s="107">
        <f t="shared" si="1"/>
        <v>91256.049550851996</v>
      </c>
      <c r="M26" s="108" t="e">
        <f t="shared" si="2"/>
        <v>#DIV/0!</v>
      </c>
      <c r="N26" s="109">
        <f>IF(T26="",(IFERROR(AVERAGE('1. Rates'!AA29:AE29),0)),T26)</f>
        <v>4.3638817614583338</v>
      </c>
      <c r="O26" s="107">
        <f t="shared" si="3"/>
        <v>110848.99956943515</v>
      </c>
      <c r="P26" s="107">
        <f t="shared" si="4"/>
        <v>15896.075999999997</v>
      </c>
      <c r="Q26" s="107">
        <f t="shared" si="5"/>
        <v>94952.923569435152</v>
      </c>
      <c r="R26" s="110"/>
      <c r="S26" s="117"/>
      <c r="T26" s="118">
        <v>4.3638817614583338</v>
      </c>
      <c r="U26" s="116">
        <v>110848.99956943515</v>
      </c>
      <c r="V26" s="116">
        <v>15896.075999999997</v>
      </c>
      <c r="W26" s="116"/>
    </row>
    <row r="27" spans="2:24" x14ac:dyDescent="0.3">
      <c r="B27" s="105">
        <v>18</v>
      </c>
      <c r="C27" s="115"/>
      <c r="D27" s="106">
        <f>IFERROR(AVERAGE('1. Rates'!C30:G30),0)</f>
        <v>7.346224133333334</v>
      </c>
      <c r="E27" s="116">
        <v>105948.36815329836</v>
      </c>
      <c r="F27" s="116">
        <v>15769.228999999999</v>
      </c>
      <c r="G27" s="107">
        <f t="shared" si="0"/>
        <v>90179.139153298369</v>
      </c>
      <c r="H27" s="115"/>
      <c r="I27" s="106">
        <f>IFERROR(AVERAGE('1. Rates'!O30:S30),0)</f>
        <v>3.6420023216666673</v>
      </c>
      <c r="J27" s="116">
        <v>101815.70681201079</v>
      </c>
      <c r="K27" s="116">
        <v>15819.495999999981</v>
      </c>
      <c r="L27" s="107">
        <f t="shared" si="1"/>
        <v>85996.210812010802</v>
      </c>
      <c r="M27" s="108" t="e">
        <f t="shared" si="2"/>
        <v>#DIV/0!</v>
      </c>
      <c r="N27" s="109">
        <f>IF(T27="",(IFERROR(AVERAGE('1. Rates'!AA30:AE30),0)),T27)</f>
        <v>6.3120880302083338</v>
      </c>
      <c r="O27" s="107">
        <f t="shared" si="3"/>
        <v>105352.7467685494</v>
      </c>
      <c r="P27" s="107">
        <f t="shared" si="4"/>
        <v>15794.36249999999</v>
      </c>
      <c r="Q27" s="107">
        <f t="shared" si="5"/>
        <v>89558.384268549416</v>
      </c>
      <c r="S27" s="117"/>
      <c r="T27" s="118">
        <v>6.3120880302083338</v>
      </c>
      <c r="U27" s="116">
        <v>105352.7467685494</v>
      </c>
      <c r="V27" s="116">
        <v>15794.36249999999</v>
      </c>
      <c r="W27" s="116"/>
    </row>
    <row r="28" spans="2:24" x14ac:dyDescent="0.3">
      <c r="B28" s="105">
        <v>19</v>
      </c>
      <c r="C28" s="115"/>
      <c r="D28" s="106">
        <f>IFERROR(AVERAGE('1. Rates'!C31:G31),0)</f>
        <v>5.586923399999999</v>
      </c>
      <c r="E28" s="116">
        <v>105233.95112766483</v>
      </c>
      <c r="F28" s="116">
        <v>15042.944</v>
      </c>
      <c r="G28" s="107">
        <f t="shared" si="0"/>
        <v>90191.007127664823</v>
      </c>
      <c r="H28" s="115"/>
      <c r="I28" s="106">
        <f>IFERROR(AVERAGE('1. Rates'!O31:S31),0)</f>
        <v>4.3135480816666671</v>
      </c>
      <c r="J28" s="116">
        <v>102249.92025833405</v>
      </c>
      <c r="K28" s="116">
        <v>15442.495999999988</v>
      </c>
      <c r="L28" s="107">
        <f t="shared" si="1"/>
        <v>86807.424258334067</v>
      </c>
      <c r="M28" s="108" t="e">
        <f t="shared" si="2"/>
        <v>#DIV/0!</v>
      </c>
      <c r="N28" s="109">
        <f>IF(T28="",(IFERROR(AVERAGE('1. Rates'!AA31:AE31),0)),T28)</f>
        <v>5.9216326343749994</v>
      </c>
      <c r="O28" s="107">
        <f t="shared" si="3"/>
        <v>105282.69064801182</v>
      </c>
      <c r="P28" s="107">
        <f t="shared" si="4"/>
        <v>15242.719999999994</v>
      </c>
      <c r="Q28" s="107">
        <f t="shared" si="5"/>
        <v>90039.970648011833</v>
      </c>
      <c r="S28" s="117"/>
      <c r="T28" s="118">
        <v>5.9216326343749994</v>
      </c>
      <c r="U28" s="116">
        <v>105282.69064801182</v>
      </c>
      <c r="V28" s="116">
        <v>15242.719999999994</v>
      </c>
      <c r="W28" s="116"/>
    </row>
    <row r="29" spans="2:24" x14ac:dyDescent="0.3">
      <c r="B29" s="105">
        <v>20</v>
      </c>
      <c r="C29" s="115"/>
      <c r="D29" s="106">
        <f>IFERROR(AVERAGE('1. Rates'!C32:G32),0)</f>
        <v>3.8340555983333338</v>
      </c>
      <c r="E29" s="116">
        <v>99543.432322559849</v>
      </c>
      <c r="F29" s="116">
        <v>13418.830999999998</v>
      </c>
      <c r="G29" s="107">
        <f t="shared" si="0"/>
        <v>86124.601322559844</v>
      </c>
      <c r="H29" s="115"/>
      <c r="I29" s="106">
        <f>IFERROR(AVERAGE('1. Rates'!O32:S32),0)</f>
        <v>3.3957915750000005</v>
      </c>
      <c r="J29" s="116">
        <v>95151.612135243748</v>
      </c>
      <c r="K29" s="116">
        <v>13597.650999999998</v>
      </c>
      <c r="L29" s="107">
        <f t="shared" si="1"/>
        <v>81553.96113524375</v>
      </c>
      <c r="M29" s="108" t="e">
        <f t="shared" si="2"/>
        <v>#DIV/0!</v>
      </c>
      <c r="N29" s="109">
        <f>IF(T29="",(IFERROR(AVERAGE('1. Rates'!AA32:AE32),0)),T29)</f>
        <v>3.8081905314583331</v>
      </c>
      <c r="O29" s="107">
        <f t="shared" si="3"/>
        <v>98582.915257160712</v>
      </c>
      <c r="P29" s="107">
        <f t="shared" si="4"/>
        <v>13508.240999999998</v>
      </c>
      <c r="Q29" s="107">
        <f t="shared" si="5"/>
        <v>85074.674257160717</v>
      </c>
      <c r="S29" s="117"/>
      <c r="T29" s="118">
        <v>3.8081905314583331</v>
      </c>
      <c r="U29" s="116">
        <v>98582.915257160712</v>
      </c>
      <c r="V29" s="116">
        <v>13508.240999999998</v>
      </c>
      <c r="W29" s="116"/>
    </row>
    <row r="30" spans="2:24" x14ac:dyDescent="0.3">
      <c r="B30" s="105">
        <v>21</v>
      </c>
      <c r="C30" s="115"/>
      <c r="D30" s="106">
        <f>IFERROR(AVERAGE('1. Rates'!C33:G33),0)</f>
        <v>3.5762280499999997</v>
      </c>
      <c r="E30" s="116">
        <v>94559.117319421886</v>
      </c>
      <c r="F30" s="116">
        <v>11708.072</v>
      </c>
      <c r="G30" s="107">
        <f t="shared" si="0"/>
        <v>82851.045319421886</v>
      </c>
      <c r="H30" s="115"/>
      <c r="I30" s="106">
        <f>IFERROR(AVERAGE('1. Rates'!O33:S33),0)</f>
        <v>3.47789546</v>
      </c>
      <c r="J30" s="116">
        <v>90975.879069413539</v>
      </c>
      <c r="K30" s="116">
        <v>11791.115999999998</v>
      </c>
      <c r="L30" s="107">
        <f t="shared" si="1"/>
        <v>79184.763069413544</v>
      </c>
      <c r="M30" s="108" t="e">
        <f t="shared" si="2"/>
        <v>#DIV/0!</v>
      </c>
      <c r="N30" s="109">
        <f>IF(T30="",(IFERROR(AVERAGE('1. Rates'!AA33:AE33),0)),T30)</f>
        <v>3.7603792656249997</v>
      </c>
      <c r="O30" s="107">
        <f t="shared" si="3"/>
        <v>93964.703534064989</v>
      </c>
      <c r="P30" s="107">
        <f t="shared" si="4"/>
        <v>11749.593999999999</v>
      </c>
      <c r="Q30" s="107">
        <f t="shared" si="5"/>
        <v>82215.109534064992</v>
      </c>
      <c r="S30" s="117"/>
      <c r="T30" s="118">
        <v>3.7603792656249997</v>
      </c>
      <c r="U30" s="116">
        <v>93964.703534064989</v>
      </c>
      <c r="V30" s="116">
        <v>11749.593999999999</v>
      </c>
      <c r="W30" s="116"/>
    </row>
    <row r="31" spans="2:24" x14ac:dyDescent="0.3">
      <c r="B31" s="105">
        <v>22</v>
      </c>
      <c r="C31" s="115"/>
      <c r="D31" s="106">
        <f>IFERROR(AVERAGE('1. Rates'!C34:G34),0)</f>
        <v>3.6873889216666669</v>
      </c>
      <c r="E31" s="116">
        <v>89278.527561692608</v>
      </c>
      <c r="F31" s="116">
        <v>8995.1329999999998</v>
      </c>
      <c r="G31" s="107">
        <f t="shared" si="0"/>
        <v>80283.394561692607</v>
      </c>
      <c r="H31" s="115"/>
      <c r="I31" s="106">
        <f>IFERROR(AVERAGE('1. Rates'!O34:S34),0)</f>
        <v>3.1808366233333332</v>
      </c>
      <c r="J31" s="116">
        <v>86569.643050443163</v>
      </c>
      <c r="K31" s="116">
        <v>8862.8029999999981</v>
      </c>
      <c r="L31" s="107">
        <f t="shared" si="1"/>
        <v>77706.840050443163</v>
      </c>
      <c r="M31" s="108" t="e">
        <f t="shared" si="2"/>
        <v>#DIV/0!</v>
      </c>
      <c r="N31" s="109">
        <f>IF(T31="",(IFERROR(AVERAGE('1. Rates'!AA34:AE34),0)),T31)</f>
        <v>3.6133683104166665</v>
      </c>
      <c r="O31" s="107">
        <f t="shared" si="3"/>
        <v>87997.245537669689</v>
      </c>
      <c r="P31" s="107">
        <f t="shared" si="4"/>
        <v>8928.9679999999989</v>
      </c>
      <c r="Q31" s="107">
        <f t="shared" si="5"/>
        <v>79068.277537669695</v>
      </c>
      <c r="S31" s="117"/>
      <c r="T31" s="118">
        <v>3.6133683104166665</v>
      </c>
      <c r="U31" s="116">
        <v>87997.245537669689</v>
      </c>
      <c r="V31" s="116">
        <v>8928.9679999999989</v>
      </c>
      <c r="W31" s="116"/>
    </row>
    <row r="32" spans="2:24" x14ac:dyDescent="0.3">
      <c r="B32" s="105">
        <v>23</v>
      </c>
      <c r="C32" s="115"/>
      <c r="D32" s="106">
        <f>IFERROR(AVERAGE('1. Rates'!C35:G35),0)</f>
        <v>5.2766617</v>
      </c>
      <c r="E32" s="116">
        <v>82718.31840259138</v>
      </c>
      <c r="F32" s="116">
        <v>6164.8740000000007</v>
      </c>
      <c r="G32" s="107">
        <f t="shared" si="0"/>
        <v>76553.444402591384</v>
      </c>
      <c r="H32" s="115"/>
      <c r="I32" s="106">
        <f>IFERROR(AVERAGE('1. Rates'!O35:S35),0)</f>
        <v>3.1848890049999996</v>
      </c>
      <c r="J32" s="116">
        <v>81143.183663883392</v>
      </c>
      <c r="K32" s="116">
        <v>6090.003999999999</v>
      </c>
      <c r="L32" s="107">
        <f t="shared" si="1"/>
        <v>75053.179663883391</v>
      </c>
      <c r="M32" s="108" t="e">
        <f t="shared" si="2"/>
        <v>#DIV/0!</v>
      </c>
      <c r="N32" s="109">
        <f>IF(T32="",(IFERROR(AVERAGE('1. Rates'!AA35:AE35),0)),T32)</f>
        <v>3.6664453087499997</v>
      </c>
      <c r="O32" s="107">
        <f t="shared" si="3"/>
        <v>82103.664932923362</v>
      </c>
      <c r="P32" s="107">
        <f t="shared" si="4"/>
        <v>6127.4390000000003</v>
      </c>
      <c r="Q32" s="107">
        <f t="shared" si="5"/>
        <v>75976.225932923364</v>
      </c>
      <c r="S32" s="117"/>
      <c r="T32" s="118">
        <v>3.6664453087499997</v>
      </c>
      <c r="U32" s="116">
        <v>82103.664932923362</v>
      </c>
      <c r="V32" s="116">
        <v>6127.4390000000003</v>
      </c>
      <c r="W32" s="116"/>
    </row>
    <row r="33" spans="2:24" x14ac:dyDescent="0.3">
      <c r="B33" s="105">
        <v>24</v>
      </c>
      <c r="C33" s="115"/>
      <c r="D33" s="106">
        <f>IFERROR(AVERAGE('1. Rates'!C36:G36),0)</f>
        <v>3.4668278433333333</v>
      </c>
      <c r="E33" s="116">
        <v>77703.689727078294</v>
      </c>
      <c r="F33" s="116">
        <v>5704.7910000000002</v>
      </c>
      <c r="G33" s="107">
        <f t="shared" si="0"/>
        <v>71998.898727078296</v>
      </c>
      <c r="H33" s="115"/>
      <c r="I33" s="106">
        <f>IFERROR(AVERAGE('1. Rates'!O36:S36),0)</f>
        <v>2.189731173333334</v>
      </c>
      <c r="J33" s="116">
        <v>76267.013183071991</v>
      </c>
      <c r="K33" s="116">
        <v>5640.8169999999973</v>
      </c>
      <c r="L33" s="107">
        <f t="shared" si="1"/>
        <v>70626.196183071996</v>
      </c>
      <c r="M33" s="108" t="e">
        <f t="shared" si="2"/>
        <v>#DIV/0!</v>
      </c>
      <c r="N33" s="109">
        <f>IF(T33="",(IFERROR(AVERAGE('1. Rates'!AA36:AE36),0)),T33)</f>
        <v>3.2116134400000003</v>
      </c>
      <c r="O33" s="107">
        <f t="shared" si="3"/>
        <v>76658.296009132959</v>
      </c>
      <c r="P33" s="107">
        <f t="shared" si="4"/>
        <v>5672.8039999999983</v>
      </c>
      <c r="Q33" s="107">
        <f t="shared" si="5"/>
        <v>70985.492009132955</v>
      </c>
      <c r="S33" s="117"/>
      <c r="T33" s="118">
        <v>3.2116134400000003</v>
      </c>
      <c r="U33" s="116">
        <v>76658.296009132959</v>
      </c>
      <c r="V33" s="116">
        <v>5672.8039999999983</v>
      </c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2.4094241533333332</v>
      </c>
      <c r="E34" s="114">
        <f t="shared" si="6"/>
        <v>59947.297277409474</v>
      </c>
      <c r="F34" s="114">
        <f t="shared" si="6"/>
        <v>5519.1960000000008</v>
      </c>
      <c r="G34" s="114">
        <f t="shared" ref="G34:K34" si="7">MIN(G10:G33)</f>
        <v>54391.751277409472</v>
      </c>
      <c r="H34" s="112">
        <f t="shared" si="7"/>
        <v>0</v>
      </c>
      <c r="I34" s="113">
        <f t="shared" si="7"/>
        <v>5.6878598333333329E-2</v>
      </c>
      <c r="J34" s="114">
        <f t="shared" si="7"/>
        <v>59467.177001691438</v>
      </c>
      <c r="K34" s="114">
        <f t="shared" si="7"/>
        <v>4634.619999999999</v>
      </c>
      <c r="L34" s="114">
        <f t="shared" ref="L34:Q34" si="8">MIN(L10:L33)</f>
        <v>54731.859001691439</v>
      </c>
      <c r="M34" s="112" t="e">
        <f t="shared" si="8"/>
        <v>#DIV/0!</v>
      </c>
      <c r="N34" s="113">
        <f t="shared" si="8"/>
        <v>1.4291755518749998</v>
      </c>
      <c r="O34" s="114">
        <f t="shared" si="8"/>
        <v>65231.192340515117</v>
      </c>
      <c r="P34" s="114">
        <f t="shared" si="8"/>
        <v>5335.4441945005701</v>
      </c>
      <c r="Q34" s="114">
        <f t="shared" si="8"/>
        <v>59895.74814601455</v>
      </c>
      <c r="S34" s="112">
        <f>MIN(S10:S33)</f>
        <v>0</v>
      </c>
      <c r="T34" s="113">
        <f t="shared" ref="T34:W34" si="9">MIN(T10:T33)</f>
        <v>1.4291755518749998</v>
      </c>
      <c r="U34" s="114">
        <f t="shared" si="9"/>
        <v>65231.192340515117</v>
      </c>
      <c r="V34" s="114">
        <f t="shared" si="9"/>
        <v>5335.4441945005701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3.7365488364583332</v>
      </c>
      <c r="E35" s="114">
        <f t="shared" si="10"/>
        <v>89490.281168019792</v>
      </c>
      <c r="F35" s="114">
        <f t="shared" si="10"/>
        <v>10815.358041666666</v>
      </c>
      <c r="G35" s="114">
        <f t="shared" ref="G35:K35" si="12">AVERAGE(G10:G33)</f>
        <v>78674.923126353126</v>
      </c>
      <c r="H35" s="112" t="e">
        <f t="shared" si="12"/>
        <v>#DIV/0!</v>
      </c>
      <c r="I35" s="113">
        <f t="shared" si="12"/>
        <v>2.8789780578472222</v>
      </c>
      <c r="J35" s="114">
        <f t="shared" si="12"/>
        <v>86101.652360161868</v>
      </c>
      <c r="K35" s="114">
        <f t="shared" si="12"/>
        <v>10175.586749999995</v>
      </c>
      <c r="L35" s="114">
        <f t="shared" ref="L35:Q35" si="13">AVERAGE(L10:L33)</f>
        <v>75926.065610161852</v>
      </c>
      <c r="M35" s="112" t="e">
        <f t="shared" si="13"/>
        <v>#DIV/0!</v>
      </c>
      <c r="N35" s="113">
        <f t="shared" si="13"/>
        <v>3.5050752073192863</v>
      </c>
      <c r="O35" s="114">
        <f t="shared" si="13"/>
        <v>90726.996544503549</v>
      </c>
      <c r="P35" s="114">
        <f t="shared" si="13"/>
        <v>10691.316912880839</v>
      </c>
      <c r="Q35" s="114">
        <f t="shared" si="13"/>
        <v>80035.679631622726</v>
      </c>
      <c r="S35" s="112" t="str">
        <f>IFERROR(AVERAGE(S10:S33),"")</f>
        <v/>
      </c>
      <c r="T35" s="113">
        <f>IFERROR(AVERAGE(T10:T33),"")</f>
        <v>3.5050752073192863</v>
      </c>
      <c r="U35" s="114">
        <f>IFERROR(AVERAGE(U10:U33),"")</f>
        <v>90726.996544503549</v>
      </c>
      <c r="V35" s="114">
        <f t="shared" ref="V35:W35" si="14">IFERROR(AVERAGE(V10:V33),"")</f>
        <v>10691.316912880839</v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7.346224133333334</v>
      </c>
      <c r="E36" s="114">
        <f t="shared" si="15"/>
        <v>118508.36067166328</v>
      </c>
      <c r="F36" s="114">
        <f t="shared" si="15"/>
        <v>16046.035</v>
      </c>
      <c r="G36" s="114">
        <f t="shared" ref="G36:K36" si="17">MAX(G10:G33)</f>
        <v>103004.97567166328</v>
      </c>
      <c r="H36" s="112">
        <f t="shared" si="17"/>
        <v>0</v>
      </c>
      <c r="I36" s="113">
        <f t="shared" si="17"/>
        <v>4.3135480816666671</v>
      </c>
      <c r="J36" s="114">
        <f t="shared" si="17"/>
        <v>109089.68095933087</v>
      </c>
      <c r="K36" s="114">
        <f t="shared" si="17"/>
        <v>15863.715999999997</v>
      </c>
      <c r="L36" s="114">
        <f t="shared" ref="L36:Q36" si="18">MAX(L10:L33)</f>
        <v>94037.197028730225</v>
      </c>
      <c r="M36" s="112" t="e">
        <f t="shared" si="18"/>
        <v>#DIV/0!</v>
      </c>
      <c r="N36" s="113">
        <f t="shared" si="18"/>
        <v>6.3120880302083338</v>
      </c>
      <c r="O36" s="114">
        <f t="shared" si="18"/>
        <v>114622.03735371145</v>
      </c>
      <c r="P36" s="114">
        <f t="shared" si="18"/>
        <v>15896.075999999997</v>
      </c>
      <c r="Q36" s="114">
        <f t="shared" si="18"/>
        <v>99276.31085371146</v>
      </c>
      <c r="S36" s="112">
        <f t="shared" ref="S36:W36" si="19">MAX(S10:S33)</f>
        <v>0</v>
      </c>
      <c r="T36" s="113">
        <f t="shared" si="19"/>
        <v>6.3120880302083338</v>
      </c>
      <c r="U36" s="114">
        <f t="shared" si="19"/>
        <v>114622.03735371145</v>
      </c>
      <c r="V36" s="114">
        <f t="shared" si="19"/>
        <v>15896.075999999997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2147766.7480324749</v>
      </c>
      <c r="F37" s="114">
        <f t="shared" ref="F37" si="20">SUM(F10:F33)</f>
        <v>259568.59299999999</v>
      </c>
      <c r="G37" s="114">
        <f t="shared" ref="G37" si="21">SUM(G10:G33)</f>
        <v>1888198.155032475</v>
      </c>
      <c r="H37" s="112"/>
      <c r="I37" s="112"/>
      <c r="J37" s="114">
        <f t="shared" ref="J37:L37" si="22">SUM(J10:J33)</f>
        <v>2066439.6566438847</v>
      </c>
      <c r="K37" s="114">
        <f t="shared" si="22"/>
        <v>244214.08199999988</v>
      </c>
      <c r="L37" s="114">
        <f t="shared" si="22"/>
        <v>1822225.5746438846</v>
      </c>
      <c r="M37" s="112"/>
      <c r="N37" s="112"/>
      <c r="O37" s="114">
        <f t="shared" ref="O37:P37" si="23">SUM(O10:O33)</f>
        <v>2177447.9170680852</v>
      </c>
      <c r="P37" s="114">
        <f t="shared" si="23"/>
        <v>256591.60590914011</v>
      </c>
      <c r="Q37" s="114">
        <f>SUM(Q10:Q33)</f>
        <v>1920856.3111589453</v>
      </c>
      <c r="S37" s="112"/>
      <c r="T37" s="112"/>
      <c r="U37" s="114">
        <f t="shared" ref="U37:W37" si="24">SUM(U10:U33)</f>
        <v>2177447.9170680852</v>
      </c>
      <c r="V37" s="114">
        <f t="shared" si="24"/>
        <v>256591.60590914011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S7:W7"/>
    <mergeCell ref="S8:W8"/>
    <mergeCell ref="C2:E2"/>
    <mergeCell ref="H8:L8"/>
    <mergeCell ref="M8:Q8"/>
    <mergeCell ref="B7:B9"/>
    <mergeCell ref="C8:G8"/>
    <mergeCell ref="C7:G7"/>
    <mergeCell ref="H7:L7"/>
    <mergeCell ref="M7:Q7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tabSelected="1" zoomScale="84" zoomScaleNormal="84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T23" sqref="T23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5.0422513012136267</v>
      </c>
      <c r="P2" s="4" t="s">
        <v>124</v>
      </c>
      <c r="R2" s="59">
        <f>'4.Projected'!BX29</f>
        <v>5.4640353826121286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71" t="s">
        <v>130</v>
      </c>
      <c r="O4" s="171"/>
      <c r="P4" s="171"/>
      <c r="Q4" s="171"/>
      <c r="R4" s="171"/>
      <c r="S4" s="171"/>
      <c r="T4" s="171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73772.894274280276</v>
      </c>
      <c r="D6" s="53">
        <f>'2. Energy'!P10</f>
        <v>5441.2205515130599</v>
      </c>
      <c r="E6" s="53">
        <f>'2. Energy'!Q10</f>
        <v>68331.673722767213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45831.673722767213</v>
      </c>
      <c r="N6" s="119">
        <v>10000</v>
      </c>
      <c r="O6" s="119">
        <v>2500</v>
      </c>
      <c r="P6" s="119">
        <v>5000</v>
      </c>
      <c r="Q6" s="119">
        <v>5000</v>
      </c>
      <c r="R6" s="119">
        <v>0</v>
      </c>
      <c r="S6" s="119">
        <v>0</v>
      </c>
      <c r="T6" s="119"/>
      <c r="U6" s="53">
        <f>'2. Energy'!N10*(1+'1. Rates'!$J$60)</f>
        <v>2.9909928151102743</v>
      </c>
      <c r="V6" s="53">
        <f>(SUM('4.Projected'!W5:AC5)+SUM('4.Projected'!AF5:AK5))/(SUM('4.Projected'!F5:K5))</f>
        <v>4.2000355959605411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0</v>
      </c>
      <c r="AB6" s="53">
        <f t="shared" si="0"/>
        <v>0</v>
      </c>
      <c r="AC6" s="53">
        <f t="shared" si="0"/>
        <v>0</v>
      </c>
      <c r="AD6" s="53">
        <f>E6-(W6+X6+Y6+Z6+AA6+AB6+AC6)</f>
        <v>45831.673722767213</v>
      </c>
    </row>
    <row r="7" spans="2:30" ht="18" customHeight="1" x14ac:dyDescent="0.3">
      <c r="B7" s="14">
        <v>2</v>
      </c>
      <c r="C7" s="53">
        <f>'2. Energy'!O11</f>
        <v>70399.878604290338</v>
      </c>
      <c r="D7" s="53">
        <f>'2. Energy'!P11</f>
        <v>5399.05527702786</v>
      </c>
      <c r="E7" s="53">
        <f>'2. Energy'!Q11</f>
        <v>65000.823327262478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42500.823327262478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2.3302806412327319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42500.823327262478</v>
      </c>
    </row>
    <row r="8" spans="2:30" ht="18" customHeight="1" x14ac:dyDescent="0.3">
      <c r="B8" s="14">
        <v>3</v>
      </c>
      <c r="C8" s="53">
        <f>'2. Energy'!O12</f>
        <v>67615.569201349979</v>
      </c>
      <c r="D8" s="53">
        <f>'2. Energy'!P12</f>
        <v>5352.319149428733</v>
      </c>
      <c r="E8" s="53">
        <f>'2. Energy'!Q12</f>
        <v>62263.250051921248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39763.250051921248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1.8085787301787757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39763.250051921248</v>
      </c>
    </row>
    <row r="9" spans="2:30" ht="18" customHeight="1" x14ac:dyDescent="0.3">
      <c r="B9" s="14">
        <v>4</v>
      </c>
      <c r="C9" s="53">
        <f>'2. Energy'!O13</f>
        <v>65601.133866492281</v>
      </c>
      <c r="D9" s="53">
        <f>'2. Energy'!P13</f>
        <v>5354.9834390936576</v>
      </c>
      <c r="E9" s="53">
        <f>'2. Energy'!Q13</f>
        <v>60246.150427398621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37746.150427398621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1.5494630918290062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37746.150427398621</v>
      </c>
    </row>
    <row r="10" spans="2:30" ht="18" customHeight="1" x14ac:dyDescent="0.3">
      <c r="B10" s="14">
        <v>5</v>
      </c>
      <c r="C10" s="53">
        <f>'2. Energy'!O14</f>
        <v>65231.192340515117</v>
      </c>
      <c r="D10" s="53">
        <f>'2. Energy'!P14</f>
        <v>5335.4441945005701</v>
      </c>
      <c r="E10" s="53">
        <f>'2. Energy'!Q14</f>
        <v>59895.74814601455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37395.74814601455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2.5358614986842336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37395.74814601455</v>
      </c>
    </row>
    <row r="11" spans="2:30" ht="18" customHeight="1" x14ac:dyDescent="0.3">
      <c r="B11" s="14">
        <v>6</v>
      </c>
      <c r="C11" s="53">
        <f>'2. Energy'!O15</f>
        <v>67420.572230818405</v>
      </c>
      <c r="D11" s="53">
        <f>'2. Energy'!P15</f>
        <v>5433.4412580999997</v>
      </c>
      <c r="E11" s="53">
        <f>'2. Energy'!Q15</f>
        <v>61987.130972718405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39487.130972718405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20000</v>
      </c>
      <c r="S11" s="119">
        <v>0</v>
      </c>
      <c r="T11" s="119"/>
      <c r="U11" s="53">
        <f>'2. Energy'!N15*(1+'1. Rates'!$J$60)</f>
        <v>3.5710630682351447</v>
      </c>
      <c r="V11" s="53">
        <f>(SUM('4.Projected'!W10:AC10)+SUM('4.Projected'!AF10:AK10))/(SUM('4.Projected'!F10:K10))</f>
        <v>5.1324423743320509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20000</v>
      </c>
      <c r="AB11" s="53">
        <f t="shared" si="7"/>
        <v>0</v>
      </c>
      <c r="AC11" s="53">
        <f t="shared" si="8"/>
        <v>0</v>
      </c>
      <c r="AD11" s="53">
        <f t="shared" si="9"/>
        <v>19487.130972718405</v>
      </c>
    </row>
    <row r="12" spans="2:30" ht="18" customHeight="1" x14ac:dyDescent="0.3">
      <c r="B12" s="14">
        <v>7</v>
      </c>
      <c r="C12" s="53">
        <f>'2. Energy'!O16</f>
        <v>70140.082345826464</v>
      </c>
      <c r="D12" s="53">
        <f>'2. Energy'!P16</f>
        <v>6037.6709704999985</v>
      </c>
      <c r="E12" s="53">
        <f>'2. Energy'!Q16</f>
        <v>64102.411375326468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41602.411375326468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20000</v>
      </c>
      <c r="S12" s="119">
        <v>0</v>
      </c>
      <c r="T12" s="119"/>
      <c r="U12" s="53">
        <f>'2. Energy'!N16*(1+'1. Rates'!$J$60)</f>
        <v>3.3570435789374495</v>
      </c>
      <c r="V12" s="53">
        <f>(SUM('4.Projected'!W11:AC11)+SUM('4.Projected'!AF11:AK11))/(SUM('4.Projected'!F11:K11))</f>
        <v>5.1324423743320509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20000</v>
      </c>
      <c r="AB12" s="53">
        <f t="shared" si="7"/>
        <v>0</v>
      </c>
      <c r="AC12" s="53">
        <f t="shared" si="8"/>
        <v>0</v>
      </c>
      <c r="AD12" s="53">
        <f t="shared" si="9"/>
        <v>21602.411375326468</v>
      </c>
    </row>
    <row r="13" spans="2:30" ht="18" customHeight="1" x14ac:dyDescent="0.3">
      <c r="B13" s="14">
        <v>8</v>
      </c>
      <c r="C13" s="53">
        <f>'2. Energy'!O17</f>
        <v>77567.042234120367</v>
      </c>
      <c r="D13" s="53">
        <f>'2. Energy'!P17</f>
        <v>7337.8936213258748</v>
      </c>
      <c r="E13" s="53">
        <f>'2. Energy'!Q17</f>
        <v>70229.148612794495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47729.148612794495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20000</v>
      </c>
      <c r="S13" s="119">
        <v>0</v>
      </c>
      <c r="T13" s="119"/>
      <c r="U13" s="53">
        <f>'2. Energy'!N17*(1+'1. Rates'!$J$60)</f>
        <v>3.1299811533932878</v>
      </c>
      <c r="V13" s="53">
        <f>(SUM('4.Projected'!W12:AC12)+SUM('4.Projected'!AF12:AK12))/(SUM('4.Projected'!F12:K12))</f>
        <v>5.1324423743320509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20000</v>
      </c>
      <c r="AB13" s="53">
        <f t="shared" si="7"/>
        <v>0</v>
      </c>
      <c r="AC13" s="53">
        <f t="shared" si="8"/>
        <v>0</v>
      </c>
      <c r="AD13" s="53">
        <f t="shared" si="9"/>
        <v>27729.148612794495</v>
      </c>
    </row>
    <row r="14" spans="2:30" ht="18" customHeight="1" x14ac:dyDescent="0.3">
      <c r="B14" s="14">
        <v>9</v>
      </c>
      <c r="C14" s="53">
        <f>'2. Energy'!O18</f>
        <v>90758.967916004651</v>
      </c>
      <c r="D14" s="53">
        <f>'2. Energy'!P18</f>
        <v>9389.6659820406439</v>
      </c>
      <c r="E14" s="53">
        <f>'2. Energy'!Q18</f>
        <v>81369.301933964001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58869.301933964001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20000</v>
      </c>
      <c r="S14" s="119">
        <v>10000</v>
      </c>
      <c r="T14" s="119"/>
      <c r="U14" s="53">
        <f>'2. Energy'!N18*(1+'1. Rates'!$J$60)</f>
        <v>3.6174920675423921</v>
      </c>
      <c r="V14" s="53">
        <f>(SUM('4.Projected'!W13:AC13)+SUM('4.Projected'!AF13:AK13))/(SUM('4.Projected'!F13:K13))</f>
        <v>4.895147360982989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20000</v>
      </c>
      <c r="AB14" s="53">
        <f t="shared" si="7"/>
        <v>10000</v>
      </c>
      <c r="AC14" s="53">
        <f t="shared" si="8"/>
        <v>0</v>
      </c>
      <c r="AD14" s="53">
        <f t="shared" si="9"/>
        <v>28869.301933964001</v>
      </c>
    </row>
    <row r="15" spans="2:30" ht="18" customHeight="1" x14ac:dyDescent="0.3">
      <c r="B15" s="14">
        <v>10</v>
      </c>
      <c r="C15" s="53">
        <f>'2. Energy'!O19</f>
        <v>104068.34707664626</v>
      </c>
      <c r="D15" s="53">
        <f>'2. Energy'!P19</f>
        <v>15319.748023146494</v>
      </c>
      <c r="E15" s="53">
        <f>'2. Energy'!Q19</f>
        <v>88748.599053499755</v>
      </c>
      <c r="F15" s="53">
        <f>IF('1. Rates'!$C$62&lt;'2. Energy'!N19*(1+'1. Rates'!$J$60),'1. Rates'!$C$41,'1. Rates'!$C$42)</f>
        <v>20000</v>
      </c>
      <c r="G15" s="53">
        <f>IF('1. Rates'!$D$62&lt;'2. Energy'!N19*(1+'1. Rates'!$J$60),'1. Rates'!$D$41,'1. Rates'!$D$42)</f>
        <v>5000</v>
      </c>
      <c r="H15" s="53">
        <f>IF('1. Rates'!$E$62&lt;'2. Energy'!N19*(1+'1. Rates'!$J$60),'1. Rates'!$E$41,'1. Rates'!$E$42)</f>
        <v>10000</v>
      </c>
      <c r="I15" s="53">
        <f>IF('1. Rates'!F$62&lt;'2. Energy'!$N19*(1+'1. Rates'!$J$60),'1. Rates'!F$41,'1. Rates'!F$42)</f>
        <v>10000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43748.599053499755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20000</v>
      </c>
      <c r="S15" s="119">
        <v>10000</v>
      </c>
      <c r="T15" s="119"/>
      <c r="U15" s="53">
        <f>'2. Energy'!N19*(1+'1. Rates'!$J$60)</f>
        <v>3.8393703793622462</v>
      </c>
      <c r="V15" s="53">
        <f>(SUM('4.Projected'!W14:AC14)+SUM('4.Projected'!AF14:AK14))/(SUM('4.Projected'!F14:K14))</f>
        <v>4.895147360982989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20000</v>
      </c>
      <c r="AB15" s="53">
        <f t="shared" si="7"/>
        <v>10000</v>
      </c>
      <c r="AC15" s="53">
        <f t="shared" si="8"/>
        <v>0</v>
      </c>
      <c r="AD15" s="53">
        <f t="shared" si="9"/>
        <v>36248.599053499755</v>
      </c>
    </row>
    <row r="16" spans="2:30" ht="18" customHeight="1" x14ac:dyDescent="0.3">
      <c r="B16" s="14">
        <v>11</v>
      </c>
      <c r="C16" s="53">
        <f>'2. Energy'!O20</f>
        <v>107396.21185873465</v>
      </c>
      <c r="D16" s="53">
        <f>'2. Energy'!P20</f>
        <v>15709.798054999999</v>
      </c>
      <c r="E16" s="53">
        <f>'2. Energy'!Q20</f>
        <v>91686.413803734642</v>
      </c>
      <c r="F16" s="53">
        <f>IF('1. Rates'!$C$62&lt;'2. Energy'!N20*(1+'1. Rates'!$J$60),'1. Rates'!$C$41,'1. Rates'!$C$42)</f>
        <v>20000</v>
      </c>
      <c r="G16" s="53">
        <f>IF('1. Rates'!$D$62&lt;'2. Energy'!N20*(1+'1. Rates'!$J$60),'1. Rates'!$D$41,'1. Rates'!$D$42)</f>
        <v>5000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56686.413803734642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20000</v>
      </c>
      <c r="S16" s="119">
        <v>10000</v>
      </c>
      <c r="T16" s="119"/>
      <c r="U16" s="53">
        <f>'2. Energy'!N20*(1+'1. Rates'!$J$60)</f>
        <v>3.6812584811769575</v>
      </c>
      <c r="V16" s="53">
        <f>(SUM('4.Projected'!W15:AC15)+SUM('4.Projected'!AF15:AK15))/(SUM('4.Projected'!F15:K15))</f>
        <v>4.895147360982989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20000</v>
      </c>
      <c r="AB16" s="53">
        <f t="shared" si="7"/>
        <v>10000</v>
      </c>
      <c r="AC16" s="53">
        <f t="shared" si="8"/>
        <v>0</v>
      </c>
      <c r="AD16" s="53">
        <f t="shared" si="9"/>
        <v>39186.413803734642</v>
      </c>
    </row>
    <row r="17" spans="2:30" ht="18" customHeight="1" x14ac:dyDescent="0.3">
      <c r="B17" s="14">
        <v>12</v>
      </c>
      <c r="C17" s="53">
        <f>'2. Energy'!O21</f>
        <v>108246.49295518784</v>
      </c>
      <c r="D17" s="53">
        <f>'2. Energy'!P21</f>
        <v>15593.906354104376</v>
      </c>
      <c r="E17" s="53">
        <f>'2. Energy'!Q21</f>
        <v>92652.586601083472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70152.586601083472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20000</v>
      </c>
      <c r="S17" s="119">
        <v>10000</v>
      </c>
      <c r="T17" s="119"/>
      <c r="U17" s="53">
        <f>'2. Energy'!N21*(1+'1. Rates'!$J$60)</f>
        <v>3.0949054540247194</v>
      </c>
      <c r="V17" s="53">
        <f>(SUM('4.Projected'!W16:AC16)+SUM('4.Projected'!AF16:AK16))/(SUM('4.Projected'!F16:K16))</f>
        <v>4.895147360982989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20000</v>
      </c>
      <c r="AB17" s="53">
        <f t="shared" si="7"/>
        <v>10000</v>
      </c>
      <c r="AC17" s="53">
        <f t="shared" si="8"/>
        <v>0</v>
      </c>
      <c r="AD17" s="53">
        <f t="shared" si="9"/>
        <v>40152.586601083472</v>
      </c>
    </row>
    <row r="18" spans="2:30" ht="18" customHeight="1" x14ac:dyDescent="0.3">
      <c r="B18" s="14">
        <v>13</v>
      </c>
      <c r="C18" s="53">
        <f>'2. Energy'!O22</f>
        <v>107400.16659224691</v>
      </c>
      <c r="D18" s="53">
        <f>'2. Energy'!P22</f>
        <v>15502.267193208847</v>
      </c>
      <c r="E18" s="53">
        <f>'2. Energy'!Q22</f>
        <v>91897.89939903807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69397.89939903807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20000</v>
      </c>
      <c r="S18" s="119">
        <v>10000</v>
      </c>
      <c r="T18" s="119"/>
      <c r="U18" s="53">
        <f>'2. Energy'!N22*(1+'1. Rates'!$J$60)</f>
        <v>3.3968559798904598</v>
      </c>
      <c r="V18" s="53">
        <f>(SUM('4.Projected'!W17:AC17)+SUM('4.Projected'!AF17:AK17))/(SUM('4.Projected'!F17:K17))</f>
        <v>4.895147360982989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20000</v>
      </c>
      <c r="AB18" s="53">
        <f t="shared" si="7"/>
        <v>10000</v>
      </c>
      <c r="AC18" s="53">
        <f t="shared" si="8"/>
        <v>0</v>
      </c>
      <c r="AD18" s="53">
        <f t="shared" si="9"/>
        <v>39397.89939903807</v>
      </c>
    </row>
    <row r="19" spans="2:30" ht="18" customHeight="1" x14ac:dyDescent="0.3">
      <c r="B19" s="14">
        <v>14</v>
      </c>
      <c r="C19" s="53">
        <f>'2. Energy'!O23</f>
        <v>112290.56284430568</v>
      </c>
      <c r="D19" s="53">
        <f>'2. Energy'!P23</f>
        <v>15472.980340149996</v>
      </c>
      <c r="E19" s="53">
        <f>'2. Energy'!Q23</f>
        <v>96817.582504155682</v>
      </c>
      <c r="F19" s="53">
        <f>IF('1. Rates'!$C$62&lt;'2. Energy'!N23*(1+'1. Rates'!$J$60),'1. Rates'!$C$41,'1. Rates'!$C$42)</f>
        <v>20000</v>
      </c>
      <c r="G19" s="53">
        <f>IF('1. Rates'!$D$62&lt;'2. Energy'!N23*(1+'1. Rates'!$J$60),'1. Rates'!$D$41,'1. Rates'!$D$42)</f>
        <v>5000</v>
      </c>
      <c r="H19" s="53">
        <f>IF('1. Rates'!$E$62&lt;'2. Energy'!N23*(1+'1. Rates'!$J$60),'1. Rates'!$E$41,'1. Rates'!$E$42)</f>
        <v>10000</v>
      </c>
      <c r="I19" s="53">
        <f>IF('1. Rates'!F$62&lt;'2. Energy'!$N23*(1+'1. Rates'!$J$60),'1. Rates'!F$41,'1. Rates'!F$42)</f>
        <v>10000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10000</v>
      </c>
      <c r="L19" s="53">
        <f>IF('1. Rates'!Q54&lt;('2. Energy'!N23*(1+'1. Rates'!$J$60)),'1. Rates'!$I$42,0)</f>
        <v>0</v>
      </c>
      <c r="M19" s="53">
        <f t="shared" si="1"/>
        <v>41817.582504155682</v>
      </c>
      <c r="N19" s="119">
        <v>20000</v>
      </c>
      <c r="O19" s="119">
        <v>5000</v>
      </c>
      <c r="P19" s="119">
        <v>10000</v>
      </c>
      <c r="Q19" s="119">
        <v>10000</v>
      </c>
      <c r="R19" s="119">
        <v>20000</v>
      </c>
      <c r="S19" s="119">
        <v>10000</v>
      </c>
      <c r="T19" s="119"/>
      <c r="U19" s="53">
        <f>'2. Energy'!N23*(1+'1. Rates'!$J$60)</f>
        <v>4.6141083396259877</v>
      </c>
      <c r="V19" s="53">
        <f>(SUM('4.Projected'!W18:AC18)+SUM('4.Projected'!AF18:AK18))/(SUM('4.Projected'!F18:K18))</f>
        <v>4.5330645807973484</v>
      </c>
      <c r="W19" s="53">
        <f t="shared" si="2"/>
        <v>20000</v>
      </c>
      <c r="X19" s="53">
        <f t="shared" si="3"/>
        <v>5000</v>
      </c>
      <c r="Y19" s="53">
        <f t="shared" si="4"/>
        <v>10000</v>
      </c>
      <c r="Z19" s="53">
        <f t="shared" si="5"/>
        <v>10000</v>
      </c>
      <c r="AA19" s="53">
        <f t="shared" si="6"/>
        <v>20000</v>
      </c>
      <c r="AB19" s="53">
        <f t="shared" si="7"/>
        <v>10000</v>
      </c>
      <c r="AC19" s="53">
        <f t="shared" si="8"/>
        <v>0</v>
      </c>
      <c r="AD19" s="53">
        <f t="shared" si="9"/>
        <v>21817.582504155682</v>
      </c>
    </row>
    <row r="20" spans="2:30" ht="18" customHeight="1" x14ac:dyDescent="0.3">
      <c r="B20" s="14">
        <v>15</v>
      </c>
      <c r="C20" s="53">
        <f>'2. Energy'!O24</f>
        <v>114622.03735371145</v>
      </c>
      <c r="D20" s="53">
        <f>'2. Energy'!P24</f>
        <v>15345.726499999995</v>
      </c>
      <c r="E20" s="53">
        <f>'2. Energy'!Q24</f>
        <v>99276.31085371146</v>
      </c>
      <c r="F20" s="53">
        <f>IF('1. Rates'!$C$62&lt;'2. Energy'!N24*(1+'1. Rates'!$J$60),'1. Rates'!$C$41,'1. Rates'!$C$42)</f>
        <v>20000</v>
      </c>
      <c r="G20" s="53">
        <f>IF('1. Rates'!$D$62&lt;'2. Energy'!N24*(1+'1. Rates'!$J$60),'1. Rates'!$D$41,'1. Rates'!$D$42)</f>
        <v>5000</v>
      </c>
      <c r="H20" s="53">
        <f>IF('1. Rates'!$E$62&lt;'2. Energy'!N24*(1+'1. Rates'!$J$60),'1. Rates'!$E$41,'1. Rates'!$E$42)</f>
        <v>10000</v>
      </c>
      <c r="I20" s="53">
        <f>IF('1. Rates'!F$62&lt;'2. Energy'!$N24*(1+'1. Rates'!$J$60),'1. Rates'!F$41,'1. Rates'!F$42)</f>
        <v>10000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10000</v>
      </c>
      <c r="L20" s="53">
        <f>IF('1. Rates'!Q55&lt;('2. Energy'!N24*(1+'1. Rates'!$J$60)),'1. Rates'!$I$42,0)</f>
        <v>0</v>
      </c>
      <c r="M20" s="53">
        <f t="shared" si="1"/>
        <v>44276.31085371146</v>
      </c>
      <c r="N20" s="119">
        <v>20000</v>
      </c>
      <c r="O20" s="119">
        <v>5000</v>
      </c>
      <c r="P20" s="119">
        <v>10000</v>
      </c>
      <c r="Q20" s="119">
        <v>10000</v>
      </c>
      <c r="R20" s="119">
        <v>20000</v>
      </c>
      <c r="S20" s="119">
        <v>10000</v>
      </c>
      <c r="T20" s="119"/>
      <c r="U20" s="53">
        <f>'2. Energy'!N24*(1+'1. Rates'!$J$60)</f>
        <v>4.6200539925182662</v>
      </c>
      <c r="V20" s="53">
        <f>(SUM('4.Projected'!W19:AC19)+SUM('4.Projected'!AF19:AK19))/(SUM('4.Projected'!F19:K19))</f>
        <v>4.5330645807973484</v>
      </c>
      <c r="W20" s="53">
        <f t="shared" si="2"/>
        <v>20000</v>
      </c>
      <c r="X20" s="53">
        <f t="shared" si="3"/>
        <v>5000</v>
      </c>
      <c r="Y20" s="53">
        <f t="shared" si="4"/>
        <v>10000</v>
      </c>
      <c r="Z20" s="53">
        <f t="shared" si="5"/>
        <v>10000</v>
      </c>
      <c r="AA20" s="53">
        <f t="shared" si="6"/>
        <v>20000</v>
      </c>
      <c r="AB20" s="53">
        <f t="shared" si="7"/>
        <v>10000</v>
      </c>
      <c r="AC20" s="53">
        <f t="shared" si="8"/>
        <v>0</v>
      </c>
      <c r="AD20" s="53">
        <f t="shared" si="9"/>
        <v>24276.31085371146</v>
      </c>
    </row>
    <row r="21" spans="2:30" ht="18" customHeight="1" x14ac:dyDescent="0.3">
      <c r="B21" s="14">
        <v>16</v>
      </c>
      <c r="C21" s="53">
        <f>'2. Energy'!O25</f>
        <v>114125.50311660639</v>
      </c>
      <c r="D21" s="53">
        <f>'2. Energy'!P25</f>
        <v>15645.280499999995</v>
      </c>
      <c r="E21" s="53">
        <f>'2. Energy'!Q25</f>
        <v>98480.222616606392</v>
      </c>
      <c r="F21" s="53">
        <f>IF('1. Rates'!$C$62&lt;'2. Energy'!N25*(1+'1. Rates'!$J$60),'1. Rates'!$C$41,'1. Rates'!$C$42)</f>
        <v>20000</v>
      </c>
      <c r="G21" s="53">
        <f>IF('1. Rates'!$D$62&lt;'2. Energy'!N25*(1+'1. Rates'!$J$60),'1. Rates'!$D$41,'1. Rates'!$D$42)</f>
        <v>5000</v>
      </c>
      <c r="H21" s="53">
        <f>IF('1. Rates'!$E$62&lt;'2. Energy'!N25*(1+'1. Rates'!$J$60),'1. Rates'!$E$41,'1. Rates'!$E$42)</f>
        <v>10000</v>
      </c>
      <c r="I21" s="53">
        <f>IF('1. Rates'!F$62&lt;'2. Energy'!$N25*(1+'1. Rates'!$J$60),'1. Rates'!F$41,'1. Rates'!F$42)</f>
        <v>10000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10000</v>
      </c>
      <c r="L21" s="53">
        <f>IF('1. Rates'!Q56&lt;('2. Energy'!N25*(1+'1. Rates'!$J$60)),'1. Rates'!$I$42,0)</f>
        <v>0</v>
      </c>
      <c r="M21" s="53">
        <f t="shared" si="1"/>
        <v>43480.222616606392</v>
      </c>
      <c r="N21" s="119">
        <v>20000</v>
      </c>
      <c r="O21" s="119">
        <v>5000</v>
      </c>
      <c r="P21" s="119">
        <v>10000</v>
      </c>
      <c r="Q21" s="119">
        <v>10000</v>
      </c>
      <c r="R21" s="119">
        <v>20000</v>
      </c>
      <c r="S21" s="119">
        <v>10000</v>
      </c>
      <c r="T21" s="119"/>
      <c r="U21" s="53">
        <f>'2. Energy'!N25*(1+'1. Rates'!$J$60)</f>
        <v>5.4900851991231345</v>
      </c>
      <c r="V21" s="53">
        <f>(SUM('4.Projected'!W20:AC20)+SUM('4.Projected'!AF20:AK20))/(SUM('4.Projected'!F20:K20))</f>
        <v>4.5330645807973484</v>
      </c>
      <c r="W21" s="53">
        <f t="shared" si="2"/>
        <v>20000</v>
      </c>
      <c r="X21" s="53">
        <f t="shared" si="3"/>
        <v>5000</v>
      </c>
      <c r="Y21" s="53">
        <f t="shared" si="4"/>
        <v>10000</v>
      </c>
      <c r="Z21" s="53">
        <f t="shared" si="5"/>
        <v>10000</v>
      </c>
      <c r="AA21" s="53">
        <f t="shared" si="6"/>
        <v>20000</v>
      </c>
      <c r="AB21" s="53">
        <f t="shared" si="7"/>
        <v>10000</v>
      </c>
      <c r="AC21" s="53">
        <f t="shared" si="8"/>
        <v>0</v>
      </c>
      <c r="AD21" s="53">
        <f t="shared" si="9"/>
        <v>23480.222616606392</v>
      </c>
    </row>
    <row r="22" spans="2:30" ht="18" customHeight="1" x14ac:dyDescent="0.3">
      <c r="B22" s="14">
        <v>17</v>
      </c>
      <c r="C22" s="53">
        <f>'2. Energy'!O26</f>
        <v>110848.99956943515</v>
      </c>
      <c r="D22" s="53">
        <f>'2. Energy'!P26</f>
        <v>15896.075999999997</v>
      </c>
      <c r="E22" s="53">
        <f>'2. Energy'!Q26</f>
        <v>94952.923569435152</v>
      </c>
      <c r="F22" s="53">
        <f>IF('1. Rates'!$C$62&lt;'2. Energy'!N26*(1+'1. Rates'!$J$60),'1. Rates'!$C$41,'1. Rates'!$C$42)</f>
        <v>20000</v>
      </c>
      <c r="G22" s="53">
        <f>IF('1. Rates'!$D$62&lt;'2. Energy'!N26*(1+'1. Rates'!$J$60),'1. Rates'!$D$41,'1. Rates'!$D$42)</f>
        <v>5000</v>
      </c>
      <c r="H22" s="53">
        <f>IF('1. Rates'!$E$62&lt;'2. Energy'!N26*(1+'1. Rates'!$J$60),'1. Rates'!$E$41,'1. Rates'!$E$42)</f>
        <v>10000</v>
      </c>
      <c r="I22" s="53">
        <f>IF('1. Rates'!F$62&lt;'2. Energy'!$N26*(1+'1. Rates'!$J$60),'1. Rates'!F$41,'1. Rates'!F$42)</f>
        <v>10000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10000</v>
      </c>
      <c r="L22" s="53">
        <f>IF('1. Rates'!Q57&lt;('2. Energy'!N26*(1+'1. Rates'!$J$60)),'1. Rates'!$I$42,0)</f>
        <v>0</v>
      </c>
      <c r="M22" s="53">
        <f t="shared" si="1"/>
        <v>39952.923569435152</v>
      </c>
      <c r="N22" s="119">
        <v>20000</v>
      </c>
      <c r="O22" s="119">
        <v>5000</v>
      </c>
      <c r="P22" s="119">
        <v>10000</v>
      </c>
      <c r="Q22" s="119">
        <v>10000</v>
      </c>
      <c r="R22" s="119">
        <v>20000</v>
      </c>
      <c r="S22" s="119">
        <v>10000</v>
      </c>
      <c r="T22" s="119"/>
      <c r="U22" s="53">
        <f>'2. Energy'!N26*(1+'1. Rates'!$J$60)</f>
        <v>4.7311708611405336</v>
      </c>
      <c r="V22" s="53">
        <f>(SUM('4.Projected'!W21:AC21)+SUM('4.Projected'!AF21:AK21))/(SUM('4.Projected'!F21:K21))</f>
        <v>4.5330645807973484</v>
      </c>
      <c r="W22" s="53">
        <f t="shared" si="2"/>
        <v>20000</v>
      </c>
      <c r="X22" s="53">
        <f t="shared" si="3"/>
        <v>5000</v>
      </c>
      <c r="Y22" s="53">
        <f t="shared" si="4"/>
        <v>10000</v>
      </c>
      <c r="Z22" s="53">
        <f t="shared" si="5"/>
        <v>10000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19952.923569435152</v>
      </c>
    </row>
    <row r="23" spans="2:30" ht="18" customHeight="1" x14ac:dyDescent="0.3">
      <c r="B23" s="14">
        <v>18</v>
      </c>
      <c r="C23" s="53">
        <f>'2. Energy'!O27</f>
        <v>105352.7467685494</v>
      </c>
      <c r="D23" s="53">
        <f>'2. Energy'!P27</f>
        <v>15794.36249999999</v>
      </c>
      <c r="E23" s="53">
        <f>'2. Energy'!Q27</f>
        <v>89558.384268549416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20000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14558.384268549416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6.8433492459006793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14558.384268549416</v>
      </c>
    </row>
    <row r="24" spans="2:30" ht="18" customHeight="1" x14ac:dyDescent="0.3">
      <c r="B24" s="14">
        <v>19</v>
      </c>
      <c r="C24" s="53">
        <f>'2. Energy'!O28</f>
        <v>105282.69064801182</v>
      </c>
      <c r="D24" s="53">
        <f>'2. Energy'!P28</f>
        <v>15242.719999999994</v>
      </c>
      <c r="E24" s="53">
        <f>'2. Energy'!Q28</f>
        <v>90039.970648011833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20000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15039.970648011833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6.4200309040388168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15039.970648011833</v>
      </c>
    </row>
    <row r="25" spans="2:30" ht="18" customHeight="1" x14ac:dyDescent="0.3">
      <c r="B25" s="14">
        <v>20</v>
      </c>
      <c r="C25" s="53">
        <f>'2. Energy'!O29</f>
        <v>98582.915257160712</v>
      </c>
      <c r="D25" s="53">
        <f>'2. Energy'!P29</f>
        <v>13508.240999999998</v>
      </c>
      <c r="E25" s="53">
        <f>'2. Energy'!Q29</f>
        <v>85074.674257160717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30074.674257160717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4.1287094978682264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10074.674257160717</v>
      </c>
    </row>
    <row r="26" spans="2:30" ht="18" customHeight="1" x14ac:dyDescent="0.3">
      <c r="B26" s="14">
        <v>21</v>
      </c>
      <c r="C26" s="53">
        <f>'2. Energy'!O30</f>
        <v>93964.703534064989</v>
      </c>
      <c r="D26" s="53">
        <f>'2. Energy'!P30</f>
        <v>11749.593999999999</v>
      </c>
      <c r="E26" s="53">
        <f>'2. Energy'!Q30</f>
        <v>82215.109534064992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10000</v>
      </c>
      <c r="L26" s="53">
        <f>IF('1. Rates'!Q61&lt;('2. Energy'!N30*(1+'1. Rates'!$J$60)),'1. Rates'!$I$41,0)</f>
        <v>0</v>
      </c>
      <c r="M26" s="53">
        <f t="shared" si="1"/>
        <v>27215.109534064992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4.0768741640737289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7215.1095340649917</v>
      </c>
    </row>
    <row r="27" spans="2:30" ht="18" customHeight="1" x14ac:dyDescent="0.3">
      <c r="B27" s="14">
        <v>22</v>
      </c>
      <c r="C27" s="53">
        <f>'2. Energy'!O31</f>
        <v>87997.245537669689</v>
      </c>
      <c r="D27" s="53">
        <f>'2. Energy'!P31</f>
        <v>8928.9679999999989</v>
      </c>
      <c r="E27" s="53">
        <f>'2. Energy'!Q31</f>
        <v>79068.277537669695</v>
      </c>
      <c r="F27" s="53">
        <f>IF('1. Rates'!$C$62&lt;'2. Energy'!N31*(1+'1. Rates'!$J$60),'1. Rates'!$C$41,'1. Rates'!$C$42)</f>
        <v>20000</v>
      </c>
      <c r="G27" s="53">
        <f>IF('1. Rates'!$D$62&lt;'2. Energy'!N31*(1+'1. Rates'!$J$60),'1. Rates'!$D$41,'1. Rates'!$D$42)</f>
        <v>5000</v>
      </c>
      <c r="H27" s="53">
        <f>IF('1. Rates'!$E$62&lt;'2. Energy'!N31*(1+'1. Rates'!$J$60),'1. Rates'!$E$41,'1. Rates'!$E$42)</f>
        <v>10000</v>
      </c>
      <c r="I27" s="53">
        <f>IF('1. Rates'!F$62&lt;'2. Energy'!$N31*(1+'1. Rates'!$J$60),'1. Rates'!F$41,'1. Rates'!F$42)</f>
        <v>10000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10000</v>
      </c>
      <c r="L27" s="53">
        <f>IF('1. Rates'!Q62&lt;('2. Energy'!N31*(1+'1. Rates'!$J$60)),'1. Rates'!$I$41,0)</f>
        <v>0</v>
      </c>
      <c r="M27" s="53">
        <f t="shared" si="1"/>
        <v>24068.277537669695</v>
      </c>
      <c r="N27" s="119">
        <v>20000</v>
      </c>
      <c r="O27" s="119">
        <v>5000</v>
      </c>
      <c r="P27" s="119">
        <v>10000</v>
      </c>
      <c r="Q27" s="119">
        <v>10000</v>
      </c>
      <c r="R27" s="119">
        <v>20000</v>
      </c>
      <c r="S27" s="119">
        <v>10000</v>
      </c>
      <c r="T27" s="119"/>
      <c r="U27" s="53">
        <f>'2. Energy'!N31*(1+'1. Rates'!$J$60)</f>
        <v>3.9174899310514149</v>
      </c>
      <c r="V27" s="53">
        <f>(SUM('4.Projected'!W26:AC26)+SUM('4.Projected'!AF26:AK26))/(SUM('4.Projected'!F26:K26))</f>
        <v>4.5330645807973484</v>
      </c>
      <c r="W27" s="53">
        <f t="shared" si="2"/>
        <v>20000</v>
      </c>
      <c r="X27" s="53">
        <f t="shared" si="3"/>
        <v>5000</v>
      </c>
      <c r="Y27" s="53">
        <f t="shared" si="4"/>
        <v>10000</v>
      </c>
      <c r="Z27" s="53">
        <f t="shared" si="5"/>
        <v>10000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4068.2775376696954</v>
      </c>
    </row>
    <row r="28" spans="2:30" ht="18" customHeight="1" x14ac:dyDescent="0.3">
      <c r="B28" s="14">
        <v>23</v>
      </c>
      <c r="C28" s="53">
        <f>'2. Energy'!O32</f>
        <v>82103.664932923362</v>
      </c>
      <c r="D28" s="53">
        <f>'2. Energy'!P32</f>
        <v>6127.4390000000003</v>
      </c>
      <c r="E28" s="53">
        <f>'2. Energy'!Q32</f>
        <v>75976.225932923364</v>
      </c>
      <c r="F28" s="53">
        <f>IF('1. Rates'!$C$62&lt;'2. Energy'!N32*(1+'1. Rates'!$J$60),'1. Rates'!$C$41,'1. Rates'!$C$42)</f>
        <v>20000</v>
      </c>
      <c r="G28" s="53">
        <f>IF('1. Rates'!$D$62&lt;'2. Energy'!N32*(1+'1. Rates'!$J$60),'1. Rates'!$D$41,'1. Rates'!$D$42)</f>
        <v>5000</v>
      </c>
      <c r="H28" s="53">
        <f>IF('1. Rates'!$E$62&lt;'2. Energy'!N32*(1+'1. Rates'!$J$60),'1. Rates'!$E$41,'1. Rates'!$E$42)</f>
        <v>10000</v>
      </c>
      <c r="I28" s="53">
        <f>IF('1. Rates'!F$62&lt;'2. Energy'!$N32*(1+'1. Rates'!$J$60),'1. Rates'!F$41,'1. Rates'!F$42)</f>
        <v>10000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10000</v>
      </c>
      <c r="L28" s="53">
        <f>IF('1. Rates'!Q63&lt;('2. Energy'!N32*(1+'1. Rates'!$J$60)),'1. Rates'!$I$41,0)</f>
        <v>0</v>
      </c>
      <c r="M28" s="53">
        <f t="shared" si="1"/>
        <v>20976.225932923364</v>
      </c>
      <c r="N28" s="119">
        <v>20000</v>
      </c>
      <c r="O28" s="119">
        <v>5000</v>
      </c>
      <c r="P28" s="119">
        <v>10000</v>
      </c>
      <c r="Q28" s="119">
        <v>10000</v>
      </c>
      <c r="R28" s="119">
        <v>20000</v>
      </c>
      <c r="S28" s="119">
        <v>10000</v>
      </c>
      <c r="T28" s="119"/>
      <c r="U28" s="53">
        <f>'2. Energy'!N32*(1+'1. Rates'!$J$60)</f>
        <v>3.9750341913311784</v>
      </c>
      <c r="V28" s="53">
        <f>(SUM('4.Projected'!W27:AC27)+SUM('4.Projected'!AF27:AK27))/(SUM('4.Projected'!F27:K27))</f>
        <v>4.5330645807973484</v>
      </c>
      <c r="W28" s="53">
        <f t="shared" si="2"/>
        <v>20000</v>
      </c>
      <c r="X28" s="53">
        <f t="shared" si="3"/>
        <v>5000</v>
      </c>
      <c r="Y28" s="53">
        <f t="shared" si="4"/>
        <v>10000</v>
      </c>
      <c r="Z28" s="53">
        <f t="shared" si="5"/>
        <v>10000</v>
      </c>
      <c r="AA28" s="53">
        <f t="shared" si="6"/>
        <v>20000</v>
      </c>
      <c r="AB28" s="53">
        <f t="shared" si="7"/>
        <v>10000</v>
      </c>
      <c r="AC28" s="53">
        <f t="shared" si="8"/>
        <v>0</v>
      </c>
      <c r="AD28" s="53">
        <f t="shared" si="9"/>
        <v>976.22593292336387</v>
      </c>
    </row>
    <row r="29" spans="2:30" ht="18" customHeight="1" x14ac:dyDescent="0.3">
      <c r="B29" s="14">
        <v>24</v>
      </c>
      <c r="C29" s="53">
        <f>'2. Energy'!O33</f>
        <v>76658.296009132959</v>
      </c>
      <c r="D29" s="53">
        <f>'2. Energy'!P33</f>
        <v>5672.8039999999983</v>
      </c>
      <c r="E29" s="53">
        <f>'2. Energy'!Q33</f>
        <v>70985.492009132955</v>
      </c>
      <c r="F29" s="53">
        <f>IF('1. Rates'!$C$62&lt;'2. Energy'!N33*(1+'1. Rates'!$J$60),'1. Rates'!$C$41,'1. Rates'!$C$42)</f>
        <v>10000</v>
      </c>
      <c r="G29" s="53">
        <f>IF('1. Rates'!$D$62&lt;'2. Energy'!N33*(1+'1. Rates'!$J$60),'1. Rates'!$D$41,'1. Rates'!$D$42)</f>
        <v>2500</v>
      </c>
      <c r="H29" s="53">
        <f>IF('1. Rates'!$E$62&lt;'2. Energy'!N33*(1+'1. Rates'!$J$60),'1. Rates'!$E$41,'1. Rates'!$E$42)</f>
        <v>5000</v>
      </c>
      <c r="I29" s="53">
        <f>IF('1. Rates'!F$62&lt;'2. Energy'!$N33*(1+'1. Rates'!$J$60),'1. Rates'!F$41,'1. Rates'!F$42)</f>
        <v>5000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48485.492009132955</v>
      </c>
      <c r="N29" s="119">
        <v>10000</v>
      </c>
      <c r="O29" s="119">
        <v>2500</v>
      </c>
      <c r="P29" s="119">
        <v>5000</v>
      </c>
      <c r="Q29" s="119">
        <v>5000</v>
      </c>
      <c r="R29" s="119">
        <v>20000</v>
      </c>
      <c r="S29" s="119">
        <v>10000</v>
      </c>
      <c r="T29" s="123"/>
      <c r="U29" s="53">
        <f>'2. Energy'!N33*(1+'1. Rates'!$J$60)</f>
        <v>3.4819210865826733</v>
      </c>
      <c r="V29" s="53">
        <f>(SUM('4.Projected'!W28:AC28)+SUM('4.Projected'!AF28:AK28))/(SUM('4.Projected'!F28:K28))</f>
        <v>4.895147360982989</v>
      </c>
      <c r="W29" s="53">
        <f t="shared" si="2"/>
        <v>10000</v>
      </c>
      <c r="X29" s="53">
        <f t="shared" si="3"/>
        <v>2500</v>
      </c>
      <c r="Y29" s="53">
        <f t="shared" si="4"/>
        <v>5000</v>
      </c>
      <c r="Z29" s="53">
        <f t="shared" si="5"/>
        <v>5000</v>
      </c>
      <c r="AA29" s="53">
        <f t="shared" si="6"/>
        <v>20000</v>
      </c>
      <c r="AB29" s="53">
        <f t="shared" si="7"/>
        <v>10000</v>
      </c>
      <c r="AC29" s="53">
        <f t="shared" si="8"/>
        <v>0</v>
      </c>
      <c r="AD29" s="53">
        <f t="shared" si="9"/>
        <v>18485.492009132955</v>
      </c>
    </row>
    <row r="30" spans="2:30" ht="21" customHeight="1" x14ac:dyDescent="0.3">
      <c r="B30" s="55" t="s">
        <v>137</v>
      </c>
      <c r="C30" s="56">
        <f t="shared" ref="C30:D30" si="10">SUM(C6:C29)</f>
        <v>2177447.9170680852</v>
      </c>
      <c r="D30" s="56">
        <f t="shared" si="10"/>
        <v>256591.60590914011</v>
      </c>
      <c r="E30" s="56">
        <f>SUM(E6:E29)</f>
        <v>1920856.3111589453</v>
      </c>
      <c r="F30" s="56">
        <f t="shared" ref="F30:M30" si="11">SUM(F6:F29)</f>
        <v>360000</v>
      </c>
      <c r="G30" s="56">
        <f>SUM(G6:G29)</f>
        <v>90000</v>
      </c>
      <c r="H30" s="56">
        <f t="shared" si="11"/>
        <v>175000</v>
      </c>
      <c r="I30" s="56">
        <f t="shared" si="11"/>
        <v>175000</v>
      </c>
      <c r="J30" s="56">
        <f t="shared" si="11"/>
        <v>40000</v>
      </c>
      <c r="K30" s="56">
        <f t="shared" si="11"/>
        <v>100000</v>
      </c>
      <c r="L30" s="56">
        <f t="shared" si="11"/>
        <v>0</v>
      </c>
      <c r="M30" s="56">
        <f t="shared" si="11"/>
        <v>980856.31115894497</v>
      </c>
      <c r="N30" s="56">
        <f t="shared" ref="N30:T30" si="12">SUM(N6:N29)</f>
        <v>340000</v>
      </c>
      <c r="O30" s="56">
        <f t="shared" si="12"/>
        <v>85000</v>
      </c>
      <c r="P30" s="56">
        <f t="shared" si="12"/>
        <v>170000</v>
      </c>
      <c r="Q30" s="56">
        <f t="shared" si="12"/>
        <v>170000</v>
      </c>
      <c r="R30" s="56">
        <f t="shared" si="12"/>
        <v>380000</v>
      </c>
      <c r="S30" s="56">
        <f t="shared" si="12"/>
        <v>160000</v>
      </c>
      <c r="T30" s="56">
        <f t="shared" si="12"/>
        <v>0</v>
      </c>
      <c r="U30" s="56">
        <f>AVERAGE(U6:U29)</f>
        <v>3.8000822647021799</v>
      </c>
      <c r="V30" s="56">
        <f>SUM('4.Projected'!W29:AC29)/SUM('4.Projected'!F29:K29)</f>
        <v>4.1558179052808706</v>
      </c>
      <c r="W30" s="56">
        <f t="shared" ref="W30:AD30" si="13">SUM(W6:W29)</f>
        <v>340000</v>
      </c>
      <c r="X30" s="56">
        <f t="shared" si="13"/>
        <v>85000</v>
      </c>
      <c r="Y30" s="56">
        <f t="shared" si="13"/>
        <v>170000</v>
      </c>
      <c r="Z30" s="56">
        <f t="shared" si="13"/>
        <v>170000</v>
      </c>
      <c r="AA30" s="56">
        <f t="shared" si="13"/>
        <v>380000</v>
      </c>
      <c r="AB30" s="56">
        <f t="shared" si="13"/>
        <v>160000</v>
      </c>
      <c r="AC30" s="56">
        <f t="shared" si="13"/>
        <v>0</v>
      </c>
      <c r="AD30" s="56">
        <f t="shared" si="13"/>
        <v>615856.31115894497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73772.894274280276</v>
      </c>
      <c r="D5" s="53">
        <f>'2. Energy'!P10</f>
        <v>5441.2205515130599</v>
      </c>
      <c r="E5" s="53">
        <f>'2. Energy'!Q10</f>
        <v>68331.673722767213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0</v>
      </c>
      <c r="K5" s="53">
        <f>'3. Nomination'!AB6</f>
        <v>0</v>
      </c>
      <c r="L5" s="53">
        <f>'3. Nomination'!AC6</f>
        <v>0</v>
      </c>
      <c r="M5" s="53">
        <f>'3. Nomination'!AD6</f>
        <v>45831.673722767213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0</v>
      </c>
      <c r="AB5" s="53">
        <f>K5*'1. Rates'!H$56</f>
        <v>0</v>
      </c>
      <c r="AC5" s="53">
        <f>L5*'1. Rates'!Q41</f>
        <v>0</v>
      </c>
      <c r="AD5" s="53">
        <f>M5*'2. Energy'!N10</f>
        <v>126440.27444218018</v>
      </c>
      <c r="AE5" s="53">
        <f>W5+X5+Y5+Z5+AA5+AB5+AC5+AD5</f>
        <v>200533.67364592504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2769.72</v>
      </c>
      <c r="AL5" s="53">
        <f>(T5+AC5)*'1. Rates'!$I$60</f>
        <v>0</v>
      </c>
      <c r="AM5" s="53">
        <f>(U5+AD5)*'1. Rates'!$J$60</f>
        <v>10641.932367094903</v>
      </c>
      <c r="AN5" s="53">
        <f>AF5+AG5+AH5+AI5+AJ5+AK5+AL5+AM5</f>
        <v>31049.334072462225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0</v>
      </c>
      <c r="AT5" s="53">
        <f t="shared" si="0"/>
        <v>23081</v>
      </c>
      <c r="AU5" s="53">
        <f t="shared" si="0"/>
        <v>0</v>
      </c>
      <c r="AV5" s="53">
        <f t="shared" si="0"/>
        <v>126440.27444218018</v>
      </c>
      <c r="AW5" s="53">
        <f>AO5+AP5+AQ5+AR5+AS5+AT5+AU5+AV5</f>
        <v>296501.95532024116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0</v>
      </c>
      <c r="BC5" s="53">
        <f t="shared" si="1"/>
        <v>25850.720000000001</v>
      </c>
      <c r="BD5" s="53">
        <f t="shared" si="1"/>
        <v>0</v>
      </c>
      <c r="BE5" s="53">
        <f t="shared" si="1"/>
        <v>137082.20680927509</v>
      </c>
      <c r="BF5" s="53">
        <f>AX5+AY5+AZ5+BA5+BB5+BC5+BD5+BE5</f>
        <v>327551.28939270345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 t="e">
        <f t="shared" si="2"/>
        <v>#DIV/0!</v>
      </c>
      <c r="BL5" s="54" t="e">
        <f>AT5/K5</f>
        <v>#DIV/0!</v>
      </c>
      <c r="BM5" s="54"/>
      <c r="BN5" s="54">
        <f>AV5/M5</f>
        <v>2.7587967920833329</v>
      </c>
      <c r="BO5" s="54">
        <f>AW5/E5</f>
        <v>4.3391583897563839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 t="e">
        <f t="shared" si="3"/>
        <v>#DIV/0!</v>
      </c>
      <c r="BU5" s="54" t="e">
        <f>BC5/K5</f>
        <v>#DIV/0!</v>
      </c>
      <c r="BV5" s="54"/>
      <c r="BW5" s="54">
        <f t="shared" ref="BW5:BW20" si="4">BE5/M5</f>
        <v>2.9909928151102743</v>
      </c>
      <c r="BX5" s="54">
        <f>BF5/E5</f>
        <v>4.7935499241776611</v>
      </c>
    </row>
    <row r="6" spans="2:76" ht="18" customHeight="1" x14ac:dyDescent="0.3">
      <c r="B6" s="14">
        <v>2</v>
      </c>
      <c r="C6" s="53">
        <f>'2. Energy'!O11</f>
        <v>70399.878604290338</v>
      </c>
      <c r="D6" s="53">
        <f>'2. Energy'!P11</f>
        <v>5399.05527702786</v>
      </c>
      <c r="E6" s="53">
        <f>'2. Energy'!Q11</f>
        <v>65000.823327262478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42500.823327262478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91350.286367652952</v>
      </c>
      <c r="AE6" s="53">
        <f t="shared" ref="AE6:AE28" si="6">W6+X6+Y6+Z6+AA6+AB6+AC6+AD6</f>
        <v>165443.68557139783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7688.5594683192921</v>
      </c>
      <c r="AN6" s="53">
        <f t="shared" ref="AN6:AN28" si="7">AF6+AG6+AH6+AI6+AJ6+AK6+AL6+AM6</f>
        <v>28095.961173686614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91350.286367652952</v>
      </c>
      <c r="AW6" s="53">
        <f t="shared" ref="AW6:AW28" si="9">AO6+AP6+AQ6+AR6+AS6+AT6+AU6+AV6</f>
        <v>261411.96724571398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99038.845835972243</v>
      </c>
      <c r="BF6" s="53">
        <f t="shared" ref="BF6:BF28" si="17">AX6+AY6+AZ6+BA6+BB6+BC6+BD6+BE6</f>
        <v>289507.92841940059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2.1493768641666668</v>
      </c>
      <c r="BO6" s="54">
        <f>AW6/E6</f>
        <v>4.0216716322125912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2.3302806412327315</v>
      </c>
      <c r="BX6" s="54">
        <f t="shared" ref="BX6:BX28" si="21">BF6/E6</f>
        <v>4.4539117137301849</v>
      </c>
    </row>
    <row r="7" spans="2:76" ht="18" customHeight="1" x14ac:dyDescent="0.3">
      <c r="B7" s="14">
        <v>3</v>
      </c>
      <c r="C7" s="53">
        <f>'2. Energy'!O12</f>
        <v>67615.569201349979</v>
      </c>
      <c r="D7" s="53">
        <f>'2. Energy'!P12</f>
        <v>5352.319149428733</v>
      </c>
      <c r="E7" s="53">
        <f>'2. Energy'!Q12</f>
        <v>62263.250051921248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39763.250051921248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66332.083049409164</v>
      </c>
      <c r="AE7" s="53">
        <f t="shared" si="6"/>
        <v>140425.48225315404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5582.885237275691</v>
      </c>
      <c r="AN7" s="53">
        <f t="shared" si="7"/>
        <v>25990.286942643012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66332.083049409164</v>
      </c>
      <c r="AW7" s="53">
        <f t="shared" si="9"/>
        <v>236393.76392747019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71914.96828668486</v>
      </c>
      <c r="BF7" s="53">
        <f t="shared" si="17"/>
        <v>262384.05087011319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1.6681755883333331</v>
      </c>
      <c r="BO7" s="54">
        <f t="shared" ref="BO7:BO28" si="22">AW7/E7</f>
        <v>3.7966820512957762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1.8085787301787755</v>
      </c>
      <c r="BX7" s="54">
        <f t="shared" si="21"/>
        <v>4.2141078509604215</v>
      </c>
    </row>
    <row r="8" spans="2:76" ht="18" customHeight="1" x14ac:dyDescent="0.3">
      <c r="B8" s="14">
        <v>4</v>
      </c>
      <c r="C8" s="53">
        <f>'2. Energy'!O13</f>
        <v>65601.133866492281</v>
      </c>
      <c r="D8" s="53">
        <f>'2. Energy'!P13</f>
        <v>5354.9834390936576</v>
      </c>
      <c r="E8" s="53">
        <f>'2. Energy'!Q13</f>
        <v>60246.150427398621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37746.150427398621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53945.875368234185</v>
      </c>
      <c r="AE8" s="53">
        <f t="shared" si="6"/>
        <v>128039.27457197904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4540.391577645647</v>
      </c>
      <c r="AN8" s="53">
        <f t="shared" si="7"/>
        <v>24947.793283012965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53945.875368234185</v>
      </c>
      <c r="AW8" s="53">
        <f t="shared" si="9"/>
        <v>224007.55624629519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58486.266945879834</v>
      </c>
      <c r="BF8" s="53">
        <f t="shared" si="17"/>
        <v>248955.34952930815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1.4291755518749998</v>
      </c>
      <c r="BO8" s="54">
        <f t="shared" si="22"/>
        <v>3.7182053070136329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1.5494630918290062</v>
      </c>
      <c r="BX8" s="54">
        <f t="shared" si="21"/>
        <v>4.1323030229013398</v>
      </c>
    </row>
    <row r="9" spans="2:76" ht="18" customHeight="1" x14ac:dyDescent="0.3">
      <c r="B9" s="14">
        <v>5</v>
      </c>
      <c r="C9" s="53">
        <f>'2. Energy'!O14</f>
        <v>65231.192340515117</v>
      </c>
      <c r="D9" s="53">
        <f>'2. Energy'!P14</f>
        <v>5335.4441945005701</v>
      </c>
      <c r="E9" s="53">
        <f>'2. Energy'!Q14</f>
        <v>59895.74814601455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37395.74814601455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87468.584562776829</v>
      </c>
      <c r="AE9" s="53">
        <f t="shared" si="6"/>
        <v>161561.98376652168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7361.8533751937821</v>
      </c>
      <c r="AN9" s="53">
        <f t="shared" si="7"/>
        <v>27769.255080561103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87468.584562776829</v>
      </c>
      <c r="AW9" s="53">
        <f t="shared" si="9"/>
        <v>257530.26544083783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94830.437937970608</v>
      </c>
      <c r="BF9" s="53">
        <f t="shared" si="17"/>
        <v>285299.52052139892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2.3389981187499997</v>
      </c>
      <c r="BO9" s="54">
        <f t="shared" si="22"/>
        <v>4.2996418512550765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2.5358614986842336</v>
      </c>
      <c r="BX9" s="54">
        <f t="shared" si="21"/>
        <v>4.7632683346051952</v>
      </c>
    </row>
    <row r="10" spans="2:76" ht="18" customHeight="1" x14ac:dyDescent="0.3">
      <c r="B10" s="14">
        <v>6</v>
      </c>
      <c r="C10" s="53">
        <f>'2. Energy'!O15</f>
        <v>67420.572230818405</v>
      </c>
      <c r="D10" s="53">
        <f>'2. Energy'!P15</f>
        <v>5433.4412580999997</v>
      </c>
      <c r="E10" s="53">
        <f>'2. Energy'!Q15</f>
        <v>61987.130972718405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20000</v>
      </c>
      <c r="K10" s="53">
        <f>'3. Nomination'!AB11</f>
        <v>0</v>
      </c>
      <c r="L10" s="53">
        <f>'3. Nomination'!AC11</f>
        <v>0</v>
      </c>
      <c r="M10" s="53">
        <f>'3. Nomination'!AD11</f>
        <v>19487.130972718405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123628</v>
      </c>
      <c r="AB10" s="53">
        <f>K10*'1. Rates'!H$56</f>
        <v>0</v>
      </c>
      <c r="AC10" s="53">
        <f>L10*'1. Rates'!Q46</f>
        <v>0</v>
      </c>
      <c r="AD10" s="53">
        <f>M10*'2. Energy'!N15</f>
        <v>64187.39742123348</v>
      </c>
      <c r="AE10" s="53">
        <f t="shared" si="6"/>
        <v>261908.79662497833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5402.3763013024218</v>
      </c>
      <c r="AN10" s="53">
        <f t="shared" si="7"/>
        <v>25809.778006669741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123628</v>
      </c>
      <c r="AT10" s="53">
        <f t="shared" si="0"/>
        <v>23081</v>
      </c>
      <c r="AU10" s="53">
        <f t="shared" si="0"/>
        <v>0</v>
      </c>
      <c r="AV10" s="53">
        <f t="shared" si="0"/>
        <v>64187.39742123348</v>
      </c>
      <c r="AW10" s="53">
        <f t="shared" si="9"/>
        <v>357877.07829929446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123628</v>
      </c>
      <c r="BC10" s="53">
        <f t="shared" si="14"/>
        <v>25850.720000000001</v>
      </c>
      <c r="BD10" s="53">
        <f t="shared" si="15"/>
        <v>0</v>
      </c>
      <c r="BE10" s="53">
        <f t="shared" si="16"/>
        <v>69589.773722535901</v>
      </c>
      <c r="BF10" s="53">
        <f t="shared" si="17"/>
        <v>383686.85630596429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>
        <f t="shared" si="2"/>
        <v>6.1814</v>
      </c>
      <c r="BL10" s="54" t="e">
        <f t="shared" si="2"/>
        <v>#DIV/0!</v>
      </c>
      <c r="BM10" s="54"/>
      <c r="BN10" s="54">
        <f t="shared" si="19"/>
        <v>3.2938351731250002</v>
      </c>
      <c r="BO10" s="54">
        <f t="shared" si="22"/>
        <v>5.7734092977589535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>
        <f t="shared" si="3"/>
        <v>6.1814</v>
      </c>
      <c r="BU10" s="54" t="e">
        <f t="shared" si="3"/>
        <v>#DIV/0!</v>
      </c>
      <c r="BV10" s="54"/>
      <c r="BW10" s="54">
        <f t="shared" si="4"/>
        <v>3.5710630682351443</v>
      </c>
      <c r="BX10" s="54">
        <f t="shared" si="21"/>
        <v>6.1897824642800687</v>
      </c>
    </row>
    <row r="11" spans="2:76" ht="18" customHeight="1" x14ac:dyDescent="0.3">
      <c r="B11" s="14">
        <v>7</v>
      </c>
      <c r="C11" s="53">
        <f>'2. Energy'!O16</f>
        <v>70140.082345826464</v>
      </c>
      <c r="D11" s="53">
        <f>'2. Energy'!P16</f>
        <v>6037.6709704999985</v>
      </c>
      <c r="E11" s="53">
        <f>'2. Energy'!Q16</f>
        <v>64102.411375326468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20000</v>
      </c>
      <c r="K11" s="53">
        <f>'3. Nomination'!AB12</f>
        <v>0</v>
      </c>
      <c r="L11" s="53">
        <f>'3. Nomination'!AC12</f>
        <v>0</v>
      </c>
      <c r="M11" s="53">
        <f>'3. Nomination'!AD12</f>
        <v>21602.411375326468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123628</v>
      </c>
      <c r="AB11" s="53">
        <f>K11*'1. Rates'!H$56</f>
        <v>0</v>
      </c>
      <c r="AC11" s="53">
        <f>L11*'1. Rates'!Q47</f>
        <v>0</v>
      </c>
      <c r="AD11" s="53">
        <f>M11*'2. Energy'!N16</f>
        <v>66890.363133848601</v>
      </c>
      <c r="AE11" s="53">
        <f t="shared" si="6"/>
        <v>264611.76233759348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5629.8732632564261</v>
      </c>
      <c r="AN11" s="53">
        <f t="shared" si="7"/>
        <v>26037.274968623744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123628</v>
      </c>
      <c r="AT11" s="53">
        <f t="shared" si="0"/>
        <v>23081</v>
      </c>
      <c r="AU11" s="53">
        <f t="shared" si="0"/>
        <v>0</v>
      </c>
      <c r="AV11" s="53">
        <f t="shared" si="0"/>
        <v>66890.363133848601</v>
      </c>
      <c r="AW11" s="53">
        <f t="shared" si="9"/>
        <v>360580.04401190957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123628</v>
      </c>
      <c r="BC11" s="53">
        <f t="shared" si="14"/>
        <v>25850.720000000001</v>
      </c>
      <c r="BD11" s="53">
        <f t="shared" si="15"/>
        <v>0</v>
      </c>
      <c r="BE11" s="53">
        <f t="shared" si="16"/>
        <v>72520.236397105022</v>
      </c>
      <c r="BF11" s="53">
        <f t="shared" si="17"/>
        <v>386617.3189805334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>
        <f t="shared" si="2"/>
        <v>6.1814</v>
      </c>
      <c r="BL11" s="54" t="e">
        <f t="shared" si="2"/>
        <v>#DIV/0!</v>
      </c>
      <c r="BM11" s="54"/>
      <c r="BN11" s="54">
        <f t="shared" si="19"/>
        <v>3.0964303924999999</v>
      </c>
      <c r="BO11" s="54">
        <f t="shared" si="22"/>
        <v>5.6250620885488205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>
        <f t="shared" si="3"/>
        <v>6.1814</v>
      </c>
      <c r="BU11" s="54" t="e">
        <f t="shared" si="3"/>
        <v>#DIV/0!</v>
      </c>
      <c r="BV11" s="54"/>
      <c r="BW11" s="54">
        <f t="shared" si="4"/>
        <v>3.3570435789374486</v>
      </c>
      <c r="BX11" s="54">
        <f t="shared" si="21"/>
        <v>6.0312445458072972</v>
      </c>
    </row>
    <row r="12" spans="2:76" ht="18" customHeight="1" x14ac:dyDescent="0.3">
      <c r="B12" s="14">
        <v>8</v>
      </c>
      <c r="C12" s="53">
        <f>'2. Energy'!O17</f>
        <v>77567.042234120367</v>
      </c>
      <c r="D12" s="53">
        <f>'2. Energy'!P17</f>
        <v>7337.8936213258748</v>
      </c>
      <c r="E12" s="53">
        <f>'2. Energy'!Q17</f>
        <v>70229.148612794495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20000</v>
      </c>
      <c r="K12" s="53">
        <f>'3. Nomination'!AB13</f>
        <v>0</v>
      </c>
      <c r="L12" s="53">
        <f>'3. Nomination'!AC13</f>
        <v>0</v>
      </c>
      <c r="M12" s="53">
        <f>'3. Nomination'!AD13</f>
        <v>27729.148612794495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123628</v>
      </c>
      <c r="AB12" s="53">
        <f>K12*'1. Rates'!H$56</f>
        <v>0</v>
      </c>
      <c r="AC12" s="53">
        <f>L12*'1. Rates'!Q48</f>
        <v>0</v>
      </c>
      <c r="AD12" s="53">
        <f>M12*'2. Energy'!N17</f>
        <v>80053.919546022589</v>
      </c>
      <c r="AE12" s="53">
        <f t="shared" si="6"/>
        <v>277775.31874976744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6737.7930116658126</v>
      </c>
      <c r="AN12" s="53">
        <f t="shared" si="7"/>
        <v>27145.194717033133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123628</v>
      </c>
      <c r="AT12" s="53">
        <f t="shared" si="0"/>
        <v>23081</v>
      </c>
      <c r="AU12" s="53">
        <f t="shared" si="0"/>
        <v>0</v>
      </c>
      <c r="AV12" s="53">
        <f t="shared" si="0"/>
        <v>80053.919546022589</v>
      </c>
      <c r="AW12" s="53">
        <f t="shared" si="9"/>
        <v>373743.60042408359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123628</v>
      </c>
      <c r="BC12" s="53">
        <f t="shared" si="14"/>
        <v>25850.720000000001</v>
      </c>
      <c r="BD12" s="53">
        <f t="shared" si="15"/>
        <v>0</v>
      </c>
      <c r="BE12" s="53">
        <f t="shared" si="16"/>
        <v>86791.712557688399</v>
      </c>
      <c r="BF12" s="53">
        <f t="shared" si="17"/>
        <v>400888.79514111677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>
        <f t="shared" si="2"/>
        <v>6.1814</v>
      </c>
      <c r="BL12" s="54" t="e">
        <f t="shared" si="2"/>
        <v>#DIV/0!</v>
      </c>
      <c r="BM12" s="54"/>
      <c r="BN12" s="54">
        <f t="shared" si="19"/>
        <v>2.8869952216666666</v>
      </c>
      <c r="BO12" s="54">
        <f t="shared" si="22"/>
        <v>5.32177319256287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>
        <f t="shared" si="3"/>
        <v>6.1814</v>
      </c>
      <c r="BU12" s="54" t="e">
        <f t="shared" si="3"/>
        <v>#DIV/0!</v>
      </c>
      <c r="BV12" s="54"/>
      <c r="BW12" s="54">
        <f t="shared" si="4"/>
        <v>3.1299811533932878</v>
      </c>
      <c r="BX12" s="54">
        <f t="shared" si="21"/>
        <v>5.7082963849013826</v>
      </c>
    </row>
    <row r="13" spans="2:76" ht="18" customHeight="1" x14ac:dyDescent="0.3">
      <c r="B13" s="14">
        <v>9</v>
      </c>
      <c r="C13" s="53">
        <f>'2. Energy'!O18</f>
        <v>90758.967916004651</v>
      </c>
      <c r="D13" s="53">
        <f>'2. Energy'!P18</f>
        <v>9389.6659820406439</v>
      </c>
      <c r="E13" s="53">
        <f>'2. Energy'!Q18</f>
        <v>81369.301933964001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20000</v>
      </c>
      <c r="K13" s="53">
        <f>'3. Nomination'!AB14</f>
        <v>10000</v>
      </c>
      <c r="L13" s="53">
        <f>'3. Nomination'!AC14</f>
        <v>0</v>
      </c>
      <c r="M13" s="53">
        <f>'3. Nomination'!AD14</f>
        <v>28869.301933964001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123628</v>
      </c>
      <c r="AB13" s="53">
        <f>K13*'1. Rates'!H$56</f>
        <v>34702.174591513132</v>
      </c>
      <c r="AC13" s="53">
        <f>L13*'1. Rates'!Q49</f>
        <v>0</v>
      </c>
      <c r="AD13" s="53">
        <f>M13*'2. Energy'!N18</f>
        <v>96327.039439654152</v>
      </c>
      <c r="AE13" s="53">
        <f t="shared" si="6"/>
        <v>328750.61323491216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6933.9809509815759</v>
      </c>
      <c r="AL13" s="53">
        <f>(T13+AC13)*'1. Rates'!$I$60</f>
        <v>0</v>
      </c>
      <c r="AM13" s="53">
        <f>(U13+AD13)*'1. Rates'!$J$60</f>
        <v>8107.4313019468573</v>
      </c>
      <c r="AN13" s="53">
        <f t="shared" si="7"/>
        <v>32679.093958295751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123628</v>
      </c>
      <c r="AT13" s="53">
        <f t="shared" si="0"/>
        <v>57783.174591513132</v>
      </c>
      <c r="AU13" s="53">
        <f t="shared" si="0"/>
        <v>0</v>
      </c>
      <c r="AV13" s="53">
        <f t="shared" si="0"/>
        <v>96327.039439654152</v>
      </c>
      <c r="AW13" s="53">
        <f t="shared" si="9"/>
        <v>424718.89490922826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123628</v>
      </c>
      <c r="BC13" s="53">
        <f t="shared" si="14"/>
        <v>64717.155542494707</v>
      </c>
      <c r="BD13" s="53">
        <f t="shared" si="15"/>
        <v>0</v>
      </c>
      <c r="BE13" s="53">
        <f t="shared" si="16"/>
        <v>104434.47074160101</v>
      </c>
      <c r="BF13" s="53">
        <f t="shared" si="17"/>
        <v>457397.98886752408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>
        <f t="shared" si="2"/>
        <v>6.1814</v>
      </c>
      <c r="BL13" s="54">
        <f t="shared" si="2"/>
        <v>5.7783174591513129</v>
      </c>
      <c r="BM13" s="54"/>
      <c r="BN13" s="54">
        <f t="shared" si="19"/>
        <v>3.3366598077083336</v>
      </c>
      <c r="BO13" s="54">
        <f t="shared" si="22"/>
        <v>5.2196453062103538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>
        <f t="shared" si="3"/>
        <v>6.1814</v>
      </c>
      <c r="BU13" s="54">
        <f t="shared" si="3"/>
        <v>6.4717155542494709</v>
      </c>
      <c r="BV13" s="54"/>
      <c r="BW13" s="54">
        <f t="shared" si="4"/>
        <v>3.6174920675423916</v>
      </c>
      <c r="BX13" s="54">
        <f t="shared" si="21"/>
        <v>5.621259836279898</v>
      </c>
    </row>
    <row r="14" spans="2:76" ht="18" customHeight="1" x14ac:dyDescent="0.3">
      <c r="B14" s="14">
        <v>10</v>
      </c>
      <c r="C14" s="53">
        <f>'2. Energy'!O19</f>
        <v>104068.34707664626</v>
      </c>
      <c r="D14" s="53">
        <f>'2. Energy'!P19</f>
        <v>15319.748023146494</v>
      </c>
      <c r="E14" s="53">
        <f>'2. Energy'!Q19</f>
        <v>88748.599053499755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20000</v>
      </c>
      <c r="K14" s="53">
        <f>'3. Nomination'!AB15</f>
        <v>10000</v>
      </c>
      <c r="L14" s="53">
        <f>'3. Nomination'!AC15</f>
        <v>0</v>
      </c>
      <c r="M14" s="53">
        <f>'3. Nomination'!AD15</f>
        <v>36248.599053499755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123628</v>
      </c>
      <c r="AB14" s="53">
        <f>K14*'1. Rates'!H$56</f>
        <v>34702.174591513132</v>
      </c>
      <c r="AC14" s="53">
        <f>L14*'1. Rates'!Q50</f>
        <v>0</v>
      </c>
      <c r="AD14" s="53">
        <f>M14*'2. Energy'!N19</f>
        <v>128367.6465386694</v>
      </c>
      <c r="AE14" s="53">
        <f t="shared" si="6"/>
        <v>360791.22033392743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6933.9809509815759</v>
      </c>
      <c r="AL14" s="53">
        <f>(T14+AC14)*'1. Rates'!$I$60</f>
        <v>0</v>
      </c>
      <c r="AM14" s="53">
        <f>(U14+AD14)*'1. Rates'!$J$60</f>
        <v>10804.150960715906</v>
      </c>
      <c r="AN14" s="53">
        <f t="shared" si="7"/>
        <v>35375.813617064799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123628</v>
      </c>
      <c r="AT14" s="53">
        <f t="shared" si="0"/>
        <v>57783.174591513132</v>
      </c>
      <c r="AU14" s="53">
        <f t="shared" si="0"/>
        <v>0</v>
      </c>
      <c r="AV14" s="53">
        <f t="shared" si="0"/>
        <v>128367.6465386694</v>
      </c>
      <c r="AW14" s="53">
        <f t="shared" si="9"/>
        <v>456759.50200824352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123628</v>
      </c>
      <c r="BC14" s="53">
        <f t="shared" si="14"/>
        <v>64717.155542494707</v>
      </c>
      <c r="BD14" s="53">
        <f t="shared" si="15"/>
        <v>0</v>
      </c>
      <c r="BE14" s="53">
        <f t="shared" si="16"/>
        <v>139171.79749938531</v>
      </c>
      <c r="BF14" s="53">
        <f t="shared" si="17"/>
        <v>492135.31562530837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>
        <f t="shared" si="2"/>
        <v>6.1814</v>
      </c>
      <c r="BL14" s="54">
        <f t="shared" si="2"/>
        <v>5.7783174591513129</v>
      </c>
      <c r="BM14" s="54"/>
      <c r="BN14" s="54">
        <f t="shared" si="19"/>
        <v>3.5413133166666664</v>
      </c>
      <c r="BO14" s="54">
        <f t="shared" si="22"/>
        <v>5.1466671798717423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>
        <f t="shared" si="3"/>
        <v>6.1814</v>
      </c>
      <c r="BU14" s="54">
        <f t="shared" si="3"/>
        <v>6.4717155542494709</v>
      </c>
      <c r="BV14" s="54"/>
      <c r="BW14" s="54">
        <f t="shared" si="4"/>
        <v>3.8393703793622462</v>
      </c>
      <c r="BX14" s="54">
        <f t="shared" si="21"/>
        <v>5.5452741888200121</v>
      </c>
    </row>
    <row r="15" spans="2:76" ht="18" customHeight="1" x14ac:dyDescent="0.3">
      <c r="B15" s="14">
        <v>11</v>
      </c>
      <c r="C15" s="53">
        <f>'2. Energy'!O20</f>
        <v>107396.21185873465</v>
      </c>
      <c r="D15" s="53">
        <f>'2. Energy'!P20</f>
        <v>15709.798054999999</v>
      </c>
      <c r="E15" s="53">
        <f>'2. Energy'!Q20</f>
        <v>91686.413803734642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20000</v>
      </c>
      <c r="K15" s="53">
        <f>'3. Nomination'!AB16</f>
        <v>10000</v>
      </c>
      <c r="L15" s="53">
        <f>'3. Nomination'!AC16</f>
        <v>0</v>
      </c>
      <c r="M15" s="53">
        <f>'3. Nomination'!AD16</f>
        <v>39186.413803734642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123628</v>
      </c>
      <c r="AB15" s="53">
        <f>K15*'1. Rates'!H$56</f>
        <v>34702.174591513132</v>
      </c>
      <c r="AC15" s="53">
        <f>L15*'1. Rates'!Q51</f>
        <v>0</v>
      </c>
      <c r="AD15" s="53">
        <f>M15*'2. Energy'!N20</f>
        <v>133056.52456786644</v>
      </c>
      <c r="AE15" s="53">
        <f t="shared" si="6"/>
        <v>365480.09836312442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6933.9809509815759</v>
      </c>
      <c r="AL15" s="53">
        <f>(T15+AC15)*'1. Rates'!$I$60</f>
        <v>0</v>
      </c>
      <c r="AM15" s="53">
        <f>(U15+AD15)*'1. Rates'!$J$60</f>
        <v>11198.793594041495</v>
      </c>
      <c r="AN15" s="53">
        <f t="shared" si="7"/>
        <v>35770.456250390387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123628</v>
      </c>
      <c r="AT15" s="53">
        <f t="shared" si="0"/>
        <v>57783.174591513132</v>
      </c>
      <c r="AU15" s="53">
        <f t="shared" si="0"/>
        <v>0</v>
      </c>
      <c r="AV15" s="53">
        <f t="shared" si="0"/>
        <v>133056.52456786644</v>
      </c>
      <c r="AW15" s="53">
        <f t="shared" si="9"/>
        <v>461448.38003744057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123628</v>
      </c>
      <c r="BC15" s="53">
        <f t="shared" si="14"/>
        <v>64717.155542494707</v>
      </c>
      <c r="BD15" s="53">
        <f t="shared" si="15"/>
        <v>0</v>
      </c>
      <c r="BE15" s="53">
        <f t="shared" si="16"/>
        <v>144255.31816190793</v>
      </c>
      <c r="BF15" s="53">
        <f t="shared" si="17"/>
        <v>497218.83628783096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>
        <f t="shared" si="2"/>
        <v>6.1814</v>
      </c>
      <c r="BL15" s="54">
        <f t="shared" si="2"/>
        <v>5.7783174591513129</v>
      </c>
      <c r="BM15" s="54"/>
      <c r="BN15" s="54">
        <f t="shared" si="19"/>
        <v>3.3954759227083331</v>
      </c>
      <c r="BO15" s="54">
        <f t="shared" si="22"/>
        <v>5.0328981240909272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>
        <f t="shared" si="3"/>
        <v>6.1814</v>
      </c>
      <c r="BU15" s="54">
        <f t="shared" si="3"/>
        <v>6.4717155542494709</v>
      </c>
      <c r="BV15" s="54"/>
      <c r="BW15" s="54">
        <f t="shared" si="4"/>
        <v>3.6812584811769571</v>
      </c>
      <c r="BX15" s="54">
        <f t="shared" si="21"/>
        <v>5.4230372381254357</v>
      </c>
    </row>
    <row r="16" spans="2:76" ht="18" customHeight="1" x14ac:dyDescent="0.3">
      <c r="B16" s="14">
        <v>12</v>
      </c>
      <c r="C16" s="53">
        <f>'2. Energy'!O21</f>
        <v>108246.49295518784</v>
      </c>
      <c r="D16" s="53">
        <f>'2. Energy'!P21</f>
        <v>15593.906354104376</v>
      </c>
      <c r="E16" s="53">
        <f>'2. Energy'!Q21</f>
        <v>92652.586601083472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20000</v>
      </c>
      <c r="K16" s="53">
        <f>'3. Nomination'!AB17</f>
        <v>10000</v>
      </c>
      <c r="L16" s="53">
        <f>'3. Nomination'!AC17</f>
        <v>0</v>
      </c>
      <c r="M16" s="53">
        <f>'3. Nomination'!AD17</f>
        <v>40152.586601083472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123628</v>
      </c>
      <c r="AB16" s="53">
        <f>K16*'1. Rates'!H$56</f>
        <v>34702.174591513132</v>
      </c>
      <c r="AC16" s="53">
        <f>L16*'1. Rates'!Q52</f>
        <v>0</v>
      </c>
      <c r="AD16" s="53">
        <f>M16*'2. Energy'!N21</f>
        <v>114621.28061463955</v>
      </c>
      <c r="AE16" s="53">
        <f t="shared" si="6"/>
        <v>347044.85440989758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6933.9809509815759</v>
      </c>
      <c r="AL16" s="53">
        <f>(T16+AC16)*'1. Rates'!$I$60</f>
        <v>0</v>
      </c>
      <c r="AM16" s="53">
        <f>(U16+AD16)*'1. Rates'!$J$60</f>
        <v>9647.1786502535488</v>
      </c>
      <c r="AN16" s="53">
        <f t="shared" si="7"/>
        <v>34218.841306602444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123628</v>
      </c>
      <c r="AT16" s="53">
        <f t="shared" si="0"/>
        <v>57783.174591513132</v>
      </c>
      <c r="AU16" s="53">
        <f t="shared" si="0"/>
        <v>0</v>
      </c>
      <c r="AV16" s="53">
        <f t="shared" si="0"/>
        <v>114621.28061463955</v>
      </c>
      <c r="AW16" s="53">
        <f t="shared" si="9"/>
        <v>443013.13608421362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123628</v>
      </c>
      <c r="BC16" s="53">
        <f t="shared" si="14"/>
        <v>64717.155542494707</v>
      </c>
      <c r="BD16" s="53">
        <f t="shared" si="15"/>
        <v>0</v>
      </c>
      <c r="BE16" s="53">
        <f t="shared" si="16"/>
        <v>124268.4592648931</v>
      </c>
      <c r="BF16" s="53">
        <f t="shared" si="17"/>
        <v>477231.97739081614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>
        <f t="shared" si="2"/>
        <v>6.1814</v>
      </c>
      <c r="BL16" s="54">
        <f t="shared" si="2"/>
        <v>5.7783174591513129</v>
      </c>
      <c r="BM16" s="54"/>
      <c r="BN16" s="54">
        <f t="shared" si="19"/>
        <v>2.8546425104166668</v>
      </c>
      <c r="BO16" s="54">
        <f t="shared" si="22"/>
        <v>4.7814438035239162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>
        <f t="shared" si="3"/>
        <v>6.1814</v>
      </c>
      <c r="BU16" s="54">
        <f t="shared" si="3"/>
        <v>6.4717155542494709</v>
      </c>
      <c r="BV16" s="54"/>
      <c r="BW16" s="54">
        <f t="shared" si="4"/>
        <v>3.0949054540247189</v>
      </c>
      <c r="BX16" s="54">
        <f t="shared" si="21"/>
        <v>5.150767991459781</v>
      </c>
    </row>
    <row r="17" spans="2:76" ht="18" customHeight="1" x14ac:dyDescent="0.3">
      <c r="B17" s="14">
        <v>13</v>
      </c>
      <c r="C17" s="53">
        <f>'2. Energy'!O22</f>
        <v>107400.16659224691</v>
      </c>
      <c r="D17" s="53">
        <f>'2. Energy'!P22</f>
        <v>15502.267193208847</v>
      </c>
      <c r="E17" s="53">
        <f>'2. Energy'!Q22</f>
        <v>91897.89939903807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20000</v>
      </c>
      <c r="K17" s="53">
        <f>'3. Nomination'!AB18</f>
        <v>10000</v>
      </c>
      <c r="L17" s="53">
        <f>'3. Nomination'!AC18</f>
        <v>0</v>
      </c>
      <c r="M17" s="53">
        <f>'3. Nomination'!AD18</f>
        <v>39397.89939903807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123628</v>
      </c>
      <c r="AB17" s="53">
        <f>K17*'1. Rates'!H$56</f>
        <v>34702.174591513132</v>
      </c>
      <c r="AC17" s="53">
        <f>L17*'1. Rates'!Q53</f>
        <v>0</v>
      </c>
      <c r="AD17" s="53">
        <f>M17*'2. Energy'!N22</f>
        <v>123439.61072058744</v>
      </c>
      <c r="AE17" s="53">
        <f t="shared" si="6"/>
        <v>355863.18451584544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6933.9809509815759</v>
      </c>
      <c r="AL17" s="53">
        <f>(T17+AC17)*'1. Rates'!$I$60</f>
        <v>0</v>
      </c>
      <c r="AM17" s="53">
        <f>(U17+AD17)*'1. Rates'!$J$60</f>
        <v>10389.379448157766</v>
      </c>
      <c r="AN17" s="53">
        <f t="shared" si="7"/>
        <v>34961.042104506661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123628</v>
      </c>
      <c r="AT17" s="53">
        <f t="shared" si="0"/>
        <v>57783.174591513132</v>
      </c>
      <c r="AU17" s="53">
        <f t="shared" si="0"/>
        <v>0</v>
      </c>
      <c r="AV17" s="53">
        <f t="shared" si="0"/>
        <v>123439.61072058744</v>
      </c>
      <c r="AW17" s="53">
        <f t="shared" si="9"/>
        <v>451831.46619016153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123628</v>
      </c>
      <c r="BC17" s="53">
        <f t="shared" si="14"/>
        <v>64717.155542494707</v>
      </c>
      <c r="BD17" s="53">
        <f t="shared" si="15"/>
        <v>0</v>
      </c>
      <c r="BE17" s="53">
        <f t="shared" si="16"/>
        <v>133828.99016874522</v>
      </c>
      <c r="BF17" s="53">
        <f t="shared" si="17"/>
        <v>486792.50829466828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>
        <f t="shared" si="2"/>
        <v>6.1814</v>
      </c>
      <c r="BL17" s="54">
        <f t="shared" si="2"/>
        <v>5.7783174591513129</v>
      </c>
      <c r="BM17" s="54"/>
      <c r="BN17" s="54">
        <f t="shared" si="19"/>
        <v>3.133152086875</v>
      </c>
      <c r="BO17" s="54">
        <f t="shared" si="22"/>
        <v>4.9166680538390093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>
        <f t="shared" si="3"/>
        <v>6.1814</v>
      </c>
      <c r="BU17" s="54">
        <f t="shared" si="3"/>
        <v>6.4717155542494709</v>
      </c>
      <c r="BV17" s="54"/>
      <c r="BW17" s="54">
        <f t="shared" si="4"/>
        <v>3.3968559798904598</v>
      </c>
      <c r="BX17" s="54">
        <f t="shared" si="21"/>
        <v>5.2971015820603595</v>
      </c>
    </row>
    <row r="18" spans="2:76" ht="18" customHeight="1" x14ac:dyDescent="0.3">
      <c r="B18" s="14">
        <v>14</v>
      </c>
      <c r="C18" s="53">
        <f>'2. Energy'!O23</f>
        <v>112290.56284430568</v>
      </c>
      <c r="D18" s="53">
        <f>'2. Energy'!P23</f>
        <v>15472.980340149996</v>
      </c>
      <c r="E18" s="53">
        <f>'2. Energy'!Q23</f>
        <v>96817.582504155682</v>
      </c>
      <c r="F18" s="53">
        <f>'3. Nomination'!W19</f>
        <v>20000</v>
      </c>
      <c r="G18" s="53">
        <f>'3. Nomination'!X19</f>
        <v>5000</v>
      </c>
      <c r="H18" s="53">
        <f>'3. Nomination'!Y19</f>
        <v>10000</v>
      </c>
      <c r="I18" s="53">
        <f>'3. Nomination'!Z19</f>
        <v>10000</v>
      </c>
      <c r="J18" s="53">
        <f>'3. Nomination'!AA19</f>
        <v>20000</v>
      </c>
      <c r="K18" s="53">
        <f>'3. Nomination'!AB19</f>
        <v>10000</v>
      </c>
      <c r="L18" s="53">
        <f>'3. Nomination'!AC19</f>
        <v>0</v>
      </c>
      <c r="M18" s="53">
        <f>'3. Nomination'!AD19</f>
        <v>21817.582504155682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65654.455917746949</v>
      </c>
      <c r="X18" s="53">
        <f>G18*'1. Rates'!D$56</f>
        <v>16413.613979436737</v>
      </c>
      <c r="Y18" s="53">
        <f>H18*'1. Rates'!E$56</f>
        <v>33059.364255153028</v>
      </c>
      <c r="Z18" s="53">
        <f>I18*'1. Rates'!F$56</f>
        <v>33059.364255153028</v>
      </c>
      <c r="AA18" s="53">
        <f>J18*'1. Rates'!G$56</f>
        <v>123628</v>
      </c>
      <c r="AB18" s="53">
        <f>K18*'1. Rates'!H$56</f>
        <v>34702.174591513132</v>
      </c>
      <c r="AC18" s="53">
        <f>L18*'1. Rates'!Q54</f>
        <v>0</v>
      </c>
      <c r="AD18" s="53">
        <f>M18*'2. Energy'!N23</f>
        <v>92853.602298789294</v>
      </c>
      <c r="AE18" s="53">
        <f t="shared" si="6"/>
        <v>399370.57529779215</v>
      </c>
      <c r="AF18" s="53">
        <f>(N18+W18)*'1. Rates'!C$60</f>
        <v>11757.185456398289</v>
      </c>
      <c r="AG18" s="53">
        <f>(O18+X18)*'1. Rates'!D$60</f>
        <v>2939.2963640995722</v>
      </c>
      <c r="AH18" s="53">
        <f>(P18+Y18)*'1. Rates'!E$60</f>
        <v>5889.6838946594207</v>
      </c>
      <c r="AI18" s="53">
        <f>(Q18+Z18)*'1. Rates'!F$60</f>
        <v>5942.7238946594207</v>
      </c>
      <c r="AJ18" s="53">
        <f>(R18+AA18)*'1. Rates'!G$60</f>
        <v>0</v>
      </c>
      <c r="AK18" s="53">
        <f>(S18+AB18)*'1. Rates'!H$60</f>
        <v>6933.9809509815759</v>
      </c>
      <c r="AL18" s="53">
        <f>(T18+AC18)*'1. Rates'!$I$60</f>
        <v>0</v>
      </c>
      <c r="AM18" s="53">
        <f>(U18+AD18)*'1. Rates'!$J$60</f>
        <v>7815.0870841134592</v>
      </c>
      <c r="AN18" s="53">
        <f t="shared" si="7"/>
        <v>41277.957644911738</v>
      </c>
      <c r="AO18" s="53">
        <f t="shared" si="8"/>
        <v>97976.545469985751</v>
      </c>
      <c r="AP18" s="53">
        <f t="shared" si="0"/>
        <v>24494.136367496438</v>
      </c>
      <c r="AQ18" s="53">
        <f t="shared" si="0"/>
        <v>49080.699122161845</v>
      </c>
      <c r="AR18" s="53">
        <f t="shared" si="0"/>
        <v>49522.699122161837</v>
      </c>
      <c r="AS18" s="53">
        <f t="shared" si="0"/>
        <v>123628</v>
      </c>
      <c r="AT18" s="53">
        <f t="shared" si="0"/>
        <v>57783.174591513132</v>
      </c>
      <c r="AU18" s="53">
        <f t="shared" si="0"/>
        <v>0</v>
      </c>
      <c r="AV18" s="53">
        <f t="shared" si="0"/>
        <v>92853.602298789294</v>
      </c>
      <c r="AW18" s="53">
        <f t="shared" si="9"/>
        <v>495338.8569721083</v>
      </c>
      <c r="AX18" s="53">
        <f t="shared" si="10"/>
        <v>109733.73092638404</v>
      </c>
      <c r="AY18" s="53">
        <f t="shared" si="11"/>
        <v>27433.432731596011</v>
      </c>
      <c r="AZ18" s="53">
        <f t="shared" si="12"/>
        <v>54970.383016821266</v>
      </c>
      <c r="BA18" s="53">
        <f t="shared" si="13"/>
        <v>55465.42301682126</v>
      </c>
      <c r="BB18" s="53">
        <f t="shared" si="14"/>
        <v>123628</v>
      </c>
      <c r="BC18" s="53">
        <f t="shared" si="14"/>
        <v>64717.155542494707</v>
      </c>
      <c r="BD18" s="53">
        <f t="shared" si="15"/>
        <v>0</v>
      </c>
      <c r="BE18" s="53">
        <f t="shared" si="16"/>
        <v>100668.68938290275</v>
      </c>
      <c r="BF18" s="53">
        <f t="shared" si="17"/>
        <v>536616.81461702008</v>
      </c>
      <c r="BG18" s="54">
        <f t="shared" si="18"/>
        <v>4.8988272734992879</v>
      </c>
      <c r="BH18" s="54">
        <f t="shared" si="2"/>
        <v>4.8988272734992879</v>
      </c>
      <c r="BI18" s="54">
        <f t="shared" si="2"/>
        <v>4.9080699122161846</v>
      </c>
      <c r="BJ18" s="54">
        <f t="shared" si="2"/>
        <v>4.9522699122161837</v>
      </c>
      <c r="BK18" s="54">
        <f t="shared" si="2"/>
        <v>6.1814</v>
      </c>
      <c r="BL18" s="54">
        <f t="shared" si="2"/>
        <v>5.7783174591513129</v>
      </c>
      <c r="BM18" s="54"/>
      <c r="BN18" s="54">
        <f t="shared" si="19"/>
        <v>4.2559070089962123</v>
      </c>
      <c r="BO18" s="54">
        <f t="shared" si="22"/>
        <v>5.116207657331735</v>
      </c>
      <c r="BP18" s="54">
        <f t="shared" si="20"/>
        <v>5.4866865463192021</v>
      </c>
      <c r="BQ18" s="54">
        <f t="shared" si="3"/>
        <v>5.4866865463192021</v>
      </c>
      <c r="BR18" s="54">
        <f t="shared" si="3"/>
        <v>5.4970383016821263</v>
      </c>
      <c r="BS18" s="54">
        <f t="shared" si="3"/>
        <v>5.546542301682126</v>
      </c>
      <c r="BT18" s="54">
        <f t="shared" si="3"/>
        <v>6.1814</v>
      </c>
      <c r="BU18" s="54">
        <f t="shared" si="3"/>
        <v>6.4717155542494709</v>
      </c>
      <c r="BV18" s="54"/>
      <c r="BW18" s="54">
        <f t="shared" si="4"/>
        <v>4.6141083396259868</v>
      </c>
      <c r="BX18" s="54">
        <f t="shared" si="21"/>
        <v>5.5425553989017127</v>
      </c>
    </row>
    <row r="19" spans="2:76" ht="18" customHeight="1" x14ac:dyDescent="0.3">
      <c r="B19" s="14">
        <v>15</v>
      </c>
      <c r="C19" s="53">
        <f>'2. Energy'!O24</f>
        <v>114622.03735371145</v>
      </c>
      <c r="D19" s="53">
        <f>'2. Energy'!P24</f>
        <v>15345.726499999995</v>
      </c>
      <c r="E19" s="53">
        <f>'2. Energy'!Q24</f>
        <v>99276.31085371146</v>
      </c>
      <c r="F19" s="53">
        <f>'3. Nomination'!W20</f>
        <v>20000</v>
      </c>
      <c r="G19" s="53">
        <f>'3. Nomination'!X20</f>
        <v>5000</v>
      </c>
      <c r="H19" s="53">
        <f>'3. Nomination'!Y20</f>
        <v>10000</v>
      </c>
      <c r="I19" s="53">
        <f>'3. Nomination'!Z20</f>
        <v>10000</v>
      </c>
      <c r="J19" s="53">
        <f>'3. Nomination'!AA20</f>
        <v>20000</v>
      </c>
      <c r="K19" s="53">
        <f>'3. Nomination'!AB20</f>
        <v>10000</v>
      </c>
      <c r="L19" s="53">
        <f>'3. Nomination'!AC20</f>
        <v>0</v>
      </c>
      <c r="M19" s="53">
        <f>'3. Nomination'!AD20</f>
        <v>24276.31085371146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65654.455917746949</v>
      </c>
      <c r="X19" s="53">
        <f>G19*'1. Rates'!D$56</f>
        <v>16413.613979436737</v>
      </c>
      <c r="Y19" s="53">
        <f>H19*'1. Rates'!E$56</f>
        <v>33059.364255153028</v>
      </c>
      <c r="Z19" s="53">
        <f>I19*'1. Rates'!F$56</f>
        <v>33059.364255153028</v>
      </c>
      <c r="AA19" s="53">
        <f>J19*'1. Rates'!G$56</f>
        <v>123628</v>
      </c>
      <c r="AB19" s="53">
        <f>K19*'1. Rates'!H$56</f>
        <v>34702.174591513132</v>
      </c>
      <c r="AC19" s="53">
        <f>L19*'1. Rates'!Q55</f>
        <v>0</v>
      </c>
      <c r="AD19" s="53">
        <f>M19*'2. Energy'!N24</f>
        <v>103450.85478019144</v>
      </c>
      <c r="AE19" s="53">
        <f t="shared" si="6"/>
        <v>409967.82777919428</v>
      </c>
      <c r="AF19" s="53">
        <f>(N19+W19)*'1. Rates'!C$60</f>
        <v>11757.185456398289</v>
      </c>
      <c r="AG19" s="53">
        <f>(O19+X19)*'1. Rates'!D$60</f>
        <v>2939.2963640995722</v>
      </c>
      <c r="AH19" s="53">
        <f>(P19+Y19)*'1. Rates'!E$60</f>
        <v>5889.6838946594207</v>
      </c>
      <c r="AI19" s="53">
        <f>(Q19+Z19)*'1. Rates'!F$60</f>
        <v>5942.7238946594207</v>
      </c>
      <c r="AJ19" s="53">
        <f>(R19+AA19)*'1. Rates'!G$60</f>
        <v>0</v>
      </c>
      <c r="AK19" s="53">
        <f>(S19+AB19)*'1. Rates'!H$60</f>
        <v>6933.9809509815759</v>
      </c>
      <c r="AL19" s="53">
        <f>(T19+AC19)*'1. Rates'!$I$60</f>
        <v>0</v>
      </c>
      <c r="AM19" s="53">
        <f>(U19+AD19)*'1. Rates'!$J$60</f>
        <v>8707.0121031126964</v>
      </c>
      <c r="AN19" s="53">
        <f t="shared" si="7"/>
        <v>42169.882663910976</v>
      </c>
      <c r="AO19" s="53">
        <f t="shared" si="8"/>
        <v>97976.545469985751</v>
      </c>
      <c r="AP19" s="53">
        <f t="shared" si="0"/>
        <v>24494.136367496438</v>
      </c>
      <c r="AQ19" s="53">
        <f t="shared" si="0"/>
        <v>49080.699122161845</v>
      </c>
      <c r="AR19" s="53">
        <f t="shared" si="0"/>
        <v>49522.699122161837</v>
      </c>
      <c r="AS19" s="53">
        <f t="shared" si="0"/>
        <v>123628</v>
      </c>
      <c r="AT19" s="53">
        <f t="shared" si="0"/>
        <v>57783.174591513132</v>
      </c>
      <c r="AU19" s="53">
        <f t="shared" si="0"/>
        <v>0</v>
      </c>
      <c r="AV19" s="53">
        <f t="shared" si="0"/>
        <v>103450.85478019144</v>
      </c>
      <c r="AW19" s="53">
        <f t="shared" si="9"/>
        <v>505936.10945351043</v>
      </c>
      <c r="AX19" s="53">
        <f t="shared" si="10"/>
        <v>109733.73092638404</v>
      </c>
      <c r="AY19" s="53">
        <f t="shared" si="11"/>
        <v>27433.432731596011</v>
      </c>
      <c r="AZ19" s="53">
        <f t="shared" si="12"/>
        <v>54970.383016821266</v>
      </c>
      <c r="BA19" s="53">
        <f t="shared" si="13"/>
        <v>55465.42301682126</v>
      </c>
      <c r="BB19" s="53">
        <f t="shared" si="14"/>
        <v>123628</v>
      </c>
      <c r="BC19" s="53">
        <f t="shared" si="14"/>
        <v>64717.155542494707</v>
      </c>
      <c r="BD19" s="53">
        <f t="shared" si="15"/>
        <v>0</v>
      </c>
      <c r="BE19" s="53">
        <f t="shared" si="16"/>
        <v>112157.86688330413</v>
      </c>
      <c r="BF19" s="53">
        <f t="shared" si="17"/>
        <v>548105.99211742135</v>
      </c>
      <c r="BG19" s="54">
        <f t="shared" si="18"/>
        <v>4.8988272734992879</v>
      </c>
      <c r="BH19" s="54">
        <f t="shared" si="2"/>
        <v>4.8988272734992879</v>
      </c>
      <c r="BI19" s="54">
        <f t="shared" si="2"/>
        <v>4.9080699122161846</v>
      </c>
      <c r="BJ19" s="54">
        <f t="shared" si="2"/>
        <v>4.9522699122161837</v>
      </c>
      <c r="BK19" s="54">
        <f t="shared" si="2"/>
        <v>6.1814</v>
      </c>
      <c r="BL19" s="54">
        <f t="shared" si="2"/>
        <v>5.7783174591513129</v>
      </c>
      <c r="BM19" s="54"/>
      <c r="BN19" s="54">
        <f t="shared" si="19"/>
        <v>4.2613910904166667</v>
      </c>
      <c r="BO19" s="54">
        <f t="shared" si="22"/>
        <v>5.0962420450839705</v>
      </c>
      <c r="BP19" s="54">
        <f t="shared" si="20"/>
        <v>5.4866865463192021</v>
      </c>
      <c r="BQ19" s="54">
        <f t="shared" si="3"/>
        <v>5.4866865463192021</v>
      </c>
      <c r="BR19" s="54">
        <f t="shared" si="3"/>
        <v>5.4970383016821263</v>
      </c>
      <c r="BS19" s="54">
        <f t="shared" si="3"/>
        <v>5.546542301682126</v>
      </c>
      <c r="BT19" s="54">
        <f t="shared" si="3"/>
        <v>6.1814</v>
      </c>
      <c r="BU19" s="54">
        <f t="shared" si="3"/>
        <v>6.4717155542494709</v>
      </c>
      <c r="BV19" s="54"/>
      <c r="BW19" s="54">
        <f t="shared" si="4"/>
        <v>4.6200539925182653</v>
      </c>
      <c r="BX19" s="54">
        <f t="shared" si="21"/>
        <v>5.5210149068198406</v>
      </c>
    </row>
    <row r="20" spans="2:76" ht="18" customHeight="1" x14ac:dyDescent="0.3">
      <c r="B20" s="14">
        <v>16</v>
      </c>
      <c r="C20" s="53">
        <f>'2. Energy'!O25</f>
        <v>114125.50311660639</v>
      </c>
      <c r="D20" s="53">
        <f>'2. Energy'!P25</f>
        <v>15645.280499999995</v>
      </c>
      <c r="E20" s="53">
        <f>'2. Energy'!Q25</f>
        <v>98480.222616606392</v>
      </c>
      <c r="F20" s="53">
        <f>'3. Nomination'!W21</f>
        <v>20000</v>
      </c>
      <c r="G20" s="53">
        <f>'3. Nomination'!X21</f>
        <v>5000</v>
      </c>
      <c r="H20" s="53">
        <f>'3. Nomination'!Y21</f>
        <v>10000</v>
      </c>
      <c r="I20" s="53">
        <f>'3. Nomination'!Z21</f>
        <v>10000</v>
      </c>
      <c r="J20" s="53">
        <f>'3. Nomination'!AA21</f>
        <v>20000</v>
      </c>
      <c r="K20" s="53">
        <f>'3. Nomination'!AB21</f>
        <v>10000</v>
      </c>
      <c r="L20" s="53">
        <f>'3. Nomination'!AC21</f>
        <v>0</v>
      </c>
      <c r="M20" s="53">
        <f>'3. Nomination'!AD21</f>
        <v>23480.222616606392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65654.455917746949</v>
      </c>
      <c r="X20" s="53">
        <f>G20*'1. Rates'!D$56</f>
        <v>16413.613979436737</v>
      </c>
      <c r="Y20" s="53">
        <f>H20*'1. Rates'!E$56</f>
        <v>33059.364255153028</v>
      </c>
      <c r="Z20" s="53">
        <f>I20*'1. Rates'!F$56</f>
        <v>33059.364255153028</v>
      </c>
      <c r="AA20" s="53">
        <f>J20*'1. Rates'!G$56</f>
        <v>123628</v>
      </c>
      <c r="AB20" s="53">
        <f>K20*'1. Rates'!H$56</f>
        <v>34702.174591513132</v>
      </c>
      <c r="AC20" s="53">
        <f>L20*'1. Rates'!Q56</f>
        <v>0</v>
      </c>
      <c r="AD20" s="53">
        <f>M20*'2. Energy'!N25</f>
        <v>118901.03550535245</v>
      </c>
      <c r="AE20" s="53">
        <f t="shared" si="6"/>
        <v>425418.00850435533</v>
      </c>
      <c r="AF20" s="53">
        <f>(N20+W20)*'1. Rates'!C$60</f>
        <v>11757.185456398289</v>
      </c>
      <c r="AG20" s="53">
        <f>(O20+X20)*'1. Rates'!D$60</f>
        <v>2939.2963640995722</v>
      </c>
      <c r="AH20" s="53">
        <f>(P20+Y20)*'1. Rates'!E$60</f>
        <v>5889.6838946594207</v>
      </c>
      <c r="AI20" s="53">
        <f>(Q20+Z20)*'1. Rates'!F$60</f>
        <v>5942.7238946594207</v>
      </c>
      <c r="AJ20" s="53">
        <f>(R20+AA20)*'1. Rates'!G$60</f>
        <v>0</v>
      </c>
      <c r="AK20" s="53">
        <f>(S20+AB20)*'1. Rates'!H$60</f>
        <v>6933.9809509815759</v>
      </c>
      <c r="AL20" s="53">
        <f>(T20+AC20)*'1. Rates'!$I$60</f>
        <v>0</v>
      </c>
      <c r="AM20" s="53">
        <f>(U20+AD20)*'1. Rates'!$J$60</f>
        <v>10007.387154194575</v>
      </c>
      <c r="AN20" s="53">
        <f t="shared" si="7"/>
        <v>43470.257714992855</v>
      </c>
      <c r="AO20" s="53">
        <f t="shared" si="8"/>
        <v>97976.545469985751</v>
      </c>
      <c r="AP20" s="53">
        <f t="shared" si="0"/>
        <v>24494.136367496438</v>
      </c>
      <c r="AQ20" s="53">
        <f t="shared" si="0"/>
        <v>49080.699122161845</v>
      </c>
      <c r="AR20" s="53">
        <f t="shared" si="0"/>
        <v>49522.699122161837</v>
      </c>
      <c r="AS20" s="53">
        <f t="shared" si="0"/>
        <v>123628</v>
      </c>
      <c r="AT20" s="53">
        <f t="shared" si="0"/>
        <v>57783.174591513132</v>
      </c>
      <c r="AU20" s="53">
        <f t="shared" si="0"/>
        <v>0</v>
      </c>
      <c r="AV20" s="53">
        <f t="shared" si="0"/>
        <v>118901.03550535245</v>
      </c>
      <c r="AW20" s="53">
        <f t="shared" si="9"/>
        <v>521386.29017867148</v>
      </c>
      <c r="AX20" s="53">
        <f t="shared" si="10"/>
        <v>109733.73092638404</v>
      </c>
      <c r="AY20" s="53">
        <f t="shared" si="11"/>
        <v>27433.432731596011</v>
      </c>
      <c r="AZ20" s="53">
        <f t="shared" si="12"/>
        <v>54970.383016821266</v>
      </c>
      <c r="BA20" s="53">
        <f t="shared" si="13"/>
        <v>55465.42301682126</v>
      </c>
      <c r="BB20" s="53">
        <f t="shared" si="14"/>
        <v>123628</v>
      </c>
      <c r="BC20" s="53">
        <f t="shared" si="14"/>
        <v>64717.155542494707</v>
      </c>
      <c r="BD20" s="53">
        <f t="shared" si="15"/>
        <v>0</v>
      </c>
      <c r="BE20" s="53">
        <f t="shared" si="16"/>
        <v>128908.42265954702</v>
      </c>
      <c r="BF20" s="53">
        <f t="shared" si="17"/>
        <v>564856.54789366433</v>
      </c>
      <c r="BG20" s="54">
        <f t="shared" si="18"/>
        <v>4.8988272734992879</v>
      </c>
      <c r="BH20" s="54">
        <f t="shared" si="2"/>
        <v>4.8988272734992879</v>
      </c>
      <c r="BI20" s="54">
        <f t="shared" si="2"/>
        <v>4.9080699122161846</v>
      </c>
      <c r="BJ20" s="54">
        <f t="shared" si="2"/>
        <v>4.9522699122161837</v>
      </c>
      <c r="BK20" s="54">
        <f t="shared" si="2"/>
        <v>6.1814</v>
      </c>
      <c r="BL20" s="54">
        <f t="shared" si="2"/>
        <v>5.7783174591513129</v>
      </c>
      <c r="BM20" s="54"/>
      <c r="BN20" s="54">
        <f t="shared" si="19"/>
        <v>5.0638802470833335</v>
      </c>
      <c r="BO20" s="54">
        <f t="shared" si="22"/>
        <v>5.2943248535138041</v>
      </c>
      <c r="BP20" s="54">
        <f t="shared" si="20"/>
        <v>5.4866865463192021</v>
      </c>
      <c r="BQ20" s="54">
        <f t="shared" si="3"/>
        <v>5.4866865463192021</v>
      </c>
      <c r="BR20" s="54">
        <f t="shared" si="3"/>
        <v>5.4970383016821263</v>
      </c>
      <c r="BS20" s="54">
        <f t="shared" si="3"/>
        <v>5.546542301682126</v>
      </c>
      <c r="BT20" s="54">
        <f t="shared" si="3"/>
        <v>6.1814</v>
      </c>
      <c r="BU20" s="54">
        <f t="shared" si="3"/>
        <v>6.4717155542494709</v>
      </c>
      <c r="BV20" s="54"/>
      <c r="BW20" s="54">
        <f t="shared" si="4"/>
        <v>5.4900851991231345</v>
      </c>
      <c r="BX20" s="54">
        <f t="shared" si="21"/>
        <v>5.735735895853006</v>
      </c>
    </row>
    <row r="21" spans="2:76" ht="18" customHeight="1" x14ac:dyDescent="0.3">
      <c r="B21" s="14">
        <v>17</v>
      </c>
      <c r="C21" s="53">
        <f>'2. Energy'!O26</f>
        <v>110848.99956943515</v>
      </c>
      <c r="D21" s="53">
        <f>'2. Energy'!P26</f>
        <v>15896.075999999997</v>
      </c>
      <c r="E21" s="53">
        <f>'2. Energy'!Q26</f>
        <v>94952.923569435152</v>
      </c>
      <c r="F21" s="53">
        <f>'3. Nomination'!W22</f>
        <v>20000</v>
      </c>
      <c r="G21" s="53">
        <f>'3. Nomination'!X22</f>
        <v>5000</v>
      </c>
      <c r="H21" s="53">
        <f>'3. Nomination'!Y22</f>
        <v>10000</v>
      </c>
      <c r="I21" s="53">
        <f>'3. Nomination'!Z22</f>
        <v>10000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19952.923569435152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65654.455917746949</v>
      </c>
      <c r="X21" s="53">
        <f>G21*'1. Rates'!D$56</f>
        <v>16413.613979436737</v>
      </c>
      <c r="Y21" s="53">
        <f>H21*'1. Rates'!E$56</f>
        <v>33059.364255153028</v>
      </c>
      <c r="Z21" s="53">
        <f>I21*'1. Rates'!F$56</f>
        <v>33059.364255153028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87072.199252430175</v>
      </c>
      <c r="AE21" s="53">
        <f t="shared" si="6"/>
        <v>393589.17225143302</v>
      </c>
      <c r="AF21" s="53">
        <f>(N21+W21)*'1. Rates'!C$60</f>
        <v>11757.185456398289</v>
      </c>
      <c r="AG21" s="53">
        <f>(O21+X21)*'1. Rates'!D$60</f>
        <v>2939.2963640995722</v>
      </c>
      <c r="AH21" s="53">
        <f>(P21+Y21)*'1. Rates'!E$60</f>
        <v>5889.6838946594207</v>
      </c>
      <c r="AI21" s="53">
        <f>(Q21+Z21)*'1. Rates'!F$60</f>
        <v>5942.7238946594207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7328.4913338455726</v>
      </c>
      <c r="AN21" s="53">
        <f t="shared" si="7"/>
        <v>40791.361894643851</v>
      </c>
      <c r="AO21" s="53">
        <f t="shared" si="8"/>
        <v>97976.545469985751</v>
      </c>
      <c r="AP21" s="53">
        <f t="shared" ref="AP21:AP28" si="23">O21+X21</f>
        <v>24494.136367496438</v>
      </c>
      <c r="AQ21" s="53">
        <f t="shared" ref="AQ21:AQ28" si="24">P21+Y21</f>
        <v>49080.699122161845</v>
      </c>
      <c r="AR21" s="53">
        <f t="shared" ref="AR21:AR28" si="25">Q21+Z21</f>
        <v>49522.699122161837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87072.199252430175</v>
      </c>
      <c r="AW21" s="53">
        <f t="shared" si="9"/>
        <v>489557.45392574917</v>
      </c>
      <c r="AX21" s="53">
        <f t="shared" si="10"/>
        <v>109733.73092638404</v>
      </c>
      <c r="AY21" s="53">
        <f t="shared" si="11"/>
        <v>27433.432731596011</v>
      </c>
      <c r="AZ21" s="53">
        <f t="shared" si="12"/>
        <v>54970.383016821266</v>
      </c>
      <c r="BA21" s="53">
        <f t="shared" si="13"/>
        <v>55465.42301682126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94400.690586275741</v>
      </c>
      <c r="BF21" s="53">
        <f t="shared" si="17"/>
        <v>530348.81582039304</v>
      </c>
      <c r="BG21" s="54">
        <f t="shared" si="18"/>
        <v>4.8988272734992879</v>
      </c>
      <c r="BH21" s="54">
        <f t="shared" ref="BH21:BH29" si="29">AP21/G21</f>
        <v>4.8988272734992879</v>
      </c>
      <c r="BI21" s="54">
        <f t="shared" ref="BI21:BI29" si="30">AQ21/H21</f>
        <v>4.9080699122161846</v>
      </c>
      <c r="BJ21" s="54">
        <f t="shared" ref="BJ21:BL29" si="31">AR21/I21</f>
        <v>4.9522699122161837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4.3638817614583338</v>
      </c>
      <c r="BO21" s="54">
        <f t="shared" si="22"/>
        <v>5.1557912650025566</v>
      </c>
      <c r="BP21" s="54">
        <f t="shared" si="20"/>
        <v>5.4866865463192021</v>
      </c>
      <c r="BQ21" s="54">
        <f t="shared" ref="BQ21:BQ28" si="32">AY21/G21</f>
        <v>5.4866865463192021</v>
      </c>
      <c r="BR21" s="54">
        <f t="shared" ref="BR21:BR28" si="33">AZ21/H21</f>
        <v>5.4970383016821263</v>
      </c>
      <c r="BS21" s="54">
        <f t="shared" ref="BS21:BU28" si="34">BA21/I21</f>
        <v>5.546542301682126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4.7311708611405328</v>
      </c>
      <c r="BX21" s="54">
        <f t="shared" si="21"/>
        <v>5.5853869042017523</v>
      </c>
    </row>
    <row r="22" spans="2:76" ht="18" customHeight="1" x14ac:dyDescent="0.3">
      <c r="B22" s="14">
        <v>18</v>
      </c>
      <c r="C22" s="53">
        <f>'2. Energy'!O27</f>
        <v>105352.7467685494</v>
      </c>
      <c r="D22" s="53">
        <f>'2. Energy'!P27</f>
        <v>15794.36249999999</v>
      </c>
      <c r="E22" s="53">
        <f>'2. Energy'!Q27</f>
        <v>89558.384268549416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14558.384268549416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91893.803080684083</v>
      </c>
      <c r="AE22" s="53">
        <f t="shared" si="6"/>
        <v>398410.77607968694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7734.3049250258737</v>
      </c>
      <c r="AN22" s="53">
        <f t="shared" si="7"/>
        <v>41197.175485824147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91893.803080684083</v>
      </c>
      <c r="AW22" s="53">
        <f t="shared" si="9"/>
        <v>494379.05775400309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99628.108005709961</v>
      </c>
      <c r="BF22" s="53">
        <f t="shared" si="17"/>
        <v>535576.23323982721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6.3120880302083338</v>
      </c>
      <c r="BO22" s="54">
        <f t="shared" si="22"/>
        <v>5.5201873257512108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6.8433492459006793</v>
      </c>
      <c r="BX22" s="54">
        <f t="shared" si="21"/>
        <v>5.9801908845725764</v>
      </c>
    </row>
    <row r="23" spans="2:76" ht="18" customHeight="1" x14ac:dyDescent="0.3">
      <c r="B23" s="14">
        <v>19</v>
      </c>
      <c r="C23" s="53">
        <f>'2. Energy'!O28</f>
        <v>105282.69064801182</v>
      </c>
      <c r="D23" s="53">
        <f>'2. Energy'!P28</f>
        <v>15242.719999999994</v>
      </c>
      <c r="E23" s="53">
        <f>'2. Energy'!Q28</f>
        <v>90039.970648011833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15039.970648011833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89061.181009308973</v>
      </c>
      <c r="AE23" s="53">
        <f t="shared" si="6"/>
        <v>395578.1540083118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7495.8953467636957</v>
      </c>
      <c r="AN23" s="53">
        <f t="shared" si="7"/>
        <v>40958.765907561974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89061.181009308973</v>
      </c>
      <c r="AW23" s="53">
        <f t="shared" si="9"/>
        <v>491546.43568262795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96557.076356072663</v>
      </c>
      <c r="BF23" s="53">
        <f t="shared" si="17"/>
        <v>532505.20159018994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5.9216326343749994</v>
      </c>
      <c r="BO23" s="54">
        <f t="shared" si="22"/>
        <v>5.4592025313313641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6.4200309040388159</v>
      </c>
      <c r="BX23" s="54">
        <f t="shared" si="21"/>
        <v>5.9140979029400444</v>
      </c>
    </row>
    <row r="24" spans="2:76" ht="18" customHeight="1" x14ac:dyDescent="0.3">
      <c r="B24" s="14">
        <v>20</v>
      </c>
      <c r="C24" s="53">
        <f>'2. Energy'!O29</f>
        <v>98582.915257160712</v>
      </c>
      <c r="D24" s="53">
        <f>'2. Energy'!P29</f>
        <v>13508.240999999998</v>
      </c>
      <c r="E24" s="53">
        <f>'2. Energy'!Q29</f>
        <v>85074.674257160717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10074.674257160717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38366.279113646458</v>
      </c>
      <c r="AE24" s="53">
        <f t="shared" si="6"/>
        <v>344883.25211264932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3229.1241798215074</v>
      </c>
      <c r="AN24" s="53">
        <f t="shared" si="7"/>
        <v>36691.994740619783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38366.279113646458</v>
      </c>
      <c r="AW24" s="53">
        <f t="shared" si="9"/>
        <v>440851.53378696548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41595.403293467964</v>
      </c>
      <c r="BF24" s="53">
        <f t="shared" si="17"/>
        <v>477543.52852758521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3.8081905314583331</v>
      </c>
      <c r="BO24" s="54">
        <f t="shared" si="22"/>
        <v>5.181936194717303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4.1287094978682255</v>
      </c>
      <c r="BX24" s="54">
        <f t="shared" si="21"/>
        <v>5.6132278224666896</v>
      </c>
    </row>
    <row r="25" spans="2:76" ht="18" customHeight="1" x14ac:dyDescent="0.3">
      <c r="B25" s="14">
        <v>21</v>
      </c>
      <c r="C25" s="53">
        <f>'2. Energy'!O30</f>
        <v>93964.703534064989</v>
      </c>
      <c r="D25" s="53">
        <f>'2. Energy'!P30</f>
        <v>11749.593999999999</v>
      </c>
      <c r="E25" s="53">
        <f>'2. Energy'!Q30</f>
        <v>82215.109534064992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7215.1095340649917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27131.548291111249</v>
      </c>
      <c r="AE25" s="53">
        <f t="shared" si="6"/>
        <v>333648.52129011409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2283.5453592803565</v>
      </c>
      <c r="AN25" s="53">
        <f t="shared" si="7"/>
        <v>35746.415920078631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27131.548291111249</v>
      </c>
      <c r="AW25" s="53">
        <f t="shared" si="9"/>
        <v>429616.80296443024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29415.093650391605</v>
      </c>
      <c r="BF25" s="53">
        <f t="shared" si="17"/>
        <v>465363.21888450888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3.7603792656249997</v>
      </c>
      <c r="BO25" s="54">
        <f t="shared" si="22"/>
        <v>5.2255212624441363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4.0768741640737289</v>
      </c>
      <c r="BX25" s="54">
        <f t="shared" si="21"/>
        <v>5.6603125814931907</v>
      </c>
    </row>
    <row r="26" spans="2:76" ht="18" customHeight="1" x14ac:dyDescent="0.3">
      <c r="B26" s="14">
        <v>22</v>
      </c>
      <c r="C26" s="53">
        <f>'2. Energy'!O31</f>
        <v>87997.245537669689</v>
      </c>
      <c r="D26" s="53">
        <f>'2. Energy'!P31</f>
        <v>8928.9679999999989</v>
      </c>
      <c r="E26" s="53">
        <f>'2. Energy'!Q31</f>
        <v>79068.277537669695</v>
      </c>
      <c r="F26" s="53">
        <f>'3. Nomination'!W27</f>
        <v>20000</v>
      </c>
      <c r="G26" s="53">
        <f>'3. Nomination'!X27</f>
        <v>5000</v>
      </c>
      <c r="H26" s="53">
        <f>'3. Nomination'!Y27</f>
        <v>10000</v>
      </c>
      <c r="I26" s="53">
        <f>'3. Nomination'!Z27</f>
        <v>10000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4068.2775376696954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65654.455917746949</v>
      </c>
      <c r="X26" s="53">
        <f>G26*'1. Rates'!D$56</f>
        <v>16413.613979436737</v>
      </c>
      <c r="Y26" s="53">
        <f>H26*'1. Rates'!E$56</f>
        <v>33059.364255153028</v>
      </c>
      <c r="Z26" s="53">
        <f>I26*'1. Rates'!F$56</f>
        <v>33059.364255153028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14700.185132595623</v>
      </c>
      <c r="AE26" s="53">
        <f t="shared" si="6"/>
        <v>321217.15813159849</v>
      </c>
      <c r="AF26" s="53">
        <f>(N26+W26)*'1. Rates'!C$60</f>
        <v>11757.185456398289</v>
      </c>
      <c r="AG26" s="53">
        <f>(O26+X26)*'1. Rates'!D$60</f>
        <v>2939.2963640995722</v>
      </c>
      <c r="AH26" s="53">
        <f>(P26+Y26)*'1. Rates'!E$60</f>
        <v>5889.6838946594207</v>
      </c>
      <c r="AI26" s="53">
        <f>(Q26+Z26)*'1. Rates'!F$60</f>
        <v>5942.7238946594207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1237.2511579480499</v>
      </c>
      <c r="AN26" s="53">
        <f t="shared" si="7"/>
        <v>34700.121718746326</v>
      </c>
      <c r="AO26" s="53">
        <f t="shared" si="8"/>
        <v>97976.545469985751</v>
      </c>
      <c r="AP26" s="53">
        <f t="shared" si="23"/>
        <v>24494.136367496438</v>
      </c>
      <c r="AQ26" s="53">
        <f t="shared" si="24"/>
        <v>49080.699122161845</v>
      </c>
      <c r="AR26" s="53">
        <f t="shared" si="25"/>
        <v>49522.699122161837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14700.185132595623</v>
      </c>
      <c r="AW26" s="53">
        <f t="shared" si="9"/>
        <v>417185.43980591465</v>
      </c>
      <c r="AX26" s="53">
        <f t="shared" si="10"/>
        <v>109733.73092638404</v>
      </c>
      <c r="AY26" s="53">
        <f t="shared" si="11"/>
        <v>27433.432731596011</v>
      </c>
      <c r="AZ26" s="53">
        <f t="shared" si="12"/>
        <v>54970.383016821266</v>
      </c>
      <c r="BA26" s="53">
        <f t="shared" si="13"/>
        <v>55465.42301682126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15937.436290543674</v>
      </c>
      <c r="BF26" s="53">
        <f t="shared" si="17"/>
        <v>451885.56152466097</v>
      </c>
      <c r="BG26" s="54">
        <f t="shared" si="18"/>
        <v>4.8988272734992879</v>
      </c>
      <c r="BH26" s="54">
        <f t="shared" si="29"/>
        <v>4.8988272734992879</v>
      </c>
      <c r="BI26" s="54">
        <f t="shared" si="30"/>
        <v>4.9080699122161846</v>
      </c>
      <c r="BJ26" s="54">
        <f t="shared" si="31"/>
        <v>4.9522699122161837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3.6133683104166665</v>
      </c>
      <c r="BO26" s="54">
        <f t="shared" si="22"/>
        <v>5.2762682177711442</v>
      </c>
      <c r="BP26" s="54">
        <f t="shared" si="20"/>
        <v>5.4866865463192021</v>
      </c>
      <c r="BQ26" s="54">
        <f t="shared" si="32"/>
        <v>5.4866865463192021</v>
      </c>
      <c r="BR26" s="54">
        <f t="shared" si="33"/>
        <v>5.4970383016821263</v>
      </c>
      <c r="BS26" s="54">
        <f t="shared" si="34"/>
        <v>5.546542301682126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3.9174899310514144</v>
      </c>
      <c r="BX26" s="54">
        <f t="shared" si="21"/>
        <v>5.7151309677812794</v>
      </c>
    </row>
    <row r="27" spans="2:76" ht="18" customHeight="1" x14ac:dyDescent="0.3">
      <c r="B27" s="14">
        <v>23</v>
      </c>
      <c r="C27" s="53">
        <f>'2. Energy'!O32</f>
        <v>82103.664932923362</v>
      </c>
      <c r="D27" s="53">
        <f>'2. Energy'!P32</f>
        <v>6127.4390000000003</v>
      </c>
      <c r="E27" s="53">
        <f>'2. Energy'!Q32</f>
        <v>75976.225932923364</v>
      </c>
      <c r="F27" s="53">
        <f>'3. Nomination'!W28</f>
        <v>20000</v>
      </c>
      <c r="G27" s="53">
        <f>'3. Nomination'!X28</f>
        <v>5000</v>
      </c>
      <c r="H27" s="53">
        <f>'3. Nomination'!Y28</f>
        <v>10000</v>
      </c>
      <c r="I27" s="53">
        <f>'3. Nomination'!Z28</f>
        <v>10000</v>
      </c>
      <c r="J27" s="53">
        <f>'3. Nomination'!AA28</f>
        <v>20000</v>
      </c>
      <c r="K27" s="53">
        <f>'3. Nomination'!AB28</f>
        <v>10000</v>
      </c>
      <c r="L27" s="53">
        <f>'3. Nomination'!AC28</f>
        <v>0</v>
      </c>
      <c r="M27" s="53">
        <f>'3. Nomination'!AD28</f>
        <v>976.22593292336387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65654.455917746949</v>
      </c>
      <c r="X27" s="53">
        <f>G27*'1. Rates'!D$56</f>
        <v>16413.613979436737</v>
      </c>
      <c r="Y27" s="53">
        <f>H27*'1. Rates'!E$56</f>
        <v>33059.364255153028</v>
      </c>
      <c r="Z27" s="53">
        <f>I27*'1. Rates'!F$56</f>
        <v>33059.364255153028</v>
      </c>
      <c r="AA27" s="53">
        <f>J27*'1. Rates'!G$56</f>
        <v>123628</v>
      </c>
      <c r="AB27" s="53">
        <f>K27*'1. Rates'!H$56</f>
        <v>34702.174591513132</v>
      </c>
      <c r="AC27" s="53">
        <f>L27*'1. Rates'!Q63</f>
        <v>0</v>
      </c>
      <c r="AD27" s="53">
        <f>M27*'2. Energy'!N32</f>
        <v>3579.2789920469595</v>
      </c>
      <c r="AE27" s="53">
        <f t="shared" si="6"/>
        <v>310096.25199104979</v>
      </c>
      <c r="AF27" s="53">
        <f>(N27+W27)*'1. Rates'!C$60</f>
        <v>11757.185456398289</v>
      </c>
      <c r="AG27" s="53">
        <f>(O27+X27)*'1. Rates'!D$60</f>
        <v>2939.2963640995722</v>
      </c>
      <c r="AH27" s="53">
        <f>(P27+Y27)*'1. Rates'!E$60</f>
        <v>5889.6838946594207</v>
      </c>
      <c r="AI27" s="53">
        <f>(Q27+Z27)*'1. Rates'!F$60</f>
        <v>5942.7238946594207</v>
      </c>
      <c r="AJ27" s="53">
        <f>(R27+AA27)*'1. Rates'!G$60</f>
        <v>0</v>
      </c>
      <c r="AK27" s="53">
        <f>(S27+AB27)*'1. Rates'!H$60</f>
        <v>6933.9809509815759</v>
      </c>
      <c r="AL27" s="53">
        <f>(T27+AC27)*'1. Rates'!$I$60</f>
        <v>0</v>
      </c>
      <c r="AM27" s="53">
        <f>(U27+AD27)*'1. Rates'!$J$60</f>
        <v>301.25246978758912</v>
      </c>
      <c r="AN27" s="53">
        <f t="shared" si="7"/>
        <v>33764.12303058587</v>
      </c>
      <c r="AO27" s="53">
        <f t="shared" si="8"/>
        <v>97976.545469985751</v>
      </c>
      <c r="AP27" s="53">
        <f t="shared" si="23"/>
        <v>24494.136367496438</v>
      </c>
      <c r="AQ27" s="53">
        <f t="shared" si="24"/>
        <v>49080.699122161845</v>
      </c>
      <c r="AR27" s="53">
        <f t="shared" si="25"/>
        <v>49522.699122161837</v>
      </c>
      <c r="AS27" s="53">
        <f t="shared" si="26"/>
        <v>123628</v>
      </c>
      <c r="AT27" s="53">
        <f t="shared" si="26"/>
        <v>57783.174591513132</v>
      </c>
      <c r="AU27" s="53">
        <f t="shared" si="27"/>
        <v>0</v>
      </c>
      <c r="AV27" s="53">
        <f t="shared" si="28"/>
        <v>3579.2789920469595</v>
      </c>
      <c r="AW27" s="53">
        <f t="shared" si="9"/>
        <v>406064.53366536595</v>
      </c>
      <c r="AX27" s="53">
        <f t="shared" si="10"/>
        <v>109733.73092638404</v>
      </c>
      <c r="AY27" s="53">
        <f t="shared" si="11"/>
        <v>27433.432731596011</v>
      </c>
      <c r="AZ27" s="53">
        <f t="shared" si="12"/>
        <v>54970.383016821266</v>
      </c>
      <c r="BA27" s="53">
        <f t="shared" si="13"/>
        <v>55465.42301682126</v>
      </c>
      <c r="BB27" s="53">
        <f t="shared" si="14"/>
        <v>123628</v>
      </c>
      <c r="BC27" s="53">
        <f t="shared" si="14"/>
        <v>64717.155542494707</v>
      </c>
      <c r="BD27" s="53">
        <f t="shared" si="15"/>
        <v>0</v>
      </c>
      <c r="BE27" s="53">
        <f t="shared" si="16"/>
        <v>3880.5314618345487</v>
      </c>
      <c r="BF27" s="53">
        <f t="shared" si="17"/>
        <v>439828.65669595182</v>
      </c>
      <c r="BG27" s="54">
        <f t="shared" si="18"/>
        <v>4.8988272734992879</v>
      </c>
      <c r="BH27" s="54">
        <f t="shared" si="29"/>
        <v>4.8988272734992879</v>
      </c>
      <c r="BI27" s="54">
        <f t="shared" si="30"/>
        <v>4.9080699122161846</v>
      </c>
      <c r="BJ27" s="54">
        <f t="shared" si="31"/>
        <v>4.9522699122161837</v>
      </c>
      <c r="BK27" s="54">
        <f t="shared" si="31"/>
        <v>6.1814</v>
      </c>
      <c r="BL27" s="54">
        <f t="shared" si="31"/>
        <v>5.7783174591513129</v>
      </c>
      <c r="BM27" s="54"/>
      <c r="BN27" s="54">
        <f t="shared" si="19"/>
        <v>3.6664453087499997</v>
      </c>
      <c r="BO27" s="54">
        <f t="shared" si="22"/>
        <v>5.344626278539625</v>
      </c>
      <c r="BP27" s="54">
        <f t="shared" si="20"/>
        <v>5.4866865463192021</v>
      </c>
      <c r="BQ27" s="54">
        <f t="shared" si="32"/>
        <v>5.4866865463192021</v>
      </c>
      <c r="BR27" s="54">
        <f t="shared" si="33"/>
        <v>5.4970383016821263</v>
      </c>
      <c r="BS27" s="54">
        <f t="shared" si="34"/>
        <v>5.546542301682126</v>
      </c>
      <c r="BT27" s="54">
        <f t="shared" si="34"/>
        <v>6.1814</v>
      </c>
      <c r="BU27" s="54">
        <f t="shared" si="34"/>
        <v>6.4717155542494709</v>
      </c>
      <c r="BV27" s="54"/>
      <c r="BW27" s="54">
        <f t="shared" si="35"/>
        <v>3.9750341913311784</v>
      </c>
      <c r="BX27" s="54">
        <f t="shared" si="21"/>
        <v>5.7890300721736363</v>
      </c>
    </row>
    <row r="28" spans="2:76" ht="18" customHeight="1" x14ac:dyDescent="0.3">
      <c r="B28" s="14">
        <v>24</v>
      </c>
      <c r="C28" s="53">
        <f>'2. Energy'!O33</f>
        <v>76658.296009132959</v>
      </c>
      <c r="D28" s="53">
        <f>'2. Energy'!P33</f>
        <v>5672.8039999999983</v>
      </c>
      <c r="E28" s="53">
        <f>'2. Energy'!Q33</f>
        <v>70985.492009132955</v>
      </c>
      <c r="F28" s="53">
        <f>'3. Nomination'!W29</f>
        <v>10000</v>
      </c>
      <c r="G28" s="53">
        <f>'3. Nomination'!X29</f>
        <v>2500</v>
      </c>
      <c r="H28" s="53">
        <f>'3. Nomination'!Y29</f>
        <v>5000</v>
      </c>
      <c r="I28" s="53">
        <f>'3. Nomination'!Z29</f>
        <v>5000</v>
      </c>
      <c r="J28" s="53">
        <f>'3. Nomination'!AA29</f>
        <v>20000</v>
      </c>
      <c r="K28" s="53">
        <f>'3. Nomination'!AB29</f>
        <v>10000</v>
      </c>
      <c r="L28" s="53">
        <f>'3. Nomination'!AC29</f>
        <v>0</v>
      </c>
      <c r="M28" s="53">
        <f>'3. Nomination'!AD29</f>
        <v>18485.492009132955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32827.227958873475</v>
      </c>
      <c r="X28" s="53">
        <f>G28*'1. Rates'!D$56</f>
        <v>8206.8069897183686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123628</v>
      </c>
      <c r="AB28" s="53">
        <f>K28*'1. Rates'!H$56</f>
        <v>34702.174591513132</v>
      </c>
      <c r="AC28" s="53">
        <f>L28*'1. Rates'!Q64</f>
        <v>0</v>
      </c>
      <c r="AD28" s="53">
        <f>M28*'2. Energy'!N33</f>
        <v>59368.254581544003</v>
      </c>
      <c r="AE28" s="53">
        <f t="shared" si="6"/>
        <v>291791.82837680203</v>
      </c>
      <c r="AF28" s="53">
        <f>(N28+W28)*'1. Rates'!C$60</f>
        <v>7817.9181013334737</v>
      </c>
      <c r="AG28" s="53">
        <f>(O28+X28)*'1. Rates'!D$60</f>
        <v>1954.4795253333684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6933.9809509815759</v>
      </c>
      <c r="AL28" s="53">
        <f>(T28+AC28)*'1. Rates'!$I$60</f>
        <v>0</v>
      </c>
      <c r="AM28" s="53">
        <f>(U28+AD28)*'1. Rates'!$J$60</f>
        <v>4996.7698409115346</v>
      </c>
      <c r="AN28" s="53">
        <f t="shared" si="7"/>
        <v>29568.43249726043</v>
      </c>
      <c r="AO28" s="53">
        <f t="shared" si="8"/>
        <v>65149.317511112284</v>
      </c>
      <c r="AP28" s="53">
        <f t="shared" si="23"/>
        <v>16287.329377778071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123628</v>
      </c>
      <c r="AT28" s="53">
        <f t="shared" si="26"/>
        <v>57783.174591513132</v>
      </c>
      <c r="AU28" s="53">
        <f t="shared" si="27"/>
        <v>0</v>
      </c>
      <c r="AV28" s="53">
        <f t="shared" si="28"/>
        <v>59368.254581544003</v>
      </c>
      <c r="AW28" s="53">
        <f t="shared" si="9"/>
        <v>387760.11005111813</v>
      </c>
      <c r="AX28" s="53">
        <f t="shared" si="10"/>
        <v>72967.235612445758</v>
      </c>
      <c r="AY28" s="53">
        <f t="shared" si="11"/>
        <v>18241.80890311144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123628</v>
      </c>
      <c r="BC28" s="53">
        <f t="shared" si="14"/>
        <v>64717.155542494707</v>
      </c>
      <c r="BD28" s="53">
        <f t="shared" si="15"/>
        <v>0</v>
      </c>
      <c r="BE28" s="53">
        <f t="shared" si="16"/>
        <v>64365.024422455535</v>
      </c>
      <c r="BF28" s="53">
        <f t="shared" si="17"/>
        <v>417328.54254837858</v>
      </c>
      <c r="BG28" s="54">
        <f t="shared" si="18"/>
        <v>6.5149317511112281</v>
      </c>
      <c r="BH28" s="54">
        <f t="shared" si="29"/>
        <v>6.5149317511112281</v>
      </c>
      <c r="BI28" s="54">
        <f t="shared" si="30"/>
        <v>6.5102033989170653</v>
      </c>
      <c r="BJ28" s="54">
        <f t="shared" si="31"/>
        <v>6.5986033989170654</v>
      </c>
      <c r="BK28" s="54">
        <f t="shared" si="31"/>
        <v>6.1814</v>
      </c>
      <c r="BL28" s="54">
        <f t="shared" si="31"/>
        <v>5.7783174591513129</v>
      </c>
      <c r="BM28" s="54"/>
      <c r="BN28" s="54">
        <f t="shared" si="19"/>
        <v>3.2116134400000003</v>
      </c>
      <c r="BO28" s="54">
        <f t="shared" si="22"/>
        <v>5.4625262018502196</v>
      </c>
      <c r="BP28" s="54">
        <f>AX28/F28</f>
        <v>7.2967235612445762</v>
      </c>
      <c r="BQ28" s="54">
        <f t="shared" si="32"/>
        <v>7.2967235612445762</v>
      </c>
      <c r="BR28" s="54">
        <f t="shared" si="33"/>
        <v>7.2914278067871132</v>
      </c>
      <c r="BS28" s="54">
        <f t="shared" si="34"/>
        <v>7.3904358067871128</v>
      </c>
      <c r="BT28" s="54">
        <f t="shared" si="34"/>
        <v>6.1814</v>
      </c>
      <c r="BU28" s="54">
        <f t="shared" si="34"/>
        <v>6.4717155542494709</v>
      </c>
      <c r="BV28" s="54"/>
      <c r="BW28" s="54">
        <f t="shared" si="35"/>
        <v>3.4819210865826729</v>
      </c>
      <c r="BX28" s="54">
        <f t="shared" si="21"/>
        <v>5.8790681128854514</v>
      </c>
    </row>
    <row r="29" spans="2:76" ht="21" customHeight="1" x14ac:dyDescent="0.3">
      <c r="B29" s="55" t="s">
        <v>137</v>
      </c>
      <c r="C29" s="56">
        <f t="shared" ref="C29:D29" si="36">SUM(C5:C28)</f>
        <v>2177447.9170680852</v>
      </c>
      <c r="D29" s="56">
        <f t="shared" si="36"/>
        <v>256591.60590914011</v>
      </c>
      <c r="E29" s="56">
        <f>SUM(E5:E28)</f>
        <v>1920856.3111589453</v>
      </c>
      <c r="F29" s="56">
        <f t="shared" ref="F29:L29" si="37">SUM(F5:F28)</f>
        <v>340000</v>
      </c>
      <c r="G29" s="56">
        <f t="shared" si="37"/>
        <v>85000</v>
      </c>
      <c r="H29" s="56">
        <f t="shared" si="37"/>
        <v>170000</v>
      </c>
      <c r="I29" s="56">
        <f t="shared" si="37"/>
        <v>170000</v>
      </c>
      <c r="J29" s="56">
        <f t="shared" si="37"/>
        <v>380000</v>
      </c>
      <c r="K29" s="56">
        <f t="shared" si="37"/>
        <v>160000</v>
      </c>
      <c r="L29" s="56">
        <f t="shared" si="37"/>
        <v>0</v>
      </c>
      <c r="M29" s="56">
        <f>SUM(M5:M28)</f>
        <v>615856.31115894497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1116125.7506016984</v>
      </c>
      <c r="X29" s="56">
        <f t="shared" ref="X29" si="45">SUM(X5:X28)</f>
        <v>279031.4376504246</v>
      </c>
      <c r="Y29" s="56">
        <f t="shared" ref="Y29" si="46">SUM(Y5:Y28)</f>
        <v>562009.19233760168</v>
      </c>
      <c r="Z29" s="56">
        <f t="shared" ref="Z29" si="47">SUM(Z5:Z28)</f>
        <v>562009.19233760168</v>
      </c>
      <c r="AA29" s="56">
        <f t="shared" ref="AA29" si="48">SUM(AA5:AA28)</f>
        <v>2348932</v>
      </c>
      <c r="AB29" s="56">
        <f t="shared" ref="AB29" si="49">SUM(AB5:AB28)</f>
        <v>555234.79346421</v>
      </c>
      <c r="AC29" s="56">
        <f t="shared" ref="AC29" si="50">SUM(AC5:AC28)</f>
        <v>0</v>
      </c>
      <c r="AD29" s="56">
        <f t="shared" ref="AD29" si="51">SUM(AD5:AD28)</f>
        <v>1958859.1078104759</v>
      </c>
      <c r="AE29" s="56">
        <f t="shared" ref="AE29" si="52">SUM(AE5:AE28)</f>
        <v>7382201.4742020117</v>
      </c>
      <c r="AF29" s="56">
        <f t="shared" ref="AF29" si="53">SUM(AF5:AF28)</f>
        <v>227022.70798265154</v>
      </c>
      <c r="AG29" s="56">
        <f t="shared" ref="AG29" si="54">SUM(AG5:AG28)</f>
        <v>56755.676995662885</v>
      </c>
      <c r="AH29" s="56">
        <f t="shared" ref="AH29" si="55">SUM(AH5:AH28)</f>
        <v>113582.54749749755</v>
      </c>
      <c r="AI29" s="56">
        <f t="shared" ref="AI29" si="56">SUM(AI5:AI28)</f>
        <v>114855.50749749751</v>
      </c>
      <c r="AJ29" s="56">
        <f t="shared" ref="AJ29" si="57">SUM(AJ5:AJ28)</f>
        <v>0</v>
      </c>
      <c r="AK29" s="56">
        <f t="shared" ref="AK29" si="58">SUM(AK5:AK28)</f>
        <v>133101.45521570527</v>
      </c>
      <c r="AL29" s="56">
        <f t="shared" ref="AL29" si="59">SUM(AL5:AL28)</f>
        <v>0</v>
      </c>
      <c r="AM29" s="56">
        <f t="shared" ref="AM29" si="60">SUM(AM5:AM28)</f>
        <v>164868.71951167446</v>
      </c>
      <c r="AN29" s="56">
        <f t="shared" ref="AN29" si="61">SUM(AN5:AN28)</f>
        <v>810186.6147006891</v>
      </c>
      <c r="AO29" s="56">
        <f t="shared" ref="AO29" si="62">SUM(AO5:AO28)</f>
        <v>1891855.8998554302</v>
      </c>
      <c r="AP29" s="56">
        <f t="shared" ref="AP29" si="63">SUM(AP5:AP28)</f>
        <v>472963.97496385756</v>
      </c>
      <c r="AQ29" s="56">
        <f t="shared" ref="AQ29" si="64">SUM(AQ5:AQ28)</f>
        <v>946521.22914581303</v>
      </c>
      <c r="AR29" s="56">
        <f t="shared" ref="AR29" si="65">SUM(AR5:AR28)</f>
        <v>957129.22914581303</v>
      </c>
      <c r="AS29" s="56">
        <f t="shared" ref="AS29" si="66">SUM(AS5:AS28)</f>
        <v>2348932</v>
      </c>
      <c r="AT29" s="56">
        <f t="shared" ref="AT29" si="67">SUM(AT5:AT28)</f>
        <v>1109178.7934642099</v>
      </c>
      <c r="AU29" s="56">
        <f t="shared" ref="AU29" si="68">SUM(AU5:AU28)</f>
        <v>0</v>
      </c>
      <c r="AV29" s="56">
        <f t="shared" ref="AV29" si="69">SUM(AV5:AV28)</f>
        <v>1958859.1078104759</v>
      </c>
      <c r="AW29" s="56">
        <f t="shared" ref="AW29" si="70">SUM(AW5:AW28)</f>
        <v>9685440.2343855985</v>
      </c>
      <c r="AX29" s="56">
        <f t="shared" ref="AX29" si="71">SUM(AX5:AX28)</f>
        <v>2118878.6078380807</v>
      </c>
      <c r="AY29" s="56">
        <f t="shared" ref="AY29" si="72">SUM(AY5:AY28)</f>
        <v>529719.65195952018</v>
      </c>
      <c r="AZ29" s="56">
        <f t="shared" ref="AZ29" si="73">SUM(AZ5:AZ28)</f>
        <v>1060103.7766433102</v>
      </c>
      <c r="BA29" s="56">
        <f t="shared" ref="BA29" si="74">SUM(BA5:BA28)</f>
        <v>1071984.7366433104</v>
      </c>
      <c r="BB29" s="56">
        <f t="shared" ref="BB29" si="75">SUM(BB5:BB28)</f>
        <v>2348932</v>
      </c>
      <c r="BC29" s="56">
        <f t="shared" ref="BC29" si="76">SUM(BC5:BC28)</f>
        <v>1242280.2486799157</v>
      </c>
      <c r="BD29" s="56">
        <f t="shared" ref="BD29" si="77">SUM(BD5:BD28)</f>
        <v>0</v>
      </c>
      <c r="BE29" s="56">
        <f t="shared" ref="BE29" si="78">SUM(BE5:BE28)</f>
        <v>2123727.8273221501</v>
      </c>
      <c r="BF29" s="56">
        <f t="shared" ref="BF29" si="79">SUM(BF5:BF28)</f>
        <v>10495626.84908629</v>
      </c>
      <c r="BG29" s="58">
        <f t="shared" ref="BG29" si="80">AO29/F29</f>
        <v>5.5642820583983239</v>
      </c>
      <c r="BH29" s="58">
        <f t="shared" si="29"/>
        <v>5.5642820583983239</v>
      </c>
      <c r="BI29" s="58">
        <f t="shared" si="30"/>
        <v>5.567771936151841</v>
      </c>
      <c r="BJ29" s="58">
        <f t="shared" si="31"/>
        <v>5.6301719361518412</v>
      </c>
      <c r="BK29" s="58">
        <f t="shared" si="31"/>
        <v>6.1814</v>
      </c>
      <c r="BL29" s="58">
        <f t="shared" si="31"/>
        <v>6.9323674591513118</v>
      </c>
      <c r="BM29" s="58"/>
      <c r="BN29" s="58">
        <f t="shared" ref="BN29" si="81">AV29/M29</f>
        <v>3.1807080195771809</v>
      </c>
      <c r="BO29" s="59">
        <f t="shared" ref="BO29" si="82">AW29/E29</f>
        <v>5.0422513012136267</v>
      </c>
      <c r="BP29" s="58">
        <f>AX29/F29</f>
        <v>6.2319959054061194</v>
      </c>
      <c r="BQ29" s="58">
        <f t="shared" ref="BQ29:BV29" si="83">AY29/G29</f>
        <v>6.2319959054061194</v>
      </c>
      <c r="BR29" s="58">
        <f t="shared" si="83"/>
        <v>6.23590456849006</v>
      </c>
      <c r="BS29" s="58">
        <f>BA29/I29</f>
        <v>6.3057925684900615</v>
      </c>
      <c r="BT29" s="58">
        <f t="shared" si="83"/>
        <v>6.1814</v>
      </c>
      <c r="BU29" s="58">
        <f t="shared" si="83"/>
        <v>7.7642515542494728</v>
      </c>
      <c r="BV29" s="58" t="e">
        <f t="shared" si="83"/>
        <v>#DIV/0!</v>
      </c>
      <c r="BW29" s="58">
        <f t="shared" ref="BW29" si="84">BE29/M29</f>
        <v>3.4484144902658014</v>
      </c>
      <c r="BX29" s="59">
        <f>BF29/E29</f>
        <v>5.4640353826121286</v>
      </c>
    </row>
  </sheetData>
  <mergeCells count="18">
    <mergeCell ref="AO3:AV3"/>
    <mergeCell ref="AW3:AW4"/>
    <mergeCell ref="BX3:BX4"/>
    <mergeCell ref="AX3:BE3"/>
    <mergeCell ref="BF3:BF4"/>
    <mergeCell ref="BG3:BN3"/>
    <mergeCell ref="BO3:BO4"/>
    <mergeCell ref="BP3:BW3"/>
    <mergeCell ref="V3:V4"/>
    <mergeCell ref="AE3:AE4"/>
    <mergeCell ref="AN3:AN4"/>
    <mergeCell ref="AF3:AM3"/>
    <mergeCell ref="W3:AD3"/>
    <mergeCell ref="C3:E3"/>
    <mergeCell ref="F3:L3"/>
    <mergeCell ref="M3:M4"/>
    <mergeCell ref="B3:B4"/>
    <mergeCell ref="N3:U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zoomScale="80" zoomScaleNormal="80" zoomScaleSheetLayoutView="70" workbookViewId="0">
      <selection activeCell="AK86" sqref="AK86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45672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73772.894274280276</v>
      </c>
      <c r="E11" s="65">
        <f>'4.Projected'!D5</f>
        <v>5441.2205515130599</v>
      </c>
      <c r="F11" s="65">
        <f>'4.Projected'!E5</f>
        <v>68331.673722767213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0</v>
      </c>
      <c r="J11" s="80">
        <f>'4.Projected'!K5</f>
        <v>0</v>
      </c>
      <c r="K11" s="80">
        <f>'4.Projected'!L5</f>
        <v>0</v>
      </c>
      <c r="L11" s="65">
        <f>'4.Projected'!M5</f>
        <v>45831.673722767213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2.7587967920833329</v>
      </c>
      <c r="S11" s="77">
        <f>SUM('5. Actual'!AH5:AN5)/SUM('5. Actual'!Q5:V5)</f>
        <v>3.293039964610883</v>
      </c>
      <c r="T11" s="66">
        <f>'4.Projected'!AW5</f>
        <v>296501.95532024116</v>
      </c>
      <c r="U11" s="66">
        <f>'4.Projected'!BF5</f>
        <v>327551.28939270345</v>
      </c>
      <c r="V11" s="77">
        <f>T11/F11</f>
        <v>4.3391583897563839</v>
      </c>
      <c r="W11" s="77">
        <f>U11/F11</f>
        <v>4.7935499241776611</v>
      </c>
    </row>
    <row r="12" spans="3:23" ht="19.350000000000001" customHeight="1" x14ac:dyDescent="0.3">
      <c r="C12" s="64">
        <v>2</v>
      </c>
      <c r="D12" s="65">
        <f>'4.Projected'!C6</f>
        <v>70399.878604290338</v>
      </c>
      <c r="E12" s="65">
        <f>'4.Projected'!D6</f>
        <v>5399.05527702786</v>
      </c>
      <c r="F12" s="65">
        <f>'4.Projected'!E6</f>
        <v>65000.823327262478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42500.823327262478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2.1493768641666668</v>
      </c>
      <c r="S12" s="77">
        <f>SUM('5. Actual'!AH6:AN6)/SUM('5. Actual'!Q6:V6)</f>
        <v>3.293039964610883</v>
      </c>
      <c r="T12" s="66">
        <f>'4.Projected'!AW6</f>
        <v>261411.96724571398</v>
      </c>
      <c r="U12" s="66">
        <f>'4.Projected'!BF6</f>
        <v>289507.92841940059</v>
      </c>
      <c r="V12" s="77">
        <f t="shared" ref="V12:V34" si="0">T12/F12</f>
        <v>4.0216716322125912</v>
      </c>
      <c r="W12" s="77">
        <f t="shared" ref="W12:W34" si="1">U12/F12</f>
        <v>4.4539117137301849</v>
      </c>
    </row>
    <row r="13" spans="3:23" ht="19.350000000000001" customHeight="1" x14ac:dyDescent="0.3">
      <c r="C13" s="64">
        <v>3</v>
      </c>
      <c r="D13" s="65">
        <f>'4.Projected'!C7</f>
        <v>67615.569201349979</v>
      </c>
      <c r="E13" s="65">
        <f>'4.Projected'!D7</f>
        <v>5352.319149428733</v>
      </c>
      <c r="F13" s="65">
        <f>'4.Projected'!E7</f>
        <v>62263.250051921248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39763.250051921248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1.6681755883333331</v>
      </c>
      <c r="S13" s="77">
        <f>SUM('5. Actual'!AH7:AN7)/SUM('5. Actual'!Q7:V7)</f>
        <v>3.293039964610883</v>
      </c>
      <c r="T13" s="66">
        <f>'4.Projected'!AW7</f>
        <v>236393.76392747019</v>
      </c>
      <c r="U13" s="66">
        <f>'4.Projected'!BF7</f>
        <v>262384.05087011319</v>
      </c>
      <c r="V13" s="77">
        <f t="shared" si="0"/>
        <v>3.7966820512957762</v>
      </c>
      <c r="W13" s="77">
        <f t="shared" si="1"/>
        <v>4.2141078509604215</v>
      </c>
    </row>
    <row r="14" spans="3:23" ht="19.350000000000001" customHeight="1" x14ac:dyDescent="0.3">
      <c r="C14" s="64">
        <v>4</v>
      </c>
      <c r="D14" s="65">
        <f>'4.Projected'!C8</f>
        <v>65601.133866492281</v>
      </c>
      <c r="E14" s="65">
        <f>'4.Projected'!D8</f>
        <v>5354.9834390936576</v>
      </c>
      <c r="F14" s="65">
        <f>'4.Projected'!E8</f>
        <v>60246.150427398621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37746.150427398621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1.4291755518749998</v>
      </c>
      <c r="S14" s="77">
        <f>SUM('5. Actual'!AH8:AN8)/SUM('5. Actual'!Q8:V8)</f>
        <v>3.293039964610883</v>
      </c>
      <c r="T14" s="66">
        <f>'4.Projected'!AW8</f>
        <v>224007.55624629519</v>
      </c>
      <c r="U14" s="66">
        <f>'4.Projected'!BF8</f>
        <v>248955.34952930815</v>
      </c>
      <c r="V14" s="77">
        <f t="shared" si="0"/>
        <v>3.7182053070136329</v>
      </c>
      <c r="W14" s="77">
        <f t="shared" si="1"/>
        <v>4.1323030229013398</v>
      </c>
    </row>
    <row r="15" spans="3:23" ht="19.350000000000001" customHeight="1" x14ac:dyDescent="0.3">
      <c r="C15" s="64">
        <v>5</v>
      </c>
      <c r="D15" s="65">
        <f>'4.Projected'!C9</f>
        <v>65231.192340515117</v>
      </c>
      <c r="E15" s="65">
        <f>'4.Projected'!D9</f>
        <v>5335.4441945005701</v>
      </c>
      <c r="F15" s="65">
        <f>'4.Projected'!E9</f>
        <v>59895.74814601455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37395.74814601455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2.3389981187499997</v>
      </c>
      <c r="S15" s="77">
        <f>SUM('5. Actual'!AH9:AN9)/SUM('5. Actual'!Q9:V9)</f>
        <v>3.293039964610883</v>
      </c>
      <c r="T15" s="66">
        <f>'4.Projected'!AW9</f>
        <v>257530.26544083783</v>
      </c>
      <c r="U15" s="66">
        <f>'4.Projected'!BF9</f>
        <v>285299.52052139892</v>
      </c>
      <c r="V15" s="77">
        <f t="shared" si="0"/>
        <v>4.2996418512550765</v>
      </c>
      <c r="W15" s="77">
        <f t="shared" si="1"/>
        <v>4.7632683346051952</v>
      </c>
    </row>
    <row r="16" spans="3:23" ht="19.350000000000001" customHeight="1" x14ac:dyDescent="0.3">
      <c r="C16" s="64">
        <v>6</v>
      </c>
      <c r="D16" s="65">
        <f>'4.Projected'!C10</f>
        <v>67420.572230818405</v>
      </c>
      <c r="E16" s="65">
        <f>'4.Projected'!D10</f>
        <v>5433.4412580999997</v>
      </c>
      <c r="F16" s="65">
        <f>'4.Projected'!E10</f>
        <v>61987.130972718405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20000</v>
      </c>
      <c r="J16" s="80">
        <f>'4.Projected'!K10</f>
        <v>0</v>
      </c>
      <c r="K16" s="80">
        <f>'4.Projected'!L10</f>
        <v>0</v>
      </c>
      <c r="L16" s="65">
        <f>'4.Projected'!M10</f>
        <v>19487.130972718405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3.2938351731250002</v>
      </c>
      <c r="S16" s="77">
        <f>SUM('5. Actual'!AH10:AN10)/SUM('5. Actual'!Q10:V10)</f>
        <v>4.6522682165587028</v>
      </c>
      <c r="T16" s="66">
        <f>'4.Projected'!AW10</f>
        <v>357877.07829929446</v>
      </c>
      <c r="U16" s="66">
        <f>'4.Projected'!BF10</f>
        <v>383686.85630596429</v>
      </c>
      <c r="V16" s="77">
        <f t="shared" si="0"/>
        <v>5.7734092977589535</v>
      </c>
      <c r="W16" s="77">
        <f t="shared" si="1"/>
        <v>6.1897824642800687</v>
      </c>
    </row>
    <row r="17" spans="3:23" ht="19.350000000000001" customHeight="1" x14ac:dyDescent="0.3">
      <c r="C17" s="64">
        <v>7</v>
      </c>
      <c r="D17" s="65">
        <f>'4.Projected'!C11</f>
        <v>70140.082345826464</v>
      </c>
      <c r="E17" s="65">
        <f>'4.Projected'!D11</f>
        <v>6037.6709704999985</v>
      </c>
      <c r="F17" s="65">
        <f>'4.Projected'!E11</f>
        <v>64102.411375326468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20000</v>
      </c>
      <c r="J17" s="80">
        <f>'4.Projected'!K11</f>
        <v>0</v>
      </c>
      <c r="K17" s="80">
        <f>'4.Projected'!L11</f>
        <v>0</v>
      </c>
      <c r="L17" s="65">
        <f>'4.Projected'!M11</f>
        <v>21602.411375326468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3.0964303925000003</v>
      </c>
      <c r="S17" s="77">
        <f>SUM('5. Actual'!AH11:AN11)/SUM('5. Actual'!Q11:V11)</f>
        <v>4.6522682165587028</v>
      </c>
      <c r="T17" s="66">
        <f>'4.Projected'!AW11</f>
        <v>360580.04401190957</v>
      </c>
      <c r="U17" s="66">
        <f>'4.Projected'!BF11</f>
        <v>386617.3189805334</v>
      </c>
      <c r="V17" s="77">
        <f t="shared" si="0"/>
        <v>5.6250620885488205</v>
      </c>
      <c r="W17" s="77">
        <f t="shared" si="1"/>
        <v>6.0312445458072972</v>
      </c>
    </row>
    <row r="18" spans="3:23" ht="19.350000000000001" customHeight="1" x14ac:dyDescent="0.3">
      <c r="C18" s="64">
        <v>8</v>
      </c>
      <c r="D18" s="65">
        <f>'4.Projected'!C12</f>
        <v>77567.042234120367</v>
      </c>
      <c r="E18" s="65">
        <f>'4.Projected'!D12</f>
        <v>7337.8936213258748</v>
      </c>
      <c r="F18" s="65">
        <f>'4.Projected'!E12</f>
        <v>70229.148612794495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20000</v>
      </c>
      <c r="J18" s="80">
        <f>'4.Projected'!K12</f>
        <v>0</v>
      </c>
      <c r="K18" s="80">
        <f>'4.Projected'!L12</f>
        <v>0</v>
      </c>
      <c r="L18" s="65">
        <f>'4.Projected'!M12</f>
        <v>27729.148612794495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2.8869952216666666</v>
      </c>
      <c r="S18" s="77">
        <f>SUM('5. Actual'!AH12:AN12)/SUM('5. Actual'!Q12:V12)</f>
        <v>4.6522682165587028</v>
      </c>
      <c r="T18" s="66">
        <f>'4.Projected'!AW12</f>
        <v>373743.60042408359</v>
      </c>
      <c r="U18" s="66">
        <f>'4.Projected'!BF12</f>
        <v>400888.79514111677</v>
      </c>
      <c r="V18" s="77">
        <f t="shared" si="0"/>
        <v>5.32177319256287</v>
      </c>
      <c r="W18" s="77">
        <f t="shared" si="1"/>
        <v>5.7082963849013826</v>
      </c>
    </row>
    <row r="19" spans="3:23" ht="19.350000000000001" customHeight="1" x14ac:dyDescent="0.3">
      <c r="C19" s="64">
        <v>9</v>
      </c>
      <c r="D19" s="65">
        <f>'4.Projected'!C13</f>
        <v>90758.967916004651</v>
      </c>
      <c r="E19" s="65">
        <f>'4.Projected'!D13</f>
        <v>9389.6659820406439</v>
      </c>
      <c r="F19" s="65">
        <f>'4.Projected'!E13</f>
        <v>81369.301933964001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20000</v>
      </c>
      <c r="J19" s="80">
        <f>'4.Projected'!K13</f>
        <v>10000</v>
      </c>
      <c r="K19" s="80">
        <f>'4.Projected'!L13</f>
        <v>0</v>
      </c>
      <c r="L19" s="65">
        <f>'4.Projected'!M13</f>
        <v>28869.301933964001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3.3366598077083336</v>
      </c>
      <c r="S19" s="77">
        <f>SUM('5. Actual'!AH13:AN13)/SUM('5. Actual'!Q13:V13)</f>
        <v>4.4271156913382477</v>
      </c>
      <c r="T19" s="66">
        <f>'4.Projected'!AW13</f>
        <v>424718.89490922826</v>
      </c>
      <c r="U19" s="66">
        <f>'4.Projected'!BF13</f>
        <v>457397.98886752408</v>
      </c>
      <c r="V19" s="77">
        <f t="shared" si="0"/>
        <v>5.2196453062103538</v>
      </c>
      <c r="W19" s="77">
        <f t="shared" si="1"/>
        <v>5.621259836279898</v>
      </c>
    </row>
    <row r="20" spans="3:23" ht="19.350000000000001" customHeight="1" x14ac:dyDescent="0.3">
      <c r="C20" s="64">
        <v>10</v>
      </c>
      <c r="D20" s="65">
        <f>'4.Projected'!C14</f>
        <v>104068.34707664626</v>
      </c>
      <c r="E20" s="65">
        <f>'4.Projected'!D14</f>
        <v>15319.748023146494</v>
      </c>
      <c r="F20" s="65">
        <f>'4.Projected'!E14</f>
        <v>88748.599053499755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20000</v>
      </c>
      <c r="J20" s="80">
        <f>'4.Projected'!K14</f>
        <v>10000</v>
      </c>
      <c r="K20" s="80">
        <f>'4.Projected'!L14</f>
        <v>0</v>
      </c>
      <c r="L20" s="65">
        <f>'4.Projected'!M14</f>
        <v>36248.599053499755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3.5413133166666664</v>
      </c>
      <c r="S20" s="77">
        <f>SUM('5. Actual'!AH14:AN14)/SUM('5. Actual'!Q14:V14)</f>
        <v>4.4271156913382477</v>
      </c>
      <c r="T20" s="66">
        <f>'4.Projected'!AW14</f>
        <v>456759.50200824352</v>
      </c>
      <c r="U20" s="66">
        <f>'4.Projected'!BF14</f>
        <v>492135.31562530837</v>
      </c>
      <c r="V20" s="77">
        <f t="shared" si="0"/>
        <v>5.1466671798717423</v>
      </c>
      <c r="W20" s="77">
        <f t="shared" si="1"/>
        <v>5.5452741888200121</v>
      </c>
    </row>
    <row r="21" spans="3:23" ht="19.350000000000001" customHeight="1" x14ac:dyDescent="0.3">
      <c r="C21" s="64">
        <v>11</v>
      </c>
      <c r="D21" s="65">
        <f>'4.Projected'!C15</f>
        <v>107396.21185873465</v>
      </c>
      <c r="E21" s="65">
        <f>'4.Projected'!D15</f>
        <v>15709.798054999999</v>
      </c>
      <c r="F21" s="65">
        <f>'4.Projected'!E15</f>
        <v>91686.413803734642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20000</v>
      </c>
      <c r="J21" s="80">
        <f>'4.Projected'!K15</f>
        <v>10000</v>
      </c>
      <c r="K21" s="80">
        <f>'4.Projected'!L15</f>
        <v>0</v>
      </c>
      <c r="L21" s="65">
        <f>'4.Projected'!M15</f>
        <v>39186.413803734642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3.3954759227083331</v>
      </c>
      <c r="S21" s="77">
        <f>SUM('5. Actual'!AH15:AN15)/SUM('5. Actual'!Q15:V15)</f>
        <v>4.4271156913382477</v>
      </c>
      <c r="T21" s="66">
        <f>'4.Projected'!AW15</f>
        <v>461448.38003744057</v>
      </c>
      <c r="U21" s="66">
        <f>'4.Projected'!BF15</f>
        <v>497218.83628783096</v>
      </c>
      <c r="V21" s="77">
        <f t="shared" si="0"/>
        <v>5.0328981240909272</v>
      </c>
      <c r="W21" s="77">
        <f t="shared" si="1"/>
        <v>5.4230372381254357</v>
      </c>
    </row>
    <row r="22" spans="3:23" ht="19.350000000000001" customHeight="1" x14ac:dyDescent="0.3">
      <c r="C22" s="64">
        <v>12</v>
      </c>
      <c r="D22" s="65">
        <f>'4.Projected'!C16</f>
        <v>108246.49295518784</v>
      </c>
      <c r="E22" s="65">
        <f>'4.Projected'!D16</f>
        <v>15593.906354104376</v>
      </c>
      <c r="F22" s="65">
        <f>'4.Projected'!E16</f>
        <v>92652.586601083472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20000</v>
      </c>
      <c r="J22" s="80">
        <f>'4.Projected'!K16</f>
        <v>10000</v>
      </c>
      <c r="K22" s="80">
        <f>'4.Projected'!L16</f>
        <v>0</v>
      </c>
      <c r="L22" s="65">
        <f>'4.Projected'!M16</f>
        <v>40152.586601083472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2.8546425104166668</v>
      </c>
      <c r="S22" s="77">
        <f>SUM('5. Actual'!AH16:AN16)/SUM('5. Actual'!Q16:V16)</f>
        <v>4.4271156913382477</v>
      </c>
      <c r="T22" s="66">
        <f>'4.Projected'!AW16</f>
        <v>443013.13608421362</v>
      </c>
      <c r="U22" s="66">
        <f>'4.Projected'!BF16</f>
        <v>477231.97739081614</v>
      </c>
      <c r="V22" s="77">
        <f t="shared" si="0"/>
        <v>4.7814438035239162</v>
      </c>
      <c r="W22" s="77">
        <f t="shared" si="1"/>
        <v>5.150767991459781</v>
      </c>
    </row>
    <row r="23" spans="3:23" ht="19.350000000000001" customHeight="1" x14ac:dyDescent="0.3">
      <c r="C23" s="64">
        <v>13</v>
      </c>
      <c r="D23" s="65">
        <f>'4.Projected'!C17</f>
        <v>107400.16659224691</v>
      </c>
      <c r="E23" s="65">
        <f>'4.Projected'!D17</f>
        <v>15502.267193208847</v>
      </c>
      <c r="F23" s="65">
        <f>'4.Projected'!E17</f>
        <v>91897.89939903807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20000</v>
      </c>
      <c r="J23" s="80">
        <f>'4.Projected'!K17</f>
        <v>10000</v>
      </c>
      <c r="K23" s="80">
        <f>'4.Projected'!L17</f>
        <v>0</v>
      </c>
      <c r="L23" s="65">
        <f>'4.Projected'!M17</f>
        <v>39397.89939903807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3.133152086875</v>
      </c>
      <c r="S23" s="77">
        <f>SUM('5. Actual'!AH17:AN17)/SUM('5. Actual'!Q17:V17)</f>
        <v>4.4271156913382477</v>
      </c>
      <c r="T23" s="66">
        <f>'4.Projected'!AW17</f>
        <v>451831.46619016153</v>
      </c>
      <c r="U23" s="66">
        <f>'4.Projected'!BF17</f>
        <v>486792.50829466828</v>
      </c>
      <c r="V23" s="77">
        <f t="shared" si="0"/>
        <v>4.9166680538390093</v>
      </c>
      <c r="W23" s="77">
        <f t="shared" si="1"/>
        <v>5.2971015820603595</v>
      </c>
    </row>
    <row r="24" spans="3:23" ht="19.350000000000001" customHeight="1" x14ac:dyDescent="0.3">
      <c r="C24" s="64">
        <v>14</v>
      </c>
      <c r="D24" s="65">
        <f>'4.Projected'!C18</f>
        <v>112290.56284430568</v>
      </c>
      <c r="E24" s="65">
        <f>'4.Projected'!D18</f>
        <v>15472.980340149996</v>
      </c>
      <c r="F24" s="65">
        <f>'4.Projected'!E18</f>
        <v>96817.582504155682</v>
      </c>
      <c r="G24" s="80">
        <f>'4.Projected'!F18+'4.Projected'!G18</f>
        <v>25000</v>
      </c>
      <c r="H24" s="80">
        <f>'4.Projected'!H18+'4.Projected'!I18</f>
        <v>20000</v>
      </c>
      <c r="I24" s="80">
        <f>'4.Projected'!J18</f>
        <v>20000</v>
      </c>
      <c r="J24" s="80">
        <f>'4.Projected'!K18</f>
        <v>10000</v>
      </c>
      <c r="K24" s="80">
        <f>'4.Projected'!L18</f>
        <v>0</v>
      </c>
      <c r="L24" s="65">
        <f>'4.Projected'!M18</f>
        <v>21817.582504155682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4.2559070089962123</v>
      </c>
      <c r="S24" s="77">
        <f>SUM('5. Actual'!AH18:AN18)/SUM('5. Actual'!Q18:V18)</f>
        <v>4.0868929733200376</v>
      </c>
      <c r="T24" s="66">
        <f>'4.Projected'!AW18</f>
        <v>495338.8569721083</v>
      </c>
      <c r="U24" s="66">
        <f>'4.Projected'!BF18</f>
        <v>536616.81461702008</v>
      </c>
      <c r="V24" s="77">
        <f t="shared" si="0"/>
        <v>5.116207657331735</v>
      </c>
      <c r="W24" s="77">
        <f t="shared" si="1"/>
        <v>5.5425553989017127</v>
      </c>
    </row>
    <row r="25" spans="3:23" ht="19.350000000000001" customHeight="1" x14ac:dyDescent="0.3">
      <c r="C25" s="64">
        <v>15</v>
      </c>
      <c r="D25" s="65">
        <f>'4.Projected'!C19</f>
        <v>114622.03735371145</v>
      </c>
      <c r="E25" s="65">
        <f>'4.Projected'!D19</f>
        <v>15345.726499999995</v>
      </c>
      <c r="F25" s="65">
        <f>'4.Projected'!E19</f>
        <v>99276.31085371146</v>
      </c>
      <c r="G25" s="80">
        <f>'4.Projected'!F19+'4.Projected'!G19</f>
        <v>25000</v>
      </c>
      <c r="H25" s="80">
        <f>'4.Projected'!H19+'4.Projected'!I19</f>
        <v>20000</v>
      </c>
      <c r="I25" s="80">
        <f>'4.Projected'!J19</f>
        <v>20000</v>
      </c>
      <c r="J25" s="80">
        <f>'4.Projected'!K19</f>
        <v>10000</v>
      </c>
      <c r="K25" s="80">
        <f>'4.Projected'!L19</f>
        <v>0</v>
      </c>
      <c r="L25" s="65">
        <f>'4.Projected'!M19</f>
        <v>24276.31085371146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4.2613910904166667</v>
      </c>
      <c r="S25" s="77">
        <f>SUM('5. Actual'!AH19:AN19)/SUM('5. Actual'!Q19:V19)</f>
        <v>4.0868929733200376</v>
      </c>
      <c r="T25" s="66">
        <f>'4.Projected'!AW19</f>
        <v>505936.10945351043</v>
      </c>
      <c r="U25" s="66">
        <f>'4.Projected'!BF19</f>
        <v>548105.99211742135</v>
      </c>
      <c r="V25" s="77">
        <f t="shared" si="0"/>
        <v>5.0962420450839705</v>
      </c>
      <c r="W25" s="77">
        <f t="shared" si="1"/>
        <v>5.5210149068198406</v>
      </c>
    </row>
    <row r="26" spans="3:23" ht="19.350000000000001" customHeight="1" x14ac:dyDescent="0.3">
      <c r="C26" s="64">
        <v>16</v>
      </c>
      <c r="D26" s="65">
        <f>'4.Projected'!C20</f>
        <v>114125.50311660639</v>
      </c>
      <c r="E26" s="65">
        <f>'4.Projected'!D20</f>
        <v>15645.280499999995</v>
      </c>
      <c r="F26" s="65">
        <f>'4.Projected'!E20</f>
        <v>98480.222616606392</v>
      </c>
      <c r="G26" s="80">
        <f>'4.Projected'!F20+'4.Projected'!G20</f>
        <v>25000</v>
      </c>
      <c r="H26" s="80">
        <f>'4.Projected'!H20+'4.Projected'!I20</f>
        <v>20000</v>
      </c>
      <c r="I26" s="80">
        <f>'4.Projected'!J20</f>
        <v>20000</v>
      </c>
      <c r="J26" s="80">
        <f>'4.Projected'!K20</f>
        <v>10000</v>
      </c>
      <c r="K26" s="80">
        <f>'4.Projected'!L20</f>
        <v>0</v>
      </c>
      <c r="L26" s="65">
        <f>'4.Projected'!M20</f>
        <v>23480.222616606392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5.0638802470833335</v>
      </c>
      <c r="S26" s="77">
        <f>SUM('5. Actual'!AH20:AN20)/SUM('5. Actual'!Q20:V20)</f>
        <v>4.0868929733200376</v>
      </c>
      <c r="T26" s="66">
        <f>'4.Projected'!AW20</f>
        <v>521386.29017867148</v>
      </c>
      <c r="U26" s="66">
        <f>'4.Projected'!BF20</f>
        <v>564856.54789366433</v>
      </c>
      <c r="V26" s="77">
        <f t="shared" si="0"/>
        <v>5.2943248535138041</v>
      </c>
      <c r="W26" s="77">
        <f t="shared" si="1"/>
        <v>5.735735895853006</v>
      </c>
    </row>
    <row r="27" spans="3:23" ht="19.350000000000001" customHeight="1" x14ac:dyDescent="0.3">
      <c r="C27" s="64">
        <v>17</v>
      </c>
      <c r="D27" s="65">
        <f>'4.Projected'!C21</f>
        <v>110848.99956943515</v>
      </c>
      <c r="E27" s="65">
        <f>'4.Projected'!D21</f>
        <v>15896.075999999997</v>
      </c>
      <c r="F27" s="65">
        <f>'4.Projected'!E21</f>
        <v>94952.923569435152</v>
      </c>
      <c r="G27" s="80">
        <f>'4.Projected'!F21+'4.Projected'!G21</f>
        <v>25000</v>
      </c>
      <c r="H27" s="80">
        <f>'4.Projected'!H21+'4.Projected'!I21</f>
        <v>20000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19952.923569435152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4.3638817614583338</v>
      </c>
      <c r="S27" s="77">
        <f>SUM('5. Actual'!AH21:AN21)/SUM('5. Actual'!Q21:V21)</f>
        <v>4.0868929733200376</v>
      </c>
      <c r="T27" s="66">
        <f>'4.Projected'!AW21</f>
        <v>489557.45392574917</v>
      </c>
      <c r="U27" s="66">
        <f>'4.Projected'!BF21</f>
        <v>530348.81582039304</v>
      </c>
      <c r="V27" s="77">
        <f t="shared" si="0"/>
        <v>5.1557912650025566</v>
      </c>
      <c r="W27" s="77">
        <f t="shared" si="1"/>
        <v>5.5853869042017523</v>
      </c>
    </row>
    <row r="28" spans="3:23" ht="19.350000000000001" customHeight="1" x14ac:dyDescent="0.3">
      <c r="C28" s="64">
        <v>18</v>
      </c>
      <c r="D28" s="65">
        <f>'4.Projected'!C22</f>
        <v>105352.7467685494</v>
      </c>
      <c r="E28" s="65">
        <f>'4.Projected'!D22</f>
        <v>15794.36249999999</v>
      </c>
      <c r="F28" s="65">
        <f>'4.Projected'!E22</f>
        <v>89558.384268549416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14558.384268549416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6.3120880302083338</v>
      </c>
      <c r="S28" s="77">
        <f>SUM('5. Actual'!AH22:AN22)/SUM('5. Actual'!Q22:V22)</f>
        <v>4.0868929733200376</v>
      </c>
      <c r="T28" s="66">
        <f>'4.Projected'!AW22</f>
        <v>494379.05775400309</v>
      </c>
      <c r="U28" s="66">
        <f>'4.Projected'!BF22</f>
        <v>535576.23323982721</v>
      </c>
      <c r="V28" s="77">
        <f t="shared" si="0"/>
        <v>5.5201873257512108</v>
      </c>
      <c r="W28" s="77">
        <f t="shared" si="1"/>
        <v>5.9801908845725764</v>
      </c>
    </row>
    <row r="29" spans="3:23" ht="19.350000000000001" customHeight="1" x14ac:dyDescent="0.3">
      <c r="C29" s="64">
        <v>19</v>
      </c>
      <c r="D29" s="65">
        <f>'4.Projected'!C23</f>
        <v>105282.69064801182</v>
      </c>
      <c r="E29" s="65">
        <f>'4.Projected'!D23</f>
        <v>15242.719999999994</v>
      </c>
      <c r="F29" s="65">
        <f>'4.Projected'!E23</f>
        <v>90039.970648011833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15039.970648011833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5.9216326343749994</v>
      </c>
      <c r="S29" s="77">
        <f>SUM('5. Actual'!AH23:AN23)/SUM('5. Actual'!Q23:V23)</f>
        <v>4.0868929733200376</v>
      </c>
      <c r="T29" s="66">
        <f>'4.Projected'!AW23</f>
        <v>491546.43568262795</v>
      </c>
      <c r="U29" s="66">
        <f>'4.Projected'!BF23</f>
        <v>532505.20159018994</v>
      </c>
      <c r="V29" s="77">
        <f t="shared" si="0"/>
        <v>5.4592025313313641</v>
      </c>
      <c r="W29" s="77">
        <f t="shared" si="1"/>
        <v>5.9140979029400444</v>
      </c>
    </row>
    <row r="30" spans="3:23" ht="19.350000000000001" customHeight="1" x14ac:dyDescent="0.3">
      <c r="C30" s="64">
        <v>20</v>
      </c>
      <c r="D30" s="65">
        <f>'4.Projected'!C24</f>
        <v>98582.915257160712</v>
      </c>
      <c r="E30" s="65">
        <f>'4.Projected'!D24</f>
        <v>13508.240999999998</v>
      </c>
      <c r="F30" s="65">
        <f>'4.Projected'!E24</f>
        <v>85074.674257160717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10074.674257160717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3.8081905314583331</v>
      </c>
      <c r="S30" s="77">
        <f>SUM('5. Actual'!AH24:AN24)/SUM('5. Actual'!Q24:V24)</f>
        <v>4.0868929733200376</v>
      </c>
      <c r="T30" s="66">
        <f>'4.Projected'!AW24</f>
        <v>440851.53378696548</v>
      </c>
      <c r="U30" s="66">
        <f>'4.Projected'!BF24</f>
        <v>477543.52852758521</v>
      </c>
      <c r="V30" s="77">
        <f t="shared" si="0"/>
        <v>5.181936194717303</v>
      </c>
      <c r="W30" s="77">
        <f t="shared" si="1"/>
        <v>5.6132278224666896</v>
      </c>
    </row>
    <row r="31" spans="3:23" ht="19.350000000000001" customHeight="1" x14ac:dyDescent="0.3">
      <c r="C31" s="64">
        <v>21</v>
      </c>
      <c r="D31" s="65">
        <f>'4.Projected'!C25</f>
        <v>93964.703534064989</v>
      </c>
      <c r="E31" s="65">
        <f>'4.Projected'!D25</f>
        <v>11749.593999999999</v>
      </c>
      <c r="F31" s="65">
        <f>'4.Projected'!E25</f>
        <v>82215.109534064992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7215.1095340649917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3.7603792656249997</v>
      </c>
      <c r="S31" s="77">
        <f>SUM('5. Actual'!AH25:AN25)/SUM('5. Actual'!Q25:V25)</f>
        <v>4.0868929733200376</v>
      </c>
      <c r="T31" s="66">
        <f>'4.Projected'!AW25</f>
        <v>429616.80296443024</v>
      </c>
      <c r="U31" s="66">
        <f>'4.Projected'!BF25</f>
        <v>465363.21888450888</v>
      </c>
      <c r="V31" s="77">
        <f t="shared" si="0"/>
        <v>5.2255212624441363</v>
      </c>
      <c r="W31" s="77">
        <f t="shared" si="1"/>
        <v>5.6603125814931907</v>
      </c>
    </row>
    <row r="32" spans="3:23" ht="19.350000000000001" customHeight="1" x14ac:dyDescent="0.3">
      <c r="C32" s="64">
        <v>22</v>
      </c>
      <c r="D32" s="65">
        <f>'4.Projected'!C26</f>
        <v>87997.245537669689</v>
      </c>
      <c r="E32" s="65">
        <f>'4.Projected'!D26</f>
        <v>8928.9679999999989</v>
      </c>
      <c r="F32" s="65">
        <f>'4.Projected'!E26</f>
        <v>79068.277537669695</v>
      </c>
      <c r="G32" s="80">
        <f>'4.Projected'!F26+'4.Projected'!G26</f>
        <v>25000</v>
      </c>
      <c r="H32" s="80">
        <f>'4.Projected'!H26+'4.Projected'!I26</f>
        <v>20000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4068.2775376696954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3.6133683104166665</v>
      </c>
      <c r="S32" s="77">
        <f>SUM('5. Actual'!AH26:AN26)/SUM('5. Actual'!Q26:V26)</f>
        <v>4.0868929733200376</v>
      </c>
      <c r="T32" s="66">
        <f>'4.Projected'!AW26</f>
        <v>417185.43980591465</v>
      </c>
      <c r="U32" s="66">
        <f>'4.Projected'!BF26</f>
        <v>451885.56152466097</v>
      </c>
      <c r="V32" s="77">
        <f t="shared" si="0"/>
        <v>5.2762682177711442</v>
      </c>
      <c r="W32" s="77">
        <f t="shared" si="1"/>
        <v>5.7151309677812794</v>
      </c>
    </row>
    <row r="33" spans="1:27" ht="19.350000000000001" customHeight="1" x14ac:dyDescent="0.3">
      <c r="C33" s="64">
        <v>23</v>
      </c>
      <c r="D33" s="65">
        <f>'4.Projected'!C27</f>
        <v>82103.664932923362</v>
      </c>
      <c r="E33" s="65">
        <f>'4.Projected'!D27</f>
        <v>6127.4390000000003</v>
      </c>
      <c r="F33" s="65">
        <f>'4.Projected'!E27</f>
        <v>75976.225932923364</v>
      </c>
      <c r="G33" s="80">
        <f>'4.Projected'!F27+'4.Projected'!G27</f>
        <v>25000</v>
      </c>
      <c r="H33" s="80">
        <f>'4.Projected'!H27+'4.Projected'!I27</f>
        <v>20000</v>
      </c>
      <c r="I33" s="80">
        <f>'4.Projected'!J27</f>
        <v>20000</v>
      </c>
      <c r="J33" s="80">
        <f>'4.Projected'!K27</f>
        <v>10000</v>
      </c>
      <c r="K33" s="80">
        <f>'4.Projected'!L27</f>
        <v>0</v>
      </c>
      <c r="L33" s="65">
        <f>'4.Projected'!M27</f>
        <v>976.22593292336387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3.6664453087499997</v>
      </c>
      <c r="S33" s="77">
        <f>SUM('5. Actual'!AH27:AN27)/SUM('5. Actual'!Q27:V27)</f>
        <v>4.0868929733200376</v>
      </c>
      <c r="T33" s="66">
        <f>'4.Projected'!AW27</f>
        <v>406064.53366536595</v>
      </c>
      <c r="U33" s="66">
        <f>'4.Projected'!BF27</f>
        <v>439828.65669595182</v>
      </c>
      <c r="V33" s="77">
        <f t="shared" si="0"/>
        <v>5.344626278539625</v>
      </c>
      <c r="W33" s="77">
        <f t="shared" si="1"/>
        <v>5.7890300721736363</v>
      </c>
    </row>
    <row r="34" spans="1:27" ht="20.85" customHeight="1" x14ac:dyDescent="0.3">
      <c r="C34" s="64">
        <v>24</v>
      </c>
      <c r="D34" s="65">
        <f>'4.Projected'!C28</f>
        <v>76658.296009132959</v>
      </c>
      <c r="E34" s="65">
        <f>'4.Projected'!D28</f>
        <v>5672.8039999999983</v>
      </c>
      <c r="F34" s="65">
        <f>'4.Projected'!E28</f>
        <v>70985.492009132955</v>
      </c>
      <c r="G34" s="80">
        <f>'4.Projected'!F28+'4.Projected'!G28</f>
        <v>12500</v>
      </c>
      <c r="H34" s="80">
        <f>'4.Projected'!H28+'4.Projected'!I28</f>
        <v>10000</v>
      </c>
      <c r="I34" s="80">
        <f>'4.Projected'!J28</f>
        <v>20000</v>
      </c>
      <c r="J34" s="80">
        <f>'4.Projected'!K28</f>
        <v>10000</v>
      </c>
      <c r="K34" s="80">
        <f>'4.Projected'!L28</f>
        <v>0</v>
      </c>
      <c r="L34" s="65">
        <f>'4.Projected'!M28</f>
        <v>18485.492009132955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3.2116134400000003</v>
      </c>
      <c r="S34" s="77">
        <f>SUM('5. Actual'!AH28:AN28)/SUM('5. Actual'!Q28:V28)</f>
        <v>4.4271156913382477</v>
      </c>
      <c r="T34" s="66">
        <f>'4.Projected'!AW28</f>
        <v>387760.11005111813</v>
      </c>
      <c r="U34" s="66">
        <f>'4.Projected'!BF28</f>
        <v>417328.54254837858</v>
      </c>
      <c r="V34" s="77">
        <f t="shared" si="0"/>
        <v>5.4625262018502196</v>
      </c>
      <c r="W34" s="77">
        <f t="shared" si="1"/>
        <v>5.8790681128854514</v>
      </c>
    </row>
    <row r="35" spans="1:27" ht="23.85" customHeight="1" x14ac:dyDescent="0.3">
      <c r="C35" s="67" t="s">
        <v>92</v>
      </c>
      <c r="D35" s="68">
        <f>SUM(D11:D34)</f>
        <v>2177447.9170680852</v>
      </c>
      <c r="E35" s="68">
        <f>SUM(E11:E34)</f>
        <v>256591.60590914011</v>
      </c>
      <c r="F35" s="68">
        <f t="shared" ref="F35:L35" si="2">SUM(F11:F34)</f>
        <v>1920856.3111589453</v>
      </c>
      <c r="G35" s="82">
        <f t="shared" si="2"/>
        <v>425000</v>
      </c>
      <c r="H35" s="82">
        <f t="shared" si="2"/>
        <v>340000</v>
      </c>
      <c r="I35" s="82">
        <f t="shared" si="2"/>
        <v>380000</v>
      </c>
      <c r="J35" s="82">
        <f t="shared" ref="J35" si="3">SUM(J11:J34)</f>
        <v>160000</v>
      </c>
      <c r="K35" s="82">
        <f t="shared" si="2"/>
        <v>0</v>
      </c>
      <c r="L35" s="68">
        <f t="shared" si="2"/>
        <v>615856.31115894497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3.5050752073192863</v>
      </c>
      <c r="S35" s="79">
        <f>'3. Nomination'!V30</f>
        <v>4.1558179052808706</v>
      </c>
      <c r="T35" s="68">
        <f>SUM(T11:T34)</f>
        <v>9685440.2343855985</v>
      </c>
      <c r="U35" s="68">
        <f t="shared" ref="U35" si="6">SUM(U11:U34)</f>
        <v>10495626.84908629</v>
      </c>
      <c r="V35" s="79">
        <f t="shared" ref="V35" si="7">T35/F35</f>
        <v>5.0422513012136267</v>
      </c>
      <c r="W35" s="79">
        <f t="shared" ref="W35" si="8">U35/F35</f>
        <v>5.4640353826121286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0.70833333333333337</v>
      </c>
      <c r="H38" s="124">
        <f>H35/(20*24*1000)</f>
        <v>0.70833333333333337</v>
      </c>
      <c r="I38" s="124">
        <f>I35/(20*24*1000)</f>
        <v>0.79166666666666663</v>
      </c>
      <c r="J38" s="124">
        <f>J35/(10*24*1000)</f>
        <v>0.66666666666666663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0.22125548773795423</v>
      </c>
      <c r="H39" s="126">
        <f t="shared" si="9"/>
        <v>0.17700439019036338</v>
      </c>
      <c r="I39" s="126">
        <f t="shared" si="9"/>
        <v>0.197828436095112</v>
      </c>
      <c r="J39" s="126">
        <f>J35/$F$35</f>
        <v>8.3296183618994532E-2</v>
      </c>
      <c r="K39" s="126">
        <f t="shared" si="9"/>
        <v>0</v>
      </c>
      <c r="L39" s="127">
        <f t="shared" si="9"/>
        <v>0.32061550235757569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>
        <f>'1. Rates'!C6</f>
        <v>0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6" t="s">
        <v>187</v>
      </c>
      <c r="G3" s="167"/>
      <c r="H3" s="167"/>
      <c r="I3" s="167"/>
      <c r="J3" s="167"/>
      <c r="K3" s="169">
        <f>'1. Rates'!C4</f>
        <v>45672</v>
      </c>
      <c r="L3" s="169"/>
      <c r="M3" s="169"/>
      <c r="N3" s="169"/>
      <c r="O3" s="170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0</v>
      </c>
      <c r="V5" s="53">
        <f>'3. Nomination'!AB6</f>
        <v>0</v>
      </c>
      <c r="W5" s="53">
        <f>'3. Nomination'!AC6</f>
        <v>0</v>
      </c>
      <c r="X5" s="53">
        <f>E5-Q5-R5-S5-T5-U5-V5-W5</f>
        <v>-22500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0</v>
      </c>
      <c r="AM5" s="53">
        <f>V5*'1. Rates'!H$56</f>
        <v>0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2769.72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0</v>
      </c>
      <c r="BE5" s="53">
        <f t="shared" si="0"/>
        <v>23081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0</v>
      </c>
      <c r="BN5" s="53">
        <f t="shared" si="1"/>
        <v>25850.720000000001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 t="e">
        <f t="shared" si="2"/>
        <v>#DIV/0!</v>
      </c>
      <c r="BW5" s="54" t="e">
        <f t="shared" si="2"/>
        <v>#DIV/0!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 t="e">
        <f t="shared" si="5"/>
        <v>#DIV/0!</v>
      </c>
      <c r="CF5" s="54" t="e">
        <f t="shared" si="5"/>
        <v>#DIV/0!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20000</v>
      </c>
      <c r="V10" s="53">
        <f>'3. Nomination'!AB11</f>
        <v>0</v>
      </c>
      <c r="W10" s="53">
        <f>'3. Nomination'!AC11</f>
        <v>0</v>
      </c>
      <c r="X10" s="53">
        <f t="shared" si="19"/>
        <v>-42500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123628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123628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123628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>
        <f t="shared" si="2"/>
        <v>6.1814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>
        <f t="shared" si="5"/>
        <v>6.1814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20000</v>
      </c>
      <c r="V11" s="53">
        <f>'3. Nomination'!AB12</f>
        <v>0</v>
      </c>
      <c r="W11" s="53">
        <f>'3. Nomination'!AC12</f>
        <v>0</v>
      </c>
      <c r="X11" s="53">
        <f t="shared" si="19"/>
        <v>-42500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123628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123628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123628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>
        <f t="shared" si="2"/>
        <v>6.1814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>
        <f t="shared" si="5"/>
        <v>6.1814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20000</v>
      </c>
      <c r="V12" s="53">
        <f>'3. Nomination'!AB13</f>
        <v>0</v>
      </c>
      <c r="W12" s="53">
        <f>'3. Nomination'!AC13</f>
        <v>0</v>
      </c>
      <c r="X12" s="53">
        <f t="shared" si="19"/>
        <v>-42500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123628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123628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123628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>
        <f t="shared" si="2"/>
        <v>6.1814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>
        <f t="shared" si="5"/>
        <v>6.1814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20000</v>
      </c>
      <c r="V13" s="53">
        <f>'3. Nomination'!AB14</f>
        <v>10000</v>
      </c>
      <c r="W13" s="53">
        <f>'3. Nomination'!AC14</f>
        <v>0</v>
      </c>
      <c r="X13" s="53">
        <f t="shared" si="19"/>
        <v>-52500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123628</v>
      </c>
      <c r="AM13" s="53">
        <f>V13*'1. Rates'!H$56</f>
        <v>34702.174591513132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6933.9809509815759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123628</v>
      </c>
      <c r="BE13" s="53">
        <f t="shared" si="0"/>
        <v>57783.174591513132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123628</v>
      </c>
      <c r="BN13" s="53">
        <f t="shared" si="1"/>
        <v>64717.155542494707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>
        <f t="shared" si="2"/>
        <v>6.1814</v>
      </c>
      <c r="BW13" s="54">
        <f t="shared" si="2"/>
        <v>5.7783174591513129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>
        <f t="shared" si="5"/>
        <v>6.1814</v>
      </c>
      <c r="CF13" s="54">
        <f t="shared" si="5"/>
        <v>6.4717155542494709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20000</v>
      </c>
      <c r="V14" s="53">
        <f>'3. Nomination'!AB15</f>
        <v>10000</v>
      </c>
      <c r="W14" s="53">
        <f>'3. Nomination'!AC15</f>
        <v>0</v>
      </c>
      <c r="X14" s="53">
        <f t="shared" si="19"/>
        <v>-52500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123628</v>
      </c>
      <c r="AM14" s="53">
        <f>V14*'1. Rates'!H$56</f>
        <v>34702.174591513132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6933.9809509815759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123628</v>
      </c>
      <c r="BE14" s="53">
        <f t="shared" si="0"/>
        <v>57783.174591513132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123628</v>
      </c>
      <c r="BN14" s="53">
        <f t="shared" si="1"/>
        <v>64717.155542494707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>
        <f t="shared" si="2"/>
        <v>6.1814</v>
      </c>
      <c r="BW14" s="54">
        <f t="shared" si="2"/>
        <v>5.7783174591513129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>
        <f t="shared" si="5"/>
        <v>6.1814</v>
      </c>
      <c r="CF14" s="54">
        <f t="shared" si="5"/>
        <v>6.4717155542494709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20000</v>
      </c>
      <c r="V15" s="53">
        <f>'3. Nomination'!AB16</f>
        <v>10000</v>
      </c>
      <c r="W15" s="53">
        <f>'3. Nomination'!AC16</f>
        <v>0</v>
      </c>
      <c r="X15" s="53">
        <f t="shared" si="19"/>
        <v>-52500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123628</v>
      </c>
      <c r="AM15" s="53">
        <f>V15*'1. Rates'!H$56</f>
        <v>34702.174591513132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6933.9809509815759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123628</v>
      </c>
      <c r="BE15" s="53">
        <f t="shared" si="0"/>
        <v>57783.174591513132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123628</v>
      </c>
      <c r="BN15" s="53">
        <f t="shared" si="1"/>
        <v>64717.155542494707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>
        <f t="shared" si="2"/>
        <v>6.1814</v>
      </c>
      <c r="BW15" s="54">
        <f t="shared" si="2"/>
        <v>5.7783174591513129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>
        <f t="shared" si="5"/>
        <v>6.1814</v>
      </c>
      <c r="CF15" s="54">
        <f t="shared" si="5"/>
        <v>6.4717155542494709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20000</v>
      </c>
      <c r="V16" s="53">
        <f>'3. Nomination'!AB17</f>
        <v>10000</v>
      </c>
      <c r="W16" s="53">
        <f>'3. Nomination'!AC17</f>
        <v>0</v>
      </c>
      <c r="X16" s="53">
        <f t="shared" si="19"/>
        <v>-52500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123628</v>
      </c>
      <c r="AM16" s="53">
        <f>V16*'1. Rates'!H$56</f>
        <v>34702.174591513132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6933.9809509815759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123628</v>
      </c>
      <c r="BE16" s="53">
        <f t="shared" si="0"/>
        <v>57783.174591513132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123628</v>
      </c>
      <c r="BN16" s="53">
        <f t="shared" si="1"/>
        <v>64717.155542494707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>
        <f t="shared" si="2"/>
        <v>6.1814</v>
      </c>
      <c r="BW16" s="54">
        <f t="shared" si="2"/>
        <v>5.7783174591513129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>
        <f t="shared" si="5"/>
        <v>6.1814</v>
      </c>
      <c r="CF16" s="54">
        <f t="shared" si="5"/>
        <v>6.4717155542494709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20000</v>
      </c>
      <c r="V17" s="53">
        <f>'3. Nomination'!AB18</f>
        <v>10000</v>
      </c>
      <c r="W17" s="53">
        <f>'3. Nomination'!AC18</f>
        <v>0</v>
      </c>
      <c r="X17" s="53">
        <f t="shared" si="19"/>
        <v>-52500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123628</v>
      </c>
      <c r="AM17" s="53">
        <f>V17*'1. Rates'!H$56</f>
        <v>34702.174591513132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6933.9809509815759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123628</v>
      </c>
      <c r="BE17" s="53">
        <f t="shared" si="0"/>
        <v>57783.174591513132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123628</v>
      </c>
      <c r="BN17" s="53">
        <f t="shared" si="1"/>
        <v>64717.155542494707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>
        <f t="shared" si="2"/>
        <v>6.1814</v>
      </c>
      <c r="BW17" s="54">
        <f t="shared" si="2"/>
        <v>5.7783174591513129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>
        <f t="shared" si="5"/>
        <v>6.1814</v>
      </c>
      <c r="CF17" s="54">
        <f t="shared" si="5"/>
        <v>6.4717155542494709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20000</v>
      </c>
      <c r="R18" s="53">
        <f>'3. Nomination'!X19</f>
        <v>5000</v>
      </c>
      <c r="S18" s="53">
        <f>'3. Nomination'!Y19</f>
        <v>10000</v>
      </c>
      <c r="T18" s="53">
        <f>'3. Nomination'!Z19</f>
        <v>10000</v>
      </c>
      <c r="U18" s="53">
        <f>'3. Nomination'!AA19</f>
        <v>20000</v>
      </c>
      <c r="V18" s="53">
        <f>'3. Nomination'!AB19</f>
        <v>10000</v>
      </c>
      <c r="W18" s="53">
        <f>'3. Nomination'!AC19</f>
        <v>0</v>
      </c>
      <c r="X18" s="53">
        <f t="shared" si="19"/>
        <v>-75000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65654.455917746949</v>
      </c>
      <c r="AI18" s="53">
        <f>R18*'1. Rates'!D$56</f>
        <v>16413.613979436737</v>
      </c>
      <c r="AJ18" s="53">
        <f>S18*'1. Rates'!E$56</f>
        <v>33059.364255153028</v>
      </c>
      <c r="AK18" s="53">
        <f>T18*'1. Rates'!F$56</f>
        <v>33059.364255153028</v>
      </c>
      <c r="AL18" s="53">
        <f>U18*'1. Rates'!G$56</f>
        <v>123628</v>
      </c>
      <c r="AM18" s="53">
        <f>V18*'1. Rates'!H$56</f>
        <v>34702.174591513132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11757.185456398289</v>
      </c>
      <c r="AR18" s="53">
        <f>(Z18+AI18)*'1. Rates'!D$60</f>
        <v>2939.2963640995722</v>
      </c>
      <c r="AS18" s="53">
        <f>(AA18+AJ18)*'1. Rates'!E$60</f>
        <v>5889.6838946594207</v>
      </c>
      <c r="AT18" s="53">
        <f>(AB18+AK18)*'1. Rates'!F$60</f>
        <v>5942.7238946594207</v>
      </c>
      <c r="AU18" s="53">
        <f>(AC18+AL18)*'1. Rates'!G$60</f>
        <v>0</v>
      </c>
      <c r="AV18" s="53">
        <f>(AD18+AM18)*'1. Rates'!H$60</f>
        <v>6933.9809509815759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97976.545469985751</v>
      </c>
      <c r="BA18" s="53">
        <f t="shared" si="0"/>
        <v>24494.136367496438</v>
      </c>
      <c r="BB18" s="53">
        <f t="shared" si="0"/>
        <v>49080.699122161845</v>
      </c>
      <c r="BC18" s="53">
        <f t="shared" si="0"/>
        <v>49522.699122161837</v>
      </c>
      <c r="BD18" s="53">
        <f t="shared" si="0"/>
        <v>123628</v>
      </c>
      <c r="BE18" s="53">
        <f t="shared" si="0"/>
        <v>57783.174591513132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109733.73092638404</v>
      </c>
      <c r="BJ18" s="53">
        <f t="shared" si="1"/>
        <v>27433.432731596011</v>
      </c>
      <c r="BK18" s="53">
        <f t="shared" si="1"/>
        <v>54970.383016821266</v>
      </c>
      <c r="BL18" s="53">
        <f t="shared" si="1"/>
        <v>55465.42301682126</v>
      </c>
      <c r="BM18" s="53">
        <f t="shared" si="1"/>
        <v>123628</v>
      </c>
      <c r="BN18" s="53">
        <f t="shared" si="1"/>
        <v>64717.155542494707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4.8988272734992879</v>
      </c>
      <c r="BS18" s="54">
        <f t="shared" si="2"/>
        <v>4.8988272734992879</v>
      </c>
      <c r="BT18" s="54">
        <f t="shared" si="2"/>
        <v>4.9080699122161846</v>
      </c>
      <c r="BU18" s="54">
        <f t="shared" si="2"/>
        <v>4.9522699122161837</v>
      </c>
      <c r="BV18" s="54">
        <f t="shared" si="2"/>
        <v>6.1814</v>
      </c>
      <c r="BW18" s="54">
        <f t="shared" si="2"/>
        <v>5.7783174591513129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5.4866865463192021</v>
      </c>
      <c r="CB18" s="54">
        <f t="shared" si="5"/>
        <v>5.4866865463192021</v>
      </c>
      <c r="CC18" s="54">
        <f t="shared" si="5"/>
        <v>5.4970383016821263</v>
      </c>
      <c r="CD18" s="54">
        <f t="shared" si="5"/>
        <v>5.546542301682126</v>
      </c>
      <c r="CE18" s="54">
        <f t="shared" si="5"/>
        <v>6.1814</v>
      </c>
      <c r="CF18" s="54">
        <f t="shared" si="5"/>
        <v>6.4717155542494709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20000</v>
      </c>
      <c r="R19" s="53">
        <f>'3. Nomination'!X20</f>
        <v>5000</v>
      </c>
      <c r="S19" s="53">
        <f>'3. Nomination'!Y20</f>
        <v>10000</v>
      </c>
      <c r="T19" s="53">
        <f>'3. Nomination'!Z20</f>
        <v>10000</v>
      </c>
      <c r="U19" s="53">
        <f>'3. Nomination'!AA20</f>
        <v>20000</v>
      </c>
      <c r="V19" s="53">
        <f>'3. Nomination'!AB20</f>
        <v>10000</v>
      </c>
      <c r="W19" s="53">
        <f>'3. Nomination'!AC20</f>
        <v>0</v>
      </c>
      <c r="X19" s="53">
        <f t="shared" si="19"/>
        <v>-75000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65654.455917746949</v>
      </c>
      <c r="AI19" s="53">
        <f>R19*'1. Rates'!D$56</f>
        <v>16413.613979436737</v>
      </c>
      <c r="AJ19" s="53">
        <f>S19*'1. Rates'!E$56</f>
        <v>33059.364255153028</v>
      </c>
      <c r="AK19" s="53">
        <f>T19*'1. Rates'!F$56</f>
        <v>33059.364255153028</v>
      </c>
      <c r="AL19" s="53">
        <f>U19*'1. Rates'!G$56</f>
        <v>123628</v>
      </c>
      <c r="AM19" s="53">
        <f>V19*'1. Rates'!H$56</f>
        <v>34702.174591513132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11757.185456398289</v>
      </c>
      <c r="AR19" s="53">
        <f>(Z19+AI19)*'1. Rates'!D$60</f>
        <v>2939.2963640995722</v>
      </c>
      <c r="AS19" s="53">
        <f>(AA19+AJ19)*'1. Rates'!E$60</f>
        <v>5889.6838946594207</v>
      </c>
      <c r="AT19" s="53">
        <f>(AB19+AK19)*'1. Rates'!F$60</f>
        <v>5942.7238946594207</v>
      </c>
      <c r="AU19" s="53">
        <f>(AC19+AL19)*'1. Rates'!G$60</f>
        <v>0</v>
      </c>
      <c r="AV19" s="53">
        <f>(AD19+AM19)*'1. Rates'!H$60</f>
        <v>6933.9809509815759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97976.545469985751</v>
      </c>
      <c r="BA19" s="53">
        <f t="shared" si="0"/>
        <v>24494.136367496438</v>
      </c>
      <c r="BB19" s="53">
        <f t="shared" si="0"/>
        <v>49080.699122161845</v>
      </c>
      <c r="BC19" s="53">
        <f t="shared" si="0"/>
        <v>49522.699122161837</v>
      </c>
      <c r="BD19" s="53">
        <f t="shared" si="0"/>
        <v>123628</v>
      </c>
      <c r="BE19" s="53">
        <f t="shared" si="0"/>
        <v>57783.174591513132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109733.73092638404</v>
      </c>
      <c r="BJ19" s="53">
        <f t="shared" si="1"/>
        <v>27433.432731596011</v>
      </c>
      <c r="BK19" s="53">
        <f t="shared" si="1"/>
        <v>54970.383016821266</v>
      </c>
      <c r="BL19" s="53">
        <f t="shared" si="1"/>
        <v>55465.42301682126</v>
      </c>
      <c r="BM19" s="53">
        <f t="shared" si="1"/>
        <v>123628</v>
      </c>
      <c r="BN19" s="53">
        <f t="shared" si="1"/>
        <v>64717.155542494707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4.8988272734992879</v>
      </c>
      <c r="BS19" s="54">
        <f t="shared" si="2"/>
        <v>4.8988272734992879</v>
      </c>
      <c r="BT19" s="54">
        <f t="shared" si="2"/>
        <v>4.9080699122161846</v>
      </c>
      <c r="BU19" s="54">
        <f t="shared" si="2"/>
        <v>4.9522699122161837</v>
      </c>
      <c r="BV19" s="54">
        <f t="shared" si="2"/>
        <v>6.1814</v>
      </c>
      <c r="BW19" s="54">
        <f t="shared" si="2"/>
        <v>5.7783174591513129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5.4866865463192021</v>
      </c>
      <c r="CB19" s="54">
        <f t="shared" si="5"/>
        <v>5.4866865463192021</v>
      </c>
      <c r="CC19" s="54">
        <f t="shared" si="5"/>
        <v>5.4970383016821263</v>
      </c>
      <c r="CD19" s="54">
        <f t="shared" si="5"/>
        <v>5.546542301682126</v>
      </c>
      <c r="CE19" s="54">
        <f t="shared" si="5"/>
        <v>6.1814</v>
      </c>
      <c r="CF19" s="54">
        <f t="shared" si="5"/>
        <v>6.4717155542494709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20000</v>
      </c>
      <c r="R20" s="53">
        <f>'3. Nomination'!X21</f>
        <v>5000</v>
      </c>
      <c r="S20" s="53">
        <f>'3. Nomination'!Y21</f>
        <v>10000</v>
      </c>
      <c r="T20" s="53">
        <f>'3. Nomination'!Z21</f>
        <v>10000</v>
      </c>
      <c r="U20" s="53">
        <f>'3. Nomination'!AA21</f>
        <v>20000</v>
      </c>
      <c r="V20" s="53">
        <f>'3. Nomination'!AB21</f>
        <v>10000</v>
      </c>
      <c r="W20" s="53">
        <f>'3. Nomination'!AC21</f>
        <v>0</v>
      </c>
      <c r="X20" s="53">
        <f t="shared" si="19"/>
        <v>-75000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65654.455917746949</v>
      </c>
      <c r="AI20" s="53">
        <f>R20*'1. Rates'!D$56</f>
        <v>16413.613979436737</v>
      </c>
      <c r="AJ20" s="53">
        <f>S20*'1. Rates'!E$56</f>
        <v>33059.364255153028</v>
      </c>
      <c r="AK20" s="53">
        <f>T20*'1. Rates'!F$56</f>
        <v>33059.364255153028</v>
      </c>
      <c r="AL20" s="53">
        <f>U20*'1. Rates'!G$56</f>
        <v>123628</v>
      </c>
      <c r="AM20" s="53">
        <f>V20*'1. Rates'!H$56</f>
        <v>34702.174591513132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11757.185456398289</v>
      </c>
      <c r="AR20" s="53">
        <f>(Z20+AI20)*'1. Rates'!D$60</f>
        <v>2939.2963640995722</v>
      </c>
      <c r="AS20" s="53">
        <f>(AA20+AJ20)*'1. Rates'!E$60</f>
        <v>5889.6838946594207</v>
      </c>
      <c r="AT20" s="53">
        <f>(AB20+AK20)*'1. Rates'!F$60</f>
        <v>5942.7238946594207</v>
      </c>
      <c r="AU20" s="53">
        <f>(AC20+AL20)*'1. Rates'!G$60</f>
        <v>0</v>
      </c>
      <c r="AV20" s="53">
        <f>(AD20+AM20)*'1. Rates'!H$60</f>
        <v>6933.9809509815759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97976.545469985751</v>
      </c>
      <c r="BA20" s="53">
        <f t="shared" si="0"/>
        <v>24494.136367496438</v>
      </c>
      <c r="BB20" s="53">
        <f t="shared" si="0"/>
        <v>49080.699122161845</v>
      </c>
      <c r="BC20" s="53">
        <f t="shared" si="0"/>
        <v>49522.699122161837</v>
      </c>
      <c r="BD20" s="53">
        <f t="shared" si="0"/>
        <v>123628</v>
      </c>
      <c r="BE20" s="53">
        <f t="shared" si="0"/>
        <v>57783.174591513132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109733.73092638404</v>
      </c>
      <c r="BJ20" s="53">
        <f t="shared" si="1"/>
        <v>27433.432731596011</v>
      </c>
      <c r="BK20" s="53">
        <f t="shared" si="1"/>
        <v>54970.383016821266</v>
      </c>
      <c r="BL20" s="53">
        <f t="shared" si="1"/>
        <v>55465.42301682126</v>
      </c>
      <c r="BM20" s="53">
        <f t="shared" si="1"/>
        <v>123628</v>
      </c>
      <c r="BN20" s="53">
        <f t="shared" si="1"/>
        <v>64717.155542494707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4.8988272734992879</v>
      </c>
      <c r="BS20" s="54">
        <f t="shared" si="2"/>
        <v>4.8988272734992879</v>
      </c>
      <c r="BT20" s="54">
        <f t="shared" si="2"/>
        <v>4.9080699122161846</v>
      </c>
      <c r="BU20" s="54">
        <f t="shared" si="2"/>
        <v>4.9522699122161837</v>
      </c>
      <c r="BV20" s="54">
        <f t="shared" si="2"/>
        <v>6.1814</v>
      </c>
      <c r="BW20" s="54">
        <f t="shared" si="2"/>
        <v>5.7783174591513129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5.4866865463192021</v>
      </c>
      <c r="CB20" s="54">
        <f t="shared" si="5"/>
        <v>5.4866865463192021</v>
      </c>
      <c r="CC20" s="54">
        <f t="shared" si="5"/>
        <v>5.4970383016821263</v>
      </c>
      <c r="CD20" s="54">
        <f t="shared" si="5"/>
        <v>5.546542301682126</v>
      </c>
      <c r="CE20" s="54">
        <f t="shared" si="5"/>
        <v>6.1814</v>
      </c>
      <c r="CF20" s="54">
        <f t="shared" si="5"/>
        <v>6.4717155542494709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20000</v>
      </c>
      <c r="R21" s="53">
        <f>'3. Nomination'!X22</f>
        <v>5000</v>
      </c>
      <c r="S21" s="53">
        <f>'3. Nomination'!Y22</f>
        <v>10000</v>
      </c>
      <c r="T21" s="53">
        <f>'3. Nomination'!Z22</f>
        <v>10000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-75000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65654.455917746949</v>
      </c>
      <c r="AI21" s="53">
        <f>R21*'1. Rates'!D$56</f>
        <v>16413.613979436737</v>
      </c>
      <c r="AJ21" s="53">
        <f>S21*'1. Rates'!E$56</f>
        <v>33059.364255153028</v>
      </c>
      <c r="AK21" s="53">
        <f>T21*'1. Rates'!F$56</f>
        <v>33059.364255153028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11757.185456398289</v>
      </c>
      <c r="AR21" s="53">
        <f>(Z21+AI21)*'1. Rates'!D$60</f>
        <v>2939.2963640995722</v>
      </c>
      <c r="AS21" s="53">
        <f>(AA21+AJ21)*'1. Rates'!E$60</f>
        <v>5889.6838946594207</v>
      </c>
      <c r="AT21" s="53">
        <f>(AB21+AK21)*'1. Rates'!F$60</f>
        <v>5942.7238946594207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97976.545469985751</v>
      </c>
      <c r="BA21" s="53">
        <f t="shared" si="12"/>
        <v>24494.136367496438</v>
      </c>
      <c r="BB21" s="53">
        <f t="shared" si="12"/>
        <v>49080.699122161845</v>
      </c>
      <c r="BC21" s="53">
        <f t="shared" si="12"/>
        <v>49522.699122161837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109733.73092638404</v>
      </c>
      <c r="BJ21" s="53">
        <f t="shared" si="14"/>
        <v>27433.432731596011</v>
      </c>
      <c r="BK21" s="53">
        <f t="shared" si="14"/>
        <v>54970.383016821266</v>
      </c>
      <c r="BL21" s="53">
        <f t="shared" si="14"/>
        <v>55465.42301682126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4.8988272734992879</v>
      </c>
      <c r="BS21" s="54">
        <f t="shared" ref="BS21:BS29" si="20">BA21/R21</f>
        <v>4.8988272734992879</v>
      </c>
      <c r="BT21" s="54">
        <f t="shared" ref="BT21:BT29" si="21">BB21/S21</f>
        <v>4.9080699122161846</v>
      </c>
      <c r="BU21" s="54">
        <f t="shared" ref="BU21:BW29" si="22">BC21/T21</f>
        <v>4.9522699122161837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5.4866865463192021</v>
      </c>
      <c r="CB21" s="54">
        <f t="shared" ref="CB21:CB28" si="23">BJ21/R21</f>
        <v>5.4866865463192021</v>
      </c>
      <c r="CC21" s="54">
        <f t="shared" ref="CC21:CC28" si="24">BK21/S21</f>
        <v>5.4970383016821263</v>
      </c>
      <c r="CD21" s="54">
        <f t="shared" ref="CD21:CF28" si="25">BL21/T21</f>
        <v>5.546542301682126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20000</v>
      </c>
      <c r="R26" s="53">
        <f>'3. Nomination'!X27</f>
        <v>5000</v>
      </c>
      <c r="S26" s="53">
        <f>'3. Nomination'!Y27</f>
        <v>10000</v>
      </c>
      <c r="T26" s="53">
        <f>'3. Nomination'!Z27</f>
        <v>10000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-75000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65654.455917746949</v>
      </c>
      <c r="AI26" s="53">
        <f>R26*'1. Rates'!D$56</f>
        <v>16413.613979436737</v>
      </c>
      <c r="AJ26" s="53">
        <f>S26*'1. Rates'!E$56</f>
        <v>33059.364255153028</v>
      </c>
      <c r="AK26" s="53">
        <f>T26*'1. Rates'!F$56</f>
        <v>33059.364255153028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11757.185456398289</v>
      </c>
      <c r="AR26" s="53">
        <f>(Z26+AI26)*'1. Rates'!D$60</f>
        <v>2939.2963640995722</v>
      </c>
      <c r="AS26" s="53">
        <f>(AA26+AJ26)*'1. Rates'!E$60</f>
        <v>5889.6838946594207</v>
      </c>
      <c r="AT26" s="53">
        <f>(AB26+AK26)*'1. Rates'!F$60</f>
        <v>5942.7238946594207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97976.545469985751</v>
      </c>
      <c r="BA26" s="53">
        <f t="shared" si="12"/>
        <v>24494.136367496438</v>
      </c>
      <c r="BB26" s="53">
        <f t="shared" si="12"/>
        <v>49080.699122161845</v>
      </c>
      <c r="BC26" s="53">
        <f t="shared" si="12"/>
        <v>49522.699122161837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109733.73092638404</v>
      </c>
      <c r="BJ26" s="53">
        <f t="shared" si="14"/>
        <v>27433.432731596011</v>
      </c>
      <c r="BK26" s="53">
        <f t="shared" si="14"/>
        <v>54970.383016821266</v>
      </c>
      <c r="BL26" s="53">
        <f t="shared" si="14"/>
        <v>55465.42301682126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4.8988272734992879</v>
      </c>
      <c r="BS26" s="54">
        <f t="shared" si="20"/>
        <v>4.8988272734992879</v>
      </c>
      <c r="BT26" s="54">
        <f t="shared" si="21"/>
        <v>4.9080699122161846</v>
      </c>
      <c r="BU26" s="54">
        <f t="shared" si="22"/>
        <v>4.9522699122161837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5.4866865463192021</v>
      </c>
      <c r="CB26" s="54">
        <f t="shared" si="23"/>
        <v>5.4866865463192021</v>
      </c>
      <c r="CC26" s="54">
        <f t="shared" si="24"/>
        <v>5.4970383016821263</v>
      </c>
      <c r="CD26" s="54">
        <f t="shared" si="25"/>
        <v>5.546542301682126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20000</v>
      </c>
      <c r="R27" s="53">
        <f>'3. Nomination'!X28</f>
        <v>5000</v>
      </c>
      <c r="S27" s="53">
        <f>'3. Nomination'!Y28</f>
        <v>10000</v>
      </c>
      <c r="T27" s="53">
        <f>'3. Nomination'!Z28</f>
        <v>10000</v>
      </c>
      <c r="U27" s="53">
        <f>'3. Nomination'!AA28</f>
        <v>20000</v>
      </c>
      <c r="V27" s="53">
        <f>'3. Nomination'!AB28</f>
        <v>10000</v>
      </c>
      <c r="W27" s="53">
        <f>'3. Nomination'!AC28</f>
        <v>0</v>
      </c>
      <c r="X27" s="53">
        <f t="shared" si="19"/>
        <v>-75000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65654.455917746949</v>
      </c>
      <c r="AI27" s="53">
        <f>R27*'1. Rates'!D$56</f>
        <v>16413.613979436737</v>
      </c>
      <c r="AJ27" s="53">
        <f>S27*'1. Rates'!E$56</f>
        <v>33059.364255153028</v>
      </c>
      <c r="AK27" s="53">
        <f>T27*'1. Rates'!F$56</f>
        <v>33059.364255153028</v>
      </c>
      <c r="AL27" s="53">
        <f>U27*'1. Rates'!G$56</f>
        <v>123628</v>
      </c>
      <c r="AM27" s="53">
        <f>V27*'1. Rates'!H$56</f>
        <v>34702.174591513132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11757.185456398289</v>
      </c>
      <c r="AR27" s="53">
        <f>(Z27+AI27)*'1. Rates'!D$60</f>
        <v>2939.2963640995722</v>
      </c>
      <c r="AS27" s="53">
        <f>(AA27+AJ27)*'1. Rates'!E$60</f>
        <v>5889.6838946594207</v>
      </c>
      <c r="AT27" s="53">
        <f>(AB27+AK27)*'1. Rates'!F$60</f>
        <v>5942.7238946594207</v>
      </c>
      <c r="AU27" s="53">
        <f>(AC27+AL27)*'1. Rates'!G$60</f>
        <v>0</v>
      </c>
      <c r="AV27" s="53">
        <f>(AD27+AM27)*'1. Rates'!H$60</f>
        <v>6933.9809509815759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97976.545469985751</v>
      </c>
      <c r="BA27" s="53">
        <f t="shared" si="12"/>
        <v>24494.136367496438</v>
      </c>
      <c r="BB27" s="53">
        <f t="shared" si="12"/>
        <v>49080.699122161845</v>
      </c>
      <c r="BC27" s="53">
        <f t="shared" si="12"/>
        <v>49522.699122161837</v>
      </c>
      <c r="BD27" s="53">
        <f t="shared" si="12"/>
        <v>123628</v>
      </c>
      <c r="BE27" s="53">
        <f t="shared" si="12"/>
        <v>57783.174591513132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109733.73092638404</v>
      </c>
      <c r="BJ27" s="53">
        <f t="shared" si="14"/>
        <v>27433.432731596011</v>
      </c>
      <c r="BK27" s="53">
        <f t="shared" si="14"/>
        <v>54970.383016821266</v>
      </c>
      <c r="BL27" s="53">
        <f t="shared" si="14"/>
        <v>55465.42301682126</v>
      </c>
      <c r="BM27" s="53">
        <f t="shared" si="14"/>
        <v>123628</v>
      </c>
      <c r="BN27" s="53">
        <f t="shared" si="14"/>
        <v>64717.155542494707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4.8988272734992879</v>
      </c>
      <c r="BS27" s="54">
        <f t="shared" si="20"/>
        <v>4.8988272734992879</v>
      </c>
      <c r="BT27" s="54">
        <f t="shared" si="21"/>
        <v>4.9080699122161846</v>
      </c>
      <c r="BU27" s="54">
        <f t="shared" si="22"/>
        <v>4.9522699122161837</v>
      </c>
      <c r="BV27" s="54">
        <f t="shared" si="22"/>
        <v>6.1814</v>
      </c>
      <c r="BW27" s="54">
        <f t="shared" si="22"/>
        <v>5.7783174591513129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5.4866865463192021</v>
      </c>
      <c r="CB27" s="54">
        <f t="shared" si="23"/>
        <v>5.4866865463192021</v>
      </c>
      <c r="CC27" s="54">
        <f t="shared" si="24"/>
        <v>5.4970383016821263</v>
      </c>
      <c r="CD27" s="54">
        <f t="shared" si="25"/>
        <v>5.546542301682126</v>
      </c>
      <c r="CE27" s="54">
        <f t="shared" si="25"/>
        <v>6.1814</v>
      </c>
      <c r="CF27" s="54">
        <f t="shared" si="25"/>
        <v>6.4717155542494709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10000</v>
      </c>
      <c r="R28" s="53">
        <f>'3. Nomination'!X29</f>
        <v>2500</v>
      </c>
      <c r="S28" s="53">
        <f>'3. Nomination'!Y29</f>
        <v>5000</v>
      </c>
      <c r="T28" s="53">
        <f>'3. Nomination'!Z29</f>
        <v>5000</v>
      </c>
      <c r="U28" s="53">
        <f>'3. Nomination'!AA29</f>
        <v>20000</v>
      </c>
      <c r="V28" s="53">
        <f>'3. Nomination'!AB29</f>
        <v>10000</v>
      </c>
      <c r="W28" s="53">
        <f>'3. Nomination'!AC29</f>
        <v>0</v>
      </c>
      <c r="X28" s="53">
        <f t="shared" si="19"/>
        <v>-52500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32827.227958873475</v>
      </c>
      <c r="AI28" s="53">
        <f>R28*'1. Rates'!D$56</f>
        <v>8206.8069897183686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123628</v>
      </c>
      <c r="AM28" s="53">
        <f>V28*'1. Rates'!H$56</f>
        <v>34702.174591513132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7817.9181013334737</v>
      </c>
      <c r="AR28" s="53">
        <f>(Z28+AI28)*'1. Rates'!D$60</f>
        <v>1954.4795253333684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6933.9809509815759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65149.317511112284</v>
      </c>
      <c r="BA28" s="53">
        <f t="shared" si="12"/>
        <v>16287.329377778071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123628</v>
      </c>
      <c r="BE28" s="53">
        <f t="shared" si="12"/>
        <v>57783.174591513132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72967.235612445758</v>
      </c>
      <c r="BJ28" s="53">
        <f t="shared" si="14"/>
        <v>18241.80890311144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123628</v>
      </c>
      <c r="BN28" s="53">
        <f t="shared" si="14"/>
        <v>64717.155542494707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6.5149317511112281</v>
      </c>
      <c r="BS28" s="54">
        <f t="shared" si="20"/>
        <v>6.5149317511112281</v>
      </c>
      <c r="BT28" s="54">
        <f t="shared" si="21"/>
        <v>6.5102033989170653</v>
      </c>
      <c r="BU28" s="54">
        <f t="shared" si="22"/>
        <v>6.5986033989170654</v>
      </c>
      <c r="BV28" s="54">
        <f t="shared" si="22"/>
        <v>6.1814</v>
      </c>
      <c r="BW28" s="54">
        <f t="shared" si="22"/>
        <v>5.7783174591513129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7.2967235612445762</v>
      </c>
      <c r="CB28" s="54">
        <f t="shared" si="23"/>
        <v>7.2967235612445762</v>
      </c>
      <c r="CC28" s="54">
        <f t="shared" si="24"/>
        <v>7.2914278067871132</v>
      </c>
      <c r="CD28" s="54">
        <f t="shared" si="25"/>
        <v>7.3904358067871128</v>
      </c>
      <c r="CE28" s="54">
        <f t="shared" si="25"/>
        <v>6.1814</v>
      </c>
      <c r="CF28" s="54">
        <f t="shared" si="25"/>
        <v>6.4717155542494709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340000</v>
      </c>
      <c r="R29" s="56">
        <f t="shared" si="28"/>
        <v>85000</v>
      </c>
      <c r="S29" s="56">
        <f t="shared" si="28"/>
        <v>170000</v>
      </c>
      <c r="T29" s="56">
        <f t="shared" si="28"/>
        <v>170000</v>
      </c>
      <c r="U29" s="56">
        <f t="shared" si="28"/>
        <v>380000</v>
      </c>
      <c r="V29" s="56">
        <f t="shared" si="28"/>
        <v>160000</v>
      </c>
      <c r="W29" s="56">
        <f t="shared" si="28"/>
        <v>0</v>
      </c>
      <c r="X29" s="56">
        <f>SUM(X5:X28)</f>
        <v>-1305000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1116125.7506016984</v>
      </c>
      <c r="AI29" s="56">
        <f t="shared" si="29"/>
        <v>279031.4376504246</v>
      </c>
      <c r="AJ29" s="56">
        <f t="shared" si="29"/>
        <v>562009.19233760168</v>
      </c>
      <c r="AK29" s="56">
        <f t="shared" si="29"/>
        <v>562009.19233760168</v>
      </c>
      <c r="AL29" s="56">
        <f t="shared" si="29"/>
        <v>2348932</v>
      </c>
      <c r="AM29" s="56">
        <f t="shared" si="29"/>
        <v>555234.79346421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227022.70798265154</v>
      </c>
      <c r="AR29" s="56">
        <f t="shared" si="29"/>
        <v>56755.676995662885</v>
      </c>
      <c r="AS29" s="56">
        <f t="shared" si="29"/>
        <v>113582.54749749755</v>
      </c>
      <c r="AT29" s="56">
        <f t="shared" si="29"/>
        <v>114855.50749749751</v>
      </c>
      <c r="AU29" s="56">
        <f t="shared" si="29"/>
        <v>0</v>
      </c>
      <c r="AV29" s="56">
        <f t="shared" si="29"/>
        <v>133101.45521570527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1891855.8998554302</v>
      </c>
      <c r="BA29" s="56">
        <f t="shared" si="29"/>
        <v>472963.97496385756</v>
      </c>
      <c r="BB29" s="56">
        <f t="shared" si="29"/>
        <v>946521.22914581303</v>
      </c>
      <c r="BC29" s="56">
        <f t="shared" si="29"/>
        <v>957129.22914581303</v>
      </c>
      <c r="BD29" s="56">
        <f t="shared" si="29"/>
        <v>2348932</v>
      </c>
      <c r="BE29" s="56">
        <f t="shared" si="29"/>
        <v>1109178.7934642099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2118878.6078380807</v>
      </c>
      <c r="BJ29" s="56">
        <f t="shared" si="29"/>
        <v>529719.65195952018</v>
      </c>
      <c r="BK29" s="56">
        <f t="shared" si="29"/>
        <v>1060103.7766433102</v>
      </c>
      <c r="BL29" s="56">
        <f t="shared" si="29"/>
        <v>1071984.7366433104</v>
      </c>
      <c r="BM29" s="56">
        <f t="shared" si="29"/>
        <v>2348932</v>
      </c>
      <c r="BN29" s="56">
        <f t="shared" si="29"/>
        <v>1242280.2486799157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5.5642820583983239</v>
      </c>
      <c r="BS29" s="58">
        <f t="shared" si="20"/>
        <v>5.5642820583983239</v>
      </c>
      <c r="BT29" s="58">
        <f t="shared" si="21"/>
        <v>5.567771936151841</v>
      </c>
      <c r="BU29" s="58">
        <f t="shared" si="22"/>
        <v>5.6301719361518412</v>
      </c>
      <c r="BV29" s="58">
        <f t="shared" si="22"/>
        <v>6.1814</v>
      </c>
      <c r="BW29" s="58">
        <f t="shared" si="22"/>
        <v>6.9323674591513118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6.2319959054061194</v>
      </c>
      <c r="CB29" s="58">
        <f>BJ29/R29</f>
        <v>6.2319959054061194</v>
      </c>
      <c r="CC29" s="58">
        <f t="shared" ref="CC29:CG29" si="31">BK29/S29</f>
        <v>6.23590456849006</v>
      </c>
      <c r="CD29" s="58">
        <f>BL29/T29</f>
        <v>6.3057925684900615</v>
      </c>
      <c r="CE29" s="58">
        <f>BM29/U29</f>
        <v>6.1814</v>
      </c>
      <c r="CF29" s="58">
        <f t="shared" si="31"/>
        <v>7.7642515542494728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  <mergeCell ref="AG3:AG4"/>
    <mergeCell ref="F3:J3"/>
    <mergeCell ref="K3:O3"/>
    <mergeCell ref="P3:P4"/>
    <mergeCell ref="B3:B4"/>
    <mergeCell ref="C3:E3"/>
    <mergeCell ref="Q3:W3"/>
    <mergeCell ref="X3:X4"/>
    <mergeCell ref="Y3:A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45672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45672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0</v>
      </c>
      <c r="J11" s="80">
        <f>'5. Actual'!V5</f>
        <v>0</v>
      </c>
      <c r="K11" s="81">
        <f>'5. Actual'!W5</f>
        <v>0</v>
      </c>
      <c r="L11" s="65">
        <f>'5. Actual'!X5</f>
        <v>-22500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3.293039964610883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20000</v>
      </c>
      <c r="J16" s="80">
        <f>'5. Actual'!V10</f>
        <v>0</v>
      </c>
      <c r="K16" s="81">
        <f>'5. Actual'!W10</f>
        <v>0</v>
      </c>
      <c r="L16" s="65">
        <f>'5. Actual'!X10</f>
        <v>-42500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4.6522682165587028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20000</v>
      </c>
      <c r="J17" s="80">
        <f>'5. Actual'!V11</f>
        <v>0</v>
      </c>
      <c r="K17" s="81">
        <f>'5. Actual'!W11</f>
        <v>0</v>
      </c>
      <c r="L17" s="65">
        <f>'5. Actual'!X11</f>
        <v>-42500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4.6522682165587028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20000</v>
      </c>
      <c r="J18" s="80">
        <f>'5. Actual'!V12</f>
        <v>0</v>
      </c>
      <c r="K18" s="81">
        <f>'5. Actual'!W12</f>
        <v>0</v>
      </c>
      <c r="L18" s="65">
        <f>'5. Actual'!X12</f>
        <v>-42500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4.6522682165587028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20000</v>
      </c>
      <c r="J19" s="80">
        <f>'5. Actual'!V13</f>
        <v>10000</v>
      </c>
      <c r="K19" s="81">
        <f>'5. Actual'!W13</f>
        <v>0</v>
      </c>
      <c r="L19" s="65">
        <f>'5. Actual'!X13</f>
        <v>-52500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4.4271156913382477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20000</v>
      </c>
      <c r="J20" s="80">
        <f>'5. Actual'!V14</f>
        <v>10000</v>
      </c>
      <c r="K20" s="81">
        <f>'5. Actual'!W14</f>
        <v>0</v>
      </c>
      <c r="L20" s="65">
        <f>'5. Actual'!X14</f>
        <v>-52500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4.4271156913382477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20000</v>
      </c>
      <c r="J21" s="80">
        <f>'5. Actual'!V15</f>
        <v>10000</v>
      </c>
      <c r="K21" s="81">
        <f>'5. Actual'!W15</f>
        <v>0</v>
      </c>
      <c r="L21" s="65">
        <f>'5. Actual'!X15</f>
        <v>-52500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4.4271156913382477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20000</v>
      </c>
      <c r="J22" s="80">
        <f>'5. Actual'!V16</f>
        <v>10000</v>
      </c>
      <c r="K22" s="81">
        <f>'5. Actual'!W16</f>
        <v>0</v>
      </c>
      <c r="L22" s="65">
        <f>'5. Actual'!X16</f>
        <v>-52500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4.4271156913382477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20000</v>
      </c>
      <c r="J23" s="80">
        <f>'5. Actual'!V17</f>
        <v>10000</v>
      </c>
      <c r="K23" s="81">
        <f>'5. Actual'!W17</f>
        <v>0</v>
      </c>
      <c r="L23" s="65">
        <f>'5. Actual'!X17</f>
        <v>-52500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4.4271156913382477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25000</v>
      </c>
      <c r="H24" s="80">
        <f>'5. Actual'!S18+'5. Actual'!T18</f>
        <v>20000</v>
      </c>
      <c r="I24" s="80">
        <f>'5. Actual'!U18</f>
        <v>20000</v>
      </c>
      <c r="J24" s="80">
        <f>'5. Actual'!V18</f>
        <v>10000</v>
      </c>
      <c r="K24" s="81">
        <f>'5. Actual'!W18</f>
        <v>0</v>
      </c>
      <c r="L24" s="65">
        <f>'5. Actual'!X18</f>
        <v>-75000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4.0868929733200376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25000</v>
      </c>
      <c r="H25" s="80">
        <f>'5. Actual'!S19+'5. Actual'!T19</f>
        <v>20000</v>
      </c>
      <c r="I25" s="80">
        <f>'5. Actual'!U19</f>
        <v>20000</v>
      </c>
      <c r="J25" s="80">
        <f>'5. Actual'!V19</f>
        <v>10000</v>
      </c>
      <c r="K25" s="81">
        <f>'5. Actual'!W19</f>
        <v>0</v>
      </c>
      <c r="L25" s="65">
        <f>'5. Actual'!X19</f>
        <v>-75000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4.0868929733200376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25000</v>
      </c>
      <c r="H26" s="80">
        <f>'5. Actual'!S20+'5. Actual'!T20</f>
        <v>20000</v>
      </c>
      <c r="I26" s="80">
        <f>'5. Actual'!U20</f>
        <v>20000</v>
      </c>
      <c r="J26" s="80">
        <f>'5. Actual'!V20</f>
        <v>10000</v>
      </c>
      <c r="K26" s="81">
        <f>'5. Actual'!W20</f>
        <v>0</v>
      </c>
      <c r="L26" s="65">
        <f>'5. Actual'!X20</f>
        <v>-75000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4.0868929733200376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25000</v>
      </c>
      <c r="H27" s="80">
        <f>'5. Actual'!S21+'5. Actual'!T21</f>
        <v>20000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-75000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4.0868929733200376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5.0423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25000</v>
      </c>
      <c r="H32" s="80">
        <f>'5. Actual'!S26+'5. Actual'!T26</f>
        <v>20000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-75000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4.0868929733200376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25000</v>
      </c>
      <c r="H33" s="80">
        <f>'5. Actual'!S27+'5. Actual'!T27</f>
        <v>20000</v>
      </c>
      <c r="I33" s="80">
        <f>'5. Actual'!U27</f>
        <v>20000</v>
      </c>
      <c r="J33" s="80">
        <f>'5. Actual'!V27</f>
        <v>10000</v>
      </c>
      <c r="K33" s="81">
        <f>'5. Actual'!W27</f>
        <v>0</v>
      </c>
      <c r="L33" s="65">
        <f>'5. Actual'!X27</f>
        <v>-75000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4.0868929733200376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12500</v>
      </c>
      <c r="H34" s="80">
        <f>'5. Actual'!S28+'5. Actual'!T28</f>
        <v>10000</v>
      </c>
      <c r="I34" s="80">
        <f>'5. Actual'!U28</f>
        <v>20000</v>
      </c>
      <c r="J34" s="80">
        <f>'5. Actual'!V28</f>
        <v>10000</v>
      </c>
      <c r="K34" s="81">
        <f>'5. Actual'!W28</f>
        <v>0</v>
      </c>
      <c r="L34" s="65">
        <f>'5. Actual'!X28</f>
        <v>-52500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4.4271156913382477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425000</v>
      </c>
      <c r="H35" s="82">
        <f t="shared" si="2"/>
        <v>340000</v>
      </c>
      <c r="I35" s="82">
        <f t="shared" si="2"/>
        <v>380000</v>
      </c>
      <c r="J35" s="82">
        <f t="shared" ref="J35" si="3">SUM(J11:J34)</f>
        <v>160000</v>
      </c>
      <c r="K35" s="82">
        <f t="shared" si="2"/>
        <v>0</v>
      </c>
      <c r="L35" s="68">
        <f t="shared" si="2"/>
        <v>-1305000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4.1558179052808706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0.70833333333333337</v>
      </c>
      <c r="H38" s="124">
        <f>H35/(20*24*1000)</f>
        <v>0.70833333333333337</v>
      </c>
      <c r="I38" s="124">
        <f>I35/(20*24*1000)</f>
        <v>0.79166666666666663</v>
      </c>
      <c r="J38" s="124">
        <f>J35/(10*24*1000)</f>
        <v>0.66666666666666663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>
        <f>'1. Rates'!C6</f>
        <v>0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2025-01-14T06:08:36Z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