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ai/Dropbox/LAB/LNP_MachineLearning/"/>
    </mc:Choice>
  </mc:AlternateContent>
  <xr:revisionPtr revIDLastSave="0" documentId="13_ncr:1_{D09A8599-D295-B847-AD48-A6BBDD0A48A3}" xr6:coauthVersionLast="47" xr6:coauthVersionMax="47" xr10:uidLastSave="{00000000-0000-0000-0000-000000000000}"/>
  <bookViews>
    <workbookView xWindow="520" yWindow="460" windowWidth="28040" windowHeight="16680" activeTab="2" xr2:uid="{5AB01992-66F5-B549-8527-A07BD108A824}"/>
  </bookViews>
  <sheets>
    <sheet name="for DSPC, DOPE, 18PG" sheetId="1" r:id="rId1"/>
    <sheet name="for DOTAP" sheetId="4" r:id="rId2"/>
    <sheet name="arrays for components" sheetId="3" r:id="rId3"/>
    <sheet name="IGNOR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6" i="3" l="1"/>
  <c r="M5" i="3"/>
  <c r="K5" i="3"/>
  <c r="M4" i="3"/>
  <c r="K4" i="3"/>
  <c r="M3" i="3"/>
  <c r="K3" i="3"/>
  <c r="F7" i="4"/>
  <c r="C7" i="4"/>
  <c r="F4" i="3"/>
  <c r="F5" i="3"/>
  <c r="F6" i="3"/>
  <c r="F3" i="3"/>
  <c r="D4" i="3"/>
  <c r="D5" i="3"/>
  <c r="D3" i="3"/>
  <c r="F7" i="1"/>
  <c r="D14" i="1" s="1"/>
  <c r="D18" i="2"/>
  <c r="E18" i="2"/>
  <c r="C7" i="1"/>
  <c r="C6" i="2"/>
  <c r="C5" i="4" l="1"/>
  <c r="C5" i="1"/>
  <c r="C14" i="1" s="1"/>
  <c r="C11" i="1" s="1"/>
  <c r="C10" i="1" s="1"/>
  <c r="E10" i="1" s="1"/>
  <c r="D15" i="2"/>
  <c r="D17" i="2"/>
  <c r="C13" i="1" l="1"/>
  <c r="C12" i="1" s="1"/>
  <c r="E12" i="1" s="1"/>
  <c r="E14" i="1"/>
  <c r="E17" i="2"/>
  <c r="D16" i="2"/>
  <c r="E15" i="2"/>
  <c r="D14" i="2"/>
  <c r="D21" i="2" s="1"/>
  <c r="C15" i="1"/>
  <c r="E11" i="1"/>
  <c r="E13" i="1" l="1"/>
  <c r="F10" i="1"/>
  <c r="F14" i="1"/>
  <c r="E14" i="2"/>
  <c r="D19" i="2"/>
  <c r="D22" i="2"/>
  <c r="E16" i="2"/>
  <c r="F16" i="2" s="1"/>
  <c r="F13" i="1"/>
  <c r="F11" i="1"/>
  <c r="F12" i="1"/>
  <c r="F15" i="2" l="1"/>
  <c r="F17" i="2"/>
  <c r="F14" i="2"/>
  <c r="F18" i="2"/>
</calcChain>
</file>

<file path=xl/sharedStrings.xml><?xml version="1.0" encoding="utf-8"?>
<sst xmlns="http://schemas.openxmlformats.org/spreadsheetml/2006/main" count="92" uniqueCount="58">
  <si>
    <t>DSPC</t>
  </si>
  <si>
    <t>Dlin</t>
  </si>
  <si>
    <t>Chol</t>
  </si>
  <si>
    <t>DMG-PEG</t>
  </si>
  <si>
    <t>pDNA</t>
  </si>
  <si>
    <t>mol %</t>
  </si>
  <si>
    <t>MW (g/mol)</t>
  </si>
  <si>
    <t>wt %</t>
  </si>
  <si>
    <t>Example calculation for LNP D1</t>
  </si>
  <si>
    <t>g/mol LNP</t>
  </si>
  <si>
    <t>TOTAL</t>
  </si>
  <si>
    <t>A</t>
  </si>
  <si>
    <t>B</t>
  </si>
  <si>
    <t>C</t>
  </si>
  <si>
    <t>D</t>
  </si>
  <si>
    <t>E</t>
  </si>
  <si>
    <t>C/D</t>
  </si>
  <si>
    <t>A/B</t>
  </si>
  <si>
    <t>A+B+E/2</t>
  </si>
  <si>
    <t>C+D+E/2</t>
  </si>
  <si>
    <t>Solve for E using eqns 1, 3, 4, so A=10B, B=(eqn 3)/(eqn 1)*E, then 11*((eqn 3)/(eqn 1)*E)+E/2=80</t>
  </si>
  <si>
    <t>check</t>
  </si>
  <si>
    <t>Steps:</t>
  </si>
  <si>
    <t>Solve for D using E from step 1 and eqns 2, 5</t>
  </si>
  <si>
    <t>Solve for A, B, C</t>
  </si>
  <si>
    <t>Example calculation for DOTAP LNP A1:</t>
  </si>
  <si>
    <t>&lt;--correction factor: For N/P ratio of DOTAP lipids, there is 1 mol N from DOTAP and 1 mol from Dlin, so 2 mol N / mol lipid</t>
  </si>
  <si>
    <t>(A+B)/E</t>
  </si>
  <si>
    <t>pDNA base</t>
  </si>
  <si>
    <t>DOTAP</t>
  </si>
  <si>
    <t>B/E</t>
  </si>
  <si>
    <t>mol P / mol DNA</t>
  </si>
  <si>
    <t>A+B+E*0.8</t>
  </si>
  <si>
    <t>C+D+E*0.2</t>
  </si>
  <si>
    <t>B/A</t>
  </si>
  <si>
    <t>last column is the solutions</t>
  </si>
  <si>
    <t>for loop with the different parameters I want to pass in</t>
  </si>
  <si>
    <t>export as csv</t>
  </si>
  <si>
    <t>LNP component</t>
  </si>
  <si>
    <t>N/P</t>
  </si>
  <si>
    <t>(g of component)/(mol LNP)</t>
  </si>
  <si>
    <t>N/P*9304 bases</t>
  </si>
  <si>
    <t>A+B+0.8E</t>
  </si>
  <si>
    <t>C+D+0.2E</t>
  </si>
  <si>
    <t>make a 2D array matrix in np based on highlighted columns</t>
  </si>
  <si>
    <t>solve for reduced row echelon form of the augmented matrix of the system of equations</t>
  </si>
  <si>
    <t>sympy.Matrix().rref()</t>
  </si>
  <si>
    <t>A, B, C, D, E are the mol % of each component in the lipid nanoparticle (LNP)</t>
  </si>
  <si>
    <t>For N/P ratio of DOTAP LNPs, there is 1 mol N from Dlin and 1 mol N from DOTAP</t>
  </si>
  <si>
    <t>For N/P ratio of DSPC, DOPE, 18PG LNPs, there is 1 mol N from Dlin</t>
  </si>
  <si>
    <t>N/P = mol N / mol P</t>
  </si>
  <si>
    <t>DNA length (bp)</t>
  </si>
  <si>
    <t>mol P / DNA base</t>
  </si>
  <si>
    <t>total mol N</t>
  </si>
  <si>
    <t>For everything except DOTAP</t>
  </si>
  <si>
    <t>For DOTAP</t>
  </si>
  <si>
    <t>Example calculation for LNP A1</t>
  </si>
  <si>
    <t>What to do in Python: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</si>
</sst>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2" fontId="3" fillId="0" borderId="0" xfId="0" applyNumberFormat="1" applyFont="1"/>
    <xf numFmtId="10" fontId="3" fillId="0" borderId="0" xfId="1" applyNumberFormat="1" applyFont="1"/>
    <xf numFmtId="0" fontId="3" fillId="0" borderId="0" xfId="1" applyNumberFormat="1" applyFont="1"/>
    <xf numFmtId="164" fontId="3" fillId="0" borderId="0" xfId="0" applyNumberFormat="1" applyFont="1"/>
    <xf numFmtId="0" fontId="2" fillId="2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 applyFill="1"/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10" fontId="3" fillId="0" borderId="1" xfId="0" applyNumberFormat="1" applyFont="1" applyBorder="1"/>
    <xf numFmtId="2" fontId="3" fillId="0" borderId="1" xfId="0" applyNumberFormat="1" applyFont="1" applyBorder="1"/>
    <xf numFmtId="165" fontId="3" fillId="0" borderId="1" xfId="1" applyNumberFormat="1" applyFont="1" applyBorder="1"/>
    <xf numFmtId="165" fontId="3" fillId="0" borderId="1" xfId="0" applyNumberFormat="1" applyFont="1" applyBorder="1"/>
    <xf numFmtId="0" fontId="2" fillId="0" borderId="1" xfId="0" applyFont="1" applyBorder="1"/>
    <xf numFmtId="10" fontId="2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77CE-19CC-F147-B7B6-AAD0E2F6ADA4}">
  <dimension ref="A1:F18"/>
  <sheetViews>
    <sheetView zoomScale="110" zoomScaleNormal="110" workbookViewId="0">
      <selection activeCell="F10" sqref="F10:F14"/>
    </sheetView>
  </sheetViews>
  <sheetFormatPr baseColWidth="10" defaultRowHeight="21" x14ac:dyDescent="0.25"/>
  <cols>
    <col min="1" max="1" width="4.5" style="2" customWidth="1"/>
    <col min="2" max="2" width="22" style="2" customWidth="1"/>
    <col min="3" max="3" width="10.83203125" style="2" bestFit="1" customWidth="1"/>
    <col min="4" max="4" width="15.5" style="2" customWidth="1"/>
    <col min="5" max="5" width="34" style="2" customWidth="1"/>
    <col min="6" max="6" width="12.5" style="2" customWidth="1"/>
    <col min="7" max="7" width="21.33203125" style="2" bestFit="1" customWidth="1"/>
    <col min="8" max="16384" width="10.83203125" style="2"/>
  </cols>
  <sheetData>
    <row r="1" spans="1:6" x14ac:dyDescent="0.25">
      <c r="A1" s="1" t="s">
        <v>8</v>
      </c>
      <c r="D1" s="2" t="s">
        <v>47</v>
      </c>
    </row>
    <row r="2" spans="1:6" x14ac:dyDescent="0.25">
      <c r="A2" s="1"/>
      <c r="E2" s="2" t="s">
        <v>49</v>
      </c>
    </row>
    <row r="3" spans="1:6" x14ac:dyDescent="0.25">
      <c r="A3" s="10">
        <v>1</v>
      </c>
      <c r="B3" s="10" t="s">
        <v>34</v>
      </c>
      <c r="C3" s="10">
        <v>10</v>
      </c>
      <c r="E3" s="10" t="s">
        <v>50</v>
      </c>
      <c r="F3" s="10">
        <v>8</v>
      </c>
    </row>
    <row r="4" spans="1:6" x14ac:dyDescent="0.25">
      <c r="A4" s="10">
        <v>2</v>
      </c>
      <c r="B4" s="10" t="s">
        <v>16</v>
      </c>
      <c r="C4" s="10">
        <v>500</v>
      </c>
      <c r="E4" s="10" t="s">
        <v>53</v>
      </c>
      <c r="F4" s="10">
        <v>1</v>
      </c>
    </row>
    <row r="5" spans="1:6" x14ac:dyDescent="0.25">
      <c r="A5" s="10">
        <v>3</v>
      </c>
      <c r="B5" s="10" t="s">
        <v>30</v>
      </c>
      <c r="C5" s="10">
        <f>F3*F7</f>
        <v>74432</v>
      </c>
      <c r="E5" s="10" t="s">
        <v>52</v>
      </c>
      <c r="F5" s="10">
        <v>1</v>
      </c>
    </row>
    <row r="6" spans="1:6" x14ac:dyDescent="0.25">
      <c r="A6" s="10">
        <v>4</v>
      </c>
      <c r="B6" s="10" t="s">
        <v>32</v>
      </c>
      <c r="C6" s="10">
        <v>80</v>
      </c>
      <c r="E6" s="10" t="s">
        <v>51</v>
      </c>
      <c r="F6" s="10">
        <v>4652</v>
      </c>
    </row>
    <row r="7" spans="1:6" x14ac:dyDescent="0.25">
      <c r="A7" s="10">
        <v>5</v>
      </c>
      <c r="B7" s="10" t="s">
        <v>33</v>
      </c>
      <c r="C7" s="10">
        <f>100-C6</f>
        <v>20</v>
      </c>
      <c r="E7" s="10" t="s">
        <v>31</v>
      </c>
      <c r="F7" s="10">
        <f>F6*2</f>
        <v>9304</v>
      </c>
    </row>
    <row r="9" spans="1:6" x14ac:dyDescent="0.25">
      <c r="A9" s="19"/>
      <c r="B9" s="19" t="s">
        <v>38</v>
      </c>
      <c r="C9" s="19" t="s">
        <v>5</v>
      </c>
      <c r="D9" s="19" t="s">
        <v>6</v>
      </c>
      <c r="E9" s="19" t="s">
        <v>40</v>
      </c>
      <c r="F9" s="19" t="s">
        <v>7</v>
      </c>
    </row>
    <row r="10" spans="1:6" x14ac:dyDescent="0.25">
      <c r="A10" s="19" t="s">
        <v>11</v>
      </c>
      <c r="B10" s="19" t="s">
        <v>0</v>
      </c>
      <c r="C10" s="15">
        <f>C11/C3</f>
        <v>7.2726562118325289E-2</v>
      </c>
      <c r="D10" s="10">
        <v>790.15</v>
      </c>
      <c r="E10" s="16">
        <f>C10*D10</f>
        <v>57.464893057794725</v>
      </c>
      <c r="F10" s="20">
        <f>E10/SUM(E$10:E$14)</f>
        <v>9.0900858823521308E-2</v>
      </c>
    </row>
    <row r="11" spans="1:6" x14ac:dyDescent="0.25">
      <c r="A11" s="19" t="s">
        <v>12</v>
      </c>
      <c r="B11" s="19" t="s">
        <v>1</v>
      </c>
      <c r="C11" s="15">
        <f>C5*C14</f>
        <v>0.72726562118325289</v>
      </c>
      <c r="D11" s="10">
        <v>642.11</v>
      </c>
      <c r="E11" s="16">
        <f>C11*D11</f>
        <v>466.9845280179785</v>
      </c>
      <c r="F11" s="20">
        <f>E11/SUM(E$10:E$14)</f>
        <v>0.73869961980853338</v>
      </c>
    </row>
    <row r="12" spans="1:6" x14ac:dyDescent="0.25">
      <c r="A12" s="19" t="s">
        <v>13</v>
      </c>
      <c r="B12" s="19" t="s">
        <v>2</v>
      </c>
      <c r="C12" s="15">
        <f>C4*C13</f>
        <v>0.19959884812913622</v>
      </c>
      <c r="D12" s="10">
        <v>386.65</v>
      </c>
      <c r="E12" s="16">
        <f>C12*D12</f>
        <v>77.17489462913052</v>
      </c>
      <c r="F12" s="20">
        <f>E12/SUM(E$10:E$14)</f>
        <v>0.12207913089383453</v>
      </c>
    </row>
    <row r="13" spans="1:6" x14ac:dyDescent="0.25">
      <c r="A13" s="19" t="s">
        <v>14</v>
      </c>
      <c r="B13" s="19" t="s">
        <v>3</v>
      </c>
      <c r="C13" s="17">
        <f>((C7-(C14*100*0.2))/(C4+1))/100</f>
        <v>3.9919769625827245E-4</v>
      </c>
      <c r="D13" s="10">
        <v>2509</v>
      </c>
      <c r="E13" s="16">
        <f>C13*D13</f>
        <v>1.0015870199120056</v>
      </c>
      <c r="F13" s="20">
        <f>E13/SUM(E$10:E$14)</f>
        <v>1.5843607366488083E-3</v>
      </c>
    </row>
    <row r="14" spans="1:6" x14ac:dyDescent="0.25">
      <c r="A14" s="19" t="s">
        <v>15</v>
      </c>
      <c r="B14" s="19" t="s">
        <v>4</v>
      </c>
      <c r="C14" s="18">
        <f>C6/((C3+1)*C5/C3+0.8)/100</f>
        <v>9.7708730275050091E-6</v>
      </c>
      <c r="D14" s="10">
        <f>325*F7</f>
        <v>3023800</v>
      </c>
      <c r="E14" s="16">
        <f>C14*D14</f>
        <v>29.545165860569647</v>
      </c>
      <c r="F14" s="20">
        <f>E14/SUM(E$10:E$14)</f>
        <v>4.6736029737461909E-2</v>
      </c>
    </row>
    <row r="15" spans="1:6" x14ac:dyDescent="0.25">
      <c r="B15" s="2" t="s">
        <v>10</v>
      </c>
      <c r="C15" s="7">
        <f>SUM(C10:C14)</f>
        <v>1.0000000000000002</v>
      </c>
    </row>
    <row r="17" spans="4:4" x14ac:dyDescent="0.25">
      <c r="D17" s="7"/>
    </row>
    <row r="18" spans="4:4" x14ac:dyDescent="0.25">
      <c r="D18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8348A-DD17-2D41-BF23-A0B9844B9664}">
  <dimension ref="A1:F11"/>
  <sheetViews>
    <sheetView zoomScale="110" zoomScaleNormal="110" workbookViewId="0">
      <selection activeCell="B5" sqref="B5"/>
    </sheetView>
  </sheetViews>
  <sheetFormatPr baseColWidth="10" defaultRowHeight="21" x14ac:dyDescent="0.25"/>
  <cols>
    <col min="1" max="1" width="4.5" style="2" customWidth="1"/>
    <col min="2" max="2" width="22" style="2" customWidth="1"/>
    <col min="3" max="3" width="13.1640625" style="2" customWidth="1"/>
    <col min="4" max="4" width="16.33203125" style="2" customWidth="1"/>
    <col min="5" max="5" width="32.33203125" style="2" customWidth="1"/>
    <col min="6" max="6" width="17.83203125" style="2" customWidth="1"/>
    <col min="7" max="7" width="21.33203125" style="2" bestFit="1" customWidth="1"/>
    <col min="8" max="16384" width="10.83203125" style="2"/>
  </cols>
  <sheetData>
    <row r="1" spans="1:6" x14ac:dyDescent="0.25">
      <c r="A1" s="1" t="s">
        <v>56</v>
      </c>
      <c r="D1" s="2" t="s">
        <v>47</v>
      </c>
    </row>
    <row r="2" spans="1:6" x14ac:dyDescent="0.25">
      <c r="A2" s="1"/>
      <c r="E2" s="2" t="s">
        <v>48</v>
      </c>
    </row>
    <row r="3" spans="1:6" x14ac:dyDescent="0.25">
      <c r="A3" s="10">
        <v>1</v>
      </c>
      <c r="B3" s="10" t="s">
        <v>34</v>
      </c>
      <c r="C3" s="10">
        <v>10</v>
      </c>
      <c r="E3" s="10" t="s">
        <v>50</v>
      </c>
      <c r="F3" s="10">
        <v>4</v>
      </c>
    </row>
    <row r="4" spans="1:6" x14ac:dyDescent="0.25">
      <c r="A4" s="10">
        <v>2</v>
      </c>
      <c r="B4" s="10" t="s">
        <v>16</v>
      </c>
      <c r="C4" s="10">
        <v>100</v>
      </c>
      <c r="E4" s="13" t="s">
        <v>53</v>
      </c>
      <c r="F4" s="13">
        <v>2</v>
      </c>
    </row>
    <row r="5" spans="1:6" x14ac:dyDescent="0.25">
      <c r="A5" s="10">
        <v>3</v>
      </c>
      <c r="B5" s="13" t="s">
        <v>27</v>
      </c>
      <c r="C5" s="10">
        <f>F3*F7</f>
        <v>37216</v>
      </c>
      <c r="E5" s="10" t="s">
        <v>52</v>
      </c>
      <c r="F5" s="10">
        <v>1</v>
      </c>
    </row>
    <row r="6" spans="1:6" x14ac:dyDescent="0.25">
      <c r="A6" s="10">
        <v>4</v>
      </c>
      <c r="B6" s="10" t="s">
        <v>32</v>
      </c>
      <c r="C6" s="10">
        <v>80</v>
      </c>
      <c r="E6" s="10" t="s">
        <v>51</v>
      </c>
      <c r="F6" s="10">
        <v>4652</v>
      </c>
    </row>
    <row r="7" spans="1:6" x14ac:dyDescent="0.25">
      <c r="A7" s="10">
        <v>5</v>
      </c>
      <c r="B7" s="10" t="s">
        <v>33</v>
      </c>
      <c r="C7" s="10">
        <f>100-C6</f>
        <v>20</v>
      </c>
      <c r="E7" s="10" t="s">
        <v>31</v>
      </c>
      <c r="F7" s="10">
        <f>F6*2</f>
        <v>9304</v>
      </c>
    </row>
    <row r="10" spans="1:6" x14ac:dyDescent="0.25">
      <c r="D10" s="7"/>
    </row>
    <row r="11" spans="1:6" x14ac:dyDescent="0.25">
      <c r="D1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0E00-778C-9F40-8668-6FF64A73C9B2}">
  <dimension ref="A1:M16"/>
  <sheetViews>
    <sheetView tabSelected="1" workbookViewId="0">
      <selection activeCell="F18" sqref="F18"/>
    </sheetView>
  </sheetViews>
  <sheetFormatPr baseColWidth="10" defaultRowHeight="21" x14ac:dyDescent="0.25"/>
  <cols>
    <col min="1" max="6" width="12.33203125" style="2" customWidth="1"/>
    <col min="7" max="11" width="10.83203125" style="2"/>
    <col min="12" max="12" width="11.6640625" style="2" customWidth="1"/>
    <col min="13" max="13" width="11.5" style="2" bestFit="1" customWidth="1"/>
    <col min="14" max="16384" width="10.83203125" style="2"/>
  </cols>
  <sheetData>
    <row r="1" spans="1:13" x14ac:dyDescent="0.25">
      <c r="A1" s="2" t="s">
        <v>54</v>
      </c>
      <c r="D1" s="2" t="s">
        <v>41</v>
      </c>
      <c r="H1" s="2" t="s">
        <v>55</v>
      </c>
      <c r="K1" s="2" t="s">
        <v>41</v>
      </c>
    </row>
    <row r="2" spans="1:13" x14ac:dyDescent="0.25">
      <c r="A2" s="12" t="s">
        <v>34</v>
      </c>
      <c r="B2" s="12" t="s">
        <v>16</v>
      </c>
      <c r="C2" s="8" t="s">
        <v>39</v>
      </c>
      <c r="D2" s="12" t="s">
        <v>30</v>
      </c>
      <c r="E2" s="12" t="s">
        <v>42</v>
      </c>
      <c r="F2" s="12" t="s">
        <v>43</v>
      </c>
      <c r="H2" s="12" t="s">
        <v>34</v>
      </c>
      <c r="I2" s="12" t="s">
        <v>16</v>
      </c>
      <c r="J2" s="8" t="s">
        <v>39</v>
      </c>
      <c r="K2" s="14" t="s">
        <v>27</v>
      </c>
      <c r="L2" s="12" t="s">
        <v>42</v>
      </c>
      <c r="M2" s="12" t="s">
        <v>43</v>
      </c>
    </row>
    <row r="3" spans="1:13" x14ac:dyDescent="0.25">
      <c r="A3" s="13">
        <v>200</v>
      </c>
      <c r="B3" s="13">
        <v>500</v>
      </c>
      <c r="C3" s="9">
        <v>4</v>
      </c>
      <c r="D3" s="13">
        <f>C3*9304</f>
        <v>37216</v>
      </c>
      <c r="E3" s="13">
        <v>20</v>
      </c>
      <c r="F3" s="13">
        <f>100-E3</f>
        <v>80</v>
      </c>
      <c r="H3" s="13">
        <v>200</v>
      </c>
      <c r="I3" s="13">
        <v>500</v>
      </c>
      <c r="J3" s="9">
        <v>4</v>
      </c>
      <c r="K3" s="13">
        <f>J3*9304</f>
        <v>37216</v>
      </c>
      <c r="L3" s="13">
        <v>20</v>
      </c>
      <c r="M3" s="13">
        <f>100-L3</f>
        <v>80</v>
      </c>
    </row>
    <row r="4" spans="1:13" x14ac:dyDescent="0.25">
      <c r="A4" s="13">
        <v>100</v>
      </c>
      <c r="B4" s="13">
        <v>100</v>
      </c>
      <c r="C4" s="9">
        <v>8</v>
      </c>
      <c r="D4" s="13">
        <f t="shared" ref="D4:D5" si="0">C4*9304</f>
        <v>74432</v>
      </c>
      <c r="E4" s="13">
        <v>40</v>
      </c>
      <c r="F4" s="13">
        <f>100-E4</f>
        <v>60</v>
      </c>
      <c r="H4" s="13">
        <v>100</v>
      </c>
      <c r="I4" s="13">
        <v>100</v>
      </c>
      <c r="J4" s="9">
        <v>8</v>
      </c>
      <c r="K4" s="13">
        <f t="shared" ref="K4:K5" si="1">J4*9304</f>
        <v>74432</v>
      </c>
      <c r="L4" s="13">
        <v>40</v>
      </c>
      <c r="M4" s="13">
        <f>100-L4</f>
        <v>60</v>
      </c>
    </row>
    <row r="5" spans="1:13" x14ac:dyDescent="0.25">
      <c r="A5" s="13">
        <v>50</v>
      </c>
      <c r="B5" s="13">
        <v>10</v>
      </c>
      <c r="C5" s="9">
        <v>12</v>
      </c>
      <c r="D5" s="13">
        <f t="shared" si="0"/>
        <v>111648</v>
      </c>
      <c r="E5" s="13">
        <v>60</v>
      </c>
      <c r="F5" s="13">
        <f>100-E5</f>
        <v>40</v>
      </c>
      <c r="H5" s="13">
        <v>50</v>
      </c>
      <c r="I5" s="13">
        <v>10</v>
      </c>
      <c r="J5" s="9">
        <v>12</v>
      </c>
      <c r="K5" s="13">
        <f t="shared" si="1"/>
        <v>111648</v>
      </c>
      <c r="L5" s="13">
        <v>60</v>
      </c>
      <c r="M5" s="13">
        <f>100-L5</f>
        <v>40</v>
      </c>
    </row>
    <row r="6" spans="1:13" x14ac:dyDescent="0.25">
      <c r="A6" s="13">
        <v>10</v>
      </c>
      <c r="B6" s="13"/>
      <c r="C6" s="10"/>
      <c r="D6" s="13"/>
      <c r="E6" s="13">
        <v>80</v>
      </c>
      <c r="F6" s="13">
        <f>100-E6</f>
        <v>20</v>
      </c>
      <c r="H6" s="13">
        <v>10</v>
      </c>
      <c r="I6" s="13"/>
      <c r="J6" s="10"/>
      <c r="K6" s="13"/>
      <c r="L6" s="13">
        <v>80</v>
      </c>
      <c r="M6" s="13">
        <f>100-L6</f>
        <v>20</v>
      </c>
    </row>
    <row r="7" spans="1:13" x14ac:dyDescent="0.25">
      <c r="A7" s="13">
        <v>1</v>
      </c>
      <c r="B7" s="13"/>
      <c r="C7" s="10"/>
      <c r="D7" s="13"/>
      <c r="E7" s="13"/>
      <c r="F7" s="13"/>
      <c r="H7" s="13">
        <v>1</v>
      </c>
      <c r="I7" s="13"/>
      <c r="J7" s="10"/>
      <c r="K7" s="13"/>
      <c r="L7" s="13"/>
      <c r="M7" s="13"/>
    </row>
    <row r="8" spans="1:13" x14ac:dyDescent="0.25">
      <c r="A8" s="11"/>
      <c r="B8" s="11"/>
    </row>
    <row r="9" spans="1:13" x14ac:dyDescent="0.25">
      <c r="A9" s="2" t="s">
        <v>57</v>
      </c>
    </row>
    <row r="10" spans="1:13" x14ac:dyDescent="0.25">
      <c r="A10" s="2" t="s">
        <v>44</v>
      </c>
    </row>
    <row r="11" spans="1:13" x14ac:dyDescent="0.25">
      <c r="A11" s="2" t="s">
        <v>45</v>
      </c>
    </row>
    <row r="12" spans="1:13" x14ac:dyDescent="0.25">
      <c r="A12" s="6" t="s">
        <v>36</v>
      </c>
    </row>
    <row r="13" spans="1:13" x14ac:dyDescent="0.25">
      <c r="A13" s="2" t="s">
        <v>37</v>
      </c>
    </row>
    <row r="15" spans="1:13" x14ac:dyDescent="0.25">
      <c r="A15" s="2" t="s">
        <v>46</v>
      </c>
    </row>
    <row r="16" spans="1:13" x14ac:dyDescent="0.25">
      <c r="A16" s="2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6C55-C1D9-684A-AC73-3E753C404807}">
  <dimension ref="A1:G22"/>
  <sheetViews>
    <sheetView workbookViewId="0">
      <selection activeCell="D18" sqref="D18"/>
    </sheetView>
  </sheetViews>
  <sheetFormatPr baseColWidth="10" defaultRowHeight="16" x14ac:dyDescent="0.2"/>
  <cols>
    <col min="1" max="1" width="4.1640625" customWidth="1"/>
    <col min="2" max="2" width="14" customWidth="1"/>
    <col min="3" max="3" width="14.6640625" bestFit="1" customWidth="1"/>
    <col min="4" max="6" width="13.1640625" customWidth="1"/>
  </cols>
  <sheetData>
    <row r="1" spans="1:7" ht="21" x14ac:dyDescent="0.25">
      <c r="A1" s="1" t="s">
        <v>25</v>
      </c>
    </row>
    <row r="2" spans="1:7" ht="21" x14ac:dyDescent="0.25">
      <c r="A2" s="2">
        <v>1</v>
      </c>
      <c r="B2" s="2" t="s">
        <v>17</v>
      </c>
      <c r="C2" s="2">
        <v>10</v>
      </c>
      <c r="D2" s="2"/>
      <c r="E2" s="2"/>
      <c r="F2" s="2"/>
      <c r="G2" s="2"/>
    </row>
    <row r="3" spans="1:7" ht="21" x14ac:dyDescent="0.25">
      <c r="A3" s="2">
        <v>2</v>
      </c>
      <c r="B3" s="2" t="s">
        <v>16</v>
      </c>
      <c r="C3" s="2">
        <v>100</v>
      </c>
      <c r="D3" s="2"/>
      <c r="E3" s="2"/>
      <c r="F3" s="2"/>
      <c r="G3" s="2"/>
    </row>
    <row r="4" spans="1:7" ht="21" x14ac:dyDescent="0.25">
      <c r="A4" s="2">
        <v>3</v>
      </c>
      <c r="B4" s="2" t="s">
        <v>27</v>
      </c>
      <c r="C4" s="2">
        <v>4</v>
      </c>
      <c r="D4" s="2">
        <v>2</v>
      </c>
      <c r="E4" s="2" t="s">
        <v>26</v>
      </c>
      <c r="F4" s="2"/>
      <c r="G4" s="2"/>
    </row>
    <row r="5" spans="1:7" ht="21" x14ac:dyDescent="0.25">
      <c r="A5" s="2">
        <v>4</v>
      </c>
      <c r="B5" s="2" t="s">
        <v>18</v>
      </c>
      <c r="C5" s="2">
        <v>60</v>
      </c>
      <c r="D5" s="2"/>
      <c r="E5" s="2"/>
      <c r="F5" s="2"/>
      <c r="G5" s="2"/>
    </row>
    <row r="6" spans="1:7" ht="21" x14ac:dyDescent="0.25">
      <c r="A6" s="2">
        <v>5</v>
      </c>
      <c r="B6" s="2" t="s">
        <v>19</v>
      </c>
      <c r="C6" s="2">
        <f>100-C5</f>
        <v>40</v>
      </c>
      <c r="D6" s="2"/>
      <c r="E6" s="2"/>
      <c r="F6" s="2"/>
      <c r="G6" s="2"/>
    </row>
    <row r="7" spans="1:7" ht="21" x14ac:dyDescent="0.25">
      <c r="A7" s="2"/>
      <c r="B7" s="2"/>
      <c r="C7" s="2"/>
      <c r="D7" s="2"/>
      <c r="E7" s="2"/>
      <c r="F7" s="2"/>
      <c r="G7" s="2"/>
    </row>
    <row r="8" spans="1:7" ht="21" x14ac:dyDescent="0.25">
      <c r="A8" s="2"/>
      <c r="B8" s="2" t="s">
        <v>22</v>
      </c>
      <c r="C8" s="2"/>
      <c r="D8" s="2"/>
      <c r="E8" s="2"/>
      <c r="F8" s="2"/>
      <c r="G8" s="2"/>
    </row>
    <row r="9" spans="1:7" ht="21" x14ac:dyDescent="0.25">
      <c r="A9" s="2">
        <v>1</v>
      </c>
      <c r="B9" s="2" t="s">
        <v>20</v>
      </c>
      <c r="C9" s="2"/>
      <c r="D9" s="2"/>
      <c r="E9" s="2"/>
      <c r="F9" s="2"/>
      <c r="G9" s="2"/>
    </row>
    <row r="10" spans="1:7" ht="21" x14ac:dyDescent="0.25">
      <c r="A10" s="2">
        <v>2</v>
      </c>
      <c r="B10" s="2" t="s">
        <v>23</v>
      </c>
      <c r="C10" s="2"/>
      <c r="D10" s="2"/>
      <c r="E10" s="2"/>
      <c r="F10" s="2"/>
      <c r="G10" s="2"/>
    </row>
    <row r="11" spans="1:7" ht="21" x14ac:dyDescent="0.25">
      <c r="A11" s="2">
        <v>3</v>
      </c>
      <c r="B11" s="2" t="s">
        <v>24</v>
      </c>
      <c r="C11" s="2"/>
      <c r="D11" s="2"/>
      <c r="E11" s="2"/>
      <c r="F11" s="2"/>
      <c r="G11" s="2"/>
    </row>
    <row r="12" spans="1:7" ht="21" x14ac:dyDescent="0.25">
      <c r="A12" s="2"/>
      <c r="B12" s="2"/>
      <c r="C12" s="2"/>
      <c r="D12" s="2"/>
      <c r="E12" s="2"/>
      <c r="F12" s="2"/>
      <c r="G12" s="2"/>
    </row>
    <row r="13" spans="1:7" ht="21" x14ac:dyDescent="0.25">
      <c r="A13" s="2"/>
      <c r="B13" s="2"/>
      <c r="C13" s="2" t="s">
        <v>6</v>
      </c>
      <c r="D13" s="2" t="s">
        <v>5</v>
      </c>
      <c r="E13" s="2" t="s">
        <v>9</v>
      </c>
      <c r="F13" s="2" t="s">
        <v>7</v>
      </c>
      <c r="G13" s="2"/>
    </row>
    <row r="14" spans="1:7" ht="21" x14ac:dyDescent="0.25">
      <c r="A14" s="2" t="s">
        <v>11</v>
      </c>
      <c r="B14" s="2" t="s">
        <v>29</v>
      </c>
      <c r="C14" s="2">
        <v>790.15</v>
      </c>
      <c r="D14" s="3">
        <f>D15/C2</f>
        <v>4.8979591836734691E-2</v>
      </c>
      <c r="E14" s="4">
        <f>D14*C14</f>
        <v>38.701224489795912</v>
      </c>
      <c r="F14" s="5">
        <f>E14/SUM(E$14:E$18)</f>
        <v>7.2869065493998839E-2</v>
      </c>
      <c r="G14" s="2"/>
    </row>
    <row r="15" spans="1:7" ht="21" x14ac:dyDescent="0.25">
      <c r="A15" s="2" t="s">
        <v>12</v>
      </c>
      <c r="B15" s="2" t="s">
        <v>1</v>
      </c>
      <c r="C15" s="2">
        <v>642.11</v>
      </c>
      <c r="D15" s="3">
        <f>C4*D18</f>
        <v>0.48979591836734693</v>
      </c>
      <c r="E15" s="4">
        <f t="shared" ref="E15:E18" si="0">D15*C15</f>
        <v>314.50285714285712</v>
      </c>
      <c r="F15" s="5">
        <f>E15/SUM(E$14:E$18)</f>
        <v>0.59216548306462824</v>
      </c>
      <c r="G15" s="2"/>
    </row>
    <row r="16" spans="1:7" ht="21" x14ac:dyDescent="0.25">
      <c r="A16" s="2" t="s">
        <v>13</v>
      </c>
      <c r="B16" s="2" t="s">
        <v>2</v>
      </c>
      <c r="C16" s="2">
        <v>386.65</v>
      </c>
      <c r="D16" s="3">
        <f>C3*D17</f>
        <v>0.335421297231764</v>
      </c>
      <c r="E16" s="4">
        <f t="shared" si="0"/>
        <v>129.69064457466155</v>
      </c>
      <c r="F16" s="5">
        <f>E16/SUM(E$14:E$18)</f>
        <v>0.24418958826384601</v>
      </c>
      <c r="G16" s="2"/>
    </row>
    <row r="17" spans="1:7" ht="21" x14ac:dyDescent="0.25">
      <c r="A17" s="2" t="s">
        <v>14</v>
      </c>
      <c r="B17" s="2" t="s">
        <v>3</v>
      </c>
      <c r="C17" s="2">
        <v>2509</v>
      </c>
      <c r="D17" s="5">
        <f>((C6-(D18*100/2))/(C3+1))/100</f>
        <v>3.3542129723176401E-3</v>
      </c>
      <c r="E17" s="4">
        <f t="shared" si="0"/>
        <v>8.4157203475449585</v>
      </c>
      <c r="F17" s="5">
        <f>E17/SUM(E$14:E$18)</f>
        <v>1.5845640164334401E-2</v>
      </c>
      <c r="G17" s="2"/>
    </row>
    <row r="18" spans="1:7" ht="21" x14ac:dyDescent="0.25">
      <c r="A18" s="2" t="s">
        <v>15</v>
      </c>
      <c r="B18" s="2" t="s">
        <v>28</v>
      </c>
      <c r="C18" s="2">
        <v>325</v>
      </c>
      <c r="D18" s="3">
        <f>C5/((C2+1)*C4/C2+0.5)/100</f>
        <v>0.12244897959183673</v>
      </c>
      <c r="E18" s="4">
        <f t="shared" si="0"/>
        <v>39.795918367346935</v>
      </c>
      <c r="F18" s="5">
        <f>E18/SUM(E$14:E$18)</f>
        <v>7.4930223013192507E-2</v>
      </c>
      <c r="G18" s="6"/>
    </row>
    <row r="19" spans="1:7" ht="21" x14ac:dyDescent="0.25">
      <c r="A19" s="2"/>
      <c r="B19" s="2" t="s">
        <v>10</v>
      </c>
      <c r="C19" s="2"/>
      <c r="D19" s="7">
        <f>SUM(D14:D18)</f>
        <v>1</v>
      </c>
      <c r="E19" s="2"/>
      <c r="F19" s="2"/>
      <c r="G19" s="2"/>
    </row>
    <row r="20" spans="1:7" ht="21" x14ac:dyDescent="0.25">
      <c r="A20" s="2"/>
      <c r="B20" s="2"/>
      <c r="C20" s="2"/>
      <c r="D20" s="2"/>
      <c r="E20" s="2"/>
      <c r="F20" s="2"/>
      <c r="G20" s="2"/>
    </row>
    <row r="21" spans="1:7" ht="21" x14ac:dyDescent="0.25">
      <c r="A21" s="2"/>
      <c r="B21" s="2"/>
      <c r="C21" s="2" t="s">
        <v>21</v>
      </c>
      <c r="D21" s="7">
        <f>D15+D14+D18/2</f>
        <v>0.6</v>
      </c>
      <c r="E21" s="2"/>
      <c r="F21" s="2"/>
      <c r="G21" s="2"/>
    </row>
    <row r="22" spans="1:7" ht="21" x14ac:dyDescent="0.25">
      <c r="A22" s="2"/>
      <c r="B22" s="2"/>
      <c r="C22" s="2"/>
      <c r="D22" s="7">
        <f>D16+D17+D18/2</f>
        <v>0.4</v>
      </c>
      <c r="E22" s="2"/>
      <c r="F22" s="2"/>
      <c r="G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 DSPC, DOPE, 18PG</vt:lpstr>
      <vt:lpstr>for DOTAP</vt:lpstr>
      <vt:lpstr>arrays for components</vt:lpstr>
      <vt:lpstr>IGNORE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Cai</dc:creator>
  <cp:lastModifiedBy>Sarah Cai</cp:lastModifiedBy>
  <dcterms:created xsi:type="dcterms:W3CDTF">2022-06-07T16:56:29Z</dcterms:created>
  <dcterms:modified xsi:type="dcterms:W3CDTF">2022-06-14T18:08:03Z</dcterms:modified>
</cp:coreProperties>
</file>