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R118"/>
  <sheetViews>
    <sheetView workbookViewId="0">
      <selection activeCell="A1" sqref="A1"/>
    </sheetView>
  </sheetViews>
  <sheetFormatPr baseColWidth="8" defaultRowHeight="15"/>
  <sheetData>
    <row r="1">
      <c r="A1" s="1" t="inlineStr">
        <is>
          <t>Gene ID</t>
        </is>
      </c>
      <c r="B1" s="1" t="inlineStr">
        <is>
          <t>Product Description</t>
        </is>
      </c>
      <c r="C1" s="1" t="inlineStr">
        <is>
          <t>Chromosome</t>
        </is>
      </c>
      <c r="D1" s="1" t="inlineStr">
        <is>
          <t>ORF/Locus</t>
        </is>
      </c>
      <c r="E1" s="1" t="inlineStr">
        <is>
          <t>Other Accession #</t>
        </is>
      </c>
      <c r="F1" s="1" t="inlineStr">
        <is>
          <t>Plasmodium berghei Orthologs</t>
        </is>
      </c>
      <c r="G1" s="1" t="inlineStr">
        <is>
          <t>Plasmodium falciparum Orthologs</t>
        </is>
      </c>
      <c r="H1" s="1" t="inlineStr">
        <is>
          <t>Plasmodium vivax P01 Orthologs</t>
        </is>
      </c>
      <c r="I1" s="1" t="inlineStr">
        <is>
          <t>Plasmodium vivax Sal1 Orthologs</t>
        </is>
      </c>
      <c r="J1" s="1" t="inlineStr">
        <is>
          <t>Molecular Weight</t>
        </is>
      </c>
      <c r="K1" s="1" t="inlineStr">
        <is>
          <t>Protein Length</t>
        </is>
      </c>
      <c r="L1" s="1" t="inlineStr">
        <is>
          <t># Transmembrane Domains</t>
        </is>
      </c>
      <c r="M1" s="1" t="inlineStr">
        <is>
          <t>Has SignalP</t>
        </is>
      </c>
      <c r="N1" s="1" t="inlineStr">
        <is>
          <t>Mutagenesis Index Score</t>
        </is>
      </c>
      <c r="O1" s="1" t="inlineStr">
        <is>
          <t>GO Terms</t>
        </is>
      </c>
      <c r="P1" s="1" t="inlineStr">
        <is>
          <t>Gene Seq. w/ Introns</t>
        </is>
      </c>
      <c r="Q1" s="1" t="inlineStr">
        <is>
          <t>Gene Seq. w/o Introns</t>
        </is>
      </c>
      <c r="R1" s="1" t="inlineStr">
        <is>
          <t>Protein Seq.</t>
        </is>
      </c>
    </row>
    <row r="2">
      <c r="A2" t="inlineStr">
        <is>
          <t>PVP01_0113900</t>
        </is>
      </c>
      <c r="B2" t="inlineStr">
        <is>
          <t>kinesin-like protein, putative</t>
        </is>
      </c>
      <c r="C2" t="n">
        <v>1</v>
      </c>
      <c r="D2" t="inlineStr">
        <is>
          <t>621424 - 625782 (+)</t>
        </is>
      </c>
      <c r="E2" t="inlineStr">
        <is>
          <t>A0A564ZN85, UPI000153E9FA, VUZ93155.1, XP_001613503.1</t>
        </is>
      </c>
      <c r="F2" t="inlineStr">
        <is>
          <t>PBANKA_1224100</t>
        </is>
      </c>
      <c r="G2" t="inlineStr">
        <is>
          <t>PF3D7_0806600</t>
        </is>
      </c>
      <c r="H2" t="inlineStr">
        <is>
          <t>none</t>
        </is>
      </c>
      <c r="I2" t="inlineStr">
        <is>
          <t>PVX_088220</t>
        </is>
      </c>
      <c r="J2" t="n">
        <v>89151</v>
      </c>
      <c r="K2" t="n">
        <v>794</v>
      </c>
      <c r="L2" t="n">
        <v>0</v>
      </c>
      <c r="M2" t="inlineStr">
        <is>
          <t>no</t>
        </is>
      </c>
      <c r="N2" t="inlineStr">
        <is>
          <t>none</t>
        </is>
      </c>
      <c r="O2" t="inlineStr">
        <is>
          <t>microtubule motor activity, microtubule motor activity, ATP binding, ATP binding, microtubule-based movement, microtubule-based movement, microtubule binding, microtubule binding</t>
        </is>
      </c>
      <c r="P2">
        <f>Hyperlink("PVP01_0113900/gintPVP01_0113900.fasta","gintPVP01_0113900")</f>
        <v/>
      </c>
      <c r="Q2">
        <f>Hyperlink("PVP01_0113900/gseqPVP01_0113900.fasta","gseqPVP01_0113900")</f>
        <v/>
      </c>
      <c r="R2">
        <f>Hyperlink("PVP01_0113900/protPVP01_0113900.fasta","protPVP01_0113900")</f>
        <v/>
      </c>
    </row>
    <row r="3">
      <c r="A3" t="inlineStr">
        <is>
          <t>PVP01_0117600</t>
        </is>
      </c>
      <c r="B3" t="inlineStr">
        <is>
          <t>adenylyl cyclase beta, putative</t>
        </is>
      </c>
      <c r="C3" t="n">
        <v>1</v>
      </c>
      <c r="D3" t="inlineStr">
        <is>
          <t>788082 - 795206 (-)</t>
        </is>
      </c>
      <c r="E3" t="inlineStr">
        <is>
          <t>A0A1G4H6L0, A0A564ZPQ4, UPI0009099439, VUZ93192.1</t>
        </is>
      </c>
      <c r="F3" t="inlineStr">
        <is>
          <t>PBANKA_1227600</t>
        </is>
      </c>
      <c r="G3" t="inlineStr">
        <is>
          <t>PF3D7_0802600</t>
        </is>
      </c>
      <c r="H3" t="inlineStr">
        <is>
          <t>none</t>
        </is>
      </c>
      <c r="I3" t="inlineStr">
        <is>
          <t>PVX_093610</t>
        </is>
      </c>
      <c r="J3" t="n">
        <v>211803</v>
      </c>
      <c r="K3" t="n">
        <v>1883</v>
      </c>
      <c r="L3" t="n">
        <v>0</v>
      </c>
      <c r="M3" t="inlineStr">
        <is>
          <t>no</t>
        </is>
      </c>
      <c r="N3" t="inlineStr">
        <is>
          <t>none</t>
        </is>
      </c>
      <c r="O3" t="inlineStr">
        <is>
          <t>adenylate cyclase activity, cyclic nucleotide biosynthetic process, cyclic nucleotide biosynthetic process, intracellular signal transduction, intracellular signal transduction</t>
        </is>
      </c>
      <c r="P3">
        <f>Hyperlink("PVP01_0117600/gintPVP01_0117600.fasta","gintPVP01_0117600")</f>
        <v/>
      </c>
      <c r="Q3">
        <f>Hyperlink("PVP01_0117600/gseqPVP01_0117600.fasta","gseqPVP01_0117600")</f>
        <v/>
      </c>
      <c r="R3">
        <f>Hyperlink("PVP01_0117600/protPVP01_0117600.fasta","protPVP01_0117600")</f>
        <v/>
      </c>
    </row>
    <row r="4">
      <c r="A4" t="inlineStr">
        <is>
          <t>PVP01_0216200</t>
        </is>
      </c>
      <c r="B4" t="inlineStr">
        <is>
          <t>conserved Plasmodium protein, unknown function</t>
        </is>
      </c>
      <c r="C4" t="n">
        <v>2</v>
      </c>
      <c r="D4" t="inlineStr">
        <is>
          <t>693573 - 705670 (-)</t>
        </is>
      </c>
      <c r="E4" t="inlineStr">
        <is>
          <t>A0A1G4GRM3, A0A1G4H753, A0A564ZR62, UPI00090C0271, VUZ93394.1</t>
        </is>
      </c>
      <c r="F4" t="inlineStr">
        <is>
          <t>none</t>
        </is>
      </c>
      <c r="G4" t="inlineStr">
        <is>
          <t>none</t>
        </is>
      </c>
      <c r="H4" t="inlineStr">
        <is>
          <t>none</t>
        </is>
      </c>
      <c r="I4" t="inlineStr">
        <is>
          <t>PVX_081820</t>
        </is>
      </c>
      <c r="J4" t="n">
        <v>355499</v>
      </c>
      <c r="K4" t="n">
        <v>3125</v>
      </c>
      <c r="L4" t="n">
        <v>0</v>
      </c>
      <c r="M4" t="inlineStr">
        <is>
          <t>no</t>
        </is>
      </c>
      <c r="N4" t="inlineStr">
        <is>
          <t>none</t>
        </is>
      </c>
      <c r="P4">
        <f>Hyperlink("PVP01_0216200/gintPVP01_0216200.fasta","gintPVP01_0216200")</f>
        <v/>
      </c>
      <c r="Q4">
        <f>Hyperlink("PVP01_0216200/gseqPVP01_0216200.fasta","gseqPVP01_0216200")</f>
        <v/>
      </c>
      <c r="R4">
        <f>Hyperlink("PVP01_0216200/protPVP01_0216200.fasta","protPVP01_0216200")</f>
        <v/>
      </c>
    </row>
    <row r="5">
      <c r="A5" t="inlineStr">
        <is>
          <t>PVP01_0216800</t>
        </is>
      </c>
      <c r="B5" t="inlineStr">
        <is>
          <t>Plasmodium exported protein, unknown function</t>
        </is>
      </c>
      <c r="C5" t="n">
        <v>2</v>
      </c>
      <c r="D5" t="inlineStr">
        <is>
          <t>722553 - 726943 (+)</t>
        </is>
      </c>
      <c r="E5" t="inlineStr">
        <is>
          <t>A0A1G4GRL7, A0A1G4H751, A0A564ZQU7, UPI000909771C, VUZ93398.1</t>
        </is>
      </c>
      <c r="F5" t="inlineStr">
        <is>
          <t>none</t>
        </is>
      </c>
      <c r="G5" t="inlineStr">
        <is>
          <t>none</t>
        </is>
      </c>
      <c r="H5" t="inlineStr">
        <is>
          <t>none</t>
        </is>
      </c>
      <c r="I5" t="inlineStr">
        <is>
          <t>none</t>
        </is>
      </c>
      <c r="J5" t="n">
        <v>83483</v>
      </c>
      <c r="K5" t="n">
        <v>766</v>
      </c>
      <c r="L5" t="n">
        <v>2</v>
      </c>
      <c r="M5" t="inlineStr">
        <is>
          <t>no</t>
        </is>
      </c>
      <c r="N5" t="inlineStr">
        <is>
          <t>none</t>
        </is>
      </c>
      <c r="O5" t="inlineStr">
        <is>
          <t>integral component of membrane, host cell</t>
        </is>
      </c>
      <c r="P5">
        <f>Hyperlink("PVP01_0216800/gintPVP01_0216800.fasta","gintPVP01_0216800")</f>
        <v/>
      </c>
      <c r="Q5">
        <f>Hyperlink("PVP01_0216800/gseqPVP01_0216800.fasta","gseqPVP01_0216800")</f>
        <v/>
      </c>
      <c r="R5">
        <f>Hyperlink("PVP01_0216800/protPVP01_0216800.fasta","protPVP01_0216800")</f>
        <v/>
      </c>
    </row>
    <row r="6">
      <c r="A6" t="inlineStr">
        <is>
          <t>PVP01_0311200</t>
        </is>
      </c>
      <c r="B6" t="inlineStr">
        <is>
          <t>conserved Plasmodium protein, unknown function</t>
        </is>
      </c>
      <c r="C6" t="n">
        <v>3</v>
      </c>
      <c r="D6" t="inlineStr">
        <is>
          <t>490251 - 503476 (-)</t>
        </is>
      </c>
      <c r="E6" t="inlineStr">
        <is>
          <t>A0A1G4GRY5, A0A564ZPA7, UPI00090BB28D, VUZ93555.1</t>
        </is>
      </c>
      <c r="F6" t="inlineStr">
        <is>
          <t>none</t>
        </is>
      </c>
      <c r="G6" t="inlineStr">
        <is>
          <t>none</t>
        </is>
      </c>
      <c r="H6" t="inlineStr">
        <is>
          <t>none</t>
        </is>
      </c>
      <c r="I6" t="inlineStr">
        <is>
          <t>PVX_000660</t>
        </is>
      </c>
      <c r="J6" t="n">
        <v>443413</v>
      </c>
      <c r="K6" t="n">
        <v>3886</v>
      </c>
      <c r="L6" t="n">
        <v>0</v>
      </c>
      <c r="M6" t="inlineStr">
        <is>
          <t>no</t>
        </is>
      </c>
      <c r="N6" t="inlineStr">
        <is>
          <t>none</t>
        </is>
      </c>
      <c r="P6">
        <f>Hyperlink("PVP01_0311200/gintPVP01_0311200.fasta","gintPVP01_0311200")</f>
        <v/>
      </c>
      <c r="Q6">
        <f>Hyperlink("PVP01_0311200/gseqPVP01_0311200.fasta","gseqPVP01_0311200")</f>
        <v/>
      </c>
      <c r="R6">
        <f>Hyperlink("PVP01_0311200/protPVP01_0311200.fasta","protPVP01_0311200")</f>
        <v/>
      </c>
    </row>
    <row r="7">
      <c r="A7" t="inlineStr">
        <is>
          <t>PVP01_0318600</t>
        </is>
      </c>
      <c r="B7" t="inlineStr">
        <is>
          <t>conserved protein, unknown function</t>
        </is>
      </c>
      <c r="C7" t="n">
        <v>3</v>
      </c>
      <c r="D7" t="inlineStr">
        <is>
          <t>778301 - 781770 (-)</t>
        </is>
      </c>
      <c r="E7" t="inlineStr">
        <is>
          <t>A0A1G4GS77, A0A564ZPI4, UPI00090CA530, VUZ93629.1</t>
        </is>
      </c>
      <c r="F7" t="inlineStr">
        <is>
          <t>PBANKA_0620400</t>
        </is>
      </c>
      <c r="G7" t="inlineStr">
        <is>
          <t>PF3D7_0722900</t>
        </is>
      </c>
      <c r="H7" t="inlineStr">
        <is>
          <t>none</t>
        </is>
      </c>
      <c r="I7" t="inlineStr">
        <is>
          <t>PVX_096210</t>
        </is>
      </c>
      <c r="J7" t="n">
        <v>34714</v>
      </c>
      <c r="K7" t="n">
        <v>309</v>
      </c>
      <c r="L7" t="n">
        <v>0</v>
      </c>
      <c r="M7" t="inlineStr">
        <is>
          <t>no</t>
        </is>
      </c>
      <c r="N7" t="inlineStr">
        <is>
          <t>none</t>
        </is>
      </c>
      <c r="O7" t="inlineStr">
        <is>
          <t>inner membrane pellicle complex</t>
        </is>
      </c>
      <c r="P7">
        <f>Hyperlink("PVP01_0318600/gintPVP01_0318600.fasta","gintPVP01_0318600")</f>
        <v/>
      </c>
      <c r="Q7">
        <f>Hyperlink("PVP01_0318600/gseqPVP01_0318600.fasta","gseqPVP01_0318600")</f>
        <v/>
      </c>
      <c r="R7">
        <f>Hyperlink("PVP01_0318600/protPVP01_0318600.fasta","protPVP01_0318600")</f>
        <v/>
      </c>
    </row>
    <row r="8">
      <c r="A8" t="inlineStr">
        <is>
          <t>PVP01_0405000</t>
        </is>
      </c>
      <c r="B8" t="inlineStr">
        <is>
          <t>liver stage antigen 3, putative</t>
        </is>
      </c>
      <c r="C8" t="n">
        <v>4</v>
      </c>
      <c r="D8" t="inlineStr">
        <is>
          <t>222995 - 233018 (-)</t>
        </is>
      </c>
      <c r="E8" t="inlineStr">
        <is>
          <t>A0A1G4GSI0, A0A1G4H7Y7, A0A564ZPP8, UPI00090B607E, VUZ93704.1</t>
        </is>
      </c>
      <c r="F8" t="inlineStr">
        <is>
          <t>none</t>
        </is>
      </c>
      <c r="G8" t="inlineStr">
        <is>
          <t>PF3D7_0220000</t>
        </is>
      </c>
      <c r="H8" t="inlineStr">
        <is>
          <t>PVP01_0005990</t>
        </is>
      </c>
      <c r="I8" t="inlineStr">
        <is>
          <t>none</t>
        </is>
      </c>
      <c r="J8" t="n">
        <v>299413</v>
      </c>
      <c r="K8" t="n">
        <v>2731</v>
      </c>
      <c r="L8" t="n">
        <v>1</v>
      </c>
      <c r="M8" t="inlineStr">
        <is>
          <t>no</t>
        </is>
      </c>
      <c r="N8" t="inlineStr">
        <is>
          <t>none</t>
        </is>
      </c>
      <c r="O8" t="inlineStr">
        <is>
          <t>integral component of membrane, merozoite dense granule</t>
        </is>
      </c>
      <c r="P8">
        <f>Hyperlink("PVP01_0405000/gintPVP01_0405000.fasta","gintPVP01_0405000")</f>
        <v/>
      </c>
      <c r="Q8">
        <f>Hyperlink("PVP01_0405000/gseqPVP01_0405000.fasta","gseqPVP01_0405000")</f>
        <v/>
      </c>
      <c r="R8">
        <f>Hyperlink("PVP01_0405000/protPVP01_0405000.fasta","protPVP01_0405000")</f>
        <v/>
      </c>
    </row>
    <row r="9">
      <c r="A9" t="inlineStr">
        <is>
          <t>PVP01_0415800</t>
        </is>
      </c>
      <c r="B9" t="inlineStr">
        <is>
          <t>6-cysteine protein P230, putative</t>
        </is>
      </c>
      <c r="C9" t="n">
        <v>4</v>
      </c>
      <c r="D9" t="inlineStr">
        <is>
          <t>635423 - 644835 (-)</t>
        </is>
      </c>
      <c r="E9" t="inlineStr">
        <is>
          <t>A0A564ZQ30, H1AAJ4, H1AAJ6, H1AAJ7, H1AAK3, H1AAK7, H1AAK8, H1AAL1, H1AAL4, H1AAL5, UPI00090B710E, VUZ93809.1</t>
        </is>
      </c>
      <c r="F9" t="inlineStr">
        <is>
          <t>PBANKA_0306100</t>
        </is>
      </c>
      <c r="G9" t="inlineStr">
        <is>
          <t>PF3D7_0209000</t>
        </is>
      </c>
      <c r="H9" t="inlineStr">
        <is>
          <t>none</t>
        </is>
      </c>
      <c r="I9" t="inlineStr">
        <is>
          <t>PVX_003905</t>
        </is>
      </c>
      <c r="J9" t="n">
        <v>305246</v>
      </c>
      <c r="K9" t="n">
        <v>2725</v>
      </c>
      <c r="L9" t="n">
        <v>0</v>
      </c>
      <c r="M9" t="inlineStr">
        <is>
          <t>yes</t>
        </is>
      </c>
      <c r="N9" t="inlineStr">
        <is>
          <t>none</t>
        </is>
      </c>
      <c r="O9" t="inlineStr">
        <is>
          <t>plasma membrane, cell surface, membrane</t>
        </is>
      </c>
      <c r="P9">
        <f>Hyperlink("PVP01_0415800/gintPVP01_0415800.fasta","gintPVP01_0415800")</f>
        <v/>
      </c>
      <c r="Q9">
        <f>Hyperlink("PVP01_0415800/gseqPVP01_0415800.fasta","gseqPVP01_0415800")</f>
        <v/>
      </c>
      <c r="R9">
        <f>Hyperlink("PVP01_0415800/protPVP01_0415800.fasta","protPVP01_0415800")</f>
        <v/>
      </c>
    </row>
    <row r="10">
      <c r="A10" t="inlineStr">
        <is>
          <t>PVP01_0506600</t>
        </is>
      </c>
      <c r="B10" t="inlineStr">
        <is>
          <t>SET domain protein, putative</t>
        </is>
      </c>
      <c r="C10" t="n">
        <v>5</v>
      </c>
      <c r="D10" t="inlineStr">
        <is>
          <t>288486 - 298197 (-)</t>
        </is>
      </c>
      <c r="E10" t="inlineStr">
        <is>
          <t>A0A1G4GTB1, A0A1G4H8K2, A0A564ZSN7, UPI00090A18C5, VUZ93958.1</t>
        </is>
      </c>
      <c r="F10" t="inlineStr">
        <is>
          <t>PBANKA_0702900, PBANKA_0935200</t>
        </is>
      </c>
      <c r="G10" t="inlineStr">
        <is>
          <t>PF3D7_0827800, PF3D7_1112400</t>
        </is>
      </c>
      <c r="H10" t="inlineStr">
        <is>
          <t>PVP01_0913200</t>
        </is>
      </c>
      <c r="I10" t="inlineStr">
        <is>
          <t>PVX_088965, PVX_091270</t>
        </is>
      </c>
      <c r="J10" t="n">
        <v>225479</v>
      </c>
      <c r="K10" t="n">
        <v>2050</v>
      </c>
      <c r="L10" t="n">
        <v>0</v>
      </c>
      <c r="M10" t="inlineStr">
        <is>
          <t>no</t>
        </is>
      </c>
      <c r="N10" t="inlineStr">
        <is>
          <t>none</t>
        </is>
      </c>
      <c r="O10" t="inlineStr">
        <is>
          <t>protein binding, nucleus, nucleus, zinc ion binding, zinc ion binding, histone-lysine N-methyltransferase activity, histone-lysine N-methyltransferase activity, histone lysine methylation, histone lysine methylation</t>
        </is>
      </c>
      <c r="P10">
        <f>Hyperlink("PVP01_0506600/gintPVP01_0506600.fasta","gintPVP01_0506600")</f>
        <v/>
      </c>
      <c r="Q10">
        <f>Hyperlink("PVP01_0506600/gseqPVP01_0506600.fasta","gseqPVP01_0506600")</f>
        <v/>
      </c>
      <c r="R10">
        <f>Hyperlink("PVP01_0506600/protPVP01_0506600.fasta","protPVP01_0506600")</f>
        <v/>
      </c>
    </row>
    <row r="11">
      <c r="A11" t="inlineStr">
        <is>
          <t>PVP01_0508000</t>
        </is>
      </c>
      <c r="B11" t="inlineStr">
        <is>
          <t>SPRY domain, putative</t>
        </is>
      </c>
      <c r="C11" t="n">
        <v>5</v>
      </c>
      <c r="D11" t="inlineStr">
        <is>
          <t>348048 - 352151 (-)</t>
        </is>
      </c>
      <c r="E11" t="inlineStr">
        <is>
          <t>A0A1G4H8U3, A0A564ZSE9, UPI00090A902E, VUZ93972.1</t>
        </is>
      </c>
      <c r="F11" t="inlineStr">
        <is>
          <t>PBANKA_0704300</t>
        </is>
      </c>
      <c r="G11" t="inlineStr">
        <is>
          <t>PF3D7_0826300</t>
        </is>
      </c>
      <c r="H11" t="inlineStr">
        <is>
          <t>none</t>
        </is>
      </c>
      <c r="I11" t="inlineStr">
        <is>
          <t>PVX_089045</t>
        </is>
      </c>
      <c r="J11" t="n">
        <v>55672</v>
      </c>
      <c r="K11" t="n">
        <v>498</v>
      </c>
      <c r="L11" t="n">
        <v>0</v>
      </c>
      <c r="M11" t="inlineStr">
        <is>
          <t>no</t>
        </is>
      </c>
      <c r="N11" t="inlineStr">
        <is>
          <t>none</t>
        </is>
      </c>
      <c r="O11" t="inlineStr">
        <is>
          <t>protein binding, Set1C/COMPASS complex, histone H3-K4 methylation</t>
        </is>
      </c>
      <c r="P11">
        <f>Hyperlink("PVP01_0508000/gintPVP01_0508000.fasta","gintPVP01_0508000")</f>
        <v/>
      </c>
      <c r="Q11">
        <f>Hyperlink("PVP01_0508000/gseqPVP01_0508000.fasta","gseqPVP01_0508000")</f>
        <v/>
      </c>
      <c r="R11">
        <f>Hyperlink("PVP01_0508000/protPVP01_0508000.fasta","protPVP01_0508000")</f>
        <v/>
      </c>
    </row>
    <row r="12">
      <c r="A12" t="inlineStr">
        <is>
          <t>PVP01_0517100</t>
        </is>
      </c>
      <c r="B12" t="inlineStr">
        <is>
          <t>14-3-3 protein, putative</t>
        </is>
      </c>
      <c r="C12" t="n">
        <v>5</v>
      </c>
      <c r="D12" t="inlineStr">
        <is>
          <t>715050 - 719780 (-)</t>
        </is>
      </c>
      <c r="E12" t="inlineStr">
        <is>
          <t>5855.PVX_089505, A0A1G4H8U4, SCO65899.1, SCO71327.1, UPI00000786AD, VUZ94063.1</t>
        </is>
      </c>
      <c r="F12" t="inlineStr">
        <is>
          <t>PBANKA_0712600</t>
        </is>
      </c>
      <c r="G12" t="inlineStr">
        <is>
          <t>PF3D7_0818200</t>
        </is>
      </c>
      <c r="H12" t="inlineStr">
        <is>
          <t>none</t>
        </is>
      </c>
      <c r="I12" t="inlineStr">
        <is>
          <t>PVX_089505</t>
        </is>
      </c>
      <c r="J12" t="n">
        <v>30221</v>
      </c>
      <c r="K12" t="n">
        <v>262</v>
      </c>
      <c r="L12" t="n">
        <v>0</v>
      </c>
      <c r="M12" t="inlineStr">
        <is>
          <t>no</t>
        </is>
      </c>
      <c r="N12" t="inlineStr">
        <is>
          <t>none</t>
        </is>
      </c>
      <c r="O12" t="inlineStr">
        <is>
          <t>nucleus</t>
        </is>
      </c>
      <c r="P12">
        <f>Hyperlink("PVP01_0517100/gintPVP01_0517100.fasta","gintPVP01_0517100")</f>
        <v/>
      </c>
      <c r="Q12">
        <f>Hyperlink("PVP01_0517100/gseqPVP01_0517100.fasta","gseqPVP01_0517100")</f>
        <v/>
      </c>
      <c r="R12">
        <f>Hyperlink("PVP01_0517100/protPVP01_0517100.fasta","protPVP01_0517100")</f>
        <v/>
      </c>
    </row>
    <row r="13">
      <c r="A13" t="inlineStr">
        <is>
          <t>PVP01_0704400</t>
        </is>
      </c>
      <c r="B13" t="inlineStr">
        <is>
          <t>endonuclease/exonuclease/phosphatase domain containing protein</t>
        </is>
      </c>
      <c r="C13" t="n">
        <v>7</v>
      </c>
      <c r="D13" t="inlineStr">
        <is>
          <t>264877 - 272791 (+)</t>
        </is>
      </c>
      <c r="E13" t="inlineStr">
        <is>
          <t>A0A1G4GUU4, A0A1G4HAB0, A0A564ZRZ2, UPI00090946FA, VUZ94671.1</t>
        </is>
      </c>
      <c r="F13" t="inlineStr">
        <is>
          <t>none</t>
        </is>
      </c>
      <c r="G13" t="inlineStr">
        <is>
          <t>none</t>
        </is>
      </c>
      <c r="H13" t="inlineStr">
        <is>
          <t>none</t>
        </is>
      </c>
      <c r="I13" t="inlineStr">
        <is>
          <t>PVX_098740</t>
        </is>
      </c>
      <c r="J13" t="n">
        <v>272057</v>
      </c>
      <c r="K13" t="n">
        <v>2410</v>
      </c>
      <c r="L13" t="n">
        <v>0</v>
      </c>
      <c r="M13" t="inlineStr">
        <is>
          <t>no</t>
        </is>
      </c>
      <c r="N13" t="inlineStr">
        <is>
          <t>none</t>
        </is>
      </c>
      <c r="O13" t="inlineStr">
        <is>
          <t>endonuclease activity, exonuclease activity</t>
        </is>
      </c>
      <c r="P13">
        <f>Hyperlink("PVP01_0704400/gintPVP01_0704400.fasta","gintPVP01_0704400")</f>
        <v/>
      </c>
      <c r="Q13">
        <f>Hyperlink("PVP01_0704400/gseqPVP01_0704400.fasta","gseqPVP01_0704400")</f>
        <v/>
      </c>
      <c r="R13">
        <f>Hyperlink("PVP01_0704400/protPVP01_0704400.fasta","protPVP01_0704400")</f>
        <v/>
      </c>
    </row>
    <row r="14">
      <c r="A14" t="inlineStr">
        <is>
          <t>PVP01_0712900</t>
        </is>
      </c>
      <c r="B14" t="inlineStr">
        <is>
          <t>conserved Plasmodium protein, unknown function</t>
        </is>
      </c>
      <c r="C14" t="n">
        <v>7</v>
      </c>
      <c r="D14" t="inlineStr">
        <is>
          <t>605033 - 612340 (-)</t>
        </is>
      </c>
      <c r="E14" t="inlineStr">
        <is>
          <t>A0A1G4GV52, A0A1G4HAF9, A0A564ZT69, UPI00090B1602, VUZ94760.1</t>
        </is>
      </c>
      <c r="F14" t="inlineStr">
        <is>
          <t>none</t>
        </is>
      </c>
      <c r="G14" t="inlineStr">
        <is>
          <t>none</t>
        </is>
      </c>
      <c r="H14" t="inlineStr">
        <is>
          <t>none</t>
        </is>
      </c>
      <c r="I14" t="inlineStr">
        <is>
          <t>PVX_099150</t>
        </is>
      </c>
      <c r="J14" t="n">
        <v>192603</v>
      </c>
      <c r="K14" t="n">
        <v>1748</v>
      </c>
      <c r="L14" t="n">
        <v>0</v>
      </c>
      <c r="M14" t="inlineStr">
        <is>
          <t>no</t>
        </is>
      </c>
      <c r="N14" t="inlineStr">
        <is>
          <t>none</t>
        </is>
      </c>
      <c r="P14">
        <f>Hyperlink("PVP01_0712900/gintPVP01_0712900.fasta","gintPVP01_0712900")</f>
        <v/>
      </c>
      <c r="Q14">
        <f>Hyperlink("PVP01_0712900/gseqPVP01_0712900.fasta","gseqPVP01_0712900")</f>
        <v/>
      </c>
      <c r="R14">
        <f>Hyperlink("PVP01_0712900/protPVP01_0712900.fasta","protPVP01_0712900")</f>
        <v/>
      </c>
    </row>
    <row r="15">
      <c r="A15" t="inlineStr">
        <is>
          <t>PVP01_0718200</t>
        </is>
      </c>
      <c r="B15" t="inlineStr">
        <is>
          <t>TLD domain-containing protein</t>
        </is>
      </c>
      <c r="C15" t="n">
        <v>7</v>
      </c>
      <c r="D15" t="inlineStr">
        <is>
          <t>797947 - 804122 (-)</t>
        </is>
      </c>
      <c r="E15" t="inlineStr">
        <is>
          <t>A0A1G4GVA2, A0A1G4HAL5, A0A564ZUK9, UPI000909B401, VUZ94813.1</t>
        </is>
      </c>
      <c r="F15" t="inlineStr">
        <is>
          <t>PBANKA_0820700</t>
        </is>
      </c>
      <c r="G15" t="inlineStr">
        <is>
          <t>PF3D7_0919800</t>
        </is>
      </c>
      <c r="H15" t="inlineStr">
        <is>
          <t>none</t>
        </is>
      </c>
      <c r="I15" t="inlineStr">
        <is>
          <t>PVX_099405</t>
        </is>
      </c>
      <c r="J15" t="n">
        <v>107119</v>
      </c>
      <c r="K15" t="n">
        <v>960</v>
      </c>
      <c r="L15" t="n">
        <v>0</v>
      </c>
      <c r="M15" t="inlineStr">
        <is>
          <t>no</t>
        </is>
      </c>
      <c r="N15" t="inlineStr">
        <is>
          <t>none</t>
        </is>
      </c>
      <c r="P15">
        <f>Hyperlink("PVP01_0718200/gintPVP01_0718200.fasta","gintPVP01_0718200")</f>
        <v/>
      </c>
      <c r="Q15">
        <f>Hyperlink("PVP01_0718200/gseqPVP01_0718200.fasta","gseqPVP01_0718200")</f>
        <v/>
      </c>
      <c r="R15">
        <f>Hyperlink("PVP01_0718200/protPVP01_0718200.fasta","protPVP01_0718200")</f>
        <v/>
      </c>
    </row>
    <row r="16">
      <c r="A16" t="inlineStr">
        <is>
          <t>PVP01_0721300</t>
        </is>
      </c>
      <c r="B16" t="inlineStr">
        <is>
          <t>conserved Plasmodium protein, unknown function</t>
        </is>
      </c>
      <c r="C16" t="n">
        <v>7</v>
      </c>
      <c r="D16" t="inlineStr">
        <is>
          <t>920020 - 933134 (-)</t>
        </is>
      </c>
      <c r="E16" t="inlineStr">
        <is>
          <t>A0A1G4GVD2, A0A1G4HAT2, A0A564ZSL8, UPI0009097B48, VUZ94846.1</t>
        </is>
      </c>
      <c r="F16" t="inlineStr">
        <is>
          <t>none</t>
        </is>
      </c>
      <c r="G16" t="inlineStr">
        <is>
          <t>PF3D7_0922800</t>
        </is>
      </c>
      <c r="H16" t="inlineStr">
        <is>
          <t>none</t>
        </is>
      </c>
      <c r="I16" t="inlineStr">
        <is>
          <t>PVX_099550</t>
        </is>
      </c>
      <c r="J16" t="n">
        <v>434229</v>
      </c>
      <c r="K16" t="n">
        <v>3832</v>
      </c>
      <c r="L16" t="n">
        <v>0</v>
      </c>
      <c r="M16" t="inlineStr">
        <is>
          <t>no</t>
        </is>
      </c>
      <c r="N16" t="inlineStr">
        <is>
          <t>none</t>
        </is>
      </c>
      <c r="P16">
        <f>Hyperlink("PVP01_0721300/gintPVP01_0721300.fasta","gintPVP01_0721300")</f>
        <v/>
      </c>
      <c r="Q16">
        <f>Hyperlink("PVP01_0721300/gseqPVP01_0721300.fasta","gseqPVP01_0721300")</f>
        <v/>
      </c>
      <c r="R16">
        <f>Hyperlink("PVP01_0721300/protPVP01_0721300.fasta","protPVP01_0721300")</f>
        <v/>
      </c>
    </row>
    <row r="17">
      <c r="A17" t="inlineStr">
        <is>
          <t>PVP01_0724900</t>
        </is>
      </c>
      <c r="B17" t="inlineStr">
        <is>
          <t>monocarboxylate transporter, putative</t>
        </is>
      </c>
      <c r="C17" t="n">
        <v>7</v>
      </c>
      <c r="D17" t="inlineStr">
        <is>
          <t>1073046 - 1075683 (-)</t>
        </is>
      </c>
      <c r="E17" t="inlineStr">
        <is>
          <t>A0A1G4GVL1, A0A564ZSK0, UPI00090BC338, VUZ94889.1</t>
        </is>
      </c>
      <c r="F17" t="inlineStr">
        <is>
          <t>PBANKA_0827200, PBANKA_0307200</t>
        </is>
      </c>
      <c r="G17" t="inlineStr">
        <is>
          <t>PF3D7_0926400, PF3D7_0210300</t>
        </is>
      </c>
      <c r="H17" t="inlineStr">
        <is>
          <t>PVP01_0414600</t>
        </is>
      </c>
      <c r="I17" t="inlineStr">
        <is>
          <t>PVX_099745, PVX_003965</t>
        </is>
      </c>
      <c r="J17" t="n">
        <v>61348</v>
      </c>
      <c r="K17" t="n">
        <v>547</v>
      </c>
      <c r="L17" t="n">
        <v>13</v>
      </c>
      <c r="M17" t="inlineStr">
        <is>
          <t>no</t>
        </is>
      </c>
      <c r="N17" t="inlineStr">
        <is>
          <t>none</t>
        </is>
      </c>
      <c r="O17" t="inlineStr">
        <is>
          <t>integral component of membrane, integral component of membrane, transmembrane transporter activity, transmembrane transport, transmembrane transport</t>
        </is>
      </c>
      <c r="P17">
        <f>Hyperlink("PVP01_0724900/gintPVP01_0724900.fasta","gintPVP01_0724900")</f>
        <v/>
      </c>
      <c r="Q17">
        <f>Hyperlink("PVP01_0724900/gseqPVP01_0724900.fasta","gseqPVP01_0724900")</f>
        <v/>
      </c>
      <c r="R17">
        <f>Hyperlink("PVP01_0724900/protPVP01_0724900.fasta","protPVP01_0724900")</f>
        <v/>
      </c>
    </row>
    <row r="18">
      <c r="A18" t="inlineStr">
        <is>
          <t>PVP01_0807700</t>
        </is>
      </c>
      <c r="B18" t="inlineStr">
        <is>
          <t>histone deacetylase 2, putative</t>
        </is>
      </c>
      <c r="C18" t="n">
        <v>8</v>
      </c>
      <c r="D18" t="inlineStr">
        <is>
          <t>332177 - 342888 (+)</t>
        </is>
      </c>
      <c r="E18" t="inlineStr">
        <is>
          <t>A0A1G4GW42, A0A1G4HBE9, A0A564ZVD6, UPI00090CBA9E, VUZ95206.1</t>
        </is>
      </c>
      <c r="F18" t="inlineStr">
        <is>
          <t>none</t>
        </is>
      </c>
      <c r="G18" t="inlineStr">
        <is>
          <t>PF3D7_1008000</t>
        </is>
      </c>
      <c r="H18" t="inlineStr">
        <is>
          <t>none</t>
        </is>
      </c>
      <c r="I18" t="inlineStr">
        <is>
          <t>PVX_094595</t>
        </is>
      </c>
      <c r="J18" t="n">
        <v>250061</v>
      </c>
      <c r="K18" t="n">
        <v>2242</v>
      </c>
      <c r="L18" t="n">
        <v>0</v>
      </c>
      <c r="M18" t="inlineStr">
        <is>
          <t>no</t>
        </is>
      </c>
      <c r="N18" t="inlineStr">
        <is>
          <t>none</t>
        </is>
      </c>
      <c r="O18" t="inlineStr">
        <is>
          <t>kinase activity, kinase activity, inositol phosphate biosynthetic process, inositol phosphate biosynthetic process</t>
        </is>
      </c>
      <c r="P18">
        <f>Hyperlink("PVP01_0807700/gintPVP01_0807700.fasta","gintPVP01_0807700")</f>
        <v/>
      </c>
      <c r="Q18">
        <f>Hyperlink("PVP01_0807700/gseqPVP01_0807700.fasta","gseqPVP01_0807700")</f>
        <v/>
      </c>
      <c r="R18">
        <f>Hyperlink("PVP01_0807700/protPVP01_0807700.fasta","protPVP01_0807700")</f>
        <v/>
      </c>
    </row>
    <row r="19">
      <c r="A19" t="inlineStr">
        <is>
          <t>PVP01_0807800</t>
        </is>
      </c>
      <c r="B19" t="inlineStr">
        <is>
          <t>PHD finger protein PHD1, putative</t>
        </is>
      </c>
      <c r="C19" t="n">
        <v>8</v>
      </c>
      <c r="D19" t="inlineStr">
        <is>
          <t>343738 - 357268 (+)</t>
        </is>
      </c>
      <c r="E19" t="inlineStr">
        <is>
          <t>A0A1G4GW29, A0A1G4HBE8, A0A564ZTC6, UPI00090B6DFB, VUZ95207.1</t>
        </is>
      </c>
      <c r="F19" t="inlineStr">
        <is>
          <t>none</t>
        </is>
      </c>
      <c r="G19" t="inlineStr">
        <is>
          <t>PF3D7_1008100</t>
        </is>
      </c>
      <c r="H19" t="inlineStr">
        <is>
          <t>none</t>
        </is>
      </c>
      <c r="I19" t="inlineStr">
        <is>
          <t>PVX_094600</t>
        </is>
      </c>
      <c r="J19" t="n">
        <v>404591</v>
      </c>
      <c r="K19" t="n">
        <v>3603</v>
      </c>
      <c r="L19" t="n">
        <v>0</v>
      </c>
      <c r="M19" t="inlineStr">
        <is>
          <t>no</t>
        </is>
      </c>
      <c r="N19" t="inlineStr">
        <is>
          <t>none</t>
        </is>
      </c>
      <c r="O19" t="inlineStr">
        <is>
          <t>methylated histone binding, metal ion binding</t>
        </is>
      </c>
      <c r="P19">
        <f>Hyperlink("PVP01_0807800/gintPVP01_0807800.fasta","gintPVP01_0807800")</f>
        <v/>
      </c>
      <c r="Q19">
        <f>Hyperlink("PVP01_0807800/gseqPVP01_0807800.fasta","gseqPVP01_0807800")</f>
        <v/>
      </c>
      <c r="R19">
        <f>Hyperlink("PVP01_0807800/protPVP01_0807800.fasta","protPVP01_0807800")</f>
        <v/>
      </c>
    </row>
    <row r="20">
      <c r="A20" t="inlineStr">
        <is>
          <t>PVP01_0816000</t>
        </is>
      </c>
      <c r="B20" t="inlineStr">
        <is>
          <t>enolase, putative</t>
        </is>
      </c>
      <c r="C20" t="n">
        <v>8</v>
      </c>
      <c r="D20" t="inlineStr">
        <is>
          <t>701772 - 706734 (+)</t>
        </is>
      </c>
      <c r="E20" t="inlineStr">
        <is>
          <t>00010+4.2.1.11, 00680+4.2.1.11, 5855.PVX_095015, A0A1G4GWA8, D7RBE8, D7RBG2, D7RBJ0, D7RBJ5, D7RBM5, D7RBP7, SCO66877.1, SCO72304.1, UPI000153EAF4, VUZ95292.1, XP_001614471.1</t>
        </is>
      </c>
      <c r="F20" t="inlineStr">
        <is>
          <t>PBANKA_1214300</t>
        </is>
      </c>
      <c r="G20" t="inlineStr">
        <is>
          <t>PF3D7_1015900</t>
        </is>
      </c>
      <c r="H20" t="inlineStr">
        <is>
          <t>none</t>
        </is>
      </c>
      <c r="I20" t="inlineStr">
        <is>
          <t>PVX_095015</t>
        </is>
      </c>
      <c r="J20" t="n">
        <v>48817</v>
      </c>
      <c r="K20" t="n">
        <v>446</v>
      </c>
      <c r="L20" t="n">
        <v>0</v>
      </c>
      <c r="M20" t="inlineStr">
        <is>
          <t>no</t>
        </is>
      </c>
      <c r="N20" t="inlineStr">
        <is>
          <t>none</t>
        </is>
      </c>
      <c r="O20" t="inlineStr">
        <is>
          <t>phosphopyruvate hydratase complex, phosphopyruvate hydratase complex, magnesium ion binding, magnesium ion binding, phosphopyruvate hydratase activity, phosphopyruvate hydratase activity, glycolytic process, glycolytic process</t>
        </is>
      </c>
      <c r="P20">
        <f>Hyperlink("PVP01_0816000/gintPVP01_0816000.fasta","gintPVP01_0816000")</f>
        <v/>
      </c>
      <c r="Q20">
        <f>Hyperlink("PVP01_0816000/gseqPVP01_0816000.fasta","gseqPVP01_0816000")</f>
        <v/>
      </c>
      <c r="R20">
        <f>Hyperlink("PVP01_0816000/protPVP01_0816000.fasta","protPVP01_0816000")</f>
        <v/>
      </c>
    </row>
    <row r="21">
      <c r="A21" t="inlineStr">
        <is>
          <t>PVP01_0908600</t>
        </is>
      </c>
      <c r="B21" t="inlineStr">
        <is>
          <t>AP2 domain transcription factor, putative</t>
        </is>
      </c>
      <c r="C21" t="n">
        <v>9</v>
      </c>
      <c r="D21" t="inlineStr">
        <is>
          <t>454299 - 462065 (-)</t>
        </is>
      </c>
      <c r="E21" t="inlineStr">
        <is>
          <t>A0A1G4GX57, A0A1G4HCG4, A0A564ZVS9, UPI0009098DE7, VUZ95742.1</t>
        </is>
      </c>
      <c r="F21" t="inlineStr">
        <is>
          <t>none</t>
        </is>
      </c>
      <c r="G21" t="inlineStr">
        <is>
          <t>none</t>
        </is>
      </c>
      <c r="H21" t="inlineStr">
        <is>
          <t>none</t>
        </is>
      </c>
      <c r="I21" t="inlineStr">
        <is>
          <t>none</t>
        </is>
      </c>
      <c r="J21" t="n">
        <v>213272</v>
      </c>
      <c r="K21" t="n">
        <v>2020</v>
      </c>
      <c r="L21" t="n">
        <v>0</v>
      </c>
      <c r="M21" t="inlineStr">
        <is>
          <t>no</t>
        </is>
      </c>
      <c r="N21" t="inlineStr">
        <is>
          <t>none</t>
        </is>
      </c>
      <c r="O21" t="inlineStr">
        <is>
          <t>DNA binding, DNA-binding transcription factor activity, DNA-binding transcription factor activity, nucleus, regulation of transcription, DNA-templated, regulation of transcription, DNA-templated, sequence-specific DNA binding</t>
        </is>
      </c>
      <c r="P21">
        <f>Hyperlink("PVP01_0908600/gintPVP01_0908600.fasta","gintPVP01_0908600")</f>
        <v/>
      </c>
      <c r="Q21">
        <f>Hyperlink("PVP01_0908600/gseqPVP01_0908600.fasta","gseqPVP01_0908600")</f>
        <v/>
      </c>
      <c r="R21">
        <f>Hyperlink("PVP01_0908600/protPVP01_0908600.fasta","protPVP01_0908600")</f>
        <v/>
      </c>
    </row>
    <row r="22">
      <c r="A22" t="inlineStr">
        <is>
          <t>PVP01_0909900</t>
        </is>
      </c>
      <c r="B22" t="inlineStr">
        <is>
          <t>conserved Plasmodium protein, unknown function</t>
        </is>
      </c>
      <c r="C22" t="n">
        <v>9</v>
      </c>
      <c r="D22" t="inlineStr">
        <is>
          <t>511110 - 516409 (-)</t>
        </is>
      </c>
      <c r="E22" t="inlineStr">
        <is>
          <t>A0A1G4GX66, A0A1G4HCF6, A0A564ZUK2, UPI00090B78F7, VUZ95754.1</t>
        </is>
      </c>
      <c r="F22" t="inlineStr">
        <is>
          <t>PBANKA_0938000</t>
        </is>
      </c>
      <c r="G22" t="inlineStr">
        <is>
          <t>PF3D7_1109100</t>
        </is>
      </c>
      <c r="H22" t="inlineStr">
        <is>
          <t>none</t>
        </is>
      </c>
      <c r="I22" t="inlineStr">
        <is>
          <t>PVX_091136</t>
        </is>
      </c>
      <c r="J22" t="n">
        <v>153313</v>
      </c>
      <c r="K22" t="n">
        <v>1375</v>
      </c>
      <c r="L22" t="n">
        <v>0</v>
      </c>
      <c r="M22" t="inlineStr">
        <is>
          <t>no</t>
        </is>
      </c>
      <c r="N22" t="inlineStr">
        <is>
          <t>none</t>
        </is>
      </c>
      <c r="P22">
        <f>Hyperlink("PVP01_0909900/gintPVP01_0909900.fasta","gintPVP01_0909900")</f>
        <v/>
      </c>
      <c r="Q22">
        <f>Hyperlink("PVP01_0909900/gseqPVP01_0909900.fasta","gseqPVP01_0909900")</f>
        <v/>
      </c>
      <c r="R22">
        <f>Hyperlink("PVP01_0909900/protPVP01_0909900.fasta","protPVP01_0909900")</f>
        <v/>
      </c>
    </row>
    <row r="23">
      <c r="A23" t="inlineStr">
        <is>
          <t>PVP01_0921900</t>
        </is>
      </c>
      <c r="B23" t="inlineStr">
        <is>
          <t>tyrosine kinase-like protein, putative</t>
        </is>
      </c>
      <c r="C23" t="n">
        <v>9</v>
      </c>
      <c r="D23" t="inlineStr">
        <is>
          <t>945534 - 953981 (-)</t>
        </is>
      </c>
      <c r="E23" t="inlineStr">
        <is>
          <t>A0A1G4GXJ2, A0A1G4HD20, A0A564ZUR1, UPI000909F1F8, VUZ95880.1</t>
        </is>
      </c>
      <c r="F23" t="inlineStr">
        <is>
          <t>PBANKA_0927000</t>
        </is>
      </c>
      <c r="G23" t="inlineStr">
        <is>
          <t>PF3D7_1121300</t>
        </is>
      </c>
      <c r="H23" t="inlineStr">
        <is>
          <t>none</t>
        </is>
      </c>
      <c r="I23" t="inlineStr">
        <is>
          <t>PVX_091685</t>
        </is>
      </c>
      <c r="J23" t="n">
        <v>172892</v>
      </c>
      <c r="K23" t="n">
        <v>1542</v>
      </c>
      <c r="L23" t="n">
        <v>0</v>
      </c>
      <c r="M23" t="inlineStr">
        <is>
          <t>no</t>
        </is>
      </c>
      <c r="N23" t="inlineStr">
        <is>
          <t>none</t>
        </is>
      </c>
      <c r="O23" t="inlineStr">
        <is>
          <t>protein kinase activity, protein kinase activity, ATP binding, ATP binding, protein phosphorylation, protein phosphorylation</t>
        </is>
      </c>
      <c r="P23">
        <f>Hyperlink("PVP01_0921900/gintPVP01_0921900.fasta","gintPVP01_0921900")</f>
        <v/>
      </c>
      <c r="Q23">
        <f>Hyperlink("PVP01_0921900/gseqPVP01_0921900.fasta","gseqPVP01_0921900")</f>
        <v/>
      </c>
      <c r="R23">
        <f>Hyperlink("PVP01_0921900/protPVP01_0921900.fasta","protPVP01_0921900")</f>
        <v/>
      </c>
    </row>
    <row r="24">
      <c r="A24" t="inlineStr">
        <is>
          <t>PVP01_0923000</t>
        </is>
      </c>
      <c r="B24" t="inlineStr">
        <is>
          <t>conserved Plasmodium protein, unknown function</t>
        </is>
      </c>
      <c r="C24" t="n">
        <v>9</v>
      </c>
      <c r="D24" t="inlineStr">
        <is>
          <t>996647 - 1001351 (+)</t>
        </is>
      </c>
      <c r="E24" t="inlineStr">
        <is>
          <t>A0A1G4GXJ7, A0A1G4HCR0, A0A564ZVQ5, UPI00090B103E, VUZ95892.1</t>
        </is>
      </c>
      <c r="F24" t="inlineStr">
        <is>
          <t>PBANKA_0925900</t>
        </is>
      </c>
      <c r="G24" t="inlineStr">
        <is>
          <t>PF3D7_1122400</t>
        </is>
      </c>
      <c r="H24" t="inlineStr">
        <is>
          <t>none</t>
        </is>
      </c>
      <c r="I24" t="inlineStr">
        <is>
          <t>PVX_091740</t>
        </is>
      </c>
      <c r="J24" t="n">
        <v>104484</v>
      </c>
      <c r="K24" t="n">
        <v>911</v>
      </c>
      <c r="L24" t="n">
        <v>0</v>
      </c>
      <c r="M24" t="inlineStr">
        <is>
          <t>no</t>
        </is>
      </c>
      <c r="N24" t="inlineStr">
        <is>
          <t>none</t>
        </is>
      </c>
      <c r="P24">
        <f>Hyperlink("PVP01_0923000/gintPVP01_0923000.fasta","gintPVP01_0923000")</f>
        <v/>
      </c>
      <c r="Q24">
        <f>Hyperlink("PVP01_0923000/gseqPVP01_0923000.fasta","gseqPVP01_0923000")</f>
        <v/>
      </c>
      <c r="R24">
        <f>Hyperlink("PVP01_0923000/protPVP01_0923000.fasta","protPVP01_0923000")</f>
        <v/>
      </c>
    </row>
    <row r="25">
      <c r="A25" t="inlineStr">
        <is>
          <t>PVP01_0935500</t>
        </is>
      </c>
      <c r="B25" t="inlineStr">
        <is>
          <t>DNA-directed RNA polymerase I subunit RPA2, putative</t>
        </is>
      </c>
      <c r="C25" t="n">
        <v>9</v>
      </c>
      <c r="D25" t="inlineStr">
        <is>
          <t>1522059 - 1532970 (-)</t>
        </is>
      </c>
      <c r="E25" t="inlineStr">
        <is>
          <t>A0A1G4GXV9, A0A1G4HD72, A0A564ZXB5, UPI00090C1476, VUZ96020.1</t>
        </is>
      </c>
      <c r="F25" t="inlineStr">
        <is>
          <t>PBANKA_0913800</t>
        </is>
      </c>
      <c r="G25" t="inlineStr">
        <is>
          <t>PF3D7_1134700</t>
        </is>
      </c>
      <c r="H25" t="inlineStr">
        <is>
          <t>none</t>
        </is>
      </c>
      <c r="I25" t="inlineStr">
        <is>
          <t>PVX_092345</t>
        </is>
      </c>
      <c r="J25" t="n">
        <v>178585</v>
      </c>
      <c r="K25" t="n">
        <v>1579</v>
      </c>
      <c r="L25" t="n">
        <v>0</v>
      </c>
      <c r="M25" t="inlineStr">
        <is>
          <t>no</t>
        </is>
      </c>
      <c r="N25" t="inlineStr">
        <is>
          <t>none</t>
        </is>
      </c>
      <c r="O25" t="inlineStr">
        <is>
          <t>DNA binding, DNA binding, DNA-directed 5'-3' RNA polymerase activity, DNA-directed 5'-3' RNA polymerase activity, transcription, DNA-templated, transcription, DNA-templated, apicoplast, ribonucleoside binding</t>
        </is>
      </c>
      <c r="P25">
        <f>Hyperlink("PVP01_0935500/gintPVP01_0935500.fasta","gintPVP01_0935500")</f>
        <v/>
      </c>
      <c r="Q25">
        <f>Hyperlink("PVP01_0935500/gseqPVP01_0935500.fasta","gseqPVP01_0935500")</f>
        <v/>
      </c>
      <c r="R25">
        <f>Hyperlink("PVP01_0935500/protPVP01_0935500.fasta","protPVP01_0935500")</f>
        <v/>
      </c>
    </row>
    <row r="26">
      <c r="A26" t="inlineStr">
        <is>
          <t>PVP01_0939800</t>
        </is>
      </c>
      <c r="B26" t="inlineStr">
        <is>
          <t>WD repeat-containing protein, putative</t>
        </is>
      </c>
      <c r="C26" t="n">
        <v>9</v>
      </c>
      <c r="D26" t="inlineStr">
        <is>
          <t>1717367 - 1725644 (-)</t>
        </is>
      </c>
      <c r="E26" t="inlineStr">
        <is>
          <t>A0A1G4GXZ5, A0A1G4HD95, A0A564ZV92, UPI00090AC652, VUZ96069.1</t>
        </is>
      </c>
      <c r="F26" t="inlineStr">
        <is>
          <t>PBANKA_0909900</t>
        </is>
      </c>
      <c r="G26" t="inlineStr">
        <is>
          <t>PF3D7_1138800</t>
        </is>
      </c>
      <c r="H26" t="inlineStr">
        <is>
          <t>none</t>
        </is>
      </c>
      <c r="I26" t="inlineStr">
        <is>
          <t>PVX_092555, PVX_238290, PVX_246295</t>
        </is>
      </c>
      <c r="J26" t="n">
        <v>202113</v>
      </c>
      <c r="K26" t="n">
        <v>1825</v>
      </c>
      <c r="L26" t="n">
        <v>0</v>
      </c>
      <c r="M26" t="inlineStr">
        <is>
          <t>no</t>
        </is>
      </c>
      <c r="N26" t="inlineStr">
        <is>
          <t>none</t>
        </is>
      </c>
      <c r="O26" t="inlineStr">
        <is>
          <t>protein binding</t>
        </is>
      </c>
      <c r="P26">
        <f>Hyperlink("PVP01_0939800/gintPVP01_0939800.fasta","gintPVP01_0939800")</f>
        <v/>
      </c>
      <c r="Q26">
        <f>Hyperlink("PVP01_0939800/gseqPVP01_0939800.fasta","gseqPVP01_0939800")</f>
        <v/>
      </c>
      <c r="R26">
        <f>Hyperlink("PVP01_0939800/protPVP01_0939800.fasta","protPVP01_0939800")</f>
        <v/>
      </c>
    </row>
    <row r="27">
      <c r="A27" t="inlineStr">
        <is>
          <t>PVP01_0947600</t>
        </is>
      </c>
      <c r="B27" t="inlineStr">
        <is>
          <t>sporozoite asparagine-rich protein</t>
        </is>
      </c>
      <c r="C27" t="n">
        <v>9</v>
      </c>
      <c r="D27" t="inlineStr">
        <is>
          <t>2074913 - 2085112 (-)</t>
        </is>
      </c>
      <c r="E27" t="inlineStr">
        <is>
          <t>A0A1G4GYC0, A0A1G4HDJ5, A0A564ZWT7, UPI00090B50D1, VUZ96150.1</t>
        </is>
      </c>
      <c r="F27" t="inlineStr">
        <is>
          <t>none</t>
        </is>
      </c>
      <c r="G27" t="inlineStr">
        <is>
          <t>none</t>
        </is>
      </c>
      <c r="H27" t="inlineStr">
        <is>
          <t>none</t>
        </is>
      </c>
      <c r="I27" t="inlineStr">
        <is>
          <t>PVX_092945</t>
        </is>
      </c>
      <c r="J27" t="n">
        <v>371095</v>
      </c>
      <c r="K27" t="n">
        <v>3308</v>
      </c>
      <c r="L27" t="n">
        <v>0</v>
      </c>
      <c r="M27" t="inlineStr">
        <is>
          <t>no</t>
        </is>
      </c>
      <c r="N27" t="inlineStr">
        <is>
          <t>none</t>
        </is>
      </c>
      <c r="P27">
        <f>Hyperlink("PVP01_0947600/gintPVP01_0947600.fasta","gintPVP01_0947600")</f>
        <v/>
      </c>
      <c r="Q27">
        <f>Hyperlink("PVP01_0947600/gseqPVP01_0947600.fasta","gseqPVP01_0947600")</f>
        <v/>
      </c>
      <c r="R27">
        <f>Hyperlink("PVP01_0947600/protPVP01_0947600.fasta","protPVP01_0947600")</f>
        <v/>
      </c>
    </row>
    <row r="28">
      <c r="A28" t="inlineStr">
        <is>
          <t>PVP01_1000200</t>
        </is>
      </c>
      <c r="B28" t="inlineStr">
        <is>
          <t>PIR protein</t>
        </is>
      </c>
      <c r="C28" t="n">
        <v>10</v>
      </c>
      <c r="D28" t="inlineStr">
        <is>
          <t>8117 - 11108 (+)</t>
        </is>
      </c>
      <c r="E28" t="inlineStr">
        <is>
          <t>A0A1G4E8C1, A0A1G4HDL3, A0A1G4HDM6, A0A1G4HDR3, A0A564ZVK5, UPI00090A2CA7, VUZ96296.1</t>
        </is>
      </c>
      <c r="F28" t="inlineStr">
        <is>
          <t>none</t>
        </is>
      </c>
      <c r="G28" t="inlineStr">
        <is>
          <t>none</t>
        </is>
      </c>
      <c r="H28" t="inlineStr">
        <is>
          <t>PVP01_0000980, PVP01_0101900, PVP01_0403800, PVP01_0533600, PVP01_0838500, PVP01_1148300</t>
        </is>
      </c>
      <c r="I28" t="inlineStr">
        <is>
          <t>PVX_002480, PVX_005050, PVX_090295, PVX_119210, PVX_124715</t>
        </is>
      </c>
      <c r="J28" t="n">
        <v>87705</v>
      </c>
      <c r="K28" t="n">
        <v>734</v>
      </c>
      <c r="L28" t="n">
        <v>0</v>
      </c>
      <c r="M28" t="inlineStr">
        <is>
          <t>no</t>
        </is>
      </c>
      <c r="N28" t="inlineStr">
        <is>
          <t>none</t>
        </is>
      </c>
      <c r="P28">
        <f>Hyperlink("PVP01_1000200/gintPVP01_1000200.fasta","gintPVP01_1000200")</f>
        <v/>
      </c>
      <c r="Q28">
        <f>Hyperlink("PVP01_1000200/gseqPVP01_1000200.fasta","gseqPVP01_1000200")</f>
        <v/>
      </c>
      <c r="R28">
        <f>Hyperlink("PVP01_1000200/protPVP01_1000200.fasta","protPVP01_1000200")</f>
        <v/>
      </c>
    </row>
    <row r="29">
      <c r="A29" t="inlineStr">
        <is>
          <t>PVP01_1002700</t>
        </is>
      </c>
      <c r="B29" t="inlineStr">
        <is>
          <t>conserved Plasmodium protein, unknown function</t>
        </is>
      </c>
      <c r="C29" t="n">
        <v>10</v>
      </c>
      <c r="D29" t="inlineStr">
        <is>
          <t>142404 - 151653 (+)</t>
        </is>
      </c>
      <c r="E29" t="inlineStr">
        <is>
          <t>A0A1G4GYD8, A0A1G4HDP6, A0A564ZXU4, UPI00090B3F21, VUZ96323.1</t>
        </is>
      </c>
      <c r="F29" t="inlineStr">
        <is>
          <t>PBANKA_1245500</t>
        </is>
      </c>
      <c r="G29" t="inlineStr">
        <is>
          <t>none</t>
        </is>
      </c>
      <c r="H29" t="inlineStr">
        <is>
          <t>none</t>
        </is>
      </c>
      <c r="I29" t="inlineStr">
        <is>
          <t>PVX_079710</t>
        </is>
      </c>
      <c r="J29" t="n">
        <v>301051</v>
      </c>
      <c r="K29" t="n">
        <v>2601</v>
      </c>
      <c r="L29" t="n">
        <v>0</v>
      </c>
      <c r="M29" t="inlineStr">
        <is>
          <t>no</t>
        </is>
      </c>
      <c r="N29" t="inlineStr">
        <is>
          <t>none</t>
        </is>
      </c>
      <c r="P29">
        <f>Hyperlink("PVP01_1002700/gintPVP01_1002700.fasta","gintPVP01_1002700")</f>
        <v/>
      </c>
      <c r="Q29">
        <f>Hyperlink("PVP01_1002700/gseqPVP01_1002700.fasta","gseqPVP01_1002700")</f>
        <v/>
      </c>
      <c r="R29">
        <f>Hyperlink("PVP01_1002700/protPVP01_1002700.fasta","protPVP01_1002700")</f>
        <v/>
      </c>
    </row>
    <row r="30">
      <c r="A30" t="inlineStr">
        <is>
          <t>PVP01_1011000</t>
        </is>
      </c>
      <c r="B30" t="inlineStr">
        <is>
          <t>zinc finger protein, putative</t>
        </is>
      </c>
      <c r="C30" t="n">
        <v>10</v>
      </c>
      <c r="D30" t="inlineStr">
        <is>
          <t>484745 - 495261 (-)</t>
        </is>
      </c>
      <c r="E30" t="inlineStr">
        <is>
          <t>A0A1G4GYK0, A0A1G4HDY4, A0A564ZY42, UPI00090A6429, VUZ96409.1</t>
        </is>
      </c>
      <c r="F30" t="inlineStr">
        <is>
          <t>PBANKA_0414700, PBANKA_1206800</t>
        </is>
      </c>
      <c r="G30" t="inlineStr">
        <is>
          <t>none</t>
        </is>
      </c>
      <c r="H30" t="inlineStr">
        <is>
          <t>none</t>
        </is>
      </c>
      <c r="I30" t="inlineStr">
        <is>
          <t>PVX_080105</t>
        </is>
      </c>
      <c r="J30" t="n">
        <v>212660</v>
      </c>
      <c r="K30" t="n">
        <v>1940</v>
      </c>
      <c r="L30" t="n">
        <v>0</v>
      </c>
      <c r="M30" t="inlineStr">
        <is>
          <t>no</t>
        </is>
      </c>
      <c r="N30" t="inlineStr">
        <is>
          <t>none</t>
        </is>
      </c>
      <c r="O30" t="inlineStr">
        <is>
          <t>metal ion binding, metal ion binding</t>
        </is>
      </c>
      <c r="P30">
        <f>Hyperlink("PVP01_1011000/gintPVP01_1011000.fasta","gintPVP01_1011000")</f>
        <v/>
      </c>
      <c r="Q30">
        <f>Hyperlink("PVP01_1011000/gseqPVP01_1011000.fasta","gseqPVP01_1011000")</f>
        <v/>
      </c>
      <c r="R30">
        <f>Hyperlink("PVP01_1011000/protPVP01_1011000.fasta","protPVP01_1011000")</f>
        <v/>
      </c>
    </row>
    <row r="31">
      <c r="A31" t="inlineStr">
        <is>
          <t>PVP01_1016600</t>
        </is>
      </c>
      <c r="B31" t="inlineStr">
        <is>
          <t>FACT complex subunit SPT16, putative</t>
        </is>
      </c>
      <c r="C31" t="n">
        <v>10</v>
      </c>
      <c r="D31" t="inlineStr">
        <is>
          <t>733815 - 742298 (-)</t>
        </is>
      </c>
      <c r="E31" t="inlineStr">
        <is>
          <t>A0A1G4HEE1, A0A564ZW06, UPI00090C5A78, VUZ96471.1</t>
        </is>
      </c>
      <c r="F31" t="inlineStr">
        <is>
          <t>PBANKA_1232200</t>
        </is>
      </c>
      <c r="G31" t="inlineStr">
        <is>
          <t>PF3D7_0517400</t>
        </is>
      </c>
      <c r="H31" t="inlineStr">
        <is>
          <t>none</t>
        </is>
      </c>
      <c r="I31" t="inlineStr">
        <is>
          <t>PVX_080380</t>
        </is>
      </c>
      <c r="J31" t="n">
        <v>121788</v>
      </c>
      <c r="K31" t="n">
        <v>1056</v>
      </c>
      <c r="L31" t="n">
        <v>0</v>
      </c>
      <c r="M31" t="inlineStr">
        <is>
          <t>no</t>
        </is>
      </c>
      <c r="N31" t="inlineStr">
        <is>
          <t>none</t>
        </is>
      </c>
      <c r="O31" t="inlineStr">
        <is>
          <t>nucleus, DNA replication, DNA repair, FACT complex</t>
        </is>
      </c>
      <c r="P31">
        <f>Hyperlink("PVP01_1016600/gintPVP01_1016600.fasta","gintPVP01_1016600")</f>
        <v/>
      </c>
      <c r="Q31">
        <f>Hyperlink("PVP01_1016600/gseqPVP01_1016600.fasta","gseqPVP01_1016600")</f>
        <v/>
      </c>
      <c r="R31">
        <f>Hyperlink("PVP01_1016600/protPVP01_1016600.fasta","protPVP01_1016600")</f>
        <v/>
      </c>
    </row>
    <row r="32">
      <c r="A32" t="inlineStr">
        <is>
          <t>PVP01_1022500</t>
        </is>
      </c>
      <c r="B32" t="inlineStr">
        <is>
          <t>RNA pseudouridylate synthase, putative</t>
        </is>
      </c>
      <c r="C32" t="n">
        <v>10</v>
      </c>
      <c r="D32" t="inlineStr">
        <is>
          <t>945048 - 979742 (-)</t>
        </is>
      </c>
      <c r="E32" t="inlineStr">
        <is>
          <t>A0A564ZY37, UPI00090AB4E8, VUZ96533.1</t>
        </is>
      </c>
      <c r="F32" t="inlineStr">
        <is>
          <t>none</t>
        </is>
      </c>
      <c r="G32" t="inlineStr">
        <is>
          <t>PF3D7_0511500</t>
        </is>
      </c>
      <c r="H32" t="inlineStr">
        <is>
          <t>none</t>
        </is>
      </c>
      <c r="I32" t="inlineStr">
        <is>
          <t>PVX_080660</t>
        </is>
      </c>
      <c r="J32" t="n">
        <v>1274028</v>
      </c>
      <c r="K32" t="n">
        <v>11461</v>
      </c>
      <c r="L32" t="n">
        <v>0</v>
      </c>
      <c r="M32" t="inlineStr">
        <is>
          <t>no</t>
        </is>
      </c>
      <c r="N32" t="inlineStr">
        <is>
          <t>none</t>
        </is>
      </c>
      <c r="O32" t="inlineStr">
        <is>
          <t>pseudouridine synthesis, pseudouridine synthesis, RNA binding, RNA binding, protein binding, RNA modification, pseudouridine synthase activity, pseudouridine synthase activity</t>
        </is>
      </c>
      <c r="P32">
        <f>Hyperlink("PVP01_1022500/gintPVP01_1022500.fasta","gintPVP01_1022500")</f>
        <v/>
      </c>
      <c r="Q32">
        <f>Hyperlink("PVP01_1022500/gseqPVP01_1022500.fasta","gseqPVP01_1022500")</f>
        <v/>
      </c>
      <c r="R32">
        <f>Hyperlink("PVP01_1022500/protPVP01_1022500.fasta","protPVP01_1022500")</f>
        <v/>
      </c>
    </row>
    <row r="33">
      <c r="A33" t="inlineStr">
        <is>
          <t>PVP01_1031000</t>
        </is>
      </c>
      <c r="B33" t="inlineStr">
        <is>
          <t>merozoite surface protein 3</t>
        </is>
      </c>
      <c r="C33" t="n">
        <v>10</v>
      </c>
      <c r="D33" t="inlineStr">
        <is>
          <t>1332979 - 1335525 (-)</t>
        </is>
      </c>
      <c r="E33" t="inlineStr">
        <is>
          <t>A0A1G4GZ26, A0A1G4HET6, A0A564ZWF2, C5HZ11, Q4KTV4, Q4KTV6, Q4KTV8, Q4KTV9, Q4KTW0, Q4KTW2, Q4KTW3, Q86DH1, Q86DH5, UPI00090A845F, VUZ96619.1, MSP3H, MSP3alpha</t>
        </is>
      </c>
      <c r="F33" t="inlineStr">
        <is>
          <t>PBANKA_0500600, PBANKA_0508300, PBANKA_0510200, PBANKA_0605600, PBANKA_0812400, PBANKA_1000041, PBANKA_1000800, PBANKA_1216800, PBANKA_1227100, PBANKA_1236600, PBANKA_1300800, PBANKA_1445700</t>
        </is>
      </c>
      <c r="G33" t="inlineStr">
        <is>
          <t>PF3D7_0911300, PF3D7_1036400, PF3D7_1475400</t>
        </is>
      </c>
      <c r="H33" t="inlineStr">
        <is>
          <t>PVP01_0302400, PVP01_0422100, PVP01_0709800, PVP01_0726600, PVP01_0734600, PVP01_1031200, PVP01_1031300, PVP01_1031400, PVP01_1031500, PVP01_1031600, PVP01_1031700, PVP01_1102900, PVP01_1201800, PVP01_1219900, PVP01_1263900, PVP01_1270300, PVP01_1469500</t>
        </is>
      </c>
      <c r="I33" t="inlineStr">
        <is>
          <t>PVX_097720, PVX_001090, PVX_003585, PVX_079195, PVX_082670, PVX_083550, PVX_086925, PVX_097670, PVX_097680, PVX_097685, PVX_097690, PVX_097695, PVX_097705, PVX_097725, PVX_099005, PVX_099850, PVX_101500, PVX_115415, PVX_118335, PVX_118648, PVX_097675</t>
        </is>
      </c>
      <c r="J33" t="n">
        <v>90176</v>
      </c>
      <c r="K33" t="n">
        <v>848</v>
      </c>
      <c r="L33" t="n">
        <v>1</v>
      </c>
      <c r="M33" t="inlineStr">
        <is>
          <t>yes</t>
        </is>
      </c>
      <c r="N33" t="inlineStr">
        <is>
          <t>none</t>
        </is>
      </c>
      <c r="O33" t="inlineStr">
        <is>
          <t>protein binding, cell surface</t>
        </is>
      </c>
      <c r="P33">
        <f>Hyperlink("PVP01_1031000/gintPVP01_1031000.fasta","gintPVP01_1031000")</f>
        <v/>
      </c>
      <c r="Q33">
        <f>Hyperlink("PVP01_1031000/gseqPVP01_1031000.fasta","gseqPVP01_1031000")</f>
        <v/>
      </c>
      <c r="R33">
        <f>Hyperlink("PVP01_1031000/protPVP01_1031000.fasta","protPVP01_1031000")</f>
        <v/>
      </c>
    </row>
    <row r="34">
      <c r="A34" t="inlineStr">
        <is>
          <t>PVP01_1033900</t>
        </is>
      </c>
      <c r="B34" t="inlineStr">
        <is>
          <t>tryptophan-rich protein</t>
        </is>
      </c>
      <c r="C34" t="n">
        <v>10</v>
      </c>
      <c r="D34" t="inlineStr">
        <is>
          <t>1439252 - 1447337 (-)</t>
        </is>
      </c>
      <c r="E34" t="inlineStr">
        <is>
          <t>A0A0B4L1K7, A0A0B4L2X0, A0A1G4HEK9, A0A564ZWH2, B4Y0V9, D2YW51, UPI000909520F, VUZ96649.1</t>
        </is>
      </c>
      <c r="F34" t="inlineStr">
        <is>
          <t>none</t>
        </is>
      </c>
      <c r="G34" t="inlineStr">
        <is>
          <t>none</t>
        </is>
      </c>
      <c r="H34" t="inlineStr">
        <is>
          <t>none</t>
        </is>
      </c>
      <c r="I34" t="inlineStr">
        <is>
          <t>none</t>
        </is>
      </c>
      <c r="J34" t="n">
        <v>266133</v>
      </c>
      <c r="K34" t="n">
        <v>2275</v>
      </c>
      <c r="L34" t="n">
        <v>1</v>
      </c>
      <c r="M34" t="inlineStr">
        <is>
          <t>no</t>
        </is>
      </c>
      <c r="N34" t="inlineStr">
        <is>
          <t>none</t>
        </is>
      </c>
      <c r="P34">
        <f>Hyperlink("PVP01_1033900/gintPVP01_1033900.fasta","gintPVP01_1033900")</f>
        <v/>
      </c>
      <c r="Q34">
        <f>Hyperlink("PVP01_1033900/gseqPVP01_1033900.fasta","gseqPVP01_1033900")</f>
        <v/>
      </c>
      <c r="R34">
        <f>Hyperlink("PVP01_1033900/protPVP01_1033900.fasta","protPVP01_1033900")</f>
        <v/>
      </c>
    </row>
    <row r="35">
      <c r="A35" t="inlineStr">
        <is>
          <t>PVP01_1105300</t>
        </is>
      </c>
      <c r="B35" t="inlineStr">
        <is>
          <t>conserved Plasmodium protein, unknown function</t>
        </is>
      </c>
      <c r="C35" t="n">
        <v>11</v>
      </c>
      <c r="D35" t="inlineStr">
        <is>
          <t>209404 - 213321 (-)</t>
        </is>
      </c>
      <c r="E35" t="inlineStr">
        <is>
          <t>A0A1G4HEX1, SCO67956.1, SCO73419.1, UPI000153E133, VUZ96795.1, XP_001616449.1</t>
        </is>
      </c>
      <c r="F35" t="inlineStr">
        <is>
          <t>PBANKA_1142600</t>
        </is>
      </c>
      <c r="G35" t="inlineStr">
        <is>
          <t>none</t>
        </is>
      </c>
      <c r="H35" t="inlineStr">
        <is>
          <t>none</t>
        </is>
      </c>
      <c r="I35" t="inlineStr">
        <is>
          <t>PVX_115295</t>
        </is>
      </c>
      <c r="J35" t="n">
        <v>34137</v>
      </c>
      <c r="K35" t="n">
        <v>300</v>
      </c>
      <c r="L35" t="n">
        <v>0</v>
      </c>
      <c r="M35" t="inlineStr">
        <is>
          <t>no</t>
        </is>
      </c>
      <c r="N35" t="inlineStr">
        <is>
          <t>none</t>
        </is>
      </c>
      <c r="P35">
        <f>Hyperlink("PVP01_1105300/gintPVP01_1105300.fasta","gintPVP01_1105300")</f>
        <v/>
      </c>
      <c r="Q35">
        <f>Hyperlink("PVP01_1105300/gseqPVP01_1105300.fasta","gseqPVP01_1105300")</f>
        <v/>
      </c>
      <c r="R35">
        <f>Hyperlink("PVP01_1105300/protPVP01_1105300.fasta","protPVP01_1105300")</f>
        <v/>
      </c>
    </row>
    <row r="36">
      <c r="A36" t="inlineStr">
        <is>
          <t>PVP01_1106700</t>
        </is>
      </c>
      <c r="B36" t="inlineStr">
        <is>
          <t>conserved Plasmodium protein, unknown function</t>
        </is>
      </c>
      <c r="C36" t="n">
        <v>11</v>
      </c>
      <c r="D36" t="inlineStr">
        <is>
          <t>266088 - 269725 (+)</t>
        </is>
      </c>
      <c r="E36" t="inlineStr">
        <is>
          <t>A0A1G4HES3, SCO67970.1, SCO73434.1, UPI000670148C, VUZ96809.1</t>
        </is>
      </c>
      <c r="F36" t="inlineStr">
        <is>
          <t>none</t>
        </is>
      </c>
      <c r="G36" t="inlineStr">
        <is>
          <t>PF3D7_1365300</t>
        </is>
      </c>
      <c r="H36" t="inlineStr">
        <is>
          <t>none</t>
        </is>
      </c>
      <c r="I36" t="inlineStr">
        <is>
          <t>PVX_115225</t>
        </is>
      </c>
      <c r="J36" t="n">
        <v>87074</v>
      </c>
      <c r="K36" t="n">
        <v>748</v>
      </c>
      <c r="L36" t="n">
        <v>0</v>
      </c>
      <c r="M36" t="inlineStr">
        <is>
          <t>no</t>
        </is>
      </c>
      <c r="N36" t="inlineStr">
        <is>
          <t>none</t>
        </is>
      </c>
      <c r="P36">
        <f>Hyperlink("PVP01_1106700/gintPVP01_1106700.fasta","gintPVP01_1106700")</f>
        <v/>
      </c>
      <c r="Q36">
        <f>Hyperlink("PVP01_1106700/gseqPVP01_1106700.fasta","gseqPVP01_1106700")</f>
        <v/>
      </c>
      <c r="R36">
        <f>Hyperlink("PVP01_1106700/protPVP01_1106700.fasta","protPVP01_1106700")</f>
        <v/>
      </c>
    </row>
    <row r="37">
      <c r="A37" t="inlineStr">
        <is>
          <t>PVP01_1109300</t>
        </is>
      </c>
      <c r="B37" t="inlineStr">
        <is>
          <t>conserved Plasmodium protein, unknown function</t>
        </is>
      </c>
      <c r="C37" t="n">
        <v>11</v>
      </c>
      <c r="D37" t="inlineStr">
        <is>
          <t>366278 - 373149 (-)</t>
        </is>
      </c>
      <c r="E37" t="inlineStr">
        <is>
          <t>A0A1G4GZK8, A0A1G4HEW1, A0A564ZWV4, UPI00090A8317, VUZ96836.1</t>
        </is>
      </c>
      <c r="F37" t="inlineStr">
        <is>
          <t>none</t>
        </is>
      </c>
      <c r="G37" t="inlineStr">
        <is>
          <t>none</t>
        </is>
      </c>
      <c r="H37" t="inlineStr">
        <is>
          <t>none</t>
        </is>
      </c>
      <c r="I37" t="inlineStr">
        <is>
          <t>PVX_115090</t>
        </is>
      </c>
      <c r="J37" t="n">
        <v>155405</v>
      </c>
      <c r="K37" t="n">
        <v>1411</v>
      </c>
      <c r="L37" t="n">
        <v>0</v>
      </c>
      <c r="M37" t="inlineStr">
        <is>
          <t>no</t>
        </is>
      </c>
      <c r="N37" t="inlineStr">
        <is>
          <t>none</t>
        </is>
      </c>
      <c r="P37">
        <f>Hyperlink("PVP01_1109300/gintPVP01_1109300.fasta","gintPVP01_1109300")</f>
        <v/>
      </c>
      <c r="Q37">
        <f>Hyperlink("PVP01_1109300/gseqPVP01_1109300.fasta","gseqPVP01_1109300")</f>
        <v/>
      </c>
      <c r="R37">
        <f>Hyperlink("PVP01_1109300/protPVP01_1109300.fasta","protPVP01_1109300")</f>
        <v/>
      </c>
    </row>
    <row r="38">
      <c r="A38" t="inlineStr">
        <is>
          <t>PVP01_1119800</t>
        </is>
      </c>
      <c r="B38" t="inlineStr">
        <is>
          <t>SET domain protein, putative</t>
        </is>
      </c>
      <c r="C38" t="n">
        <v>11</v>
      </c>
      <c r="D38" t="inlineStr">
        <is>
          <t>836398 - 858710 (-)</t>
        </is>
      </c>
      <c r="E38" t="inlineStr">
        <is>
          <t>A0A1G4GZT6, A0A1G4HF52, A0A564ZX47, UPI00090C86FA, VUZ96944.1</t>
        </is>
      </c>
      <c r="F38" t="inlineStr">
        <is>
          <t>none</t>
        </is>
      </c>
      <c r="G38" t="inlineStr">
        <is>
          <t>PF3D7_0629700</t>
        </is>
      </c>
      <c r="H38" t="inlineStr">
        <is>
          <t>none</t>
        </is>
      </c>
      <c r="I38" t="inlineStr">
        <is>
          <t>PVX_114585</t>
        </is>
      </c>
      <c r="J38" t="n">
        <v>743830</v>
      </c>
      <c r="K38" t="n">
        <v>6605</v>
      </c>
      <c r="L38" t="n">
        <v>0</v>
      </c>
      <c r="M38" t="inlineStr">
        <is>
          <t>no</t>
        </is>
      </c>
      <c r="N38" t="inlineStr">
        <is>
          <t>none</t>
        </is>
      </c>
      <c r="O38" t="inlineStr">
        <is>
          <t>protein binding, histone-lysine N-methyltransferase activity, metal ion binding</t>
        </is>
      </c>
      <c r="P38">
        <f>Hyperlink("PVP01_1119800/gintPVP01_1119800.fasta","gintPVP01_1119800")</f>
        <v/>
      </c>
      <c r="Q38">
        <f>Hyperlink("PVP01_1119800/gseqPVP01_1119800.fasta","gseqPVP01_1119800")</f>
        <v/>
      </c>
      <c r="R38">
        <f>Hyperlink("PVP01_1119800/protPVP01_1119800.fasta","protPVP01_1119800")</f>
        <v/>
      </c>
    </row>
    <row r="39">
      <c r="A39" t="inlineStr">
        <is>
          <t>PVP01_1121400</t>
        </is>
      </c>
      <c r="B39" t="inlineStr">
        <is>
          <t>HECT domain-containing protein 1, putative</t>
        </is>
      </c>
      <c r="C39" t="n">
        <v>11</v>
      </c>
      <c r="D39" t="inlineStr">
        <is>
          <t>926685 - 957201 (+)</t>
        </is>
      </c>
      <c r="E39" t="inlineStr">
        <is>
          <t>A0A1G4GZY1, A0A1G4HF97, A0A564ZX70, UPI00090AD4BF, VUZ96962.1</t>
        </is>
      </c>
      <c r="F39" t="inlineStr">
        <is>
          <t>PBANKA_1126800</t>
        </is>
      </c>
      <c r="G39" t="inlineStr">
        <is>
          <t>PF3D7_0628100</t>
        </is>
      </c>
      <c r="H39" t="inlineStr">
        <is>
          <t>none</t>
        </is>
      </c>
      <c r="I39" t="inlineStr">
        <is>
          <t>PVX_114510</t>
        </is>
      </c>
      <c r="J39" t="n">
        <v>1066085</v>
      </c>
      <c r="K39" t="n">
        <v>9382</v>
      </c>
      <c r="L39" t="n">
        <v>0</v>
      </c>
      <c r="M39" t="inlineStr">
        <is>
          <t>no</t>
        </is>
      </c>
      <c r="N39" t="inlineStr">
        <is>
          <t>none</t>
        </is>
      </c>
      <c r="O39" t="inlineStr">
        <is>
          <t>ubiquitin-protein transferase activity, ubiquitin-protein transferase activity, protein binding, ligase activity</t>
        </is>
      </c>
      <c r="P39">
        <f>Hyperlink("PVP01_1121400/gintPVP01_1121400.fasta","gintPVP01_1121400")</f>
        <v/>
      </c>
      <c r="Q39">
        <f>Hyperlink("PVP01_1121400/gseqPVP01_1121400.fasta","gseqPVP01_1121400")</f>
        <v/>
      </c>
      <c r="R39">
        <f>Hyperlink("PVP01_1121400/protPVP01_1121400.fasta","protPVP01_1121400")</f>
        <v/>
      </c>
    </row>
    <row r="40">
      <c r="A40" t="inlineStr">
        <is>
          <t>PVP01_1132600</t>
        </is>
      </c>
      <c r="B40" t="inlineStr">
        <is>
          <t>TRAP-like protein, putative</t>
        </is>
      </c>
      <c r="C40" t="n">
        <v>11</v>
      </c>
      <c r="D40" t="inlineStr">
        <is>
          <t>1394606 - 1399144 (-)</t>
        </is>
      </c>
      <c r="E40" t="inlineStr">
        <is>
          <t>A0A1G4H028, A0A1G4HFJ7, A0A564ZXJ1, UPI00090CD833, VUZ97072.1</t>
        </is>
      </c>
      <c r="F40" t="inlineStr">
        <is>
          <t>none</t>
        </is>
      </c>
      <c r="G40" t="inlineStr">
        <is>
          <t>PF3D7_0616500</t>
        </is>
      </c>
      <c r="H40" t="inlineStr">
        <is>
          <t>none</t>
        </is>
      </c>
      <c r="I40" t="inlineStr">
        <is>
          <t>none</t>
        </is>
      </c>
      <c r="J40" t="n">
        <v>166586</v>
      </c>
      <c r="K40" t="n">
        <v>1512</v>
      </c>
      <c r="L40" t="n">
        <v>1</v>
      </c>
      <c r="M40" t="inlineStr">
        <is>
          <t>yes</t>
        </is>
      </c>
      <c r="N40" t="inlineStr">
        <is>
          <t>none</t>
        </is>
      </c>
      <c r="O40" t="inlineStr">
        <is>
          <t>cell surface, integral component of membrane</t>
        </is>
      </c>
      <c r="P40">
        <f>Hyperlink("PVP01_1132600/gintPVP01_1132600.fasta","gintPVP01_1132600")</f>
        <v/>
      </c>
      <c r="Q40">
        <f>Hyperlink("PVP01_1132600/gseqPVP01_1132600.fasta","gseqPVP01_1132600")</f>
        <v/>
      </c>
      <c r="R40">
        <f>Hyperlink("PVP01_1132600/protPVP01_1132600.fasta","protPVP01_1132600")</f>
        <v/>
      </c>
    </row>
    <row r="41">
      <c r="A41" t="inlineStr">
        <is>
          <t>PVP01_1205600</t>
        </is>
      </c>
      <c r="B41" t="inlineStr">
        <is>
          <t>glutamate--tRNA ligase, putative</t>
        </is>
      </c>
      <c r="C41" t="n">
        <v>12</v>
      </c>
      <c r="D41" t="inlineStr">
        <is>
          <t>218804 - 222729 (+)</t>
        </is>
      </c>
      <c r="E41" t="inlineStr">
        <is>
          <t>00860+6.1.1.17, 00970+6.1.1.17, 5855.PVX_083355, A0A1G4H0Y9, A0A1G4HG55, SCO68441.1, UPI000153EA63, VUZ97332.1, XP_001614270.1</t>
        </is>
      </c>
      <c r="F41" t="inlineStr">
        <is>
          <t>PBANKA_1362000</t>
        </is>
      </c>
      <c r="G41" t="inlineStr">
        <is>
          <t>PF3D7_1349200</t>
        </is>
      </c>
      <c r="H41" t="inlineStr">
        <is>
          <t>none</t>
        </is>
      </c>
      <c r="I41" t="inlineStr">
        <is>
          <t>PVX_083355</t>
        </is>
      </c>
      <c r="J41" t="n">
        <v>91894</v>
      </c>
      <c r="K41" t="n">
        <v>787</v>
      </c>
      <c r="L41" t="n">
        <v>0</v>
      </c>
      <c r="M41" t="inlineStr">
        <is>
          <t>no</t>
        </is>
      </c>
      <c r="N41" t="inlineStr">
        <is>
          <t>none</t>
        </is>
      </c>
      <c r="O41" t="inlineStr">
        <is>
          <t>nucleotide binding, aminoacyl-tRNA ligase activity, glutamate-tRNA ligase activity, glutamate-tRNA ligase activity, ATP binding, ATP binding, cytoplasm, cytoplasm, translation, translation, tRNA aminoacylation for protein translation, glutamyl-tRNA aminoacylation, glutamyl-tRNA aminoacylation, tRNA aminoacylation</t>
        </is>
      </c>
      <c r="P41">
        <f>Hyperlink("PVP01_1205600/gintPVP01_1205600.fasta","gintPVP01_1205600")</f>
        <v/>
      </c>
      <c r="Q41">
        <f>Hyperlink("PVP01_1205600/gseqPVP01_1205600.fasta","gseqPVP01_1205600")</f>
        <v/>
      </c>
      <c r="R41">
        <f>Hyperlink("PVP01_1205600/protPVP01_1205600.fasta","protPVP01_1205600")</f>
        <v/>
      </c>
    </row>
    <row r="42">
      <c r="A42" t="inlineStr">
        <is>
          <t>PVP01_1226200</t>
        </is>
      </c>
      <c r="B42" t="inlineStr">
        <is>
          <t>conserved Plasmodium protein, unknown function</t>
        </is>
      </c>
      <c r="C42" t="n">
        <v>12</v>
      </c>
      <c r="D42" t="inlineStr">
        <is>
          <t>1021448 - 1031727 (-)</t>
        </is>
      </c>
      <c r="E42" t="inlineStr">
        <is>
          <t>A0A1G4H1J7, A0A1G4HGQ6, A0A564ZYP8, UPI00090A41B6, VUZ97537.1</t>
        </is>
      </c>
      <c r="F42" t="inlineStr">
        <is>
          <t>none</t>
        </is>
      </c>
      <c r="G42" t="inlineStr">
        <is>
          <t>PF3D7_1328200</t>
        </is>
      </c>
      <c r="H42" t="inlineStr">
        <is>
          <t>none</t>
        </is>
      </c>
      <c r="I42" t="inlineStr">
        <is>
          <t>PVX_082360</t>
        </is>
      </c>
      <c r="J42" t="n">
        <v>296820</v>
      </c>
      <c r="K42" t="n">
        <v>2613</v>
      </c>
      <c r="L42" t="n">
        <v>0</v>
      </c>
      <c r="M42" t="inlineStr">
        <is>
          <t>no</t>
        </is>
      </c>
      <c r="N42" t="inlineStr">
        <is>
          <t>none</t>
        </is>
      </c>
      <c r="P42">
        <f>Hyperlink("PVP01_1226200/gintPVP01_1226200.fasta","gintPVP01_1226200")</f>
        <v/>
      </c>
      <c r="Q42">
        <f>Hyperlink("PVP01_1226200/gseqPVP01_1226200.fasta","gseqPVP01_1226200")</f>
        <v/>
      </c>
      <c r="R42">
        <f>Hyperlink("PVP01_1226200/protPVP01_1226200.fasta","protPVP01_1226200")</f>
        <v/>
      </c>
    </row>
    <row r="43">
      <c r="A43" t="inlineStr">
        <is>
          <t>PVP01_1235200</t>
        </is>
      </c>
      <c r="B43" t="inlineStr">
        <is>
          <t>apical polar ring protein APR2, putative</t>
        </is>
      </c>
      <c r="C43" t="n">
        <v>12</v>
      </c>
      <c r="D43" t="inlineStr">
        <is>
          <t>1400059 - 1404491 (-)</t>
        </is>
      </c>
      <c r="E43" t="inlineStr">
        <is>
          <t>A0A1G4H1U1, A0A1G4HGY9, A0A564ZYY1, UPI000909DA89, VUZ97627.1, APR2</t>
        </is>
      </c>
      <c r="F43" t="inlineStr">
        <is>
          <t>none</t>
        </is>
      </c>
      <c r="G43" t="inlineStr">
        <is>
          <t>none</t>
        </is>
      </c>
      <c r="H43" t="inlineStr">
        <is>
          <t>none</t>
        </is>
      </c>
      <c r="I43" t="inlineStr">
        <is>
          <t>PVX_116894</t>
        </is>
      </c>
      <c r="J43" t="n">
        <v>130839</v>
      </c>
      <c r="K43" t="n">
        <v>1199</v>
      </c>
      <c r="L43" t="n">
        <v>0</v>
      </c>
      <c r="M43" t="inlineStr">
        <is>
          <t>no</t>
        </is>
      </c>
      <c r="N43" t="inlineStr">
        <is>
          <t>none</t>
        </is>
      </c>
      <c r="O43" t="inlineStr">
        <is>
          <t>apical complex</t>
        </is>
      </c>
      <c r="P43">
        <f>Hyperlink("PVP01_1235200/gintPVP01_1235200.fasta","gintPVP01_1235200")</f>
        <v/>
      </c>
      <c r="Q43">
        <f>Hyperlink("PVP01_1235200/gseqPVP01_1235200.fasta","gseqPVP01_1235200")</f>
        <v/>
      </c>
      <c r="R43">
        <f>Hyperlink("PVP01_1235200/protPVP01_1235200.fasta","protPVP01_1235200")</f>
        <v/>
      </c>
    </row>
    <row r="44">
      <c r="A44" t="inlineStr">
        <is>
          <t>PVP01_1242500</t>
        </is>
      </c>
      <c r="B44" t="inlineStr">
        <is>
          <t>conserved Plasmodium protein, unknown function</t>
        </is>
      </c>
      <c r="C44" t="n">
        <v>12</v>
      </c>
      <c r="D44" t="inlineStr">
        <is>
          <t>1737170 - 1741176 (-)</t>
        </is>
      </c>
      <c r="E44" t="inlineStr">
        <is>
          <t>A0A1G4H1U0, A0A1G4HH78, A0A565A0Y8, UPI0009095CD0, VUZ97701.1</t>
        </is>
      </c>
      <c r="F44" t="inlineStr">
        <is>
          <t>none</t>
        </is>
      </c>
      <c r="G44" t="inlineStr">
        <is>
          <t>PF3D7_1464300</t>
        </is>
      </c>
      <c r="H44" t="inlineStr">
        <is>
          <t>none</t>
        </is>
      </c>
      <c r="I44" t="inlineStr">
        <is>
          <t>PVX_117250</t>
        </is>
      </c>
      <c r="J44" t="n">
        <v>98331</v>
      </c>
      <c r="K44" t="n">
        <v>845</v>
      </c>
      <c r="L44" t="n">
        <v>0</v>
      </c>
      <c r="M44" t="inlineStr">
        <is>
          <t>no</t>
        </is>
      </c>
      <c r="N44" t="inlineStr">
        <is>
          <t>none</t>
        </is>
      </c>
      <c r="P44">
        <f>Hyperlink("PVP01_1242500/gintPVP01_1242500.fasta","gintPVP01_1242500")</f>
        <v/>
      </c>
      <c r="Q44">
        <f>Hyperlink("PVP01_1242500/gseqPVP01_1242500.fasta","gseqPVP01_1242500")</f>
        <v/>
      </c>
      <c r="R44">
        <f>Hyperlink("PVP01_1242500/protPVP01_1242500.fasta","protPVP01_1242500")</f>
        <v/>
      </c>
    </row>
    <row r="45">
      <c r="A45" t="inlineStr">
        <is>
          <t>PVP01_1245800</t>
        </is>
      </c>
      <c r="B45" t="inlineStr">
        <is>
          <t>conserved Plasmodium protein, unknown function</t>
        </is>
      </c>
      <c r="C45" t="n">
        <v>12</v>
      </c>
      <c r="D45" t="inlineStr">
        <is>
          <t>1882937 - 1885452 (-)</t>
        </is>
      </c>
      <c r="E45" t="inlineStr">
        <is>
          <t>A0A1G4H1W1, A0A1G4HHI0, A0A564ZZ67, UPI00090CCA1B, VUZ97736.1</t>
        </is>
      </c>
      <c r="F45" t="inlineStr">
        <is>
          <t>PBANKA_1324700</t>
        </is>
      </c>
      <c r="G45" t="inlineStr">
        <is>
          <t>PF3D7_1461000</t>
        </is>
      </c>
      <c r="H45" t="inlineStr">
        <is>
          <t>none</t>
        </is>
      </c>
      <c r="I45" t="inlineStr">
        <is>
          <t>PVX_117405</t>
        </is>
      </c>
      <c r="J45" t="n">
        <v>53834</v>
      </c>
      <c r="K45" t="n">
        <v>468</v>
      </c>
      <c r="L45" t="n">
        <v>0</v>
      </c>
      <c r="M45" t="inlineStr">
        <is>
          <t>no</t>
        </is>
      </c>
      <c r="N45" t="inlineStr">
        <is>
          <t>none</t>
        </is>
      </c>
      <c r="O45" t="inlineStr">
        <is>
          <t>DNA damage checkpoint, DNA damage checkpoint, nucleus, DNA repair, host cell nucleus</t>
        </is>
      </c>
      <c r="P45">
        <f>Hyperlink("PVP01_1245800/gintPVP01_1245800.fasta","gintPVP01_1245800")</f>
        <v/>
      </c>
      <c r="Q45">
        <f>Hyperlink("PVP01_1245800/gseqPVP01_1245800.fasta","gseqPVP01_1245800")</f>
        <v/>
      </c>
      <c r="R45">
        <f>Hyperlink("PVP01_1245800/protPVP01_1245800.fasta","protPVP01_1245800")</f>
        <v/>
      </c>
    </row>
    <row r="46">
      <c r="A46" t="inlineStr">
        <is>
          <t>PVP01_1249100</t>
        </is>
      </c>
      <c r="B46" t="inlineStr">
        <is>
          <t>conserved Plasmodium protein, unknown function</t>
        </is>
      </c>
      <c r="C46" t="n">
        <v>12</v>
      </c>
      <c r="D46" t="inlineStr">
        <is>
          <t>1997290 - 2000261 (+)</t>
        </is>
      </c>
      <c r="E46" t="inlineStr">
        <is>
          <t>A0A1G4H269, A0A1G4HHD7, SCO68871.1, UPI000153DF3D, VUZ97770.1, XP_001615809.1</t>
        </is>
      </c>
      <c r="F46" t="inlineStr">
        <is>
          <t>PBANKA_0311700, PBANKA_0519100, PBANKA_0519400, PBANKA_0804500, PBANKA_1002000, PBANKA_1010300, PBANKA_1345800, PBANKA_1350500</t>
        </is>
      </c>
      <c r="G46" t="inlineStr">
        <is>
          <t>PF3D7_1434500</t>
        </is>
      </c>
      <c r="H46" t="inlineStr">
        <is>
          <t>PVP01_0303600, PVP01_0620200, PVP01_0620300, PVP01_0620800, PVP01_0734700, PVP01_0813900, PVP01_0925500, PVP01_0940300, PVP01_1030700, PVP01_1030900, PVP01_1129100, PVP01_1202900, PVP01_1271400, PVP01_1306900, PVP01_1315000, PVP01_1468700</t>
        </is>
      </c>
      <c r="I46" t="inlineStr">
        <is>
          <t>PVX_117575, PVX_001030, PVX_003555, PVX_082480, PVX_083485, PVX_084425, PVX_084810, PVX_091860, PVX_092580, PVX_094905, PVX_097735, PVX_101470, PVX_110940, PVX_110965, PVX_110970, PVX_111410, PVX_114145, PVX_115470</t>
        </is>
      </c>
      <c r="J46" t="n">
        <v>55606</v>
      </c>
      <c r="K46" t="n">
        <v>487</v>
      </c>
      <c r="L46" t="n">
        <v>0</v>
      </c>
      <c r="M46" t="inlineStr">
        <is>
          <t>no</t>
        </is>
      </c>
      <c r="N46" t="inlineStr">
        <is>
          <t>none</t>
        </is>
      </c>
      <c r="P46">
        <f>Hyperlink("PVP01_1249100/gintPVP01_1249100.fasta","gintPVP01_1249100")</f>
        <v/>
      </c>
      <c r="Q46">
        <f>Hyperlink("PVP01_1249100/gseqPVP01_1249100.fasta","gseqPVP01_1249100")</f>
        <v/>
      </c>
      <c r="R46">
        <f>Hyperlink("PVP01_1249100/protPVP01_1249100.fasta","protPVP01_1249100")</f>
        <v/>
      </c>
    </row>
    <row r="47">
      <c r="A47" t="inlineStr">
        <is>
          <t>PVP01_1264300</t>
        </is>
      </c>
      <c r="B47" t="inlineStr">
        <is>
          <t>conserved Plasmodium protein, unknown function</t>
        </is>
      </c>
      <c r="C47" t="n">
        <v>12</v>
      </c>
      <c r="D47" t="inlineStr">
        <is>
          <t>2658193 - 2667378 (-)</t>
        </is>
      </c>
      <c r="E47" t="inlineStr">
        <is>
          <t>A0A1G4H2E8, A0A1G4HHU6, A0A564ZZR4, UPI00090AF8AF, VUZ97928.1</t>
        </is>
      </c>
      <c r="F47" t="inlineStr">
        <is>
          <t>PBANKA_0707700, PBANKA_1010900, PBANKA_1026100, PBANKA_1362100</t>
        </is>
      </c>
      <c r="G47" t="inlineStr">
        <is>
          <t>PF3D7_1349300</t>
        </is>
      </c>
      <c r="H47" t="inlineStr">
        <is>
          <t>PVP01_0009270, PVP01_1205500</t>
        </is>
      </c>
      <c r="I47" t="inlineStr">
        <is>
          <t>PVX_118355, PVX_083360</t>
        </is>
      </c>
      <c r="J47" t="n">
        <v>276755</v>
      </c>
      <c r="K47" t="n">
        <v>2447</v>
      </c>
      <c r="L47" t="n">
        <v>0</v>
      </c>
      <c r="M47" t="inlineStr">
        <is>
          <t>no</t>
        </is>
      </c>
      <c r="N47" t="inlineStr">
        <is>
          <t>none</t>
        </is>
      </c>
      <c r="P47">
        <f>Hyperlink("PVP01_1264300/gintPVP01_1264300.fasta","gintPVP01_1264300")</f>
        <v/>
      </c>
      <c r="Q47">
        <f>Hyperlink("PVP01_1264300/gseqPVP01_1264300.fasta","gseqPVP01_1264300")</f>
        <v/>
      </c>
      <c r="R47">
        <f>Hyperlink("PVP01_1264300/protPVP01_1264300.fasta","protPVP01_1264300")</f>
        <v/>
      </c>
    </row>
    <row r="48">
      <c r="A48" t="inlineStr">
        <is>
          <t>PVP01_1265700</t>
        </is>
      </c>
      <c r="B48" t="inlineStr">
        <is>
          <t>serine/threonine protein kinase, putative</t>
        </is>
      </c>
      <c r="C48" t="n">
        <v>12</v>
      </c>
      <c r="D48" t="inlineStr">
        <is>
          <t>2722835 - 2732722 (-)</t>
        </is>
      </c>
      <c r="E48" t="inlineStr">
        <is>
          <t>A0A1G4H2F5, A0A565A079, UPI00090BA808, VUZ97942.1</t>
        </is>
      </c>
      <c r="F48" t="inlineStr">
        <is>
          <t>PBANKA_1305200</t>
        </is>
      </c>
      <c r="G48" t="inlineStr">
        <is>
          <t>PF3D7_1441300</t>
        </is>
      </c>
      <c r="H48" t="inlineStr">
        <is>
          <t>none</t>
        </is>
      </c>
      <c r="I48" t="inlineStr">
        <is>
          <t>PVX_118425, PVX_087765</t>
        </is>
      </c>
      <c r="J48" t="n">
        <v>272741</v>
      </c>
      <c r="K48" t="n">
        <v>2433</v>
      </c>
      <c r="L48" t="n">
        <v>0</v>
      </c>
      <c r="M48" t="inlineStr">
        <is>
          <t>no</t>
        </is>
      </c>
      <c r="N48" t="inlineStr">
        <is>
          <t>none</t>
        </is>
      </c>
      <c r="O48" t="inlineStr">
        <is>
          <t>protein kinase activity, protein kinase activity, protein serine/threonine kinase activity, ATP binding, ATP binding, protein phosphorylation, protein phosphorylation</t>
        </is>
      </c>
      <c r="P48">
        <f>Hyperlink("PVP01_1265700/gintPVP01_1265700.fasta","gintPVP01_1265700")</f>
        <v/>
      </c>
      <c r="Q48">
        <f>Hyperlink("PVP01_1265700/gseqPVP01_1265700.fasta","gseqPVP01_1265700")</f>
        <v/>
      </c>
      <c r="R48">
        <f>Hyperlink("PVP01_1265700/protPVP01_1265700.fasta","protPVP01_1265700")</f>
        <v/>
      </c>
    </row>
    <row r="49">
      <c r="A49" t="inlineStr">
        <is>
          <t>PVP01_1301900</t>
        </is>
      </c>
      <c r="B49" t="inlineStr">
        <is>
          <t>nuclear export mediator factor NEMF, putative</t>
        </is>
      </c>
      <c r="C49" t="n">
        <v>13</v>
      </c>
      <c r="D49" t="inlineStr">
        <is>
          <t>92303 - 101729 (-)</t>
        </is>
      </c>
      <c r="E49" t="inlineStr">
        <is>
          <t>A0A1G4H2R1, A0A1G4HI60, A0A565A059, UPI00090B07E6, VUZ98080.1</t>
        </is>
      </c>
      <c r="F49" t="inlineStr">
        <is>
          <t>PBANKA_0601600</t>
        </is>
      </c>
      <c r="G49" t="inlineStr">
        <is>
          <t>PF3D7_1202600</t>
        </is>
      </c>
      <c r="H49" t="inlineStr">
        <is>
          <t>none</t>
        </is>
      </c>
      <c r="I49" t="inlineStr">
        <is>
          <t>PVX_084175</t>
        </is>
      </c>
      <c r="J49" t="n">
        <v>225629</v>
      </c>
      <c r="K49" t="n">
        <v>2019</v>
      </c>
      <c r="L49" t="n">
        <v>0</v>
      </c>
      <c r="M49" t="inlineStr">
        <is>
          <t>no</t>
        </is>
      </c>
      <c r="N49" t="inlineStr">
        <is>
          <t>none</t>
        </is>
      </c>
      <c r="O49" t="inlineStr">
        <is>
          <t>nuclear export</t>
        </is>
      </c>
      <c r="P49">
        <f>Hyperlink("PVP01_1301900/gintPVP01_1301900.fasta","gintPVP01_1301900")</f>
        <v/>
      </c>
      <c r="Q49">
        <f>Hyperlink("PVP01_1301900/gseqPVP01_1301900.fasta","gseqPVP01_1301900")</f>
        <v/>
      </c>
      <c r="R49">
        <f>Hyperlink("PVP01_1301900/protPVP01_1301900.fasta","protPVP01_1301900")</f>
        <v/>
      </c>
    </row>
    <row r="50">
      <c r="A50" t="inlineStr">
        <is>
          <t>PVP01_1306300</t>
        </is>
      </c>
      <c r="B50" t="inlineStr">
        <is>
          <t>conserved Plasmodium protein, unknown function</t>
        </is>
      </c>
      <c r="C50" t="n">
        <v>13</v>
      </c>
      <c r="D50" t="inlineStr">
        <is>
          <t>289477 - 297730 (-)</t>
        </is>
      </c>
      <c r="E50" t="inlineStr">
        <is>
          <t>A0A1G4HI96, A0A565A058, UPI000909D2D0, VUZ98124.1</t>
        </is>
      </c>
      <c r="F50" t="inlineStr">
        <is>
          <t>none</t>
        </is>
      </c>
      <c r="G50" t="inlineStr">
        <is>
          <t>none</t>
        </is>
      </c>
      <c r="H50" t="inlineStr">
        <is>
          <t>none</t>
        </is>
      </c>
      <c r="I50" t="inlineStr">
        <is>
          <t>PVX_084395</t>
        </is>
      </c>
      <c r="J50" t="n">
        <v>158985</v>
      </c>
      <c r="K50" t="n">
        <v>1425</v>
      </c>
      <c r="L50" t="n">
        <v>0</v>
      </c>
      <c r="M50" t="inlineStr">
        <is>
          <t>no</t>
        </is>
      </c>
      <c r="N50" t="inlineStr">
        <is>
          <t>none</t>
        </is>
      </c>
      <c r="P50">
        <f>Hyperlink("PVP01_1306300/gintPVP01_1306300.fasta","gintPVP01_1306300")</f>
        <v/>
      </c>
      <c r="Q50">
        <f>Hyperlink("PVP01_1306300/gseqPVP01_1306300.fasta","gseqPVP01_1306300")</f>
        <v/>
      </c>
      <c r="R50">
        <f>Hyperlink("PVP01_1306300/protPVP01_1306300.fasta","protPVP01_1306300")</f>
        <v/>
      </c>
    </row>
    <row r="51">
      <c r="A51" t="inlineStr">
        <is>
          <t>PVP01_1308800</t>
        </is>
      </c>
      <c r="B51" t="inlineStr">
        <is>
          <t>conserved protein, unknown function</t>
        </is>
      </c>
      <c r="C51" t="n">
        <v>13</v>
      </c>
      <c r="D51" t="inlineStr">
        <is>
          <t>406267 - 410893 (+)</t>
        </is>
      </c>
      <c r="E51" t="inlineStr">
        <is>
          <t>A0A1G4H2X1, SCO69198.1, SCO74674.1, UPI000864F7D0, VUZ98149.1</t>
        </is>
      </c>
      <c r="F51" t="inlineStr">
        <is>
          <t>PBANKA_0608100</t>
        </is>
      </c>
      <c r="G51" t="inlineStr">
        <is>
          <t>PF3D7_1209700</t>
        </is>
      </c>
      <c r="H51" t="inlineStr">
        <is>
          <t>none</t>
        </is>
      </c>
      <c r="I51" t="inlineStr">
        <is>
          <t>PVX_084515</t>
        </is>
      </c>
      <c r="J51" t="n">
        <v>26055</v>
      </c>
      <c r="K51" t="n">
        <v>225</v>
      </c>
      <c r="L51" t="n">
        <v>2</v>
      </c>
      <c r="M51" t="inlineStr">
        <is>
          <t>no</t>
        </is>
      </c>
      <c r="N51" t="inlineStr">
        <is>
          <t>none</t>
        </is>
      </c>
      <c r="O51" t="inlineStr">
        <is>
          <t>integral component of membrane</t>
        </is>
      </c>
      <c r="P51">
        <f>Hyperlink("PVP01_1308800/gintPVP01_1308800.fasta","gintPVP01_1308800")</f>
        <v/>
      </c>
      <c r="Q51">
        <f>Hyperlink("PVP01_1308800/gseqPVP01_1308800.fasta","gseqPVP01_1308800")</f>
        <v/>
      </c>
      <c r="R51">
        <f>Hyperlink("PVP01_1308800/protPVP01_1308800.fasta","protPVP01_1308800")</f>
        <v/>
      </c>
    </row>
    <row r="52">
      <c r="A52" t="inlineStr">
        <is>
          <t>PVP01_1315000</t>
        </is>
      </c>
      <c r="B52" t="inlineStr">
        <is>
          <t>dynein-related AAA-type ATPase, putative</t>
        </is>
      </c>
      <c r="C52" t="n">
        <v>13</v>
      </c>
      <c r="D52" t="inlineStr">
        <is>
          <t>674695 - 697046 (+)</t>
        </is>
      </c>
      <c r="E52" t="inlineStr">
        <is>
          <t>A0A1G4H366, A0A1G4HID8, A0A565A2B9, UPI00090ADEC3, VUZ98211.1</t>
        </is>
      </c>
      <c r="F52" t="inlineStr">
        <is>
          <t>PBANKA_1010300, PBANKA_0311700, PBANKA_0519100, PBANKA_0519400, PBANKA_0804500, PBANKA_1002000, PBANKA_1345800, PBANKA_1350500</t>
        </is>
      </c>
      <c r="G52" t="inlineStr">
        <is>
          <t>PF3D7_1434500</t>
        </is>
      </c>
      <c r="H52" t="inlineStr">
        <is>
          <t>PVP01_0303600, PVP01_0620200, PVP01_0620300, PVP01_0620800, PVP01_0734700, PVP01_0813900, PVP01_0925500, PVP01_0940300, PVP01_1030700, PVP01_1030900, PVP01_1129100, PVP01_1202900, PVP01_1271400, PVP01_1306900, PVP01_1468700, PVP01_1249100</t>
        </is>
      </c>
      <c r="I52" t="inlineStr">
        <is>
          <t>PVX_084810, PVX_001030, PVX_003555, PVX_082480, PVX_083485, PVX_084425, PVX_091860, PVX_092580, PVX_094905, PVX_097735, PVX_101470, PVX_110940, PVX_110965, PVX_110970, PVX_111410, PVX_114145, PVX_115470, PVX_117575</t>
        </is>
      </c>
      <c r="J52" t="n">
        <v>828936</v>
      </c>
      <c r="K52" t="n">
        <v>7261</v>
      </c>
      <c r="L52" t="n">
        <v>0</v>
      </c>
      <c r="M52" t="inlineStr">
        <is>
          <t>no</t>
        </is>
      </c>
      <c r="N52" t="inlineStr">
        <is>
          <t>none</t>
        </is>
      </c>
      <c r="O52" t="inlineStr">
        <is>
          <t>ATP binding, ATP binding, nucleus, ATPase activity, ATPase activity</t>
        </is>
      </c>
      <c r="P52">
        <f>Hyperlink("PVP01_1315000/gintPVP01_1315000.fasta","gintPVP01_1315000")</f>
        <v/>
      </c>
      <c r="Q52">
        <f>Hyperlink("PVP01_1315000/gseqPVP01_1315000.fasta","gseqPVP01_1315000")</f>
        <v/>
      </c>
      <c r="R52">
        <f>Hyperlink("PVP01_1315000/protPVP01_1315000.fasta","protPVP01_1315000")</f>
        <v/>
      </c>
    </row>
    <row r="53">
      <c r="A53" t="inlineStr">
        <is>
          <t>PVP01_1316400</t>
        </is>
      </c>
      <c r="B53" t="inlineStr">
        <is>
          <t>HID1 domain-containing protein, putative</t>
        </is>
      </c>
      <c r="C53" t="n">
        <v>13</v>
      </c>
      <c r="D53" t="inlineStr">
        <is>
          <t>775380 - 780728 (-)</t>
        </is>
      </c>
      <c r="E53" t="inlineStr">
        <is>
          <t>A0A1G4H354, A0A565A1E4, UPI000153E2A1, VUZ98225.1, XP_001616644.1</t>
        </is>
      </c>
      <c r="F53" t="inlineStr">
        <is>
          <t>PBANKA_1011800, PBANKA_1040300</t>
        </is>
      </c>
      <c r="G53" t="inlineStr">
        <is>
          <t>PF3D7_1433100</t>
        </is>
      </c>
      <c r="H53" t="inlineStr">
        <is>
          <t>none</t>
        </is>
      </c>
      <c r="I53" t="inlineStr">
        <is>
          <t>PVX_084885</t>
        </is>
      </c>
      <c r="J53" t="n">
        <v>122075</v>
      </c>
      <c r="K53" t="n">
        <v>1059</v>
      </c>
      <c r="L53" t="n">
        <v>0</v>
      </c>
      <c r="M53" t="inlineStr">
        <is>
          <t>no</t>
        </is>
      </c>
      <c r="N53" t="inlineStr">
        <is>
          <t>none</t>
        </is>
      </c>
      <c r="P53">
        <f>Hyperlink("PVP01_1316400/gintPVP01_1316400.fasta","gintPVP01_1316400")</f>
        <v/>
      </c>
      <c r="Q53">
        <f>Hyperlink("PVP01_1316400/gseqPVP01_1316400.fasta","gseqPVP01_1316400")</f>
        <v/>
      </c>
      <c r="R53">
        <f>Hyperlink("PVP01_1316400/protPVP01_1316400.fasta","protPVP01_1316400")</f>
        <v/>
      </c>
    </row>
    <row r="54">
      <c r="A54" t="inlineStr">
        <is>
          <t>PVP01_1329500</t>
        </is>
      </c>
      <c r="B54" t="inlineStr">
        <is>
          <t>conserved Plasmodium protein, unknown function</t>
        </is>
      </c>
      <c r="C54" t="n">
        <v>13</v>
      </c>
      <c r="D54" t="inlineStr">
        <is>
          <t>1246409 - 1253045 (+)</t>
        </is>
      </c>
      <c r="E54" t="inlineStr">
        <is>
          <t>A0A1G4H3G0, A0A1G4HIY2, A0A565A317, UPI00090C147A, VUZ98348.1</t>
        </is>
      </c>
      <c r="F54" t="inlineStr">
        <is>
          <t>none</t>
        </is>
      </c>
      <c r="G54" t="inlineStr">
        <is>
          <t>PF3D7_1419400</t>
        </is>
      </c>
      <c r="H54" t="inlineStr">
        <is>
          <t>none</t>
        </is>
      </c>
      <c r="I54" t="inlineStr">
        <is>
          <t>PVX_085510</t>
        </is>
      </c>
      <c r="J54" t="n">
        <v>231626</v>
      </c>
      <c r="K54" t="n">
        <v>2061</v>
      </c>
      <c r="L54" t="n">
        <v>5</v>
      </c>
      <c r="M54" t="inlineStr">
        <is>
          <t>no</t>
        </is>
      </c>
      <c r="N54" t="inlineStr">
        <is>
          <t>none</t>
        </is>
      </c>
      <c r="O54" t="inlineStr">
        <is>
          <t>integral component of membrane</t>
        </is>
      </c>
      <c r="P54">
        <f>Hyperlink("PVP01_1329500/gintPVP01_1329500.fasta","gintPVP01_1329500")</f>
        <v/>
      </c>
      <c r="Q54">
        <f>Hyperlink("PVP01_1329500/gseqPVP01_1329500.fasta","gseqPVP01_1329500")</f>
        <v/>
      </c>
      <c r="R54">
        <f>Hyperlink("PVP01_1329500/protPVP01_1329500.fasta","protPVP01_1329500")</f>
        <v/>
      </c>
    </row>
    <row r="55">
      <c r="A55" t="inlineStr">
        <is>
          <t>PVP01_1342200</t>
        </is>
      </c>
      <c r="B55" t="inlineStr">
        <is>
          <t>WD repeat-containing protein 65, putative</t>
        </is>
      </c>
      <c r="C55" t="n">
        <v>13</v>
      </c>
      <c r="D55" t="inlineStr">
        <is>
          <t>1852583 - 1857468 (+)</t>
        </is>
      </c>
      <c r="E55" t="inlineStr">
        <is>
          <t>A0A1G4H3V6, A0A1G4HJD3, A0A565A185, UPI00090B8390, VUZ98470.1</t>
        </is>
      </c>
      <c r="F55" t="inlineStr">
        <is>
          <t>PBANKA_1035700, PBANKA_0831600</t>
        </is>
      </c>
      <c r="G55" t="inlineStr">
        <is>
          <t>PF3D7_1406500</t>
        </is>
      </c>
      <c r="H55" t="inlineStr">
        <is>
          <t>none</t>
        </is>
      </c>
      <c r="I55" t="inlineStr">
        <is>
          <t>PVX_086105</t>
        </is>
      </c>
      <c r="J55" t="n">
        <v>166667</v>
      </c>
      <c r="K55" t="n">
        <v>1456</v>
      </c>
      <c r="L55" t="n">
        <v>0</v>
      </c>
      <c r="M55" t="inlineStr">
        <is>
          <t>no</t>
        </is>
      </c>
      <c r="N55" t="inlineStr">
        <is>
          <t>none</t>
        </is>
      </c>
      <c r="O55" t="inlineStr">
        <is>
          <t>protein binding</t>
        </is>
      </c>
      <c r="P55">
        <f>Hyperlink("PVP01_1342200/gintPVP01_1342200.fasta","gintPVP01_1342200")</f>
        <v/>
      </c>
      <c r="Q55">
        <f>Hyperlink("PVP01_1342200/gseqPVP01_1342200.fasta","gseqPVP01_1342200")</f>
        <v/>
      </c>
      <c r="R55">
        <f>Hyperlink("PVP01_1342200/protPVP01_1342200.fasta","protPVP01_1342200")</f>
        <v/>
      </c>
    </row>
    <row r="56">
      <c r="A56" t="inlineStr">
        <is>
          <t>PVP01_1342800</t>
        </is>
      </c>
      <c r="B56" t="inlineStr">
        <is>
          <t>conserved Plasmodium protein, unknown function</t>
        </is>
      </c>
      <c r="C56" t="n">
        <v>13</v>
      </c>
      <c r="D56" t="inlineStr">
        <is>
          <t>1879885 - 1888385 (+)</t>
        </is>
      </c>
      <c r="E56" t="inlineStr">
        <is>
          <t>A0A1G4H3U9, A0A1G4HJB9, A0A565A230, UPI00090A213A, VUZ98476.1</t>
        </is>
      </c>
      <c r="F56" t="inlineStr">
        <is>
          <t>none</t>
        </is>
      </c>
      <c r="G56" t="inlineStr">
        <is>
          <t>none</t>
        </is>
      </c>
      <c r="H56" t="inlineStr">
        <is>
          <t>none</t>
        </is>
      </c>
      <c r="I56" t="inlineStr">
        <is>
          <t>PVX_086135</t>
        </is>
      </c>
      <c r="J56" t="n">
        <v>277444</v>
      </c>
      <c r="K56" t="n">
        <v>2427</v>
      </c>
      <c r="L56" t="n">
        <v>1</v>
      </c>
      <c r="M56" t="inlineStr">
        <is>
          <t>no</t>
        </is>
      </c>
      <c r="N56" t="inlineStr">
        <is>
          <t>none</t>
        </is>
      </c>
      <c r="O56" t="inlineStr">
        <is>
          <t>integral component of membrane</t>
        </is>
      </c>
      <c r="P56">
        <f>Hyperlink("PVP01_1342800/gintPVP01_1342800.fasta","gintPVP01_1342800")</f>
        <v/>
      </c>
      <c r="Q56">
        <f>Hyperlink("PVP01_1342800/gseqPVP01_1342800.fasta","gseqPVP01_1342800")</f>
        <v/>
      </c>
      <c r="R56">
        <f>Hyperlink("PVP01_1342800/protPVP01_1342800.fasta","protPVP01_1342800")</f>
        <v/>
      </c>
    </row>
    <row r="57">
      <c r="A57" t="inlineStr">
        <is>
          <t>PVP01_1403400</t>
        </is>
      </c>
      <c r="B57" t="inlineStr">
        <is>
          <t>AAA domain-containing protein, putative</t>
        </is>
      </c>
      <c r="C57" t="n">
        <v>14</v>
      </c>
      <c r="D57" t="inlineStr">
        <is>
          <t>155461 - 166325 (-)</t>
        </is>
      </c>
      <c r="E57" t="inlineStr">
        <is>
          <t>A0A1G4H425, A0A1G4HJL5, A0A565A2B2, UPI00090AFF1F, VUZ98559.1</t>
        </is>
      </c>
      <c r="F57" t="inlineStr">
        <is>
          <t>PBANKA_1401000, PBANKA_1208600</t>
        </is>
      </c>
      <c r="G57" t="inlineStr">
        <is>
          <t>PF3D7_1302500, PF3D7_1010200</t>
        </is>
      </c>
      <c r="H57" t="inlineStr">
        <is>
          <t>PVP01_0810300</t>
        </is>
      </c>
      <c r="I57" t="inlineStr">
        <is>
          <t>PVX_121965, PVX_094730</t>
        </is>
      </c>
      <c r="J57" t="n">
        <v>307352</v>
      </c>
      <c r="K57" t="n">
        <v>2656</v>
      </c>
      <c r="L57" t="n">
        <v>2</v>
      </c>
      <c r="M57" t="inlineStr">
        <is>
          <t>no</t>
        </is>
      </c>
      <c r="N57" t="inlineStr">
        <is>
          <t>none</t>
        </is>
      </c>
      <c r="O57" t="inlineStr">
        <is>
          <t>helicase activity, integral component of membrane</t>
        </is>
      </c>
      <c r="P57">
        <f>Hyperlink("PVP01_1403400/gintPVP01_1403400.fasta","gintPVP01_1403400")</f>
        <v/>
      </c>
      <c r="Q57">
        <f>Hyperlink("PVP01_1403400/gseqPVP01_1403400.fasta","gseqPVP01_1403400")</f>
        <v/>
      </c>
      <c r="R57">
        <f>Hyperlink("PVP01_1403400/protPVP01_1403400.fasta","protPVP01_1403400")</f>
        <v/>
      </c>
    </row>
    <row r="58">
      <c r="A58" t="inlineStr">
        <is>
          <t>PVP01_1404700</t>
        </is>
      </c>
      <c r="B58" t="inlineStr">
        <is>
          <t>conserved Plasmodium protein, unknown function</t>
        </is>
      </c>
      <c r="C58" t="n">
        <v>14</v>
      </c>
      <c r="D58" t="inlineStr">
        <is>
          <t>215753 - 243560 (-)</t>
        </is>
      </c>
      <c r="E58" t="inlineStr">
        <is>
          <t>A0A1G4H4B5, A0A1G4HJJ1, A0A565A1G9, UPI00090B5DAA, VUZ98572.1</t>
        </is>
      </c>
      <c r="F58" t="inlineStr">
        <is>
          <t>none</t>
        </is>
      </c>
      <c r="G58" t="inlineStr">
        <is>
          <t>PF3D7_1303800</t>
        </is>
      </c>
      <c r="H58" t="inlineStr">
        <is>
          <t>none</t>
        </is>
      </c>
      <c r="I58" t="inlineStr">
        <is>
          <t>PVX_122030</t>
        </is>
      </c>
      <c r="J58" t="n">
        <v>1011351</v>
      </c>
      <c r="K58" t="n">
        <v>8895</v>
      </c>
      <c r="L58" t="n">
        <v>0</v>
      </c>
      <c r="M58" t="inlineStr">
        <is>
          <t>no</t>
        </is>
      </c>
      <c r="N58" t="inlineStr">
        <is>
          <t>none</t>
        </is>
      </c>
      <c r="O58" t="inlineStr">
        <is>
          <t>histone acetyltransferase complex, nucleus, histone acetylation</t>
        </is>
      </c>
      <c r="P58">
        <f>Hyperlink("PVP01_1404700/gintPVP01_1404700.fasta","gintPVP01_1404700")</f>
        <v/>
      </c>
      <c r="Q58">
        <f>Hyperlink("PVP01_1404700/gseqPVP01_1404700.fasta","gseqPVP01_1404700")</f>
        <v/>
      </c>
      <c r="R58">
        <f>Hyperlink("PVP01_1404700/protPVP01_1404700.fasta","protPVP01_1404700")</f>
        <v/>
      </c>
    </row>
    <row r="59">
      <c r="A59" t="inlineStr">
        <is>
          <t>PVP01_1458900</t>
        </is>
      </c>
      <c r="B59" t="inlineStr">
        <is>
          <t>ATP-dependent RNA helicase DBP9, putative</t>
        </is>
      </c>
      <c r="C59" t="n">
        <v>14</v>
      </c>
      <c r="D59" t="inlineStr">
        <is>
          <t>2575026 - 2579165 (-)</t>
        </is>
      </c>
      <c r="E59" t="inlineStr">
        <is>
          <t>A0A1G4H5N7, A0A1G4HLC4, A0A565A305, UPI0006703BEB, VUZ99114.1</t>
        </is>
      </c>
      <c r="F59" t="inlineStr">
        <is>
          <t>PBANKA_1455200</t>
        </is>
      </c>
      <c r="G59" t="inlineStr">
        <is>
          <t>PF3D7_1241800</t>
        </is>
      </c>
      <c r="H59" t="inlineStr">
        <is>
          <t>none</t>
        </is>
      </c>
      <c r="I59" t="inlineStr">
        <is>
          <t>PVX_100990</t>
        </is>
      </c>
      <c r="J59" t="n">
        <v>96379</v>
      </c>
      <c r="K59" t="n">
        <v>847</v>
      </c>
      <c r="L59" t="n">
        <v>0</v>
      </c>
      <c r="M59" t="inlineStr">
        <is>
          <t>no</t>
        </is>
      </c>
      <c r="N59" t="inlineStr">
        <is>
          <t>none</t>
        </is>
      </c>
      <c r="O59" t="inlineStr">
        <is>
          <t>nucleic acid binding, nucleic acid binding, RNA helicase activity, helicase activity, ATP binding, ATP binding</t>
        </is>
      </c>
      <c r="P59">
        <f>Hyperlink("PVP01_1458900/gintPVP01_1458900.fasta","gintPVP01_1458900")</f>
        <v/>
      </c>
      <c r="Q59">
        <f>Hyperlink("PVP01_1458900/gseqPVP01_1458900.fasta","gseqPVP01_1458900")</f>
        <v/>
      </c>
      <c r="R59">
        <f>Hyperlink("PVP01_1458900/protPVP01_1458900.fasta","protPVP01_1458900")</f>
        <v/>
      </c>
    </row>
    <row r="60">
      <c r="A60" t="inlineStr">
        <is>
          <t>PVP01_1469400</t>
        </is>
      </c>
      <c r="B60" t="inlineStr">
        <is>
          <t>reticulocyte binding protein 3, pseudogene</t>
        </is>
      </c>
      <c r="C60" t="n">
        <v>14</v>
      </c>
      <c r="D60" t="inlineStr">
        <is>
          <t>2953188 - 2961889 (+)</t>
        </is>
      </c>
      <c r="F60" t="inlineStr">
        <is>
          <t>none</t>
        </is>
      </c>
      <c r="G60" t="inlineStr">
        <is>
          <t>none</t>
        </is>
      </c>
      <c r="H60" t="inlineStr">
        <is>
          <t>none</t>
        </is>
      </c>
      <c r="I60" t="inlineStr">
        <is>
          <t>none</t>
        </is>
      </c>
      <c r="J60" t="n">
        <v>250297</v>
      </c>
      <c r="K60" t="n">
        <v>2163</v>
      </c>
      <c r="L60" t="n">
        <v>0</v>
      </c>
      <c r="M60" t="inlineStr">
        <is>
          <t>no</t>
        </is>
      </c>
      <c r="N60" t="inlineStr">
        <is>
          <t>none</t>
        </is>
      </c>
      <c r="P60">
        <f>Hyperlink("PVP01_1469400/gintPVP01_1469400.fasta","gintPVP01_1469400")</f>
        <v/>
      </c>
      <c r="Q60">
        <f>Hyperlink("PVP01_1469400/gseqPVP01_1469400.fasta","gseqPVP01_1469400")</f>
        <v/>
      </c>
      <c r="R60">
        <f>Hyperlink("PVP01_1469400/protPVP01_1469400.fasta","protPVP01_1469400")</f>
        <v/>
      </c>
    </row>
    <row r="61">
      <c r="A61" t="inlineStr">
        <is>
          <t>PVP01_1471400</t>
        </is>
      </c>
      <c r="B61" t="inlineStr">
        <is>
          <t>reticulocyte binding protein 2, pseudogene</t>
        </is>
      </c>
      <c r="C61" t="n">
        <v>14</v>
      </c>
      <c r="D61" t="inlineStr">
        <is>
          <t>3059672 - 3067751 (-)</t>
        </is>
      </c>
      <c r="F61" t="inlineStr">
        <is>
          <t>none</t>
        </is>
      </c>
      <c r="G61" t="inlineStr">
        <is>
          <t>none</t>
        </is>
      </c>
      <c r="H61" t="inlineStr">
        <is>
          <t>none</t>
        </is>
      </c>
      <c r="I61" t="inlineStr">
        <is>
          <t>none</t>
        </is>
      </c>
      <c r="J61" t="n">
        <v>781</v>
      </c>
      <c r="K61" t="n">
        <v>6</v>
      </c>
      <c r="L61" t="n">
        <v>0</v>
      </c>
      <c r="M61" t="inlineStr">
        <is>
          <t>no</t>
        </is>
      </c>
      <c r="N61" t="inlineStr">
        <is>
          <t>none</t>
        </is>
      </c>
      <c r="P61">
        <f>Hyperlink("PVP01_1471400/gintPVP01_1471400.fasta","gintPVP01_1471400")</f>
        <v/>
      </c>
      <c r="Q61">
        <f>Hyperlink("PVP01_1471400/gseqPVP01_1471400.fasta","gseqPVP01_1471400")</f>
        <v/>
      </c>
      <c r="R61">
        <f>Hyperlink("PVP01_1471400/protPVP01_1471400.fasta","protPVP01_1471400")</f>
        <v/>
      </c>
    </row>
    <row r="62">
      <c r="A62" t="inlineStr">
        <is>
          <t>PVX_080660</t>
        </is>
      </c>
      <c r="B62" t="inlineStr">
        <is>
          <t>RNA pseudouridylate synthase, putative</t>
        </is>
      </c>
      <c r="C62" t="n">
        <v>10</v>
      </c>
      <c r="D62" t="inlineStr">
        <is>
          <t>829185 - 863703 (-)</t>
        </is>
      </c>
      <c r="E62" t="inlineStr">
        <is>
          <t>A0A564ZY37, Pv080660</t>
        </is>
      </c>
      <c r="F62" t="inlineStr">
        <is>
          <t>none</t>
        </is>
      </c>
      <c r="G62" t="inlineStr">
        <is>
          <t>PF3D7_0511500</t>
        </is>
      </c>
      <c r="H62" t="inlineStr">
        <is>
          <t>PVP01_1022500</t>
        </is>
      </c>
      <c r="I62" t="inlineStr">
        <is>
          <t>none</t>
        </is>
      </c>
      <c r="J62" t="n">
        <v>1272375</v>
      </c>
      <c r="K62" t="n">
        <v>11448</v>
      </c>
      <c r="L62" t="n">
        <v>0</v>
      </c>
      <c r="M62" t="inlineStr">
        <is>
          <t>no</t>
        </is>
      </c>
      <c r="N62" t="inlineStr">
        <is>
          <t>none</t>
        </is>
      </c>
      <c r="O62" t="inlineStr">
        <is>
          <t>pseudouridine synthesis, pseudouridine synthesis, RNA binding, RNA binding, calcium ion binding, protein binding, RNA processing, cell adhesion, RNA modification, pseudouridine synthase activity, pseudouridine synthase activity</t>
        </is>
      </c>
      <c r="P62">
        <f>Hyperlink("PVX_080660/gintPVX_080660.fasta","gintPVX_080660")</f>
        <v/>
      </c>
      <c r="Q62">
        <f>Hyperlink("PVX_080660/gseqPVX_080660.fasta","gseqPVX_080660")</f>
        <v/>
      </c>
      <c r="R62">
        <f>Hyperlink("PVX_080660/protPVX_080660.fasta","protPVX_080660")</f>
        <v/>
      </c>
    </row>
    <row r="63">
      <c r="A63" t="inlineStr">
        <is>
          <t>PVX_084810</t>
        </is>
      </c>
      <c r="B63" t="inlineStr">
        <is>
          <t>dynein-related AAA-type ATPase, putative</t>
        </is>
      </c>
      <c r="C63" t="n">
        <v>13</v>
      </c>
      <c r="D63" t="inlineStr">
        <is>
          <t>651512 - 673492 (+)</t>
        </is>
      </c>
      <c r="E63" t="inlineStr">
        <is>
          <t>A0A1G4H366, A0A1G4HID8, A0A565A2B9, A5K0Q5, EDL46902.1, UPI0001545217, XP_001616629.1, Pv084810</t>
        </is>
      </c>
      <c r="F63" t="inlineStr">
        <is>
          <t>PBANKA_1010300, PBANKA_0311700, PBANKA_0519100, PBANKA_0519400, PBANKA_0804500, PBANKA_1002000, PBANKA_1345800, PBANKA_1350500</t>
        </is>
      </c>
      <c r="G63" t="inlineStr">
        <is>
          <t>PF3D7_1434500</t>
        </is>
      </c>
      <c r="H63" t="inlineStr">
        <is>
          <t>PVP01_1315000, PVP01_0303600, PVP01_0620200, PVP01_0620300, PVP01_0620800, PVP01_0734700, PVP01_0813900, PVP01_0925500, PVP01_0940300, PVP01_1030700, PVP01_1030900, PVP01_1129100, PVP01_1202900, PVP01_1249100, PVP01_1271400, PVP01_1306900, PVP01_1468700</t>
        </is>
      </c>
      <c r="I63" t="inlineStr">
        <is>
          <t>PVX_001030, PVX_003555, PVX_082480, PVX_083485, PVX_084425, PVX_091860, PVX_092580, PVX_094905, PVX_097735, PVX_101470, PVX_110940, PVX_110965, PVX_110970, PVX_111410, PVX_114145, PVX_115470, PVX_117575</t>
        </is>
      </c>
      <c r="J63" t="n">
        <v>835731</v>
      </c>
      <c r="K63" t="n">
        <v>7326</v>
      </c>
      <c r="L63" t="n">
        <v>0</v>
      </c>
      <c r="M63" t="inlineStr">
        <is>
          <t>no</t>
        </is>
      </c>
      <c r="N63" t="inlineStr">
        <is>
          <t>none</t>
        </is>
      </c>
      <c r="O63" t="inlineStr">
        <is>
          <t>calcium ion binding, ATP binding, ATP binding, nucleus, cell adhesion, membrane, ATPase activity, ATPase activity</t>
        </is>
      </c>
      <c r="P63">
        <f>Hyperlink("PVX_084810/gintPVX_084810.fasta","gintPVX_084810")</f>
        <v/>
      </c>
      <c r="Q63">
        <f>Hyperlink("PVX_084810/gseqPVX_084810.fasta","gseqPVX_084810")</f>
        <v/>
      </c>
      <c r="R63">
        <f>Hyperlink("PVX_084810/protPVX_084810.fasta","protPVX_084810")</f>
        <v/>
      </c>
    </row>
    <row r="64">
      <c r="A64" t="inlineStr">
        <is>
          <t>PVX_114585</t>
        </is>
      </c>
      <c r="B64" t="inlineStr">
        <is>
          <t>SET domain containing protein</t>
        </is>
      </c>
      <c r="C64" t="n">
        <v>11</v>
      </c>
      <c r="D64" t="inlineStr">
        <is>
          <t>795907 - 816553 (-)</t>
        </is>
      </c>
      <c r="E64" t="inlineStr">
        <is>
          <t>A0A1G4GZT6, A0A1G4HF52, A0A564ZX47, A5K2C8, EDL46578.1, UPI000154521F, XP_001616305.1, Pv114585</t>
        </is>
      </c>
      <c r="F64" t="inlineStr">
        <is>
          <t>none</t>
        </is>
      </c>
      <c r="G64" t="inlineStr">
        <is>
          <t>PF3D7_0629700</t>
        </is>
      </c>
      <c r="H64" t="inlineStr">
        <is>
          <t>PVP01_1119800</t>
        </is>
      </c>
      <c r="I64" t="inlineStr">
        <is>
          <t>none</t>
        </is>
      </c>
      <c r="J64" t="n">
        <v>742079</v>
      </c>
      <c r="K64" t="n">
        <v>6587</v>
      </c>
      <c r="L64" t="n">
        <v>0</v>
      </c>
      <c r="M64" t="inlineStr">
        <is>
          <t>no</t>
        </is>
      </c>
      <c r="N64" t="inlineStr">
        <is>
          <t>none</t>
        </is>
      </c>
      <c r="O64" t="inlineStr">
        <is>
          <t>DNA binding, protein binding, regulation of transcription, DNA-templated, methyltransferase activity, zinc ion binding, protein domain specific binding, methylation, metal ion binding</t>
        </is>
      </c>
      <c r="P64">
        <f>Hyperlink("PVX_114585/gintPVX_114585.fasta","gintPVX_114585")</f>
        <v/>
      </c>
      <c r="Q64">
        <f>Hyperlink("PVX_114585/gseqPVX_114585.fasta","gseqPVX_114585")</f>
        <v/>
      </c>
      <c r="R64">
        <f>Hyperlink("PVX_114585/protPVX_114585.fasta","protPVX_114585")</f>
        <v/>
      </c>
    </row>
    <row r="65">
      <c r="A65" t="inlineStr">
        <is>
          <t>PVX_122030</t>
        </is>
      </c>
      <c r="B65" t="inlineStr">
        <is>
          <t>hypothetical protein, conserved</t>
        </is>
      </c>
      <c r="C65" t="n">
        <v>14</v>
      </c>
      <c r="D65" t="inlineStr">
        <is>
          <t>202997 - 229693 (-)</t>
        </is>
      </c>
      <c r="E65" t="inlineStr">
        <is>
          <t>A0A1G4H4B5, A0A1G4HJJ1, A0A565A1G9, Pv122030</t>
        </is>
      </c>
      <c r="F65" t="inlineStr">
        <is>
          <t>none</t>
        </is>
      </c>
      <c r="G65" t="inlineStr">
        <is>
          <t>PF3D7_1303800</t>
        </is>
      </c>
      <c r="H65" t="inlineStr">
        <is>
          <t>PVP01_1404700</t>
        </is>
      </c>
      <c r="I65" t="inlineStr">
        <is>
          <t>none</t>
        </is>
      </c>
      <c r="J65" t="n">
        <v>1011337</v>
      </c>
      <c r="K65" t="n">
        <v>8898</v>
      </c>
      <c r="L65" t="n">
        <v>0</v>
      </c>
      <c r="M65" t="inlineStr">
        <is>
          <t>no</t>
        </is>
      </c>
      <c r="N65" t="inlineStr">
        <is>
          <t>none</t>
        </is>
      </c>
      <c r="O65" t="inlineStr">
        <is>
          <t>histone acetyltransferase complex, nucleus, histone acetylation, transferase activity, transferring phosphorus-containing groups</t>
        </is>
      </c>
      <c r="P65">
        <f>Hyperlink("PVX_122030/gintPVX_122030.fasta","gintPVX_122030")</f>
        <v/>
      </c>
      <c r="Q65">
        <f>Hyperlink("PVX_122030/gseqPVX_122030.fasta","gseqPVX_122030")</f>
        <v/>
      </c>
      <c r="R65">
        <f>Hyperlink("PVX_122030/protPVX_122030.fasta","protPVX_122030")</f>
        <v/>
      </c>
    </row>
    <row r="66">
      <c r="A66" t="inlineStr">
        <is>
          <t>PVX_087715</t>
        </is>
      </c>
      <c r="B66" t="inlineStr">
        <is>
          <t>hypothetical protein, conserved</t>
        </is>
      </c>
      <c r="C66" t="n">
        <v>1</v>
      </c>
      <c r="D66" t="inlineStr">
        <is>
          <t>56108 - 63097 (+)</t>
        </is>
      </c>
      <c r="E66" t="inlineStr">
        <is>
          <t>A0A1G4GQP9, A0A564ZN08, Pv087715</t>
        </is>
      </c>
      <c r="F66" t="inlineStr">
        <is>
          <t>PBANKA_0801200</t>
        </is>
      </c>
      <c r="G66" t="inlineStr">
        <is>
          <t>PF3D7_0703500</t>
        </is>
      </c>
      <c r="H66" t="inlineStr">
        <is>
          <t>PVP01_0103700</t>
        </is>
      </c>
      <c r="I66" t="inlineStr">
        <is>
          <t>none</t>
        </is>
      </c>
      <c r="J66" t="n">
        <v>257101</v>
      </c>
      <c r="K66" t="n">
        <v>2329</v>
      </c>
      <c r="L66" t="n">
        <v>0</v>
      </c>
      <c r="M66" t="inlineStr">
        <is>
          <t>no</t>
        </is>
      </c>
      <c r="N66" t="inlineStr">
        <is>
          <t>none</t>
        </is>
      </c>
      <c r="O66" t="inlineStr">
        <is>
          <t>helicase activity, membrane</t>
        </is>
      </c>
      <c r="P66">
        <f>Hyperlink("PVX_087715/gintPVX_087715.fasta","gintPVX_087715")</f>
        <v/>
      </c>
      <c r="Q66">
        <f>Hyperlink("PVX_087715/gseqPVX_087715.fasta","gseqPVX_087715")</f>
        <v/>
      </c>
      <c r="R66">
        <f>Hyperlink("PVX_087715/protPVX_087715.fasta","protPVX_087715")</f>
        <v/>
      </c>
    </row>
    <row r="67">
      <c r="A67" t="inlineStr">
        <is>
          <t>PVX_118355</t>
        </is>
      </c>
      <c r="B67" t="inlineStr">
        <is>
          <t>hypothetical protein</t>
        </is>
      </c>
      <c r="C67" t="n">
        <v>12</v>
      </c>
      <c r="D67" t="inlineStr">
        <is>
          <t>2630027 - 2637586 (-)</t>
        </is>
      </c>
      <c r="E67" t="inlineStr">
        <is>
          <t>A0A1G4H2E8, A0A1G4HHU6, A0A564ZZR4, A5K3Y3, EDL46237.1, UPI000153E0E4, XP_001615964.1, Pv118355</t>
        </is>
      </c>
      <c r="F67" t="inlineStr">
        <is>
          <t>PBANKA_0707700, PBANKA_1010900, PBANKA_1026100, PBANKA_1362100</t>
        </is>
      </c>
      <c r="G67" t="inlineStr">
        <is>
          <t>PF3D7_1349300</t>
        </is>
      </c>
      <c r="H67" t="inlineStr">
        <is>
          <t>PVP01_1264300, PVP01_0009270, PVP01_1205500</t>
        </is>
      </c>
      <c r="I67" t="inlineStr">
        <is>
          <t>PVX_083360</t>
        </is>
      </c>
      <c r="J67" t="n">
        <v>277606</v>
      </c>
      <c r="K67" t="n">
        <v>2453</v>
      </c>
      <c r="L67" t="n">
        <v>0</v>
      </c>
      <c r="M67" t="inlineStr">
        <is>
          <t>no</t>
        </is>
      </c>
      <c r="N67" t="inlineStr">
        <is>
          <t>none</t>
        </is>
      </c>
      <c r="P67">
        <f>Hyperlink("PVX_118355/gintPVX_118355.fasta","gintPVX_118355")</f>
        <v/>
      </c>
      <c r="Q67">
        <f>Hyperlink("PVX_118355/gseqPVX_118355.fasta","gseqPVX_118355")</f>
        <v/>
      </c>
      <c r="R67">
        <f>Hyperlink("PVX_118355/protPVX_118355.fasta","protPVX_118355")</f>
        <v/>
      </c>
    </row>
    <row r="68">
      <c r="A68" t="inlineStr">
        <is>
          <t>PVX_121965</t>
        </is>
      </c>
      <c r="B68" t="inlineStr">
        <is>
          <t>hypothetical protein, conserved</t>
        </is>
      </c>
      <c r="C68" t="n">
        <v>14</v>
      </c>
      <c r="D68" t="inlineStr">
        <is>
          <t>143835 - 152406 (-)</t>
        </is>
      </c>
      <c r="E68" t="inlineStr">
        <is>
          <t>A0A1G4H425, A0A1G4HJL5, A0A565A2B2, Pv121965</t>
        </is>
      </c>
      <c r="F68" t="inlineStr">
        <is>
          <t>PBANKA_1401000, PBANKA_1208600</t>
        </is>
      </c>
      <c r="G68" t="inlineStr">
        <is>
          <t>PF3D7_1302500, PF3D7_1010200</t>
        </is>
      </c>
      <c r="H68" t="inlineStr">
        <is>
          <t>PVP01_1403400, PVP01_0810300</t>
        </is>
      </c>
      <c r="I68" t="inlineStr">
        <is>
          <t>PVX_094730</t>
        </is>
      </c>
      <c r="J68" t="n">
        <v>307331</v>
      </c>
      <c r="K68" t="n">
        <v>2656</v>
      </c>
      <c r="L68" t="n">
        <v>2</v>
      </c>
      <c r="M68" t="inlineStr">
        <is>
          <t>no</t>
        </is>
      </c>
      <c r="N68" t="inlineStr">
        <is>
          <t>none</t>
        </is>
      </c>
      <c r="O68" t="inlineStr">
        <is>
          <t>helicase activity</t>
        </is>
      </c>
      <c r="P68">
        <f>Hyperlink("PVX_121965/gintPVX_121965.fasta","gintPVX_121965")</f>
        <v/>
      </c>
      <c r="Q68">
        <f>Hyperlink("PVX_121965/gseqPVX_121965.fasta","gseqPVX_121965")</f>
        <v/>
      </c>
      <c r="R68">
        <f>Hyperlink("PVX_121965/protPVX_121965.fasta","protPVX_121965")</f>
        <v/>
      </c>
    </row>
    <row r="69">
      <c r="A69" t="inlineStr">
        <is>
          <t>PVX_122480</t>
        </is>
      </c>
      <c r="B69" t="inlineStr">
        <is>
          <t>hypothetical protein, conserved</t>
        </is>
      </c>
      <c r="C69" t="n">
        <v>14</v>
      </c>
      <c r="D69" t="inlineStr">
        <is>
          <t>607441 - 616092 (+)</t>
        </is>
      </c>
      <c r="E69" t="inlineStr">
        <is>
          <t>A0A1G4H4C6, A0A1G4HK34, A0A565A295, Pv122480</t>
        </is>
      </c>
      <c r="F69" t="inlineStr">
        <is>
          <t>none</t>
        </is>
      </c>
      <c r="G69" t="inlineStr">
        <is>
          <t>PF3D7_1313100</t>
        </is>
      </c>
      <c r="H69" t="inlineStr">
        <is>
          <t>PVP01_1414000</t>
        </is>
      </c>
      <c r="I69" t="inlineStr">
        <is>
          <t>none</t>
        </is>
      </c>
      <c r="J69" t="n">
        <v>312600</v>
      </c>
      <c r="K69" t="n">
        <v>2785</v>
      </c>
      <c r="L69" t="n">
        <v>0</v>
      </c>
      <c r="M69" t="inlineStr">
        <is>
          <t>no</t>
        </is>
      </c>
      <c r="N69" t="inlineStr">
        <is>
          <t>none</t>
        </is>
      </c>
      <c r="P69">
        <f>Hyperlink("PVX_122480/gintPVX_122480.fasta","gintPVX_122480")</f>
        <v/>
      </c>
      <c r="Q69">
        <f>Hyperlink("PVX_122480/gseqPVX_122480.fasta","gseqPVX_122480")</f>
        <v/>
      </c>
      <c r="R69">
        <f>Hyperlink("PVX_122480/protPVX_122480.fasta","protPVX_122480")</f>
        <v/>
      </c>
    </row>
    <row r="70">
      <c r="A70" t="inlineStr">
        <is>
          <t>PVX_114510</t>
        </is>
      </c>
      <c r="B70" t="inlineStr">
        <is>
          <t>hypothetical protein, conserved</t>
        </is>
      </c>
      <c r="C70" t="n">
        <v>11</v>
      </c>
      <c r="D70" t="inlineStr">
        <is>
          <t>886303 - 914394 (+)</t>
        </is>
      </c>
      <c r="E70" t="inlineStr">
        <is>
          <t>A0A1G4GZY1, A0A1G4HF97, A0A564ZX70, A5K2B3, EDL46563.1, UPI000154521E, XP_001616290.1, Pv114510</t>
        </is>
      </c>
      <c r="F70" t="inlineStr">
        <is>
          <t>PBANKA_1126800</t>
        </is>
      </c>
      <c r="G70" t="inlineStr">
        <is>
          <t>PF3D7_0628100</t>
        </is>
      </c>
      <c r="H70" t="inlineStr">
        <is>
          <t>PVP01_1121400</t>
        </is>
      </c>
      <c r="I70" t="inlineStr">
        <is>
          <t>none</t>
        </is>
      </c>
      <c r="J70" t="n">
        <v>1064130</v>
      </c>
      <c r="K70" t="n">
        <v>9363</v>
      </c>
      <c r="L70" t="n">
        <v>0</v>
      </c>
      <c r="M70" t="inlineStr">
        <is>
          <t>no</t>
        </is>
      </c>
      <c r="N70" t="inlineStr">
        <is>
          <t>none</t>
        </is>
      </c>
      <c r="O70" t="inlineStr">
        <is>
          <t>ubiquitin-protein transferase activity, ubiquitin-protein transferase activity, calcium ion binding, protein binding, intracellular anatomical structure, obsolete ubiquitin cycle, cell adhesion</t>
        </is>
      </c>
      <c r="P70">
        <f>Hyperlink("PVX_114510/gintPVX_114510.fasta","gintPVX_114510")</f>
        <v/>
      </c>
      <c r="Q70">
        <f>Hyperlink("PVX_114510/gseqPVX_114510.fasta","gseqPVX_114510")</f>
        <v/>
      </c>
      <c r="R70">
        <f>Hyperlink("PVX_114510/protPVX_114510.fasta","protPVX_114510")</f>
        <v/>
      </c>
    </row>
    <row r="71">
      <c r="A71" t="inlineStr">
        <is>
          <t>PVX_079710</t>
        </is>
      </c>
      <c r="B71" t="inlineStr">
        <is>
          <t>hypothetical protein, conserved</t>
        </is>
      </c>
      <c r="C71" t="n">
        <v>10</v>
      </c>
      <c r="D71" t="inlineStr">
        <is>
          <t>26276 - 34081 (+)</t>
        </is>
      </c>
      <c r="E71" t="inlineStr">
        <is>
          <t>A0A1G4GYD8, A0A1G4HDP6, A0A564ZXU4, A5K951, EDL43923.1, UPI000153E8C4, XP_001613650.1, Pv079710</t>
        </is>
      </c>
      <c r="F71" t="inlineStr">
        <is>
          <t>PBANKA_1245500</t>
        </is>
      </c>
      <c r="G71" t="inlineStr">
        <is>
          <t>none</t>
        </is>
      </c>
      <c r="H71" t="inlineStr">
        <is>
          <t>PVP01_1002700</t>
        </is>
      </c>
      <c r="I71" t="inlineStr">
        <is>
          <t>none</t>
        </is>
      </c>
      <c r="J71" t="n">
        <v>301182</v>
      </c>
      <c r="K71" t="n">
        <v>2601</v>
      </c>
      <c r="L71" t="n">
        <v>0</v>
      </c>
      <c r="M71" t="inlineStr">
        <is>
          <t>no</t>
        </is>
      </c>
      <c r="N71" t="inlineStr">
        <is>
          <t>none</t>
        </is>
      </c>
      <c r="P71">
        <f>Hyperlink("PVX_079710/gintPVX_079710.fasta","gintPVX_079710")</f>
        <v/>
      </c>
      <c r="Q71">
        <f>Hyperlink("PVX_079710/gseqPVX_079710.fasta","gseqPVX_079710")</f>
        <v/>
      </c>
      <c r="R71">
        <f>Hyperlink("PVX_079710/protPVX_079710.fasta","protPVX_079710")</f>
        <v/>
      </c>
    </row>
    <row r="72">
      <c r="A72" t="inlineStr">
        <is>
          <t>PVX_085510</t>
        </is>
      </c>
      <c r="B72" t="inlineStr">
        <is>
          <t>hypothetical protein, conserved</t>
        </is>
      </c>
      <c r="C72" t="n">
        <v>13</v>
      </c>
      <c r="D72" t="inlineStr">
        <is>
          <t>1225139 - 1231835 (+)</t>
        </is>
      </c>
      <c r="E72" t="inlineStr">
        <is>
          <t>A0A1G4H3G0, A0A1G4HIY2, A0A565A317, A5K141, EDL47038.1, UPI000153E16C, XP_001616765.1, Pv085510</t>
        </is>
      </c>
      <c r="F72" t="inlineStr">
        <is>
          <t>none</t>
        </is>
      </c>
      <c r="G72" t="inlineStr">
        <is>
          <t>PF3D7_1419400</t>
        </is>
      </c>
      <c r="H72" t="inlineStr">
        <is>
          <t>PVP01_1329500</t>
        </is>
      </c>
      <c r="I72" t="inlineStr">
        <is>
          <t>none</t>
        </is>
      </c>
      <c r="J72" t="n">
        <v>232949</v>
      </c>
      <c r="K72" t="n">
        <v>2081</v>
      </c>
      <c r="L72" t="n">
        <v>5</v>
      </c>
      <c r="M72" t="inlineStr">
        <is>
          <t>no</t>
        </is>
      </c>
      <c r="N72" t="inlineStr">
        <is>
          <t>none</t>
        </is>
      </c>
      <c r="O72" t="inlineStr">
        <is>
          <t>membrane, integral component of membrane</t>
        </is>
      </c>
      <c r="P72">
        <f>Hyperlink("PVX_085510/gintPVX_085510.fasta","gintPVX_085510")</f>
        <v/>
      </c>
      <c r="Q72">
        <f>Hyperlink("PVX_085510/gseqPVX_085510.fasta","gseqPVX_085510")</f>
        <v/>
      </c>
      <c r="R72">
        <f>Hyperlink("PVX_085510/protPVX_085510.fasta","protPVX_085510")</f>
        <v/>
      </c>
    </row>
    <row r="73">
      <c r="A73" t="inlineStr">
        <is>
          <t>PVX_099150</t>
        </is>
      </c>
      <c r="B73" t="inlineStr">
        <is>
          <t>hypothetical protein, conserved</t>
        </is>
      </c>
      <c r="C73" t="n">
        <v>7</v>
      </c>
      <c r="D73" t="inlineStr">
        <is>
          <t>547661 - 553079 (-)</t>
        </is>
      </c>
      <c r="E73" t="inlineStr">
        <is>
          <t>A0A1G4GV52, A0A1G4HAF9, A0A564ZT69, A5K6L2, EDL44953.1, UPI000153EAE0, XP_001614680.1, Pv099150</t>
        </is>
      </c>
      <c r="F73" t="inlineStr">
        <is>
          <t>none</t>
        </is>
      </c>
      <c r="G73" t="inlineStr">
        <is>
          <t>none</t>
        </is>
      </c>
      <c r="H73" t="inlineStr">
        <is>
          <t>PVP01_0712900</t>
        </is>
      </c>
      <c r="I73" t="inlineStr">
        <is>
          <t>none</t>
        </is>
      </c>
      <c r="J73" t="n">
        <v>191936</v>
      </c>
      <c r="K73" t="n">
        <v>1743</v>
      </c>
      <c r="L73" t="n">
        <v>0</v>
      </c>
      <c r="M73" t="inlineStr">
        <is>
          <t>no</t>
        </is>
      </c>
      <c r="N73" t="inlineStr">
        <is>
          <t>none</t>
        </is>
      </c>
      <c r="P73">
        <f>Hyperlink("PVX_099150/gintPVX_099150.fasta","gintPVX_099150")</f>
        <v/>
      </c>
      <c r="Q73">
        <f>Hyperlink("PVX_099150/gseqPVX_099150.fasta","gseqPVX_099150")</f>
        <v/>
      </c>
      <c r="R73">
        <f>Hyperlink("PVX_099150/protPVX_099150.fasta","protPVX_099150")</f>
        <v/>
      </c>
    </row>
    <row r="74">
      <c r="A74" t="inlineStr">
        <is>
          <t>PVX_095015</t>
        </is>
      </c>
      <c r="B74" t="inlineStr">
        <is>
          <t>enolase, putative</t>
        </is>
      </c>
      <c r="C74" t="n">
        <v>8</v>
      </c>
      <c r="D74" t="inlineStr">
        <is>
          <t>734310 - 736549 (+)</t>
        </is>
      </c>
      <c r="E74" t="inlineStr">
        <is>
          <t>00010+4.2.1.11, 00680+4.2.1.11, A0A1G4GWA8, A5K7I5, D7RBE8, D7RBG2, D7RBJ0, D7RBJ5, D7RBM5, D7RBP7, EDL44744.1, UPI000153EAF4, XP_001614471.1, Pv095015</t>
        </is>
      </c>
      <c r="F74" t="inlineStr">
        <is>
          <t>PBANKA_1214300</t>
        </is>
      </c>
      <c r="G74" t="inlineStr">
        <is>
          <t>PF3D7_1015900</t>
        </is>
      </c>
      <c r="H74" t="inlineStr">
        <is>
          <t>PVP01_0816000</t>
        </is>
      </c>
      <c r="I74" t="inlineStr">
        <is>
          <t>none</t>
        </is>
      </c>
      <c r="J74" t="n">
        <v>48817</v>
      </c>
      <c r="K74" t="n">
        <v>446</v>
      </c>
      <c r="L74" t="n">
        <v>0</v>
      </c>
      <c r="M74" t="inlineStr">
        <is>
          <t>no</t>
        </is>
      </c>
      <c r="N74" t="inlineStr">
        <is>
          <t>none</t>
        </is>
      </c>
      <c r="O74" t="inlineStr">
        <is>
          <t>phosphopyruvate hydratase complex, phosphopyruvate hydratase complex, magnesium ion binding, magnesium ion binding, phosphopyruvate hydratase activity, phosphopyruvate hydratase activity, gluconeogenesis, glycolytic process, glycolytic process</t>
        </is>
      </c>
      <c r="P74">
        <f>Hyperlink("PVX_095015/gintPVX_095015.fasta","gintPVX_095015")</f>
        <v/>
      </c>
      <c r="Q74">
        <f>Hyperlink("PVX_095015/gseqPVX_095015.fasta","gseqPVX_095015")</f>
        <v/>
      </c>
      <c r="R74">
        <f>Hyperlink("PVX_095015/protPVX_095015.fasta","protPVX_095015")</f>
        <v/>
      </c>
    </row>
    <row r="75">
      <c r="A75" t="inlineStr">
        <is>
          <t>PVX_091685</t>
        </is>
      </c>
      <c r="B75" t="inlineStr">
        <is>
          <t>tyrosine kinase-like protein, putative</t>
        </is>
      </c>
      <c r="C75" t="n">
        <v>9</v>
      </c>
      <c r="D75" t="inlineStr">
        <is>
          <t>716664 - 721501 (-)</t>
        </is>
      </c>
      <c r="E75" t="inlineStr">
        <is>
          <t>A0A1G4GXJ2, A0A1G4HD20, A0A564ZUR1, A5K4M5, EDL45603.1, UPI000153EC76, XP_001615330.1, Pv091685</t>
        </is>
      </c>
      <c r="F75" t="inlineStr">
        <is>
          <t>PBANKA_0927000</t>
        </is>
      </c>
      <c r="G75" t="inlineStr">
        <is>
          <t>PF3D7_1121300</t>
        </is>
      </c>
      <c r="H75" t="inlineStr">
        <is>
          <t>PVP01_0921900</t>
        </is>
      </c>
      <c r="I75" t="inlineStr">
        <is>
          <t>none</t>
        </is>
      </c>
      <c r="J75" t="n">
        <v>174893</v>
      </c>
      <c r="K75" t="n">
        <v>1562</v>
      </c>
      <c r="L75" t="n">
        <v>0</v>
      </c>
      <c r="M75" t="inlineStr">
        <is>
          <t>no</t>
        </is>
      </c>
      <c r="N75" t="inlineStr">
        <is>
          <t>none</t>
        </is>
      </c>
      <c r="O75" t="inlineStr">
        <is>
          <t>protein kinase activity, protein serine/threonine kinase activity, protein tyrosine kinase activity, ATP binding, ATP binding, protein phosphorylation, protein phosphorylation</t>
        </is>
      </c>
      <c r="P75">
        <f>Hyperlink("PVX_091685/gintPVX_091685.fasta","gintPVX_091685")</f>
        <v/>
      </c>
      <c r="Q75">
        <f>Hyperlink("PVX_091685/gseqPVX_091685.fasta","gseqPVX_091685")</f>
        <v/>
      </c>
      <c r="R75">
        <f>Hyperlink("PVX_091685/protPVX_091685.fasta","protPVX_091685")</f>
        <v/>
      </c>
    </row>
    <row r="76">
      <c r="A76" t="inlineStr">
        <is>
          <t>PVX_088965</t>
        </is>
      </c>
      <c r="B76" t="inlineStr">
        <is>
          <t>SET domain protein, putative</t>
        </is>
      </c>
      <c r="C76" t="n">
        <v>5</v>
      </c>
      <c r="D76" t="inlineStr">
        <is>
          <t>188264 - 194365 (-)</t>
        </is>
      </c>
      <c r="E76" t="inlineStr">
        <is>
          <t>A0A1G4GTB1, A0A1G4H8K2, A0A564ZSN7, A5K5H3, EDL45158.1, UPI000153E63A, XP_001614885.1, Pv088965</t>
        </is>
      </c>
      <c r="F76" t="inlineStr">
        <is>
          <t>PBANKA_0702900, PBANKA_0935200</t>
        </is>
      </c>
      <c r="G76" t="inlineStr">
        <is>
          <t>PF3D7_0827800, PF3D7_1112400</t>
        </is>
      </c>
      <c r="H76" t="inlineStr">
        <is>
          <t>PVP01_0506600, PVP01_0913200</t>
        </is>
      </c>
      <c r="I76" t="inlineStr">
        <is>
          <t>PVX_091270</t>
        </is>
      </c>
      <c r="J76" t="n">
        <v>224510</v>
      </c>
      <c r="K76" t="n">
        <v>2033</v>
      </c>
      <c r="L76" t="n">
        <v>0</v>
      </c>
      <c r="M76" t="inlineStr">
        <is>
          <t>no</t>
        </is>
      </c>
      <c r="N76" t="inlineStr">
        <is>
          <t>none</t>
        </is>
      </c>
      <c r="O76" t="inlineStr">
        <is>
          <t>protein binding, nucleus, nucleus, chromatin organization, zinc ion binding, zinc ion binding, histone-lysine N-methyltransferase activity, histone-lysine N-methyltransferase activity, histone lysine methylation, histone lysine methylation, histone binding</t>
        </is>
      </c>
      <c r="P76">
        <f>Hyperlink("PVX_088965/gintPVX_088965.fasta","gintPVX_088965")</f>
        <v/>
      </c>
      <c r="Q76">
        <f>Hyperlink("PVX_088965/gseqPVX_088965.fasta","gseqPVX_088965")</f>
        <v/>
      </c>
      <c r="R76">
        <f>Hyperlink("PVX_088965/protPVX_088965.fasta","protPVX_088965")</f>
        <v/>
      </c>
    </row>
    <row r="77">
      <c r="A77" t="inlineStr">
        <is>
          <t>PVX_086105</t>
        </is>
      </c>
      <c r="B77" t="inlineStr">
        <is>
          <t>hypothetical protein, conserved</t>
        </is>
      </c>
      <c r="C77" t="n">
        <v>13</v>
      </c>
      <c r="D77" t="inlineStr">
        <is>
          <t>1831330 - 1836048 (+)</t>
        </is>
      </c>
      <c r="E77" t="inlineStr">
        <is>
          <t>A0A1G4H3V6, A0A1G4HJD3, A0A565A185, A5K1G0, EDL47157.1, UPI000153DFDC, XP_001616884.1, Pv086105</t>
        </is>
      </c>
      <c r="F77" t="inlineStr">
        <is>
          <t>PBANKA_1035700, PBANKA_0831600</t>
        </is>
      </c>
      <c r="G77" t="inlineStr">
        <is>
          <t>PF3D7_1406500</t>
        </is>
      </c>
      <c r="H77" t="inlineStr">
        <is>
          <t>PVP01_1342200</t>
        </is>
      </c>
      <c r="I77" t="inlineStr">
        <is>
          <t>none</t>
        </is>
      </c>
      <c r="J77" t="n">
        <v>166573</v>
      </c>
      <c r="K77" t="n">
        <v>1456</v>
      </c>
      <c r="L77" t="n">
        <v>0</v>
      </c>
      <c r="M77" t="inlineStr">
        <is>
          <t>no</t>
        </is>
      </c>
      <c r="N77" t="inlineStr">
        <is>
          <t>none</t>
        </is>
      </c>
      <c r="O77" t="inlineStr">
        <is>
          <t>protein binding</t>
        </is>
      </c>
      <c r="P77">
        <f>Hyperlink("PVX_086105/gintPVX_086105.fasta","gintPVX_086105")</f>
        <v/>
      </c>
      <c r="Q77">
        <f>Hyperlink("PVX_086105/gseqPVX_086105.fasta","gseqPVX_086105")</f>
        <v/>
      </c>
      <c r="R77">
        <f>Hyperlink("PVX_086105/protPVX_086105.fasta","protPVX_086105")</f>
        <v/>
      </c>
    </row>
    <row r="78">
      <c r="A78" t="inlineStr">
        <is>
          <t>PVX_080105</t>
        </is>
      </c>
      <c r="B78" t="inlineStr">
        <is>
          <t>hypothetical protein, conserved</t>
        </is>
      </c>
      <c r="C78" t="n">
        <v>10</v>
      </c>
      <c r="D78" t="inlineStr">
        <is>
          <t>370279 - 376086 (-)</t>
        </is>
      </c>
      <c r="E78" t="inlineStr">
        <is>
          <t>A0A1G4GYK0, A0A1G4HDY4, A0A564ZY42, A5K9D0, EDL44002.1, UPI000153ED69, XP_001613729.1, Pv080105</t>
        </is>
      </c>
      <c r="F78" t="inlineStr">
        <is>
          <t>PBANKA_0414700, PBANKA_1206800</t>
        </is>
      </c>
      <c r="G78" t="inlineStr">
        <is>
          <t>none</t>
        </is>
      </c>
      <c r="H78" t="inlineStr">
        <is>
          <t>PVP01_1011000</t>
        </is>
      </c>
      <c r="I78" t="inlineStr">
        <is>
          <t>none</t>
        </is>
      </c>
      <c r="J78" t="n">
        <v>212208</v>
      </c>
      <c r="K78" t="n">
        <v>1935</v>
      </c>
      <c r="L78" t="n">
        <v>0</v>
      </c>
      <c r="M78" t="inlineStr">
        <is>
          <t>no</t>
        </is>
      </c>
      <c r="N78" t="inlineStr">
        <is>
          <t>none</t>
        </is>
      </c>
      <c r="O78" t="inlineStr">
        <is>
          <t>nucleic acid binding, metal ion binding, metal ion binding</t>
        </is>
      </c>
      <c r="P78">
        <f>Hyperlink("PVX_080105/gintPVX_080105.fasta","gintPVX_080105")</f>
        <v/>
      </c>
      <c r="Q78">
        <f>Hyperlink("PVX_080105/gseqPVX_080105.fasta","gseqPVX_080105")</f>
        <v/>
      </c>
      <c r="R78">
        <f>Hyperlink("PVX_080105/protPVX_080105.fasta","protPVX_080105")</f>
        <v/>
      </c>
    </row>
    <row r="79">
      <c r="A79" t="inlineStr">
        <is>
          <t>PVX_118425</t>
        </is>
      </c>
      <c r="B79" t="inlineStr">
        <is>
          <t>serine/threonine protein kinase, putative</t>
        </is>
      </c>
      <c r="C79" t="n">
        <v>12</v>
      </c>
      <c r="D79" t="inlineStr">
        <is>
          <t>2694648 - 2702759 (-)</t>
        </is>
      </c>
      <c r="E79" t="inlineStr">
        <is>
          <t>A0A1G4H2F5, A0A565A079, A5K3Z7, EDL46251.1, UPI000153E1B3, XP_001615978.1, Pv118425</t>
        </is>
      </c>
      <c r="F79" t="inlineStr">
        <is>
          <t>PBANKA_1305200</t>
        </is>
      </c>
      <c r="G79" t="inlineStr">
        <is>
          <t>PF3D7_1441300</t>
        </is>
      </c>
      <c r="H79" t="inlineStr">
        <is>
          <t>PVP01_1265700</t>
        </is>
      </c>
      <c r="I79" t="inlineStr">
        <is>
          <t>PVX_087765</t>
        </is>
      </c>
      <c r="J79" t="n">
        <v>273810</v>
      </c>
      <c r="K79" t="n">
        <v>2443</v>
      </c>
      <c r="L79" t="n">
        <v>0</v>
      </c>
      <c r="M79" t="inlineStr">
        <is>
          <t>no</t>
        </is>
      </c>
      <c r="N79" t="inlineStr">
        <is>
          <t>none</t>
        </is>
      </c>
      <c r="O79" t="inlineStr">
        <is>
          <t>protein kinase activity, protein serine/threonine kinase activity, protein serine/threonine kinase activity, protein tyrosine kinase activity, ATP binding, ATP binding, protein phosphorylation, protein phosphorylation</t>
        </is>
      </c>
      <c r="P79">
        <f>Hyperlink("PVX_118425/gintPVX_118425.fasta","gintPVX_118425")</f>
        <v/>
      </c>
      <c r="Q79">
        <f>Hyperlink("PVX_118425/gseqPVX_118425.fasta","gseqPVX_118425")</f>
        <v/>
      </c>
      <c r="R79">
        <f>Hyperlink("PVX_118425/protPVX_118425.fasta","protPVX_118425")</f>
        <v/>
      </c>
    </row>
    <row r="80">
      <c r="A80" t="inlineStr">
        <is>
          <t>PVX_082360</t>
        </is>
      </c>
      <c r="B80" t="inlineStr">
        <is>
          <t>hypothetical protein, conserved</t>
        </is>
      </c>
      <c r="C80" t="n">
        <v>12</v>
      </c>
      <c r="D80" t="inlineStr">
        <is>
          <t>986392 - 995073 (-)</t>
        </is>
      </c>
      <c r="E80" t="inlineStr">
        <is>
          <t>A0A1G4H1J7, A0A1G4HGQ6, A0A564ZYP8, Pv082360</t>
        </is>
      </c>
      <c r="F80" t="inlineStr">
        <is>
          <t>none</t>
        </is>
      </c>
      <c r="G80" t="inlineStr">
        <is>
          <t>PF3D7_1328200</t>
        </is>
      </c>
      <c r="H80" t="inlineStr">
        <is>
          <t>PVP01_1226200</t>
        </is>
      </c>
      <c r="I80" t="inlineStr">
        <is>
          <t>none</t>
        </is>
      </c>
      <c r="J80" t="n">
        <v>295844</v>
      </c>
      <c r="K80" t="n">
        <v>2601</v>
      </c>
      <c r="L80" t="n">
        <v>0</v>
      </c>
      <c r="M80" t="inlineStr">
        <is>
          <t>no</t>
        </is>
      </c>
      <c r="N80" t="inlineStr">
        <is>
          <t>none</t>
        </is>
      </c>
      <c r="P80">
        <f>Hyperlink("PVX_082360/gintPVX_082360.fasta","gintPVX_082360")</f>
        <v/>
      </c>
      <c r="Q80">
        <f>Hyperlink("PVX_082360/gseqPVX_082360.fasta","gseqPVX_082360")</f>
        <v/>
      </c>
      <c r="R80">
        <f>Hyperlink("PVX_082360/protPVX_082360.fasta","protPVX_082360")</f>
        <v/>
      </c>
    </row>
    <row r="81">
      <c r="A81" t="inlineStr">
        <is>
          <t>PVX_099405</t>
        </is>
      </c>
      <c r="B81" t="inlineStr">
        <is>
          <t>TLD domain-containing protein</t>
        </is>
      </c>
      <c r="C81" t="n">
        <v>7</v>
      </c>
      <c r="D81" t="inlineStr">
        <is>
          <t>742582 - 745796 (-)</t>
        </is>
      </c>
      <c r="E81" t="inlineStr">
        <is>
          <t>A0A1G4GVA2, A0A1G4HAL5, A0A564ZUK9, A5K6R2, EDL45003.1, UPI000153ED30, XP_001614730.1, Pv099405</t>
        </is>
      </c>
      <c r="F81" t="inlineStr">
        <is>
          <t>PBANKA_0820700</t>
        </is>
      </c>
      <c r="G81" t="inlineStr">
        <is>
          <t>PF3D7_0919800</t>
        </is>
      </c>
      <c r="H81" t="inlineStr">
        <is>
          <t>PVP01_0718200</t>
        </is>
      </c>
      <c r="I81" t="inlineStr">
        <is>
          <t>none</t>
        </is>
      </c>
      <c r="J81" t="n">
        <v>107834</v>
      </c>
      <c r="K81" t="n">
        <v>969</v>
      </c>
      <c r="L81" t="n">
        <v>0</v>
      </c>
      <c r="M81" t="inlineStr">
        <is>
          <t>no</t>
        </is>
      </c>
      <c r="N81" t="inlineStr">
        <is>
          <t>none</t>
        </is>
      </c>
      <c r="P81">
        <f>Hyperlink("PVX_099405/gintPVX_099405.fasta","gintPVX_099405")</f>
        <v/>
      </c>
      <c r="Q81">
        <f>Hyperlink("PVX_099405/gseqPVX_099405.fasta","gseqPVX_099405")</f>
        <v/>
      </c>
      <c r="R81">
        <f>Hyperlink("PVX_099405/protPVX_099405.fasta","protPVX_099405")</f>
        <v/>
      </c>
    </row>
    <row r="82">
      <c r="A82" t="inlineStr">
        <is>
          <t>PVX_094600</t>
        </is>
      </c>
      <c r="B82" t="inlineStr">
        <is>
          <t>hypothetical protein, conserved</t>
        </is>
      </c>
      <c r="C82" t="n">
        <v>8</v>
      </c>
      <c r="D82" t="inlineStr">
        <is>
          <t>376694 - 387493 (+)</t>
        </is>
      </c>
      <c r="E82" t="inlineStr">
        <is>
          <t>A0A1G4GW29, A0A1G4HBE8, A0A564ZTC6, A5K7A2, EDL44661.1, UPI000153E5D6, XP_001614388.1, Pv094600</t>
        </is>
      </c>
      <c r="F82" t="inlineStr">
        <is>
          <t>none</t>
        </is>
      </c>
      <c r="G82" t="inlineStr">
        <is>
          <t>PF3D7_1008100</t>
        </is>
      </c>
      <c r="H82" t="inlineStr">
        <is>
          <t>PVP01_0807800</t>
        </is>
      </c>
      <c r="I82" t="inlineStr">
        <is>
          <t>none</t>
        </is>
      </c>
      <c r="J82" t="n">
        <v>404231</v>
      </c>
      <c r="K82" t="n">
        <v>3599</v>
      </c>
      <c r="L82" t="n">
        <v>0</v>
      </c>
      <c r="M82" t="inlineStr">
        <is>
          <t>no</t>
        </is>
      </c>
      <c r="N82" t="inlineStr">
        <is>
          <t>none</t>
        </is>
      </c>
      <c r="O82" t="inlineStr">
        <is>
          <t>DNA binding, nucleus, regulation of transcription, DNA-templated, zinc ion binding, metal ion binding</t>
        </is>
      </c>
      <c r="P82">
        <f>Hyperlink("PVX_094600/gintPVX_094600.fasta","gintPVX_094600")</f>
        <v/>
      </c>
      <c r="Q82">
        <f>Hyperlink("PVX_094600/gseqPVX_094600.fasta","gseqPVX_094600")</f>
        <v/>
      </c>
      <c r="R82">
        <f>Hyperlink("PVX_094600/protPVX_094600.fasta","protPVX_094600")</f>
        <v/>
      </c>
    </row>
    <row r="83">
      <c r="A83" t="inlineStr">
        <is>
          <t>PVX_084395</t>
        </is>
      </c>
      <c r="B83" t="inlineStr">
        <is>
          <t>hypothetical protein</t>
        </is>
      </c>
      <c r="C83" t="n">
        <v>13</v>
      </c>
      <c r="D83" t="inlineStr">
        <is>
          <t>264718 - 269175 (-)</t>
        </is>
      </c>
      <c r="E83" t="inlineStr">
        <is>
          <t>A0A1G4HI96, A0A565A058, A5K0H2, EDL46819.1, UPI000153E4BE, XP_001616546.1, Pv084395</t>
        </is>
      </c>
      <c r="F83" t="inlineStr">
        <is>
          <t>none</t>
        </is>
      </c>
      <c r="G83" t="inlineStr">
        <is>
          <t>none</t>
        </is>
      </c>
      <c r="H83" t="inlineStr">
        <is>
          <t>PVP01_1306300</t>
        </is>
      </c>
      <c r="I83" t="inlineStr">
        <is>
          <t>none</t>
        </is>
      </c>
      <c r="J83" t="n">
        <v>159043</v>
      </c>
      <c r="K83" t="n">
        <v>1425</v>
      </c>
      <c r="L83" t="n">
        <v>0</v>
      </c>
      <c r="M83" t="inlineStr">
        <is>
          <t>no</t>
        </is>
      </c>
      <c r="N83" t="inlineStr">
        <is>
          <t>none</t>
        </is>
      </c>
      <c r="P83">
        <f>Hyperlink("PVX_084395/gintPVX_084395.fasta","gintPVX_084395")</f>
        <v/>
      </c>
      <c r="Q83">
        <f>Hyperlink("PVX_084395/gseqPVX_084395.fasta","gseqPVX_084395")</f>
        <v/>
      </c>
      <c r="R83">
        <f>Hyperlink("PVX_084395/protPVX_084395.fasta","protPVX_084395")</f>
        <v/>
      </c>
    </row>
    <row r="84">
      <c r="A84" t="inlineStr">
        <is>
          <t>PVX_092945</t>
        </is>
      </c>
      <c r="B84" t="inlineStr">
        <is>
          <t>sporozoite and liver stage asparagine-rich protein</t>
        </is>
      </c>
      <c r="C84" t="n">
        <v>9</v>
      </c>
      <c r="D84" t="inlineStr">
        <is>
          <t>1846139 - 1856329 (-)</t>
        </is>
      </c>
      <c r="E84" t="inlineStr">
        <is>
          <t>A0A1G4GYC0, A0A1G4HDJ5, A0A564ZWT7, Pv092945, SAP1</t>
        </is>
      </c>
      <c r="F84" t="inlineStr">
        <is>
          <t>none</t>
        </is>
      </c>
      <c r="G84" t="inlineStr">
        <is>
          <t>none</t>
        </is>
      </c>
      <c r="H84" t="inlineStr">
        <is>
          <t>PVP01_0947600</t>
        </is>
      </c>
      <c r="I84" t="inlineStr">
        <is>
          <t>none</t>
        </is>
      </c>
      <c r="J84" t="n">
        <v>370881</v>
      </c>
      <c r="K84" t="n">
        <v>3305</v>
      </c>
      <c r="L84" t="n">
        <v>0</v>
      </c>
      <c r="M84" t="inlineStr">
        <is>
          <t>no</t>
        </is>
      </c>
      <c r="N84" t="inlineStr">
        <is>
          <t>none</t>
        </is>
      </c>
      <c r="P84">
        <f>Hyperlink("PVX_092945/gintPVX_092945.fasta","gintPVX_092945")</f>
        <v/>
      </c>
      <c r="Q84">
        <f>Hyperlink("PVX_092945/gseqPVX_092945.fasta","gseqPVX_092945")</f>
        <v/>
      </c>
      <c r="R84">
        <f>Hyperlink("PVX_092945/protPVX_092945.fasta","protPVX_092945")</f>
        <v/>
      </c>
    </row>
    <row r="85">
      <c r="A85" t="inlineStr">
        <is>
          <t>PVX_081820</t>
        </is>
      </c>
      <c r="B85" t="inlineStr">
        <is>
          <t>hypothetical protein, conserved</t>
        </is>
      </c>
      <c r="C85" t="n">
        <v>2</v>
      </c>
      <c r="D85" t="inlineStr">
        <is>
          <t>697621 - 706980 (-)</t>
        </is>
      </c>
      <c r="E85" t="inlineStr">
        <is>
          <t>A0A1G4GRM3, A0A1G4H753, A0A564ZR62, A5KA25, EDL43913.1, UPI000153E9F7, XP_001613640.1, Pv081820</t>
        </is>
      </c>
      <c r="F85" t="inlineStr">
        <is>
          <t>none</t>
        </is>
      </c>
      <c r="G85" t="inlineStr">
        <is>
          <t>none</t>
        </is>
      </c>
      <c r="H85" t="inlineStr">
        <is>
          <t>PVP01_0216200</t>
        </is>
      </c>
      <c r="I85" t="inlineStr">
        <is>
          <t>none</t>
        </is>
      </c>
      <c r="J85" t="n">
        <v>354858</v>
      </c>
      <c r="K85" t="n">
        <v>3119</v>
      </c>
      <c r="L85" t="n">
        <v>0</v>
      </c>
      <c r="M85" t="inlineStr">
        <is>
          <t>no</t>
        </is>
      </c>
      <c r="N85" t="inlineStr">
        <is>
          <t>none</t>
        </is>
      </c>
      <c r="P85">
        <f>Hyperlink("PVX_081820/gintPVX_081820.fasta","gintPVX_081820")</f>
        <v/>
      </c>
      <c r="Q85">
        <f>Hyperlink("PVX_081820/gseqPVX_081820.fasta","gseqPVX_081820")</f>
        <v/>
      </c>
      <c r="R85">
        <f>Hyperlink("PVX_081820/protPVX_081820.fasta","protPVX_081820")</f>
        <v/>
      </c>
    </row>
    <row r="86">
      <c r="A86" t="inlineStr">
        <is>
          <t>PVX_092555</t>
        </is>
      </c>
      <c r="B86" t="inlineStr">
        <is>
          <t>WD domain, G-beta repeat domain containing protein</t>
        </is>
      </c>
      <c r="C86" t="n">
        <v>9</v>
      </c>
      <c r="D86" t="inlineStr">
        <is>
          <t>1488556 - 1495196 (-)</t>
        </is>
      </c>
      <c r="E86" t="inlineStr">
        <is>
          <t>A0A1G4GXZ5, A0A1G4HD95, A0A564ZV92, Pv092555</t>
        </is>
      </c>
      <c r="F86" t="inlineStr">
        <is>
          <t>PBANKA_0909900</t>
        </is>
      </c>
      <c r="G86" t="inlineStr">
        <is>
          <t>PF3D7_1138800</t>
        </is>
      </c>
      <c r="H86" t="inlineStr">
        <is>
          <t>PVP01_0939800</t>
        </is>
      </c>
      <c r="I86" t="inlineStr">
        <is>
          <t>PVX_238290, PVX_246295</t>
        </is>
      </c>
      <c r="J86" t="n">
        <v>207050</v>
      </c>
      <c r="K86" t="n">
        <v>1875</v>
      </c>
      <c r="L86" t="n">
        <v>0</v>
      </c>
      <c r="M86" t="inlineStr">
        <is>
          <t>no</t>
        </is>
      </c>
      <c r="N86" t="inlineStr">
        <is>
          <t>none</t>
        </is>
      </c>
      <c r="O86" t="inlineStr">
        <is>
          <t>protein binding, membrane</t>
        </is>
      </c>
      <c r="P86">
        <f>Hyperlink("PVX_092555/gintPVX_092555.fasta","gintPVX_092555")</f>
        <v/>
      </c>
      <c r="Q86">
        <f>Hyperlink("PVX_092555/gseqPVX_092555.fasta","gseqPVX_092555")</f>
        <v/>
      </c>
      <c r="R86">
        <f>Hyperlink("PVX_092555/protPVX_092555.fasta","protPVX_092555")</f>
        <v/>
      </c>
    </row>
    <row r="87">
      <c r="A87" t="inlineStr">
        <is>
          <t>PVX_000970</t>
        </is>
      </c>
      <c r="B87" t="inlineStr">
        <is>
          <t>pre-mRNA-processing-splicing factor 8, putative</t>
        </is>
      </c>
      <c r="C87" t="n">
        <v>3</v>
      </c>
      <c r="D87" t="inlineStr">
        <is>
          <t>159088 - 168335 (+)</t>
        </is>
      </c>
      <c r="E87" t="inlineStr">
        <is>
          <t>A0A1G4GRU1, A0A1G4H7B6, A0A564ZP44, A5KAP1, EDL43640.1, UPI000153E96E, XP_001613367.1, Pv000970</t>
        </is>
      </c>
      <c r="F87" t="inlineStr">
        <is>
          <t>PBANKA_1003100</t>
        </is>
      </c>
      <c r="G87" t="inlineStr">
        <is>
          <t>PF3D7_0405400</t>
        </is>
      </c>
      <c r="H87" t="inlineStr">
        <is>
          <t>PVP01_0304800</t>
        </is>
      </c>
      <c r="I87" t="inlineStr">
        <is>
          <t>none</t>
        </is>
      </c>
      <c r="J87" t="n">
        <v>349390</v>
      </c>
      <c r="K87" t="n">
        <v>3019</v>
      </c>
      <c r="L87" t="n">
        <v>0</v>
      </c>
      <c r="M87" t="inlineStr">
        <is>
          <t>no</t>
        </is>
      </c>
      <c r="N87" t="inlineStr">
        <is>
          <t>none</t>
        </is>
      </c>
      <c r="O87" t="inlineStr">
        <is>
          <t>RNA splicing, via transesterification reactions, mRNA splicing, via spliceosome, mRNA splicing, via spliceosome, RNA binding, spliceosomal complex, spliceosomal complex, U6 snRNA binding, U6 snRNA binding, U5 snRNA binding, U5 snRNA binding</t>
        </is>
      </c>
      <c r="P87">
        <f>Hyperlink("PVX_000970/gintPVX_000970.fasta","gintPVX_000970")</f>
        <v/>
      </c>
      <c r="Q87">
        <f>Hyperlink("PVX_000970/gseqPVX_000970.fasta","gseqPVX_000970")</f>
        <v/>
      </c>
      <c r="R87">
        <f>Hyperlink("PVX_000970/protPVX_000970.fasta","protPVX_000970")</f>
        <v/>
      </c>
    </row>
    <row r="88">
      <c r="A88" t="inlineStr">
        <is>
          <t>PVX_115090</t>
        </is>
      </c>
      <c r="B88" t="inlineStr">
        <is>
          <t>hypothetical protein</t>
        </is>
      </c>
      <c r="C88" t="n">
        <v>11</v>
      </c>
      <c r="D88" t="inlineStr">
        <is>
          <t>325227 - 329462 (-)</t>
        </is>
      </c>
      <c r="E88" t="inlineStr">
        <is>
          <t>A0A1G4GZK8, A0A1G4HEW1, A0A564ZWV4, A5K2N2, EDL46682.1, UPI000153DF2C, XP_001616409.1, Pv115090</t>
        </is>
      </c>
      <c r="F88" t="inlineStr">
        <is>
          <t>none</t>
        </is>
      </c>
      <c r="G88" t="inlineStr">
        <is>
          <t>none</t>
        </is>
      </c>
      <c r="H88" t="inlineStr">
        <is>
          <t>PVP01_1109300</t>
        </is>
      </c>
      <c r="I88" t="inlineStr">
        <is>
          <t>none</t>
        </is>
      </c>
      <c r="J88" t="n">
        <v>155448</v>
      </c>
      <c r="K88" t="n">
        <v>1411</v>
      </c>
      <c r="L88" t="n">
        <v>0</v>
      </c>
      <c r="M88" t="inlineStr">
        <is>
          <t>no</t>
        </is>
      </c>
      <c r="N88" t="inlineStr">
        <is>
          <t>none</t>
        </is>
      </c>
      <c r="P88">
        <f>Hyperlink("PVX_115090/gintPVX_115090.fasta","gintPVX_115090")</f>
        <v/>
      </c>
      <c r="Q88">
        <f>Hyperlink("PVX_115090/gseqPVX_115090.fasta","gseqPVX_115090")</f>
        <v/>
      </c>
      <c r="R88">
        <f>Hyperlink("PVX_115090/protPVX_115090.fasta","protPVX_115090")</f>
        <v/>
      </c>
    </row>
    <row r="89">
      <c r="A89" t="inlineStr">
        <is>
          <t>PVX_089505</t>
        </is>
      </c>
      <c r="B89" t="inlineStr">
        <is>
          <t>14-3-3 protein, putative</t>
        </is>
      </c>
      <c r="C89" t="n">
        <v>5</v>
      </c>
      <c r="D89" t="inlineStr">
        <is>
          <t>615553 - 617552 (-)</t>
        </is>
      </c>
      <c r="E89" t="inlineStr">
        <is>
          <t>A0A1G4H8U4, UPI00000786AD, Pv089505</t>
        </is>
      </c>
      <c r="F89" t="inlineStr">
        <is>
          <t>PBANKA_0712600</t>
        </is>
      </c>
      <c r="G89" t="inlineStr">
        <is>
          <t>PF3D7_0818200</t>
        </is>
      </c>
      <c r="H89" t="inlineStr">
        <is>
          <t>PVP01_0517100</t>
        </is>
      </c>
      <c r="I89" t="inlineStr">
        <is>
          <t>none</t>
        </is>
      </c>
      <c r="J89" t="n">
        <v>30221</v>
      </c>
      <c r="K89" t="n">
        <v>262</v>
      </c>
      <c r="L89" t="n">
        <v>0</v>
      </c>
      <c r="M89" t="inlineStr">
        <is>
          <t>no</t>
        </is>
      </c>
      <c r="N89" t="inlineStr">
        <is>
          <t>none</t>
        </is>
      </c>
      <c r="O89" t="inlineStr">
        <is>
          <t>protein domain specific binding</t>
        </is>
      </c>
      <c r="P89">
        <f>Hyperlink("PVX_089505/gintPVX_089505.fasta","gintPVX_089505")</f>
        <v/>
      </c>
      <c r="Q89">
        <f>Hyperlink("PVX_089505/gseqPVX_089505.fasta","gseqPVX_089505")</f>
        <v/>
      </c>
      <c r="R89">
        <f>Hyperlink("PVX_089505/protPVX_089505.fasta","protPVX_089505")</f>
        <v/>
      </c>
    </row>
    <row r="90">
      <c r="A90" t="inlineStr">
        <is>
          <t>PVX_119270</t>
        </is>
      </c>
      <c r="B90" t="inlineStr">
        <is>
          <t>exportin-1, putative</t>
        </is>
      </c>
      <c r="C90" t="n">
        <v>8</v>
      </c>
      <c r="D90" t="inlineStr">
        <is>
          <t>1603931 - 1608136 (+)</t>
        </is>
      </c>
      <c r="E90" t="inlineStr">
        <is>
          <t>A0A1G4GWW0, A0A1G4HC54, A5KB46, EDL43324.1, Q962M1, UPI000153F513, XP_001613051.1, Pv119270</t>
        </is>
      </c>
      <c r="F90" t="inlineStr">
        <is>
          <t>PBANKA_0401500</t>
        </is>
      </c>
      <c r="G90" t="inlineStr">
        <is>
          <t>PF3D7_0302900</t>
        </is>
      </c>
      <c r="H90" t="inlineStr">
        <is>
          <t>PVP01_0837300</t>
        </is>
      </c>
      <c r="I90" t="inlineStr">
        <is>
          <t>none</t>
        </is>
      </c>
      <c r="J90" t="n">
        <v>146265</v>
      </c>
      <c r="K90" t="n">
        <v>1250</v>
      </c>
      <c r="L90" t="n">
        <v>0</v>
      </c>
      <c r="M90" t="inlineStr">
        <is>
          <t>no</t>
        </is>
      </c>
      <c r="N90" t="inlineStr">
        <is>
          <t>none</t>
        </is>
      </c>
      <c r="O90" t="inlineStr">
        <is>
          <t>obsolete protein import into nucleus, docking, nuclear export signal receptor activity, nucleus, nuclear pore, cytoplasm, intracellular protein transport, intracellular protein transport, GO_0008536, GO_0008536, obsolete protein transporter activity</t>
        </is>
      </c>
      <c r="P90">
        <f>Hyperlink("PVX_119270/gintPVX_119270.fasta","gintPVX_119270")</f>
        <v/>
      </c>
      <c r="Q90">
        <f>Hyperlink("PVX_119270/gseqPVX_119270.fasta","gseqPVX_119270")</f>
        <v/>
      </c>
      <c r="R90">
        <f>Hyperlink("PVX_119270/protPVX_119270.fasta","protPVX_119270")</f>
        <v/>
      </c>
    </row>
    <row r="91">
      <c r="A91" t="inlineStr">
        <is>
          <t>PVX_094595</t>
        </is>
      </c>
      <c r="B91" t="inlineStr">
        <is>
          <t>histone deacetylase 2, putative</t>
        </is>
      </c>
      <c r="C91" t="n">
        <v>8</v>
      </c>
      <c r="D91" t="inlineStr">
        <is>
          <t>365792 - 372412 (+)</t>
        </is>
      </c>
      <c r="E91" t="inlineStr">
        <is>
          <t>A0A1G4GW42, A0A1G4HBE9, A0A564ZVD6, A5K7A1, EDL44660.1, UPI000153E5D5, XP_001614387.1, Pv094595</t>
        </is>
      </c>
      <c r="F91" t="inlineStr">
        <is>
          <t>none</t>
        </is>
      </c>
      <c r="G91" t="inlineStr">
        <is>
          <t>PF3D7_1008000</t>
        </is>
      </c>
      <c r="H91" t="inlineStr">
        <is>
          <t>PVP01_0807700</t>
        </is>
      </c>
      <c r="I91" t="inlineStr">
        <is>
          <t>none</t>
        </is>
      </c>
      <c r="J91" t="n">
        <v>246604</v>
      </c>
      <c r="K91" t="n">
        <v>2206</v>
      </c>
      <c r="L91" t="n">
        <v>0</v>
      </c>
      <c r="M91" t="inlineStr">
        <is>
          <t>no</t>
        </is>
      </c>
      <c r="N91" t="inlineStr">
        <is>
          <t>none</t>
        </is>
      </c>
      <c r="O91" t="inlineStr">
        <is>
          <t>inositol-1,4,5-trisphosphate 3-kinase activity, kinase activity, inositol phosphate biosynthetic process</t>
        </is>
      </c>
      <c r="P91">
        <f>Hyperlink("PVX_094595/gintPVX_094595.fasta","gintPVX_094595")</f>
        <v/>
      </c>
      <c r="Q91">
        <f>Hyperlink("PVX_094595/gseqPVX_094595.fasta","gseqPVX_094595")</f>
        <v/>
      </c>
      <c r="R91">
        <f>Hyperlink("PVX_094595/protPVX_094595.fasta","protPVX_094595")</f>
        <v/>
      </c>
    </row>
    <row r="92">
      <c r="A92" t="inlineStr">
        <is>
          <t>PVX_091135</t>
        </is>
      </c>
      <c r="B92" t="inlineStr">
        <is>
          <t>No data in PlasmoDB</t>
        </is>
      </c>
      <c r="P92">
        <f>Hyperlink("PVX_091135/gintPVX_091135.fasta","gintPVX_091135")</f>
        <v/>
      </c>
      <c r="Q92">
        <f>Hyperlink("PVX_091135/gseqPVX_091135.fasta","gseqPVX_091135")</f>
        <v/>
      </c>
      <c r="R92">
        <f>Hyperlink("PVX_091135/protPVX_091135.fasta","protPVX_091135")</f>
        <v/>
      </c>
    </row>
    <row r="93">
      <c r="A93" t="inlineStr">
        <is>
          <t>PVX_097575</t>
        </is>
      </c>
      <c r="B93" t="inlineStr">
        <is>
          <t>tryptophan-rich antigen (Pv-fam-a)</t>
        </is>
      </c>
      <c r="C93" t="n">
        <v>10</v>
      </c>
      <c r="D93" t="inlineStr">
        <is>
          <t>1339589 - 1348572 (-)</t>
        </is>
      </c>
      <c r="E93" t="inlineStr">
        <is>
          <t>A0A0B4L1K7, A0A0B4L2X0, A0A1G4HEK9, A0A564ZWH2, A5KAS9, B4Y0V2, D2YW51, EDL43446.1, UPI000153F7DB, XP_001613173.1, Pv097575</t>
        </is>
      </c>
      <c r="F93" t="inlineStr">
        <is>
          <t>PBANKA_1442200</t>
        </is>
      </c>
      <c r="G93" t="inlineStr">
        <is>
          <t>none</t>
        </is>
      </c>
      <c r="H93" t="inlineStr">
        <is>
          <t>none</t>
        </is>
      </c>
      <c r="I93" t="inlineStr">
        <is>
          <t>none</t>
        </is>
      </c>
      <c r="J93" t="n">
        <v>309186</v>
      </c>
      <c r="K93" t="n">
        <v>2662</v>
      </c>
      <c r="L93" t="n">
        <v>1</v>
      </c>
      <c r="M93" t="inlineStr">
        <is>
          <t>no</t>
        </is>
      </c>
      <c r="N93" t="inlineStr">
        <is>
          <t>none</t>
        </is>
      </c>
      <c r="P93">
        <f>Hyperlink("PVX_097575/gintPVX_097575.fasta","gintPVX_097575")</f>
        <v/>
      </c>
      <c r="Q93">
        <f>Hyperlink("PVX_097575/gseqPVX_097575.fasta","gseqPVX_097575")</f>
        <v/>
      </c>
      <c r="R93">
        <f>Hyperlink("PVX_097575/protPVX_097575.fasta","protPVX_097575")</f>
        <v/>
      </c>
    </row>
    <row r="94">
      <c r="A94" t="inlineStr">
        <is>
          <t>PVX_119385</t>
        </is>
      </c>
      <c r="B94" t="inlineStr">
        <is>
          <t>hypothetical protein, conserved</t>
        </is>
      </c>
      <c r="C94" t="n">
        <v>8</v>
      </c>
      <c r="D94" t="inlineStr">
        <is>
          <t>1506409 - 1509462 (-)</t>
        </is>
      </c>
      <c r="E94" t="inlineStr">
        <is>
          <t>A0A1G4GX13, A0A1G4HC17, A0A564ZUX3, A5KB69, EDL43347.1, Q962J8, UPI000153F7E4, XP_001613074.1, Pv119385</t>
        </is>
      </c>
      <c r="F94" t="inlineStr">
        <is>
          <t>PBANKA_0403700</t>
        </is>
      </c>
      <c r="G94" t="inlineStr">
        <is>
          <t>PF3D7_0305200</t>
        </is>
      </c>
      <c r="H94" t="inlineStr">
        <is>
          <t>PVP01_0835000</t>
        </is>
      </c>
      <c r="I94" t="inlineStr">
        <is>
          <t>none</t>
        </is>
      </c>
      <c r="J94" t="n">
        <v>113729</v>
      </c>
      <c r="K94" t="n">
        <v>1017</v>
      </c>
      <c r="L94" t="n">
        <v>0</v>
      </c>
      <c r="M94" t="inlineStr">
        <is>
          <t>no</t>
        </is>
      </c>
      <c r="N94" t="inlineStr">
        <is>
          <t>none</t>
        </is>
      </c>
      <c r="O94" t="inlineStr">
        <is>
          <t>protein localization to Golgi apparatus</t>
        </is>
      </c>
      <c r="P94">
        <f>Hyperlink("PVX_119385/gintPVX_119385.fasta","gintPVX_119385")</f>
        <v/>
      </c>
      <c r="Q94">
        <f>Hyperlink("PVX_119385/gseqPVX_119385.fasta","gseqPVX_119385")</f>
        <v/>
      </c>
      <c r="R94">
        <f>Hyperlink("PVX_119385/protPVX_119385.fasta","protPVX_119385")</f>
        <v/>
      </c>
    </row>
    <row r="95">
      <c r="A95" t="inlineStr">
        <is>
          <t>PVX_086135</t>
        </is>
      </c>
      <c r="B95" t="inlineStr">
        <is>
          <t>hypothetical protein</t>
        </is>
      </c>
      <c r="C95" t="n">
        <v>13</v>
      </c>
      <c r="D95" t="inlineStr">
        <is>
          <t>1858637 - 1867185 (+)</t>
        </is>
      </c>
      <c r="E95" t="inlineStr">
        <is>
          <t>A0A1G4H3U9, A0A1G4HJB9, A0A565A230, Pv086135</t>
        </is>
      </c>
      <c r="F95" t="inlineStr">
        <is>
          <t>none</t>
        </is>
      </c>
      <c r="G95" t="inlineStr">
        <is>
          <t>none</t>
        </is>
      </c>
      <c r="H95" t="inlineStr">
        <is>
          <t>PVP01_1342800</t>
        </is>
      </c>
      <c r="I95" t="inlineStr">
        <is>
          <t>none</t>
        </is>
      </c>
      <c r="J95" t="n">
        <v>277346</v>
      </c>
      <c r="K95" t="n">
        <v>2427</v>
      </c>
      <c r="L95" t="n">
        <v>1</v>
      </c>
      <c r="M95" t="inlineStr">
        <is>
          <t>no</t>
        </is>
      </c>
      <c r="N95" t="inlineStr">
        <is>
          <t>none</t>
        </is>
      </c>
      <c r="P95">
        <f>Hyperlink("PVX_086135/gintPVX_086135.fasta","gintPVX_086135")</f>
        <v/>
      </c>
      <c r="Q95">
        <f>Hyperlink("PVX_086135/gseqPVX_086135.fasta","gseqPVX_086135")</f>
        <v/>
      </c>
      <c r="R95">
        <f>Hyperlink("PVX_086135/protPVX_086135.fasta","protPVX_086135")</f>
        <v/>
      </c>
    </row>
    <row r="96">
      <c r="A96" t="inlineStr">
        <is>
          <t>PVX_099550</t>
        </is>
      </c>
      <c r="B96" t="inlineStr">
        <is>
          <t>hypothetical protein, conserved</t>
        </is>
      </c>
      <c r="C96" t="n">
        <v>7</v>
      </c>
      <c r="D96" t="inlineStr">
        <is>
          <t>863379 - 875189 (-)</t>
        </is>
      </c>
      <c r="E96" t="inlineStr">
        <is>
          <t>A0A1G4GVD2, A0A1G4HAT2, A0A564ZSL8, A5K6U2, EDL45033.1, UPI000153E654, XP_001614760.1, Pv099550</t>
        </is>
      </c>
      <c r="F96" t="inlineStr">
        <is>
          <t>none</t>
        </is>
      </c>
      <c r="G96" t="inlineStr">
        <is>
          <t>PF3D7_0922800</t>
        </is>
      </c>
      <c r="H96" t="inlineStr">
        <is>
          <t>PVP01_0721300</t>
        </is>
      </c>
      <c r="I96" t="inlineStr">
        <is>
          <t>none</t>
        </is>
      </c>
      <c r="J96" t="n">
        <v>433807</v>
      </c>
      <c r="K96" t="n">
        <v>3826</v>
      </c>
      <c r="L96" t="n">
        <v>0</v>
      </c>
      <c r="M96" t="inlineStr">
        <is>
          <t>no</t>
        </is>
      </c>
      <c r="N96" t="inlineStr">
        <is>
          <t>none</t>
        </is>
      </c>
      <c r="P96">
        <f>Hyperlink("PVX_099550/gintPVX_099550.fasta","gintPVX_099550")</f>
        <v/>
      </c>
      <c r="Q96">
        <f>Hyperlink("PVX_099550/gseqPVX_099550.fasta","gseqPVX_099550")</f>
        <v/>
      </c>
      <c r="R96">
        <f>Hyperlink("PVX_099550/protPVX_099550.fasta","protPVX_099550")</f>
        <v/>
      </c>
    </row>
    <row r="97">
      <c r="A97" t="inlineStr">
        <is>
          <t>PVX_091065</t>
        </is>
      </c>
      <c r="B97" t="inlineStr">
        <is>
          <t>transcription factor with AP2 domain(s), putative</t>
        </is>
      </c>
      <c r="C97" t="n">
        <v>9</v>
      </c>
      <c r="D97" t="inlineStr">
        <is>
          <t>223664 - 229908 (-)</t>
        </is>
      </c>
      <c r="E97" t="inlineStr">
        <is>
          <t>A0A1G4GX57, A0A1G4HCG4, A0A564ZVS9, A5K4A2, EDL45480.1, UPI000153E58E, XP_001615207.1, Pv091065</t>
        </is>
      </c>
      <c r="F97" t="inlineStr">
        <is>
          <t>PBANKA_0939100</t>
        </is>
      </c>
      <c r="G97" t="inlineStr">
        <is>
          <t>none</t>
        </is>
      </c>
      <c r="H97" t="inlineStr">
        <is>
          <t>none</t>
        </is>
      </c>
      <c r="I97" t="inlineStr">
        <is>
          <t>none</t>
        </is>
      </c>
      <c r="J97" t="n">
        <v>214101</v>
      </c>
      <c r="K97" t="n">
        <v>2029</v>
      </c>
      <c r="L97" t="n">
        <v>0</v>
      </c>
      <c r="M97" t="inlineStr">
        <is>
          <t>no</t>
        </is>
      </c>
      <c r="N97" t="inlineStr">
        <is>
          <t>none</t>
        </is>
      </c>
      <c r="O97" t="inlineStr">
        <is>
          <t>DNA binding, DNA-binding transcription factor activity, DNA-binding transcription factor activity, nucleus, regulation of transcription, DNA-templated, regulation of transcription, DNA-templated</t>
        </is>
      </c>
      <c r="P97">
        <f>Hyperlink("PVX_091065/gintPVX_091065.fasta","gintPVX_091065")</f>
        <v/>
      </c>
      <c r="Q97">
        <f>Hyperlink("PVX_091065/gseqPVX_091065.fasta","gseqPVX_091065")</f>
        <v/>
      </c>
      <c r="R97">
        <f>Hyperlink("PVX_091065/protPVX_091065.fasta","protPVX_091065")</f>
        <v/>
      </c>
    </row>
    <row r="98">
      <c r="A98" t="inlineStr">
        <is>
          <t>PVX_113965</t>
        </is>
      </c>
      <c r="B98" t="inlineStr">
        <is>
          <t>hypothetical protein, conserved</t>
        </is>
      </c>
      <c r="C98" t="n">
        <v>11</v>
      </c>
      <c r="D98" t="inlineStr">
        <is>
          <t>1354399 - 1358865 (-)</t>
        </is>
      </c>
      <c r="E98" t="inlineStr">
        <is>
          <t>A0A1G4H028, A0A1G4HFJ7, A0A564ZXJ1, A5K204, EDL46454.1, UPI000153E25B, XP_001616181.1, Pv113965</t>
        </is>
      </c>
      <c r="F98" t="inlineStr">
        <is>
          <t>none</t>
        </is>
      </c>
      <c r="G98" t="inlineStr">
        <is>
          <t>none</t>
        </is>
      </c>
      <c r="H98" t="inlineStr">
        <is>
          <t>none</t>
        </is>
      </c>
      <c r="I98" t="inlineStr">
        <is>
          <t>none</t>
        </is>
      </c>
      <c r="J98" t="n">
        <v>163521</v>
      </c>
      <c r="K98" t="n">
        <v>1488</v>
      </c>
      <c r="L98" t="n">
        <v>1</v>
      </c>
      <c r="M98" t="inlineStr">
        <is>
          <t>yes</t>
        </is>
      </c>
      <c r="N98" t="inlineStr">
        <is>
          <t>none</t>
        </is>
      </c>
      <c r="O98" t="inlineStr">
        <is>
          <t>integral component of membrane</t>
        </is>
      </c>
      <c r="P98">
        <f>Hyperlink("PVX_113965/gintPVX_113965.fasta","gintPVX_113965")</f>
        <v/>
      </c>
      <c r="Q98">
        <f>Hyperlink("PVX_113965/gseqPVX_113965.fasta","gseqPVX_113965")</f>
        <v/>
      </c>
      <c r="R98">
        <f>Hyperlink("PVX_113965/protPVX_113965.fasta","protPVX_113965")</f>
        <v/>
      </c>
    </row>
    <row r="99">
      <c r="A99" t="inlineStr">
        <is>
          <t>PVX_091740</t>
        </is>
      </c>
      <c r="B99" t="inlineStr">
        <is>
          <t>hypothetical protein, conserved</t>
        </is>
      </c>
      <c r="C99" t="n">
        <v>9</v>
      </c>
      <c r="D99" t="inlineStr">
        <is>
          <t>767236 - 771404 (+)</t>
        </is>
      </c>
      <c r="E99" t="inlineStr">
        <is>
          <t>A0A1G4GXJ7, A0A1G4HCR0, A0A564ZVQ5, A5K4N5, EDL45613.1, UPI000153ED07, XP_001615340.1, Pv091740</t>
        </is>
      </c>
      <c r="F99" t="inlineStr">
        <is>
          <t>PBANKA_0925900</t>
        </is>
      </c>
      <c r="G99" t="inlineStr">
        <is>
          <t>PF3D7_1122400</t>
        </is>
      </c>
      <c r="H99" t="inlineStr">
        <is>
          <t>PVP01_0923000</t>
        </is>
      </c>
      <c r="I99" t="inlineStr">
        <is>
          <t>none</t>
        </is>
      </c>
      <c r="J99" t="n">
        <v>104570</v>
      </c>
      <c r="K99" t="n">
        <v>913</v>
      </c>
      <c r="L99" t="n">
        <v>0</v>
      </c>
      <c r="M99" t="inlineStr">
        <is>
          <t>no</t>
        </is>
      </c>
      <c r="N99" t="inlineStr">
        <is>
          <t>none</t>
        </is>
      </c>
      <c r="P99">
        <f>Hyperlink("PVX_091740/gintPVX_091740.fasta","gintPVX_091740")</f>
        <v/>
      </c>
      <c r="Q99">
        <f>Hyperlink("PVX_091740/gseqPVX_091740.fasta","gseqPVX_091740")</f>
        <v/>
      </c>
      <c r="R99">
        <f>Hyperlink("PVX_091740/protPVX_091740.fasta","protPVX_091740")</f>
        <v/>
      </c>
    </row>
    <row r="100">
      <c r="A100" t="inlineStr">
        <is>
          <t>PVX_100990</t>
        </is>
      </c>
      <c r="B100" t="inlineStr">
        <is>
          <t>DEAD/DEAH box ATP-dependent RNA helicase, putative</t>
        </is>
      </c>
      <c r="C100" t="n">
        <v>14</v>
      </c>
      <c r="D100" t="inlineStr">
        <is>
          <t>2567525 - 2570113 (-)</t>
        </is>
      </c>
      <c r="E100" t="inlineStr">
        <is>
          <t>A0A1G4H5N7, A0A1G4HLC4, A0A565A305, A5K8S1, EDL44217.1, UPI000153EA6D, XP_001613944.1, Pv100990</t>
        </is>
      </c>
      <c r="F100" t="inlineStr">
        <is>
          <t>PBANKA_1455200</t>
        </is>
      </c>
      <c r="G100" t="inlineStr">
        <is>
          <t>PF3D7_1241800</t>
        </is>
      </c>
      <c r="H100" t="inlineStr">
        <is>
          <t>PVP01_1458900</t>
        </is>
      </c>
      <c r="I100" t="inlineStr">
        <is>
          <t>none</t>
        </is>
      </c>
      <c r="J100" t="n">
        <v>98025</v>
      </c>
      <c r="K100" t="n">
        <v>862</v>
      </c>
      <c r="L100" t="n">
        <v>0</v>
      </c>
      <c r="M100" t="inlineStr">
        <is>
          <t>no</t>
        </is>
      </c>
      <c r="N100" t="inlineStr">
        <is>
          <t>none</t>
        </is>
      </c>
      <c r="O100" t="inlineStr">
        <is>
          <t>nucleic acid binding, nucleic acid binding, RNA helicase activity, helicase activity, ATP binding, ATP binding, RNA metabolic process</t>
        </is>
      </c>
      <c r="P100">
        <f>Hyperlink("PVX_100990/gintPVX_100990.fasta","gintPVX_100990")</f>
        <v/>
      </c>
      <c r="Q100">
        <f>Hyperlink("PVX_100990/gseqPVX_100990.fasta","gseqPVX_100990")</f>
        <v/>
      </c>
      <c r="R100">
        <f>Hyperlink("PVX_100990/protPVX_100990.fasta","protPVX_100990")</f>
        <v/>
      </c>
    </row>
    <row r="101">
      <c r="A101" t="inlineStr">
        <is>
          <t>PVX_003905</t>
        </is>
      </c>
      <c r="B101" t="inlineStr">
        <is>
          <t>6-cysteine protein</t>
        </is>
      </c>
      <c r="C101" t="n">
        <v>4</v>
      </c>
      <c r="D101" t="inlineStr">
        <is>
          <t>501978 - 510224 (-)</t>
        </is>
      </c>
      <c r="E101" t="inlineStr">
        <is>
          <t>A5KBP3, EDL43293.1, H1AAB1, H1AAB3, H1AAB7, H1AAC8, H1AAD5, H1AAD8, H1AAF1, H1AAI9, H1AAL6, H1AAL7, UPI000153FBBD, XP_001613020.1, Pv003905</t>
        </is>
      </c>
      <c r="F101" t="inlineStr">
        <is>
          <t>PBANKA_0306100</t>
        </is>
      </c>
      <c r="G101" t="inlineStr">
        <is>
          <t>PF3D7_0209000</t>
        </is>
      </c>
      <c r="H101" t="inlineStr">
        <is>
          <t>PVP01_0415800</t>
        </is>
      </c>
      <c r="I101" t="inlineStr">
        <is>
          <t>none</t>
        </is>
      </c>
      <c r="J101" t="n">
        <v>307777</v>
      </c>
      <c r="K101" t="n">
        <v>2748</v>
      </c>
      <c r="L101" t="n">
        <v>0</v>
      </c>
      <c r="M101" t="inlineStr">
        <is>
          <t>yes</t>
        </is>
      </c>
      <c r="N101" t="inlineStr">
        <is>
          <t>none</t>
        </is>
      </c>
      <c r="O101" t="inlineStr">
        <is>
          <t>metalloendopeptidase activity, plasma membrane, proteolysis, pathogenesis, cell surface, membrane, metal ion binding</t>
        </is>
      </c>
      <c r="P101">
        <f>Hyperlink("PVX_003905/gintPVX_003905.fasta","gintPVX_003905")</f>
        <v/>
      </c>
      <c r="Q101">
        <f>Hyperlink("PVX_003905/gseqPVX_003905.fasta","gseqPVX_003905")</f>
        <v/>
      </c>
      <c r="R101">
        <f>Hyperlink("PVX_003905/protPVX_003905.fasta","protPVX_003905")</f>
        <v/>
      </c>
    </row>
    <row r="102">
      <c r="A102" t="inlineStr">
        <is>
          <t>PVX_114270</t>
        </is>
      </c>
      <c r="B102" t="inlineStr">
        <is>
          <t>nuclear polyadenylated RNA-binding protein NAB2, putative</t>
        </is>
      </c>
      <c r="C102" t="n">
        <v>11</v>
      </c>
      <c r="D102" t="inlineStr">
        <is>
          <t>1108773 - 1113360 (+)</t>
        </is>
      </c>
      <c r="E102" t="inlineStr">
        <is>
          <t>A0A1G4GZY2, A0A1G4HFC8, A0A564ZXC1, Pv114270</t>
        </is>
      </c>
      <c r="F102" t="inlineStr">
        <is>
          <t>PBANKA_1122000</t>
        </is>
      </c>
      <c r="G102" t="inlineStr">
        <is>
          <t>PF3D7_0623100</t>
        </is>
      </c>
      <c r="H102" t="inlineStr">
        <is>
          <t>PVP01_1126400</t>
        </is>
      </c>
      <c r="I102" t="inlineStr">
        <is>
          <t>none</t>
        </is>
      </c>
      <c r="J102" t="n">
        <v>94306</v>
      </c>
      <c r="K102" t="n">
        <v>847</v>
      </c>
      <c r="L102" t="n">
        <v>0</v>
      </c>
      <c r="M102" t="inlineStr">
        <is>
          <t>no</t>
        </is>
      </c>
      <c r="N102" t="inlineStr">
        <is>
          <t>none</t>
        </is>
      </c>
      <c r="O102" t="inlineStr">
        <is>
          <t>poly(A) binding, regulation of mRNA stability, metal ion binding, metal ion binding, negative regulation of mRNA polyadenylation</t>
        </is>
      </c>
      <c r="P102">
        <f>Hyperlink("PVX_114270/gintPVX_114270.fasta","gintPVX_114270")</f>
        <v/>
      </c>
      <c r="Q102">
        <f>Hyperlink("PVX_114270/gseqPVX_114270.fasta","gseqPVX_114270")</f>
        <v/>
      </c>
      <c r="R102">
        <f>Hyperlink("PVX_114270/protPVX_114270.fasta","protPVX_114270")</f>
        <v/>
      </c>
    </row>
    <row r="103">
      <c r="A103" t="inlineStr">
        <is>
          <t>PVX_117575</t>
        </is>
      </c>
      <c r="B103" t="inlineStr">
        <is>
          <t>hypothetical protein, conserved</t>
        </is>
      </c>
      <c r="C103" t="n">
        <v>12</v>
      </c>
      <c r="D103" t="inlineStr">
        <is>
          <t>1968406 - 1969869 (+)</t>
        </is>
      </c>
      <c r="E103" t="inlineStr">
        <is>
          <t>A0A1G4H269, A0A1G4HHD7, A5K3H8, EDL46082.1, UPI000153DF3D, XP_001615809.1, Pv117575</t>
        </is>
      </c>
      <c r="F103" t="inlineStr">
        <is>
          <t>PBANKA_0311700, PBANKA_0519100, PBANKA_0519400, PBANKA_0804500, PBANKA_1002000, PBANKA_1010300, PBANKA_1345800, PBANKA_1350500</t>
        </is>
      </c>
      <c r="G103" t="inlineStr">
        <is>
          <t>PF3D7_1434500</t>
        </is>
      </c>
      <c r="H103" t="inlineStr">
        <is>
          <t>PVP01_1249100, PVP01_0303600, PVP01_0620200, PVP01_0620300, PVP01_0620800, PVP01_0734700, PVP01_0813900, PVP01_0925500, PVP01_0940300, PVP01_1030700, PVP01_1030900, PVP01_1129100, PVP01_1202900, PVP01_1271400, PVP01_1306900, PVP01_1315000, PVP01_1468700</t>
        </is>
      </c>
      <c r="I103" t="inlineStr">
        <is>
          <t>PVX_001030, PVX_003555, PVX_082480, PVX_083485, PVX_084425, PVX_084810, PVX_091860, PVX_092580, PVX_094905, PVX_097735, PVX_110940, PVX_110965, PVX_110970, PVX_111410, PVX_114145, PVX_115470, PVX_101470</t>
        </is>
      </c>
      <c r="J103" t="n">
        <v>55606</v>
      </c>
      <c r="K103" t="n">
        <v>487</v>
      </c>
      <c r="L103" t="n">
        <v>0</v>
      </c>
      <c r="M103" t="inlineStr">
        <is>
          <t>no</t>
        </is>
      </c>
      <c r="N103" t="inlineStr">
        <is>
          <t>none</t>
        </is>
      </c>
      <c r="P103">
        <f>Hyperlink("PVX_117575/gintPVX_117575.fasta","gintPVX_117575")</f>
        <v/>
      </c>
      <c r="Q103">
        <f>Hyperlink("PVX_117575/gseqPVX_117575.fasta","gseqPVX_117575")</f>
        <v/>
      </c>
      <c r="R103">
        <f>Hyperlink("PVX_117575/protPVX_117575.fasta","protPVX_117575")</f>
        <v/>
      </c>
    </row>
    <row r="104">
      <c r="A104" t="inlineStr">
        <is>
          <t>PVX_080380</t>
        </is>
      </c>
      <c r="B104" t="inlineStr">
        <is>
          <t>FACT complex subunit SPT16, putative</t>
        </is>
      </c>
      <c r="C104" t="n">
        <v>10</v>
      </c>
      <c r="D104" t="inlineStr">
        <is>
          <t>618089 - 621496 (-)</t>
        </is>
      </c>
      <c r="E104" t="inlineStr">
        <is>
          <t>A0A1G4HEE1, A0A564ZW06, A5K9I5, EDL44057.1, UPI000153E7B5, XP_001613784.1, Pv080380</t>
        </is>
      </c>
      <c r="F104" t="inlineStr">
        <is>
          <t>PBANKA_1232200</t>
        </is>
      </c>
      <c r="G104" t="inlineStr">
        <is>
          <t>PF3D7_0517400</t>
        </is>
      </c>
      <c r="H104" t="inlineStr">
        <is>
          <t>PVP01_1016600</t>
        </is>
      </c>
      <c r="I104" t="inlineStr">
        <is>
          <t>none</t>
        </is>
      </c>
      <c r="J104" t="n">
        <v>121815</v>
      </c>
      <c r="K104" t="n">
        <v>1056</v>
      </c>
      <c r="L104" t="n">
        <v>0</v>
      </c>
      <c r="M104" t="inlineStr">
        <is>
          <t>no</t>
        </is>
      </c>
      <c r="N104" t="inlineStr">
        <is>
          <t>none</t>
        </is>
      </c>
      <c r="O104" t="inlineStr">
        <is>
          <t>DNA replication, DNA repair, transcription, DNA-templated, FACT complex</t>
        </is>
      </c>
      <c r="P104">
        <f>Hyperlink("PVX_080380/gintPVX_080380.fasta","gintPVX_080380")</f>
        <v/>
      </c>
      <c r="Q104">
        <f>Hyperlink("PVX_080380/gseqPVX_080380.fasta","gseqPVX_080380")</f>
        <v/>
      </c>
      <c r="R104">
        <f>Hyperlink("PVX_080380/protPVX_080380.fasta","protPVX_080380")</f>
        <v/>
      </c>
    </row>
    <row r="105">
      <c r="A105" t="inlineStr">
        <is>
          <t>PVX_002550</t>
        </is>
      </c>
      <c r="B105" t="inlineStr">
        <is>
          <t>hypothetical protein, conserved</t>
        </is>
      </c>
      <c r="C105" t="n">
        <v>4</v>
      </c>
      <c r="D105" t="inlineStr">
        <is>
          <t>88575 - 97392 (-)</t>
        </is>
      </c>
      <c r="E105" t="inlineStr">
        <is>
          <t>A0A1G4GSI0, A0A1G4H7Y7, A0A564ZPP8, A5KBS6, EDL43122.1, UPI000153EECB, XP_001612849.1, Pv002550</t>
        </is>
      </c>
      <c r="F105" t="inlineStr">
        <is>
          <t>none</t>
        </is>
      </c>
      <c r="G105" t="inlineStr">
        <is>
          <t>none</t>
        </is>
      </c>
      <c r="H105" t="inlineStr">
        <is>
          <t>none</t>
        </is>
      </c>
      <c r="I105" t="inlineStr">
        <is>
          <t>none</t>
        </is>
      </c>
      <c r="J105" t="n">
        <v>305276</v>
      </c>
      <c r="K105" t="n">
        <v>2785</v>
      </c>
      <c r="L105" t="n">
        <v>1</v>
      </c>
      <c r="M105" t="inlineStr">
        <is>
          <t>no</t>
        </is>
      </c>
      <c r="N105" t="inlineStr">
        <is>
          <t>none</t>
        </is>
      </c>
      <c r="O105" t="inlineStr">
        <is>
          <t>membrane, integral component of membrane</t>
        </is>
      </c>
      <c r="P105">
        <f>Hyperlink("PVX_002550/gintPVX_002550.fasta","gintPVX_002550")</f>
        <v/>
      </c>
      <c r="Q105">
        <f>Hyperlink("PVX_002550/gseqPVX_002550.fasta","gseqPVX_002550")</f>
        <v/>
      </c>
      <c r="R105">
        <f>Hyperlink("PVX_002550/protPVX_002550.fasta","protPVX_002550")</f>
        <v/>
      </c>
    </row>
    <row r="106">
      <c r="A106" t="inlineStr">
        <is>
          <t>PVX_117405</t>
        </is>
      </c>
      <c r="B106" t="inlineStr">
        <is>
          <t>hypothetical protein, conserved</t>
        </is>
      </c>
      <c r="C106" t="n">
        <v>12</v>
      </c>
      <c r="D106" t="inlineStr">
        <is>
          <t>1853264 - 1855387 (-)</t>
        </is>
      </c>
      <c r="E106" t="inlineStr">
        <is>
          <t>A0A1G4H1W1, A0A1G4HHI0, A0A564ZZ67, A5K3E5, EDL46049.1, UPI000153E486, XP_001615776.1, Pv117405</t>
        </is>
      </c>
      <c r="F106" t="inlineStr">
        <is>
          <t>PBANKA_1324700</t>
        </is>
      </c>
      <c r="G106" t="inlineStr">
        <is>
          <t>PF3D7_1461000</t>
        </is>
      </c>
      <c r="H106" t="inlineStr">
        <is>
          <t>PVP01_1245800</t>
        </is>
      </c>
      <c r="I106" t="inlineStr">
        <is>
          <t>none</t>
        </is>
      </c>
      <c r="J106" t="n">
        <v>52060</v>
      </c>
      <c r="K106" t="n">
        <v>453</v>
      </c>
      <c r="L106" t="n">
        <v>0</v>
      </c>
      <c r="M106" t="inlineStr">
        <is>
          <t>no</t>
        </is>
      </c>
      <c r="N106" t="inlineStr">
        <is>
          <t>none</t>
        </is>
      </c>
      <c r="O106" t="inlineStr">
        <is>
          <t>DNA damage checkpoint, nucleus, nucleus, DNA repair, DNA repair</t>
        </is>
      </c>
      <c r="P106">
        <f>Hyperlink("PVX_117405/gintPVX_117405.fasta","gintPVX_117405")</f>
        <v/>
      </c>
      <c r="Q106">
        <f>Hyperlink("PVX_117405/gseqPVX_117405.fasta","gseqPVX_117405")</f>
        <v/>
      </c>
      <c r="R106">
        <f>Hyperlink("PVX_117405/protPVX_117405.fasta","protPVX_117405")</f>
        <v/>
      </c>
    </row>
    <row r="107">
      <c r="A107" t="inlineStr">
        <is>
          <t>PVX_092345</t>
        </is>
      </c>
      <c r="B107" t="inlineStr">
        <is>
          <t>DNA-directed RNA polymerase I subunit RPA2, putative</t>
        </is>
      </c>
      <c r="C107" t="n">
        <v>9</v>
      </c>
      <c r="D107" t="inlineStr">
        <is>
          <t>1297366 - 1302202 (-)</t>
        </is>
      </c>
      <c r="E107" t="inlineStr">
        <is>
          <t>A0A1G4GXV9, A0A1G4HD72, A0A564ZXB5, A5K506, EDL45734.1, UPI000153EC7A, XP_001615461.1, Pv092345</t>
        </is>
      </c>
      <c r="F107" t="inlineStr">
        <is>
          <t>PBANKA_0913800</t>
        </is>
      </c>
      <c r="G107" t="inlineStr">
        <is>
          <t>PF3D7_1134700</t>
        </is>
      </c>
      <c r="H107" t="inlineStr">
        <is>
          <t>PVP01_0935500</t>
        </is>
      </c>
      <c r="I107" t="inlineStr">
        <is>
          <t>none</t>
        </is>
      </c>
      <c r="J107" t="n">
        <v>177051</v>
      </c>
      <c r="K107" t="n">
        <v>1562</v>
      </c>
      <c r="L107" t="n">
        <v>0</v>
      </c>
      <c r="M107" t="inlineStr">
        <is>
          <t>no</t>
        </is>
      </c>
      <c r="N107" t="inlineStr">
        <is>
          <t>none</t>
        </is>
      </c>
      <c r="O107" t="inlineStr">
        <is>
          <t>DNA binding, DNA binding, DNA-directed 5'-3' RNA polymerase activity, DNA-directed 5'-3' RNA polymerase activity, RNA polymerase I complex, transcription, DNA-templated, transcription by RNA polymerase I, apicoplast, ribonucleoside binding, ribonucleoside binding</t>
        </is>
      </c>
      <c r="P107">
        <f>Hyperlink("PVX_092345/gintPVX_092345.fasta","gintPVX_092345")</f>
        <v/>
      </c>
      <c r="Q107">
        <f>Hyperlink("PVX_092345/gseqPVX_092345.fasta","gseqPVX_092345")</f>
        <v/>
      </c>
      <c r="R107">
        <f>Hyperlink("PVX_092345/protPVX_092345.fasta","protPVX_092345")</f>
        <v/>
      </c>
    </row>
    <row r="108">
      <c r="A108" t="inlineStr">
        <is>
          <t>PVX_083355</t>
        </is>
      </c>
      <c r="B108" t="inlineStr">
        <is>
          <t>glutamate--tRNA ligase, putative</t>
        </is>
      </c>
      <c r="C108" t="n">
        <v>12</v>
      </c>
      <c r="D108" t="inlineStr">
        <is>
          <t>183225 - 185588 (+)</t>
        </is>
      </c>
      <c r="E108" t="inlineStr">
        <is>
          <t>00860+6.1.1.17, 00970+6.1.1.17, A0A1G4H0Y9, A0A1G4HG55, A5K8C9, EDL44543.1, UPI000153EA63, XP_001614270.1, Pv083355</t>
        </is>
      </c>
      <c r="F108" t="inlineStr">
        <is>
          <t>PBANKA_1362000</t>
        </is>
      </c>
      <c r="G108" t="inlineStr">
        <is>
          <t>PF3D7_1349200</t>
        </is>
      </c>
      <c r="H108" t="inlineStr">
        <is>
          <t>PVP01_1205600</t>
        </is>
      </c>
      <c r="I108" t="inlineStr">
        <is>
          <t>none</t>
        </is>
      </c>
      <c r="J108" t="n">
        <v>91894</v>
      </c>
      <c r="K108" t="n">
        <v>787</v>
      </c>
      <c r="L108" t="n">
        <v>0</v>
      </c>
      <c r="M108" t="inlineStr">
        <is>
          <t>no</t>
        </is>
      </c>
      <c r="N108" t="inlineStr">
        <is>
          <t>none</t>
        </is>
      </c>
      <c r="O108" t="inlineStr">
        <is>
          <t>nucleotide binding, aminoacyl-tRNA ligase activity, glutamate-tRNA ligase activity, glutamate-tRNA ligase activity, ATP binding, ATP binding, cytoplasm, cytoplasm, translation, translation, tRNA aminoacylation for protein translation, glutamyl-tRNA aminoacylation, glutamyl-tRNA aminoacylation, tRNA aminoacylation</t>
        </is>
      </c>
      <c r="P108">
        <f>Hyperlink("PVX_083355/gintPVX_083355.fasta","gintPVX_083355")</f>
        <v/>
      </c>
      <c r="Q108">
        <f>Hyperlink("PVX_083355/gseqPVX_083355.fasta","gseqPVX_083355")</f>
        <v/>
      </c>
      <c r="R108">
        <f>Hyperlink("PVX_083355/protPVX_083355.fasta","protPVX_083355")</f>
        <v/>
      </c>
    </row>
    <row r="109">
      <c r="A109" t="inlineStr">
        <is>
          <t>PVX_093575</t>
        </is>
      </c>
      <c r="B109" t="inlineStr">
        <is>
          <t>DNA repair protein RAD54, putative</t>
        </is>
      </c>
      <c r="C109" t="n">
        <v>1</v>
      </c>
      <c r="D109" t="inlineStr">
        <is>
          <t>653698 - 656892 (-)</t>
        </is>
      </c>
      <c r="E109" t="inlineStr">
        <is>
          <t>A0A1G4GR17, A0A1G4H6H8, A0A564ZNC1, A5KCI2, EDL42923.1, UPI000153F9E7, XP_001608585.1, Pv093575</t>
        </is>
      </c>
      <c r="F109" t="inlineStr">
        <is>
          <t>PBANKA_1226800</t>
        </is>
      </c>
      <c r="G109" t="inlineStr">
        <is>
          <t>PF3D7_0803400</t>
        </is>
      </c>
      <c r="H109" t="inlineStr">
        <is>
          <t>PVP01_0116800</t>
        </is>
      </c>
      <c r="I109" t="inlineStr">
        <is>
          <t>none</t>
        </is>
      </c>
      <c r="J109" t="n">
        <v>122486</v>
      </c>
      <c r="K109" t="n">
        <v>1064</v>
      </c>
      <c r="L109" t="n">
        <v>0</v>
      </c>
      <c r="M109" t="inlineStr">
        <is>
          <t>no</t>
        </is>
      </c>
      <c r="N109" t="inlineStr">
        <is>
          <t>none</t>
        </is>
      </c>
      <c r="O109" t="inlineStr">
        <is>
          <t>double-strand break repair via homologous recombination, damaged DNA binding, helicase activity, ATP binding, ATP binding</t>
        </is>
      </c>
      <c r="P109">
        <f>Hyperlink("PVX_093575/gintPVX_093575.fasta","gintPVX_093575")</f>
        <v/>
      </c>
      <c r="Q109">
        <f>Hyperlink("PVX_093575/gseqPVX_093575.fasta","gseqPVX_093575")</f>
        <v/>
      </c>
      <c r="R109">
        <f>Hyperlink("PVX_093575/protPVX_093575.fasta","protPVX_093575")</f>
        <v/>
      </c>
    </row>
    <row r="110">
      <c r="A110" t="inlineStr">
        <is>
          <t>PVX_115295</t>
        </is>
      </c>
      <c r="B110" t="inlineStr">
        <is>
          <t>hypothetical protein, conserved</t>
        </is>
      </c>
      <c r="C110" t="n">
        <v>11</v>
      </c>
      <c r="D110" t="inlineStr">
        <is>
          <t>169826 - 171495 (-)</t>
        </is>
      </c>
      <c r="E110" t="inlineStr">
        <is>
          <t>A0A1G4HEX1, A5K2S2, EDL46722.1, UPI000153E133, XP_001616449.1, Pv115295</t>
        </is>
      </c>
      <c r="F110" t="inlineStr">
        <is>
          <t>PBANKA_1142600</t>
        </is>
      </c>
      <c r="G110" t="inlineStr">
        <is>
          <t>none</t>
        </is>
      </c>
      <c r="H110" t="inlineStr">
        <is>
          <t>PVP01_1105300</t>
        </is>
      </c>
      <c r="I110" t="inlineStr">
        <is>
          <t>none</t>
        </is>
      </c>
      <c r="J110" t="n">
        <v>34137</v>
      </c>
      <c r="K110" t="n">
        <v>300</v>
      </c>
      <c r="L110" t="n">
        <v>0</v>
      </c>
      <c r="M110" t="inlineStr">
        <is>
          <t>no</t>
        </is>
      </c>
      <c r="N110" t="inlineStr">
        <is>
          <t>none</t>
        </is>
      </c>
      <c r="P110">
        <f>Hyperlink("PVX_115295/gintPVX_115295.fasta","gintPVX_115295")</f>
        <v/>
      </c>
      <c r="Q110">
        <f>Hyperlink("PVX_115295/gseqPVX_115295.fasta","gseqPVX_115295")</f>
        <v/>
      </c>
      <c r="R110">
        <f>Hyperlink("PVX_115295/protPVX_115295.fasta","protPVX_115295")</f>
        <v/>
      </c>
    </row>
    <row r="111">
      <c r="A111" t="inlineStr">
        <is>
          <t>PVX_093610</t>
        </is>
      </c>
      <c r="B111" t="inlineStr">
        <is>
          <t>adenylyl cyclase beta, putative</t>
        </is>
      </c>
      <c r="C111" t="n">
        <v>1</v>
      </c>
      <c r="D111" t="inlineStr">
        <is>
          <t>678286 - 684855 (-)</t>
        </is>
      </c>
      <c r="E111" t="inlineStr">
        <is>
          <t>A0A1G4H6L0, A0A564ZPQ4, A5KCI9, EDL42930.1, UPI000153FAD5, XP_001608592.1, Pv093610</t>
        </is>
      </c>
      <c r="F111" t="inlineStr">
        <is>
          <t>PBANKA_1227600</t>
        </is>
      </c>
      <c r="G111" t="inlineStr">
        <is>
          <t>PF3D7_0802600</t>
        </is>
      </c>
      <c r="H111" t="inlineStr">
        <is>
          <t>PVP01_0117600</t>
        </is>
      </c>
      <c r="I111" t="inlineStr">
        <is>
          <t>none</t>
        </is>
      </c>
      <c r="J111" t="n">
        <v>213252</v>
      </c>
      <c r="K111" t="n">
        <v>1896</v>
      </c>
      <c r="L111" t="n">
        <v>0</v>
      </c>
      <c r="M111" t="inlineStr">
        <is>
          <t>no</t>
        </is>
      </c>
      <c r="N111" t="inlineStr">
        <is>
          <t>none</t>
        </is>
      </c>
      <c r="O111" t="inlineStr">
        <is>
          <t>guanylate cyclase activity, cyclic nucleotide biosynthetic process, cyclic nucleotide biosynthetic process, intracellular signal transduction, intracellular signal transduction, intracellular signal transduction</t>
        </is>
      </c>
      <c r="P111">
        <f>Hyperlink("PVX_093610/gintPVX_093610.fasta","gintPVX_093610")</f>
        <v/>
      </c>
      <c r="Q111">
        <f>Hyperlink("PVX_093610/gseqPVX_093610.fasta","gseqPVX_093610")</f>
        <v/>
      </c>
      <c r="R111">
        <f>Hyperlink("PVX_093610/protPVX_093610.fasta","protPVX_093610")</f>
        <v/>
      </c>
    </row>
    <row r="112">
      <c r="A112" t="inlineStr">
        <is>
          <t>PVX_115225</t>
        </is>
      </c>
      <c r="B112" t="inlineStr">
        <is>
          <t>hypothetical protein, conserved</t>
        </is>
      </c>
      <c r="C112" t="n">
        <v>11</v>
      </c>
      <c r="D112" t="inlineStr">
        <is>
          <t>225024 - 227270 (+)</t>
        </is>
      </c>
      <c r="E112" t="inlineStr">
        <is>
          <t>A0A1G4HES3, A5K2Q8, EDL46708.1, UPI000153E0C2, XP_001616435.1, Pv115225</t>
        </is>
      </c>
      <c r="F112" t="inlineStr">
        <is>
          <t>none</t>
        </is>
      </c>
      <c r="G112" t="inlineStr">
        <is>
          <t>PF3D7_1365300</t>
        </is>
      </c>
      <c r="H112" t="inlineStr">
        <is>
          <t>PVP01_1106700</t>
        </is>
      </c>
      <c r="I112" t="inlineStr">
        <is>
          <t>none</t>
        </is>
      </c>
      <c r="J112" t="n">
        <v>87088</v>
      </c>
      <c r="K112" t="n">
        <v>748</v>
      </c>
      <c r="L112" t="n">
        <v>0</v>
      </c>
      <c r="M112" t="inlineStr">
        <is>
          <t>no</t>
        </is>
      </c>
      <c r="N112" t="inlineStr">
        <is>
          <t>none</t>
        </is>
      </c>
      <c r="P112">
        <f>Hyperlink("PVX_115225/gintPVX_115225.fasta","gintPVX_115225")</f>
        <v/>
      </c>
      <c r="Q112">
        <f>Hyperlink("PVX_115225/gseqPVX_115225.fasta","gseqPVX_115225")</f>
        <v/>
      </c>
      <c r="R112">
        <f>Hyperlink("PVX_115225/protPVX_115225.fasta","protPVX_115225")</f>
        <v/>
      </c>
    </row>
    <row r="113">
      <c r="A113" t="inlineStr">
        <is>
          <t>PVX_084175</t>
        </is>
      </c>
      <c r="B113" t="inlineStr">
        <is>
          <t>hypothetical protein, conserved</t>
        </is>
      </c>
      <c r="C113" t="n">
        <v>13</v>
      </c>
      <c r="D113" t="inlineStr">
        <is>
          <t>67881 - 74884 (-)</t>
        </is>
      </c>
      <c r="E113" t="inlineStr">
        <is>
          <t>A0A1G4H2R1, A0A1G4HI60, A0A565A059, Pv084175</t>
        </is>
      </c>
      <c r="F113" t="inlineStr">
        <is>
          <t>PBANKA_0601600</t>
        </is>
      </c>
      <c r="G113" t="inlineStr">
        <is>
          <t>PF3D7_1202600</t>
        </is>
      </c>
      <c r="H113" t="inlineStr">
        <is>
          <t>PVP01_1301900</t>
        </is>
      </c>
      <c r="I113" t="inlineStr">
        <is>
          <t>none</t>
        </is>
      </c>
      <c r="J113" t="n">
        <v>225573</v>
      </c>
      <c r="K113" t="n">
        <v>2019</v>
      </c>
      <c r="L113" t="n">
        <v>0</v>
      </c>
      <c r="M113" t="inlineStr">
        <is>
          <t>no</t>
        </is>
      </c>
      <c r="N113" t="inlineStr">
        <is>
          <t>none</t>
        </is>
      </c>
      <c r="O113" t="inlineStr">
        <is>
          <t>mitochondrion</t>
        </is>
      </c>
      <c r="P113">
        <f>Hyperlink("PVX_084175/gintPVX_084175.fasta","gintPVX_084175")</f>
        <v/>
      </c>
      <c r="Q113">
        <f>Hyperlink("PVX_084175/gseqPVX_084175.fasta","gseqPVX_084175")</f>
        <v/>
      </c>
      <c r="R113">
        <f>Hyperlink("PVX_084175/protPVX_084175.fasta","protPVX_084175")</f>
        <v/>
      </c>
    </row>
    <row r="114">
      <c r="A114" t="inlineStr">
        <is>
          <t>PVX_084515</t>
        </is>
      </c>
      <c r="B114" t="inlineStr">
        <is>
          <t>hypothetical protein, conserved</t>
        </is>
      </c>
      <c r="C114" t="n">
        <v>13</v>
      </c>
      <c r="D114" t="inlineStr">
        <is>
          <t>382028 - 384159 (+)</t>
        </is>
      </c>
      <c r="E114" t="inlineStr">
        <is>
          <t>A0A1G4H2X1, UPI000864F7D0, Pv084515</t>
        </is>
      </c>
      <c r="F114" t="inlineStr">
        <is>
          <t>PBANKA_0608100</t>
        </is>
      </c>
      <c r="G114" t="inlineStr">
        <is>
          <t>PF3D7_1209700</t>
        </is>
      </c>
      <c r="H114" t="inlineStr">
        <is>
          <t>PVP01_1308800</t>
        </is>
      </c>
      <c r="I114" t="inlineStr">
        <is>
          <t>none</t>
        </is>
      </c>
      <c r="J114" t="n">
        <v>26055</v>
      </c>
      <c r="K114" t="n">
        <v>225</v>
      </c>
      <c r="L114" t="n">
        <v>2</v>
      </c>
      <c r="M114" t="inlineStr">
        <is>
          <t>no</t>
        </is>
      </c>
      <c r="N114" t="inlineStr">
        <is>
          <t>none</t>
        </is>
      </c>
      <c r="O114" t="inlineStr">
        <is>
          <t>membrane</t>
        </is>
      </c>
      <c r="P114">
        <f>Hyperlink("PVX_084515/gintPVX_084515.fasta","gintPVX_084515")</f>
        <v/>
      </c>
      <c r="Q114">
        <f>Hyperlink("PVX_084515/gseqPVX_084515.fasta","gseqPVX_084515")</f>
        <v/>
      </c>
      <c r="R114">
        <f>Hyperlink("PVX_084515/protPVX_084515.fasta","protPVX_084515")</f>
        <v/>
      </c>
    </row>
    <row r="115">
      <c r="A115" t="inlineStr">
        <is>
          <t>PVX_088220</t>
        </is>
      </c>
      <c r="B115" t="inlineStr">
        <is>
          <t>kinesin, putative</t>
        </is>
      </c>
      <c r="C115" t="n">
        <v>1</v>
      </c>
      <c r="D115" t="inlineStr">
        <is>
          <t>511749 - 514964 (+)</t>
        </is>
      </c>
      <c r="E115" t="inlineStr">
        <is>
          <t>A0A564ZN85, A5KAE0, EDL43776.1, UPI000153E9FA, XP_001613503.1, Pv088220</t>
        </is>
      </c>
      <c r="F115" t="inlineStr">
        <is>
          <t>PBANKA_1224100</t>
        </is>
      </c>
      <c r="G115" t="inlineStr">
        <is>
          <t>PF3D7_0806600</t>
        </is>
      </c>
      <c r="H115" t="inlineStr">
        <is>
          <t>PVP01_0113900</t>
        </is>
      </c>
      <c r="I115" t="inlineStr">
        <is>
          <t>none</t>
        </is>
      </c>
      <c r="J115" t="n">
        <v>89151</v>
      </c>
      <c r="K115" t="n">
        <v>794</v>
      </c>
      <c r="L115" t="n">
        <v>0</v>
      </c>
      <c r="M115" t="inlineStr">
        <is>
          <t>no</t>
        </is>
      </c>
      <c r="N115" t="inlineStr">
        <is>
          <t>none</t>
        </is>
      </c>
      <c r="O115" t="inlineStr">
        <is>
          <t>microtubule motor activity, microtubule motor activity, ATP binding, ATP binding, kinesin complex, microtubule-based movement, microtubule-based movement, microtubule binding, microtubule binding</t>
        </is>
      </c>
      <c r="P115">
        <f>Hyperlink("PVX_088220/gintPVX_088220.fasta","gintPVX_088220")</f>
        <v/>
      </c>
      <c r="Q115">
        <f>Hyperlink("PVX_088220/gseqPVX_088220.fasta","gseqPVX_088220")</f>
        <v/>
      </c>
      <c r="R115">
        <f>Hyperlink("PVX_088220/protPVX_088220.fasta","protPVX_088220")</f>
        <v/>
      </c>
    </row>
    <row r="116">
      <c r="A116" t="inlineStr">
        <is>
          <t>PVX_119330</t>
        </is>
      </c>
      <c r="B116" t="inlineStr">
        <is>
          <t>inner membrane complex protein 1e, putative</t>
        </is>
      </c>
      <c r="C116" t="n">
        <v>8</v>
      </c>
      <c r="D116" t="inlineStr">
        <is>
          <t>1553670 - 1555262 (-)</t>
        </is>
      </c>
      <c r="E116" t="inlineStr">
        <is>
          <t>A0A1G4GX23, A0A1G4HC69, A0A564ZVF2, A5KB58, EDL43336.1, Q962K9, UPI000153F6F5, XP_001613063.1, Pv119330, ALV2</t>
        </is>
      </c>
      <c r="F116" t="inlineStr">
        <is>
          <t>PBANKA_0402700</t>
        </is>
      </c>
      <c r="G116" t="inlineStr">
        <is>
          <t>PF3D7_0304100</t>
        </is>
      </c>
      <c r="H116" t="inlineStr">
        <is>
          <t>PVP01_0836100</t>
        </is>
      </c>
      <c r="I116" t="inlineStr">
        <is>
          <t>none</t>
        </is>
      </c>
      <c r="J116" t="n">
        <v>59934</v>
      </c>
      <c r="K116" t="n">
        <v>530</v>
      </c>
      <c r="L116" t="n">
        <v>0</v>
      </c>
      <c r="M116" t="inlineStr">
        <is>
          <t>no</t>
        </is>
      </c>
      <c r="N116" t="inlineStr">
        <is>
          <t>none</t>
        </is>
      </c>
      <c r="P116">
        <f>Hyperlink("PVX_119330/gintPVX_119330.fasta","gintPVX_119330")</f>
        <v/>
      </c>
      <c r="Q116">
        <f>Hyperlink("PVX_119330/gseqPVX_119330.fasta","gseqPVX_119330")</f>
        <v/>
      </c>
      <c r="R116">
        <f>Hyperlink("PVX_119330/protPVX_119330.fasta","protPVX_119330")</f>
        <v/>
      </c>
    </row>
    <row r="117">
      <c r="A117" t="inlineStr">
        <is>
          <t>PVX_089045</t>
        </is>
      </c>
      <c r="B117" t="inlineStr">
        <is>
          <t>hypothetical protein, conserved</t>
        </is>
      </c>
      <c r="C117" t="n">
        <v>5</v>
      </c>
      <c r="D117" t="inlineStr">
        <is>
          <t>248745 - 250753 (-)</t>
        </is>
      </c>
      <c r="E117" t="inlineStr">
        <is>
          <t>A0A1G4H8U3, A0A564ZSE9, A5K5I8, EDL45173.1, UPI000153E757, XP_001614900.1, Pv089045</t>
        </is>
      </c>
      <c r="F117" t="inlineStr">
        <is>
          <t>PBANKA_0704300</t>
        </is>
      </c>
      <c r="G117" t="inlineStr">
        <is>
          <t>PF3D7_0826300</t>
        </is>
      </c>
      <c r="H117" t="inlineStr">
        <is>
          <t>PVP01_0508000</t>
        </is>
      </c>
      <c r="I117" t="inlineStr">
        <is>
          <t>none</t>
        </is>
      </c>
      <c r="J117" t="n">
        <v>55699</v>
      </c>
      <c r="K117" t="n">
        <v>498</v>
      </c>
      <c r="L117" t="n">
        <v>0</v>
      </c>
      <c r="M117" t="inlineStr">
        <is>
          <t>no</t>
        </is>
      </c>
      <c r="N117" t="inlineStr">
        <is>
          <t>none</t>
        </is>
      </c>
      <c r="O117" t="inlineStr">
        <is>
          <t>protein binding, Set1C/COMPASS complex, histone H3-K4 methylation</t>
        </is>
      </c>
      <c r="P117">
        <f>Hyperlink("PVX_089045/gintPVX_089045.fasta","gintPVX_089045")</f>
        <v/>
      </c>
      <c r="Q117">
        <f>Hyperlink("PVX_089045/gseqPVX_089045.fasta","gseqPVX_089045")</f>
        <v/>
      </c>
      <c r="R117">
        <f>Hyperlink("PVX_089045/protPVX_089045.fasta","protPVX_089045")</f>
        <v/>
      </c>
    </row>
    <row r="118">
      <c r="A118" t="inlineStr">
        <is>
          <t>PVX_096210</t>
        </is>
      </c>
      <c r="B118" t="inlineStr">
        <is>
          <t>hypothetical protein, conserved</t>
        </is>
      </c>
      <c r="C118" t="n">
        <v>3</v>
      </c>
      <c r="D118" t="inlineStr">
        <is>
          <t>687068 - 689602 (-)</t>
        </is>
      </c>
      <c r="E118" t="inlineStr">
        <is>
          <t>A0A1G4GS77, A0A564ZPI4, Pv096210</t>
        </is>
      </c>
      <c r="F118" t="inlineStr">
        <is>
          <t>PBANKA_0620400</t>
        </is>
      </c>
      <c r="G118" t="inlineStr">
        <is>
          <t>PF3D7_0722900</t>
        </is>
      </c>
      <c r="H118" t="inlineStr">
        <is>
          <t>PVP01_0318600</t>
        </is>
      </c>
      <c r="I118" t="inlineStr">
        <is>
          <t>none</t>
        </is>
      </c>
      <c r="J118" t="n">
        <v>34675</v>
      </c>
      <c r="K118" t="n">
        <v>309</v>
      </c>
      <c r="L118" t="n">
        <v>0</v>
      </c>
      <c r="M118" t="inlineStr">
        <is>
          <t>no</t>
        </is>
      </c>
      <c r="N118" t="inlineStr">
        <is>
          <t>none</t>
        </is>
      </c>
      <c r="P118">
        <f>Hyperlink("PVX_096210/gintPVX_096210.fasta","gintPVX_096210")</f>
        <v/>
      </c>
      <c r="Q118">
        <f>Hyperlink("PVX_096210/gseqPVX_096210.fasta","gseqPVX_096210")</f>
        <v/>
      </c>
      <c r="R118">
        <f>Hyperlink("PVX_096210/protPVX_096210.fasta","protPVX_096210")</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2021-09-07T00:50:56Z</dcterms:created>
  <dcterms:modified xsi:type="dcterms:W3CDTF">2021-09-07T00:50:56Z</dcterms:modified>
</cp:coreProperties>
</file>