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X:\Baja SAE\Bertha\21 - 22\zOther\DT - Drivetrain\zReference\"/>
    </mc:Choice>
  </mc:AlternateContent>
  <xr:revisionPtr revIDLastSave="0" documentId="13_ncr:1_{A44E2AF6-5BB1-4E88-A6AE-86BA873FB74E}" xr6:coauthVersionLast="36" xr6:coauthVersionMax="36" xr10:uidLastSave="{00000000-0000-0000-0000-000000000000}"/>
  <bookViews>
    <workbookView xWindow="0" yWindow="0" windowWidth="28800" windowHeight="12225" xr2:uid="{B5EF3C6C-914C-4521-89F1-227F95EA8240}"/>
  </bookViews>
  <sheets>
    <sheet name="Summary" sheetId="1" r:id="rId1"/>
    <sheet name="Breakdown" sheetId="3" r:id="rId2"/>
    <sheet name="eCVT" sheetId="2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" i="1" l="1"/>
  <c r="K4" i="1"/>
  <c r="B16" i="1"/>
  <c r="F14" i="1"/>
  <c r="F13" i="1"/>
  <c r="O9" i="2"/>
  <c r="O8" i="2"/>
  <c r="N8" i="2"/>
  <c r="O4" i="2"/>
  <c r="K2" i="3"/>
  <c r="D8" i="3"/>
  <c r="M2" i="3"/>
  <c r="C5" i="2"/>
  <c r="L5" i="2" s="1"/>
  <c r="L6" i="2" s="1"/>
  <c r="L7" i="2" s="1"/>
  <c r="F23" i="1"/>
  <c r="F24" i="1"/>
  <c r="F25" i="1" s="1"/>
  <c r="H4" i="3"/>
  <c r="H2" i="3"/>
  <c r="K5" i="2" l="1"/>
  <c r="K6" i="2" s="1"/>
  <c r="K7" i="2" s="1"/>
  <c r="K8" i="2" s="1"/>
  <c r="K9" i="2" s="1"/>
  <c r="K10" i="2" s="1"/>
  <c r="K11" i="2" s="1"/>
  <c r="L8" i="2"/>
  <c r="C2" i="3"/>
  <c r="B2" i="3"/>
  <c r="I2" i="3" s="1"/>
  <c r="I4" i="3" s="1"/>
  <c r="P9" i="2" l="1"/>
  <c r="R9" i="2" s="1"/>
  <c r="L9" i="2"/>
  <c r="L10" i="2" s="1"/>
  <c r="L11" i="2" s="1"/>
  <c r="P8" i="2" s="1"/>
  <c r="R8" i="2" s="1"/>
  <c r="F12" i="1"/>
  <c r="F15" i="1"/>
  <c r="B11" i="1"/>
  <c r="F22" i="1"/>
  <c r="B21" i="1"/>
  <c r="K12" i="1"/>
  <c r="K11" i="1"/>
  <c r="K10" i="1"/>
  <c r="F20" i="1"/>
  <c r="F21" i="1" s="1"/>
  <c r="B20" i="1"/>
  <c r="M4" i="1"/>
  <c r="M2" i="1"/>
  <c r="K3" i="1" l="1"/>
  <c r="N9" i="2"/>
  <c r="F11" i="1"/>
  <c r="F10" i="1"/>
</calcChain>
</file>

<file path=xl/sharedStrings.xml><?xml version="1.0" encoding="utf-8"?>
<sst xmlns="http://schemas.openxmlformats.org/spreadsheetml/2006/main" count="149" uniqueCount="111">
  <si>
    <t>Baja SAE Restricted Kohler CH440</t>
  </si>
  <si>
    <t>Engine Speed (RPM)</t>
  </si>
  <si>
    <t>Torque Net Corrected (ft-lb)</t>
  </si>
  <si>
    <t>Power Net Corrected (HP)</t>
  </si>
  <si>
    <t>Inputs</t>
  </si>
  <si>
    <t>Sun</t>
  </si>
  <si>
    <t>Planet</t>
  </si>
  <si>
    <t>Ring</t>
  </si>
  <si>
    <t>Gear</t>
  </si>
  <si>
    <t>Pressure Angle</t>
  </si>
  <si>
    <t>Diametral Pitch</t>
  </si>
  <si>
    <t>Teeth</t>
  </si>
  <si>
    <t>Pitch Diamter</t>
  </si>
  <si>
    <t>Base Diamter</t>
  </si>
  <si>
    <t>Outside Diameter</t>
  </si>
  <si>
    <t>Center-Center</t>
  </si>
  <si>
    <t>Contact Ratio</t>
  </si>
  <si>
    <t>Face Width</t>
  </si>
  <si>
    <t>RPM</t>
  </si>
  <si>
    <t>Requirements</t>
  </si>
  <si>
    <t>Max Speed</t>
  </si>
  <si>
    <t>Max Torque</t>
  </si>
  <si>
    <t>Acceleration</t>
  </si>
  <si>
    <t>Max Acceleration</t>
  </si>
  <si>
    <t>mph</t>
  </si>
  <si>
    <t>ft/sec</t>
  </si>
  <si>
    <t>Distance</t>
  </si>
  <si>
    <t>Time</t>
  </si>
  <si>
    <t>Units</t>
  </si>
  <si>
    <t>Value</t>
  </si>
  <si>
    <t>ft</t>
  </si>
  <si>
    <t>sec</t>
  </si>
  <si>
    <t>Calculated</t>
  </si>
  <si>
    <t>ft/sec^2</t>
  </si>
  <si>
    <t>g's</t>
  </si>
  <si>
    <t>lbs</t>
  </si>
  <si>
    <t>Torque</t>
  </si>
  <si>
    <t>Tire Size</t>
  </si>
  <si>
    <t>Angle of Cable</t>
  </si>
  <si>
    <t>Payload Weight</t>
  </si>
  <si>
    <t>Hitch Point Height on Sled</t>
  </si>
  <si>
    <t>Notes</t>
  </si>
  <si>
    <r>
      <t>T</t>
    </r>
    <r>
      <rPr>
        <vertAlign val="subscript"/>
        <sz val="11"/>
        <color theme="1"/>
        <rFont val="Calibri"/>
        <family val="2"/>
        <scheme val="minor"/>
      </rPr>
      <t>r</t>
    </r>
  </si>
  <si>
    <t>theta</t>
  </si>
  <si>
    <r>
      <t>W</t>
    </r>
    <r>
      <rPr>
        <vertAlign val="subscript"/>
        <sz val="11"/>
        <color theme="1"/>
        <rFont val="Calibri"/>
        <family val="2"/>
        <scheme val="minor"/>
      </rPr>
      <t>L</t>
    </r>
  </si>
  <si>
    <r>
      <t>L</t>
    </r>
    <r>
      <rPr>
        <vertAlign val="subscript"/>
        <sz val="11"/>
        <color theme="1"/>
        <rFont val="Calibri"/>
        <family val="2"/>
        <scheme val="minor"/>
      </rPr>
      <t>L</t>
    </r>
  </si>
  <si>
    <r>
      <t>L</t>
    </r>
    <r>
      <rPr>
        <vertAlign val="subscript"/>
        <sz val="11"/>
        <color theme="1"/>
        <rFont val="Calibri"/>
        <family val="2"/>
        <scheme val="minor"/>
      </rPr>
      <t>T</t>
    </r>
  </si>
  <si>
    <r>
      <t>W</t>
    </r>
    <r>
      <rPr>
        <vertAlign val="subscript"/>
        <sz val="11"/>
        <color theme="1"/>
        <rFont val="Calibri"/>
        <family val="2"/>
        <scheme val="minor"/>
      </rPr>
      <t>S</t>
    </r>
  </si>
  <si>
    <r>
      <t>L</t>
    </r>
    <r>
      <rPr>
        <vertAlign val="subscript"/>
        <sz val="11"/>
        <color theme="1"/>
        <rFont val="Calibri"/>
        <family val="2"/>
        <scheme val="minor"/>
      </rPr>
      <t>S</t>
    </r>
  </si>
  <si>
    <r>
      <t>L</t>
    </r>
    <r>
      <rPr>
        <vertAlign val="subscript"/>
        <sz val="11"/>
        <color theme="1"/>
        <rFont val="Calibri"/>
        <family val="2"/>
        <scheme val="minor"/>
      </rPr>
      <t>N</t>
    </r>
  </si>
  <si>
    <t>mue</t>
  </si>
  <si>
    <r>
      <t>L</t>
    </r>
    <r>
      <rPr>
        <vertAlign val="subscript"/>
        <sz val="11"/>
        <color theme="1"/>
        <rFont val="Calibri"/>
        <family val="2"/>
        <scheme val="minor"/>
      </rPr>
      <t>F</t>
    </r>
  </si>
  <si>
    <t>Hitch Point Length to Axle</t>
  </si>
  <si>
    <t>Sled Weight</t>
  </si>
  <si>
    <t>Hitch Point Length to CG</t>
  </si>
  <si>
    <t>Hitch Point Length to Support Plate</t>
  </si>
  <si>
    <t>CoF Sled to Surface</t>
  </si>
  <si>
    <t>Hitch Point Length to CG of Payload</t>
  </si>
  <si>
    <t>Cable Tension</t>
  </si>
  <si>
    <t>rad</t>
  </si>
  <si>
    <t>lb-ft</t>
  </si>
  <si>
    <r>
      <t>F</t>
    </r>
    <r>
      <rPr>
        <vertAlign val="subscript"/>
        <sz val="11"/>
        <color theme="1"/>
        <rFont val="Calibri"/>
        <family val="2"/>
        <scheme val="minor"/>
      </rPr>
      <t>C</t>
    </r>
  </si>
  <si>
    <r>
      <t>T</t>
    </r>
    <r>
      <rPr>
        <vertAlign val="subscript"/>
        <sz val="11"/>
        <color theme="1"/>
        <rFont val="Calibri"/>
        <family val="2"/>
        <scheme val="minor"/>
      </rPr>
      <t>max</t>
    </r>
  </si>
  <si>
    <t>Vehicle Specs</t>
  </si>
  <si>
    <t>Gross Weight</t>
  </si>
  <si>
    <t>Front Weight Distribution</t>
  </si>
  <si>
    <t>Rear Weight Distribution</t>
  </si>
  <si>
    <t>Front Axle Weight</t>
  </si>
  <si>
    <t>Rear Axle Weight</t>
  </si>
  <si>
    <t>CoF Tire-to-Asphalt</t>
  </si>
  <si>
    <t>CoF Tire-to-Dirt</t>
  </si>
  <si>
    <t>Minimum Driving Force</t>
  </si>
  <si>
    <t>Maximum Driving Force</t>
  </si>
  <si>
    <t>Max Theoretical Torque</t>
  </si>
  <si>
    <r>
      <t>F</t>
    </r>
    <r>
      <rPr>
        <vertAlign val="subscript"/>
        <sz val="11"/>
        <color theme="1"/>
        <rFont val="Calibri"/>
        <family val="2"/>
        <scheme val="minor"/>
      </rPr>
      <t>D,min</t>
    </r>
  </si>
  <si>
    <r>
      <t>F</t>
    </r>
    <r>
      <rPr>
        <vertAlign val="subscript"/>
        <sz val="11"/>
        <color theme="1"/>
        <rFont val="Calibri"/>
        <family val="2"/>
        <scheme val="minor"/>
      </rPr>
      <t>D,max</t>
    </r>
  </si>
  <si>
    <t>Gear Reduction</t>
  </si>
  <si>
    <r>
      <t>T</t>
    </r>
    <r>
      <rPr>
        <vertAlign val="subscript"/>
        <sz val="11"/>
        <color theme="1"/>
        <rFont val="Calibri"/>
        <family val="2"/>
        <scheme val="minor"/>
      </rPr>
      <t>traction limited</t>
    </r>
  </si>
  <si>
    <t>Sled Pull/Low Gear</t>
  </si>
  <si>
    <t>Air Density</t>
  </si>
  <si>
    <t>Frontal Surface Area</t>
  </si>
  <si>
    <t>Max Power Available</t>
  </si>
  <si>
    <t>Coefficient of Drag</t>
  </si>
  <si>
    <t>Coefficient of Rolling Resistance</t>
  </si>
  <si>
    <t>slugs/ft^3</t>
  </si>
  <si>
    <t>ft^2</t>
  </si>
  <si>
    <t>Place Holder, need estimate</t>
  </si>
  <si>
    <t>lb-ft/s</t>
  </si>
  <si>
    <t>hp</t>
  </si>
  <si>
    <t>Driveline Efficiency</t>
  </si>
  <si>
    <t>Max Driving Force</t>
  </si>
  <si>
    <t>Max Theoretical Power</t>
  </si>
  <si>
    <t>Engine</t>
  </si>
  <si>
    <t>Differentials</t>
  </si>
  <si>
    <t>Portal Hubs</t>
  </si>
  <si>
    <t>Low</t>
  </si>
  <si>
    <t>High</t>
  </si>
  <si>
    <t>Counter</t>
  </si>
  <si>
    <t>Pinion</t>
  </si>
  <si>
    <t>Carrier</t>
  </si>
  <si>
    <t>Bevel Pinion</t>
  </si>
  <si>
    <t>Bevel Counter</t>
  </si>
  <si>
    <t>Hub Pinion</t>
  </si>
  <si>
    <t>Hub Counter</t>
  </si>
  <si>
    <t>RPM (Low)</t>
  </si>
  <si>
    <t>RPM (High)</t>
  </si>
  <si>
    <t>Tire Radisu</t>
  </si>
  <si>
    <t>meters</t>
  </si>
  <si>
    <t>Required</t>
  </si>
  <si>
    <t>Theoretical</t>
  </si>
  <si>
    <t>Realistic Efficiency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</si>
</sst>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35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2" fillId="0" borderId="0" xfId="0" applyFont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0" xfId="0" applyFill="1" applyBorder="1"/>
    <xf numFmtId="0" fontId="0" fillId="0" borderId="0" xfId="0" applyFont="1" applyFill="1" applyBorder="1"/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9" fontId="0" fillId="0" borderId="0" xfId="0" applyNumberFormat="1" applyBorder="1"/>
    <xf numFmtId="9" fontId="0" fillId="0" borderId="15" xfId="1" applyFont="1" applyBorder="1"/>
    <xf numFmtId="0" fontId="1" fillId="0" borderId="19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0" fillId="0" borderId="9" xfId="0" applyBorder="1"/>
    <xf numFmtId="0" fontId="2" fillId="0" borderId="10" xfId="0" applyFont="1" applyBorder="1"/>
    <xf numFmtId="0" fontId="2" fillId="0" borderId="11" xfId="0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DC145C-FBBF-4B33-993F-EEF3DCB3C096}">
  <dimension ref="A1:N29"/>
  <sheetViews>
    <sheetView tabSelected="1" workbookViewId="0">
      <selection activeCell="S21" sqref="S21"/>
    </sheetView>
  </sheetViews>
  <sheetFormatPr defaultRowHeight="15" x14ac:dyDescent="0.25"/>
  <cols>
    <col min="1" max="1" width="32.7109375" bestFit="1" customWidth="1"/>
    <col min="2" max="2" width="12" bestFit="1" customWidth="1"/>
    <col min="3" max="3" width="9.7109375" bestFit="1" customWidth="1"/>
    <col min="4" max="4" width="26.5703125" bestFit="1" customWidth="1"/>
    <col min="5" max="5" width="22.28515625" bestFit="1" customWidth="1"/>
    <col min="6" max="6" width="12" bestFit="1" customWidth="1"/>
    <col min="7" max="7" width="8.140625" bestFit="1" customWidth="1"/>
    <col min="8" max="8" width="10.42578125" bestFit="1" customWidth="1"/>
    <col min="9" max="9" width="12.7109375" bestFit="1" customWidth="1"/>
    <col min="10" max="10" width="24" bestFit="1" customWidth="1"/>
    <col min="11" max="11" width="12" bestFit="1" customWidth="1"/>
    <col min="12" max="12" width="5.5703125" bestFit="1" customWidth="1"/>
    <col min="13" max="13" width="12" bestFit="1" customWidth="1"/>
    <col min="14" max="14" width="6.140625" bestFit="1" customWidth="1"/>
  </cols>
  <sheetData>
    <row r="1" spans="1:14" x14ac:dyDescent="0.25">
      <c r="A1" s="20" t="s">
        <v>0</v>
      </c>
      <c r="B1" s="21"/>
      <c r="C1" s="21"/>
      <c r="D1" s="21"/>
      <c r="E1" s="21"/>
      <c r="F1" s="21"/>
      <c r="G1" s="21"/>
      <c r="H1" s="22"/>
      <c r="J1" s="1" t="s">
        <v>19</v>
      </c>
    </row>
    <row r="2" spans="1:14" x14ac:dyDescent="0.25">
      <c r="A2" s="2" t="s">
        <v>1</v>
      </c>
      <c r="B2" s="3">
        <v>3600</v>
      </c>
      <c r="C2" s="3">
        <v>3400</v>
      </c>
      <c r="D2" s="3">
        <v>3200</v>
      </c>
      <c r="E2" s="3">
        <v>3000</v>
      </c>
      <c r="F2" s="3">
        <v>2800</v>
      </c>
      <c r="G2" s="3">
        <v>2600</v>
      </c>
      <c r="H2" s="4">
        <v>2400</v>
      </c>
      <c r="J2" t="s">
        <v>20</v>
      </c>
      <c r="K2">
        <v>34.764130000000002</v>
      </c>
      <c r="L2" t="s">
        <v>24</v>
      </c>
      <c r="M2">
        <f>K2*5280/3600</f>
        <v>50.98739066666667</v>
      </c>
      <c r="N2" t="s">
        <v>25</v>
      </c>
    </row>
    <row r="3" spans="1:14" x14ac:dyDescent="0.25">
      <c r="A3" s="2" t="s">
        <v>2</v>
      </c>
      <c r="B3" s="3">
        <v>13.5</v>
      </c>
      <c r="C3" s="3">
        <v>14.5</v>
      </c>
      <c r="D3" s="3">
        <v>15.4</v>
      </c>
      <c r="E3" s="3">
        <v>16.600000000000001</v>
      </c>
      <c r="F3" s="3">
        <v>17.399999999999999</v>
      </c>
      <c r="G3" s="3">
        <v>18.100000000000001</v>
      </c>
      <c r="H3" s="4">
        <v>18.5</v>
      </c>
      <c r="J3" t="s">
        <v>21</v>
      </c>
      <c r="K3">
        <f>F21</f>
        <v>425.51787426738497</v>
      </c>
      <c r="L3" t="s">
        <v>60</v>
      </c>
    </row>
    <row r="4" spans="1:14" ht="15.75" thickBot="1" x14ac:dyDescent="0.3">
      <c r="A4" s="5" t="s">
        <v>3</v>
      </c>
      <c r="B4" s="6">
        <v>9.3000000000000007</v>
      </c>
      <c r="C4" s="6">
        <v>9.4</v>
      </c>
      <c r="D4" s="6">
        <v>9.4</v>
      </c>
      <c r="E4" s="6">
        <v>9.5</v>
      </c>
      <c r="F4" s="6">
        <v>9.3000000000000007</v>
      </c>
      <c r="G4" s="6">
        <v>9</v>
      </c>
      <c r="H4" s="7">
        <v>8.5</v>
      </c>
      <c r="J4" t="s">
        <v>23</v>
      </c>
      <c r="K4">
        <f>F10</f>
        <v>0.50703511218151853</v>
      </c>
      <c r="L4" t="s">
        <v>34</v>
      </c>
      <c r="M4">
        <f>F9</f>
        <v>16.326530612244898</v>
      </c>
      <c r="N4" t="s">
        <v>25</v>
      </c>
    </row>
    <row r="6" spans="1:14" x14ac:dyDescent="0.25">
      <c r="A6" s="23" t="s">
        <v>4</v>
      </c>
      <c r="B6" s="23"/>
      <c r="C6" s="23"/>
      <c r="D6" s="24"/>
      <c r="E6" s="27" t="s">
        <v>32</v>
      </c>
      <c r="F6" s="23"/>
      <c r="G6" s="23"/>
      <c r="H6" s="24"/>
      <c r="J6" s="19" t="s">
        <v>63</v>
      </c>
      <c r="K6" s="19"/>
      <c r="L6" s="19"/>
      <c r="M6" s="19"/>
    </row>
    <row r="7" spans="1:14" x14ac:dyDescent="0.25">
      <c r="A7" s="16" t="s">
        <v>22</v>
      </c>
      <c r="B7" s="17"/>
      <c r="C7" s="17"/>
      <c r="D7" s="17"/>
      <c r="E7" s="17"/>
      <c r="F7" s="17"/>
      <c r="G7" s="17"/>
      <c r="H7" s="18"/>
      <c r="K7" t="s">
        <v>29</v>
      </c>
      <c r="L7" t="s">
        <v>28</v>
      </c>
      <c r="M7" t="s">
        <v>41</v>
      </c>
    </row>
    <row r="8" spans="1:14" x14ac:dyDescent="0.25">
      <c r="A8" s="32"/>
      <c r="B8" s="33" t="s">
        <v>29</v>
      </c>
      <c r="C8" s="33" t="s">
        <v>28</v>
      </c>
      <c r="D8" s="34" t="s">
        <v>41</v>
      </c>
      <c r="E8" s="32"/>
      <c r="F8" s="33" t="s">
        <v>29</v>
      </c>
      <c r="G8" s="33" t="s">
        <v>28</v>
      </c>
      <c r="H8" s="34" t="s">
        <v>41</v>
      </c>
      <c r="J8" t="s">
        <v>64</v>
      </c>
      <c r="K8">
        <v>578</v>
      </c>
      <c r="L8" t="s">
        <v>35</v>
      </c>
    </row>
    <row r="9" spans="1:14" x14ac:dyDescent="0.25">
      <c r="A9" s="9" t="s">
        <v>26</v>
      </c>
      <c r="B9" s="3">
        <v>100</v>
      </c>
      <c r="C9" s="3" t="s">
        <v>30</v>
      </c>
      <c r="D9" s="10"/>
      <c r="E9" s="9" t="s">
        <v>22</v>
      </c>
      <c r="F9" s="3">
        <f>(2*B9)/(B10^2)</f>
        <v>16.326530612244898</v>
      </c>
      <c r="G9" s="3" t="s">
        <v>33</v>
      </c>
      <c r="H9" s="10"/>
      <c r="J9" s="15" t="s">
        <v>65</v>
      </c>
      <c r="K9">
        <v>0.4</v>
      </c>
    </row>
    <row r="10" spans="1:14" x14ac:dyDescent="0.25">
      <c r="A10" s="9" t="s">
        <v>27</v>
      </c>
      <c r="B10" s="3">
        <v>3.5</v>
      </c>
      <c r="C10" s="3" t="s">
        <v>31</v>
      </c>
      <c r="D10" s="10"/>
      <c r="E10" s="9" t="s">
        <v>22</v>
      </c>
      <c r="F10" s="3">
        <f>F9/32.2</f>
        <v>0.50703511218151853</v>
      </c>
      <c r="G10" s="3" t="s">
        <v>34</v>
      </c>
      <c r="H10" s="10"/>
      <c r="J10" t="s">
        <v>66</v>
      </c>
      <c r="K10">
        <f>1-K9</f>
        <v>0.6</v>
      </c>
    </row>
    <row r="11" spans="1:14" x14ac:dyDescent="0.25">
      <c r="A11" s="9" t="s">
        <v>79</v>
      </c>
      <c r="B11" s="3">
        <f>2.38*10^-3</f>
        <v>2.3799999999999997E-3</v>
      </c>
      <c r="C11" s="3" t="s">
        <v>84</v>
      </c>
      <c r="D11" s="10"/>
      <c r="E11" s="9" t="s">
        <v>90</v>
      </c>
      <c r="F11" s="3">
        <f>1/2*B11*M2*B12*B13+B14*K8</f>
        <v>40.221405922787206</v>
      </c>
      <c r="G11" s="3"/>
      <c r="H11" s="10"/>
      <c r="J11" t="s">
        <v>67</v>
      </c>
      <c r="K11">
        <f>K8*K9</f>
        <v>231.20000000000002</v>
      </c>
      <c r="L11" t="s">
        <v>35</v>
      </c>
    </row>
    <row r="12" spans="1:14" x14ac:dyDescent="0.25">
      <c r="A12" s="9" t="s">
        <v>80</v>
      </c>
      <c r="B12" s="3">
        <v>14</v>
      </c>
      <c r="C12" s="3" t="s">
        <v>85</v>
      </c>
      <c r="D12" s="10" t="s">
        <v>86</v>
      </c>
      <c r="E12" s="9" t="s">
        <v>91</v>
      </c>
      <c r="F12" s="3">
        <f>550*E4*B15</f>
        <v>4702.5</v>
      </c>
      <c r="G12" s="3" t="s">
        <v>87</v>
      </c>
      <c r="H12" s="10"/>
      <c r="J12" t="s">
        <v>68</v>
      </c>
      <c r="K12">
        <f>K8*K10</f>
        <v>346.8</v>
      </c>
      <c r="L12" t="s">
        <v>35</v>
      </c>
    </row>
    <row r="13" spans="1:14" x14ac:dyDescent="0.25">
      <c r="A13" s="9" t="s">
        <v>82</v>
      </c>
      <c r="B13" s="3">
        <v>1.08</v>
      </c>
      <c r="C13" s="3"/>
      <c r="D13" s="10"/>
      <c r="E13" s="9" t="s">
        <v>81</v>
      </c>
      <c r="F13" s="3">
        <f>1/2*B11*M2^3*B12*B13+B14*K8*M2</f>
        <v>4389.0014303329881</v>
      </c>
      <c r="G13" s="3" t="s">
        <v>87</v>
      </c>
      <c r="H13" s="10"/>
      <c r="J13" t="s">
        <v>69</v>
      </c>
      <c r="K13">
        <v>0.78800000000000003</v>
      </c>
    </row>
    <row r="14" spans="1:14" x14ac:dyDescent="0.25">
      <c r="A14" s="9" t="s">
        <v>83</v>
      </c>
      <c r="B14" s="3">
        <v>6.8000000000000005E-2</v>
      </c>
      <c r="C14" s="3"/>
      <c r="D14" s="10"/>
      <c r="E14" s="9" t="s">
        <v>81</v>
      </c>
      <c r="F14" s="3">
        <f>F13/550</f>
        <v>7.9800026006054328</v>
      </c>
      <c r="G14" s="3" t="s">
        <v>88</v>
      </c>
      <c r="H14" s="10"/>
      <c r="J14" t="s">
        <v>70</v>
      </c>
      <c r="K14">
        <v>1.1830000000000001</v>
      </c>
    </row>
    <row r="15" spans="1:14" x14ac:dyDescent="0.25">
      <c r="A15" s="9" t="s">
        <v>89</v>
      </c>
      <c r="B15" s="25">
        <v>0.9</v>
      </c>
      <c r="C15" s="3"/>
      <c r="D15" s="10"/>
      <c r="E15" s="9" t="s">
        <v>76</v>
      </c>
      <c r="F15" s="3">
        <f>(B2*2*PI()*B20*3600)/(K2*60*5280)</f>
        <v>6.777659875832776</v>
      </c>
      <c r="G15" s="3"/>
      <c r="H15" s="10"/>
    </row>
    <row r="16" spans="1:14" x14ac:dyDescent="0.25">
      <c r="A16" s="11" t="s">
        <v>110</v>
      </c>
      <c r="B16" s="26">
        <f>0.99*0.99*0.99*0.99*0.99</f>
        <v>0.95099004989999991</v>
      </c>
      <c r="C16" s="12"/>
      <c r="D16" s="13"/>
      <c r="E16" s="11"/>
      <c r="F16" s="12"/>
      <c r="G16" s="12"/>
      <c r="H16" s="13"/>
    </row>
    <row r="18" spans="1:8" x14ac:dyDescent="0.25">
      <c r="A18" s="27" t="s">
        <v>4</v>
      </c>
      <c r="B18" s="30"/>
      <c r="C18" s="30"/>
      <c r="D18" s="31"/>
      <c r="E18" s="23" t="s">
        <v>32</v>
      </c>
      <c r="F18" s="28"/>
      <c r="G18" s="28"/>
      <c r="H18" s="29"/>
    </row>
    <row r="19" spans="1:8" x14ac:dyDescent="0.25">
      <c r="A19" s="16" t="s">
        <v>78</v>
      </c>
      <c r="B19" s="17"/>
      <c r="C19" s="17"/>
      <c r="D19" s="17"/>
      <c r="E19" s="17"/>
      <c r="F19" s="17"/>
      <c r="G19" s="17"/>
      <c r="H19" s="18"/>
    </row>
    <row r="20" spans="1:8" ht="18" x14ac:dyDescent="0.35">
      <c r="A20" s="9" t="s">
        <v>37</v>
      </c>
      <c r="B20" s="3">
        <f>11/12</f>
        <v>0.91666666666666663</v>
      </c>
      <c r="C20" s="3" t="s">
        <v>30</v>
      </c>
      <c r="D20" s="10" t="s">
        <v>42</v>
      </c>
      <c r="E20" s="14" t="s">
        <v>58</v>
      </c>
      <c r="F20" s="3">
        <f>(-B22*(B23-B24)+B25*(B24-B26))/(B24*(COS(B21)/B28)+B24*SIN(B21)-B27*(COS(B21)/B28)-B29*COS(B21))</f>
        <v>536.01351109804807</v>
      </c>
      <c r="G20" s="3" t="s">
        <v>35</v>
      </c>
      <c r="H20" s="10" t="s">
        <v>61</v>
      </c>
    </row>
    <row r="21" spans="1:8" ht="18" x14ac:dyDescent="0.35">
      <c r="A21" s="9" t="s">
        <v>38</v>
      </c>
      <c r="B21" s="3">
        <f>(30)*PI()/180</f>
        <v>0.52359877559829882</v>
      </c>
      <c r="C21" s="3" t="s">
        <v>59</v>
      </c>
      <c r="D21" s="10" t="s">
        <v>43</v>
      </c>
      <c r="E21" s="14" t="s">
        <v>36</v>
      </c>
      <c r="F21" s="3">
        <f>B20*F20*COS(B21)</f>
        <v>425.51787426738497</v>
      </c>
      <c r="G21" s="3" t="s">
        <v>60</v>
      </c>
      <c r="H21" s="10" t="s">
        <v>62</v>
      </c>
    </row>
    <row r="22" spans="1:8" ht="18" x14ac:dyDescent="0.35">
      <c r="A22" s="9" t="s">
        <v>39</v>
      </c>
      <c r="B22" s="3">
        <v>1000</v>
      </c>
      <c r="C22" s="3" t="s">
        <v>35</v>
      </c>
      <c r="D22" s="10" t="s">
        <v>44</v>
      </c>
      <c r="E22" s="14" t="s">
        <v>71</v>
      </c>
      <c r="F22" s="3">
        <f>K8/2*K13</f>
        <v>227.732</v>
      </c>
      <c r="G22" s="3" t="s">
        <v>35</v>
      </c>
      <c r="H22" s="10" t="s">
        <v>74</v>
      </c>
    </row>
    <row r="23" spans="1:8" ht="18" x14ac:dyDescent="0.35">
      <c r="A23" s="9" t="s">
        <v>40</v>
      </c>
      <c r="B23" s="3">
        <v>4</v>
      </c>
      <c r="C23" s="3" t="s">
        <v>30</v>
      </c>
      <c r="D23" s="10" t="s">
        <v>45</v>
      </c>
      <c r="E23" s="14" t="s">
        <v>72</v>
      </c>
      <c r="F23" s="3">
        <f>K8/2*K14</f>
        <v>341.887</v>
      </c>
      <c r="G23" s="3" t="s">
        <v>35</v>
      </c>
      <c r="H23" s="10" t="s">
        <v>75</v>
      </c>
    </row>
    <row r="24" spans="1:8" ht="18" x14ac:dyDescent="0.35">
      <c r="A24" s="9" t="s">
        <v>52</v>
      </c>
      <c r="B24" s="3">
        <v>11</v>
      </c>
      <c r="C24" s="3" t="s">
        <v>30</v>
      </c>
      <c r="D24" s="10" t="s">
        <v>46</v>
      </c>
      <c r="E24" s="14" t="s">
        <v>73</v>
      </c>
      <c r="F24" s="3">
        <f>2*B20*F23</f>
        <v>626.79283333333331</v>
      </c>
      <c r="G24" s="3" t="s">
        <v>60</v>
      </c>
      <c r="H24" s="10" t="s">
        <v>77</v>
      </c>
    </row>
    <row r="25" spans="1:8" ht="18" x14ac:dyDescent="0.35">
      <c r="A25" s="9" t="s">
        <v>53</v>
      </c>
      <c r="B25" s="3">
        <v>1000</v>
      </c>
      <c r="C25" s="3" t="s">
        <v>35</v>
      </c>
      <c r="D25" s="10" t="s">
        <v>47</v>
      </c>
      <c r="E25" s="14" t="s">
        <v>76</v>
      </c>
      <c r="F25" s="3">
        <f>F24/H3</f>
        <v>33.880693693693694</v>
      </c>
      <c r="G25" s="3"/>
      <c r="H25" s="10"/>
    </row>
    <row r="26" spans="1:8" ht="18" x14ac:dyDescent="0.35">
      <c r="A26" s="9" t="s">
        <v>54</v>
      </c>
      <c r="B26" s="3">
        <v>6</v>
      </c>
      <c r="C26" s="3" t="s">
        <v>30</v>
      </c>
      <c r="D26" s="10" t="s">
        <v>48</v>
      </c>
      <c r="E26" s="3"/>
      <c r="F26" s="3"/>
      <c r="G26" s="3"/>
      <c r="H26" s="10"/>
    </row>
    <row r="27" spans="1:8" ht="18" x14ac:dyDescent="0.35">
      <c r="A27" s="9" t="s">
        <v>55</v>
      </c>
      <c r="B27" s="3">
        <v>2</v>
      </c>
      <c r="C27" s="3" t="s">
        <v>30</v>
      </c>
      <c r="D27" s="10" t="s">
        <v>49</v>
      </c>
      <c r="E27" s="3"/>
      <c r="F27" s="3"/>
      <c r="G27" s="3"/>
      <c r="H27" s="10"/>
    </row>
    <row r="28" spans="1:8" x14ac:dyDescent="0.25">
      <c r="A28" s="9" t="s">
        <v>56</v>
      </c>
      <c r="B28" s="3">
        <v>0.45</v>
      </c>
      <c r="C28" s="3" t="s">
        <v>30</v>
      </c>
      <c r="D28" s="10" t="s">
        <v>50</v>
      </c>
      <c r="E28" s="3"/>
      <c r="F28" s="3"/>
      <c r="G28" s="3"/>
      <c r="H28" s="10"/>
    </row>
    <row r="29" spans="1:8" ht="18" x14ac:dyDescent="0.35">
      <c r="A29" s="11" t="s">
        <v>57</v>
      </c>
      <c r="B29" s="12">
        <v>0.5</v>
      </c>
      <c r="C29" s="12" t="s">
        <v>30</v>
      </c>
      <c r="D29" s="13" t="s">
        <v>51</v>
      </c>
      <c r="E29" s="12"/>
      <c r="F29" s="12"/>
      <c r="G29" s="12"/>
      <c r="H29" s="13"/>
    </row>
  </sheetData>
  <mergeCells count="8">
    <mergeCell ref="J6:M6"/>
    <mergeCell ref="A1:H1"/>
    <mergeCell ref="A6:D6"/>
    <mergeCell ref="A7:H7"/>
    <mergeCell ref="E6:H6"/>
    <mergeCell ref="A19:H19"/>
    <mergeCell ref="A18:D18"/>
    <mergeCell ref="E18:H1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D1345-004E-46F4-9B9B-3F04E91A67AC}">
  <dimension ref="A1:M8"/>
  <sheetViews>
    <sheetView workbookViewId="0">
      <selection activeCell="L4" sqref="L4"/>
    </sheetView>
  </sheetViews>
  <sheetFormatPr defaultRowHeight="15" x14ac:dyDescent="0.25"/>
  <cols>
    <col min="1" max="1" width="12.140625" bestFit="1" customWidth="1"/>
  </cols>
  <sheetData>
    <row r="1" spans="1:13" x14ac:dyDescent="0.25">
      <c r="B1" t="s">
        <v>95</v>
      </c>
      <c r="C1" t="s">
        <v>96</v>
      </c>
    </row>
    <row r="2" spans="1:13" x14ac:dyDescent="0.25">
      <c r="A2" t="s">
        <v>92</v>
      </c>
      <c r="B2">
        <f>Summary!H2</f>
        <v>2400</v>
      </c>
      <c r="C2">
        <f>Summary!B2</f>
        <v>3600</v>
      </c>
      <c r="H2">
        <f>1700*7/34</f>
        <v>350</v>
      </c>
      <c r="I2">
        <f>B2*B5*B6*B7/34</f>
        <v>1270.5882352941176</v>
      </c>
      <c r="K2">
        <f>2.2*B5*B6*B7</f>
        <v>39.6</v>
      </c>
      <c r="M2">
        <f>10*2.2</f>
        <v>22</v>
      </c>
    </row>
    <row r="3" spans="1:13" x14ac:dyDescent="0.25">
      <c r="A3" t="s">
        <v>5</v>
      </c>
      <c r="B3">
        <v>3600</v>
      </c>
      <c r="C3">
        <v>-3600</v>
      </c>
    </row>
    <row r="4" spans="1:13" x14ac:dyDescent="0.25">
      <c r="A4" t="s">
        <v>7</v>
      </c>
      <c r="B4">
        <v>350</v>
      </c>
      <c r="H4">
        <f>2400/350</f>
        <v>6.8571428571428568</v>
      </c>
      <c r="I4">
        <f>2400/I2</f>
        <v>1.8888888888888891</v>
      </c>
    </row>
    <row r="5" spans="1:13" x14ac:dyDescent="0.25">
      <c r="A5" t="s">
        <v>97</v>
      </c>
      <c r="B5">
        <v>3</v>
      </c>
      <c r="C5">
        <v>3</v>
      </c>
    </row>
    <row r="6" spans="1:13" x14ac:dyDescent="0.25">
      <c r="A6" t="s">
        <v>93</v>
      </c>
      <c r="B6">
        <v>3</v>
      </c>
      <c r="C6">
        <v>3</v>
      </c>
    </row>
    <row r="7" spans="1:13" x14ac:dyDescent="0.25">
      <c r="A7" t="s">
        <v>94</v>
      </c>
      <c r="B7">
        <v>2</v>
      </c>
      <c r="C7">
        <v>2</v>
      </c>
    </row>
    <row r="8" spans="1:13" x14ac:dyDescent="0.25">
      <c r="D8">
        <f>15*C7</f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7712E-421D-48B5-92B0-0CE16AF18AB7}">
  <dimension ref="A1:R11"/>
  <sheetViews>
    <sheetView workbookViewId="0">
      <selection activeCell="L26" sqref="L26"/>
    </sheetView>
  </sheetViews>
  <sheetFormatPr defaultRowHeight="15" x14ac:dyDescent="0.25"/>
  <cols>
    <col min="1" max="1" width="13.7109375" bestFit="1" customWidth="1"/>
    <col min="2" max="2" width="14.42578125" bestFit="1" customWidth="1"/>
    <col min="3" max="3" width="6.140625" bestFit="1" customWidth="1"/>
    <col min="4" max="10" width="1.7109375" customWidth="1"/>
    <col min="11" max="11" width="12" bestFit="1" customWidth="1"/>
    <col min="12" max="12" width="11.5703125" bestFit="1" customWidth="1"/>
  </cols>
  <sheetData>
    <row r="1" spans="1:18" x14ac:dyDescent="0.25">
      <c r="A1" s="19" t="s">
        <v>4</v>
      </c>
      <c r="B1" s="19"/>
      <c r="C1" s="19"/>
      <c r="D1" s="19"/>
      <c r="E1" s="19"/>
      <c r="F1" s="19"/>
      <c r="G1" s="19"/>
      <c r="H1" s="19"/>
      <c r="I1" s="19"/>
      <c r="J1" s="19"/>
      <c r="K1" s="19"/>
    </row>
    <row r="2" spans="1:18" x14ac:dyDescent="0.25">
      <c r="A2" s="8" t="s">
        <v>8</v>
      </c>
      <c r="B2" s="8" t="s">
        <v>9</v>
      </c>
      <c r="C2" s="8" t="s">
        <v>11</v>
      </c>
      <c r="D2" s="8" t="s">
        <v>10</v>
      </c>
      <c r="E2" s="8" t="s">
        <v>12</v>
      </c>
      <c r="F2" s="8" t="s">
        <v>13</v>
      </c>
      <c r="G2" s="8" t="s">
        <v>14</v>
      </c>
      <c r="H2" s="8" t="s">
        <v>15</v>
      </c>
      <c r="I2" s="8" t="s">
        <v>16</v>
      </c>
      <c r="J2" s="8" t="s">
        <v>17</v>
      </c>
      <c r="K2" s="8" t="s">
        <v>104</v>
      </c>
      <c r="L2" s="8" t="s">
        <v>105</v>
      </c>
      <c r="N2" t="s">
        <v>99</v>
      </c>
      <c r="O2">
        <v>2200</v>
      </c>
      <c r="P2" t="s">
        <v>18</v>
      </c>
    </row>
    <row r="3" spans="1:18" x14ac:dyDescent="0.25">
      <c r="A3" t="s">
        <v>5</v>
      </c>
      <c r="C3">
        <v>91</v>
      </c>
      <c r="K3">
        <v>3600</v>
      </c>
      <c r="L3">
        <v>-3600</v>
      </c>
      <c r="O3">
        <v>3600</v>
      </c>
      <c r="P3" t="s">
        <v>18</v>
      </c>
    </row>
    <row r="4" spans="1:18" x14ac:dyDescent="0.25">
      <c r="A4" t="s">
        <v>6</v>
      </c>
      <c r="C4">
        <v>11</v>
      </c>
      <c r="N4" t="s">
        <v>106</v>
      </c>
      <c r="O4">
        <f>11/39.37</f>
        <v>0.27940055880111764</v>
      </c>
      <c r="P4" t="s">
        <v>107</v>
      </c>
    </row>
    <row r="5" spans="1:18" x14ac:dyDescent="0.25">
      <c r="A5" t="s">
        <v>7</v>
      </c>
      <c r="C5">
        <f>IF(MOD(2*C4+C3,3)&lt;&gt;0,2*C4+C3+1,2*C4+C3)</f>
        <v>114</v>
      </c>
      <c r="K5">
        <f>(O2*(C5+C3)-C3*K3)/C5</f>
        <v>1082.4561403508771</v>
      </c>
      <c r="L5">
        <f>(O2*(C5+C3)-C3*L3)/C5</f>
        <v>6829.8245614035086</v>
      </c>
    </row>
    <row r="6" spans="1:18" x14ac:dyDescent="0.25">
      <c r="A6" t="s">
        <v>98</v>
      </c>
      <c r="C6">
        <v>19</v>
      </c>
      <c r="K6">
        <f>K5</f>
        <v>1082.4561403508771</v>
      </c>
      <c r="L6">
        <f>L5</f>
        <v>6829.8245614035086</v>
      </c>
    </row>
    <row r="7" spans="1:18" x14ac:dyDescent="0.25">
      <c r="A7" t="s">
        <v>97</v>
      </c>
      <c r="C7">
        <v>55</v>
      </c>
      <c r="K7">
        <f>K6*C6/C7</f>
        <v>373.93939393939388</v>
      </c>
      <c r="L7">
        <f>L6*C6/C7</f>
        <v>2359.393939393939</v>
      </c>
      <c r="N7" s="19" t="s">
        <v>108</v>
      </c>
      <c r="O7" s="19"/>
      <c r="P7" s="19" t="s">
        <v>109</v>
      </c>
      <c r="Q7" s="19"/>
    </row>
    <row r="8" spans="1:18" x14ac:dyDescent="0.25">
      <c r="A8" t="s">
        <v>100</v>
      </c>
      <c r="C8">
        <v>14</v>
      </c>
      <c r="K8">
        <f>K7</f>
        <v>373.93939393939388</v>
      </c>
      <c r="L8">
        <f>L7</f>
        <v>2359.393939393939</v>
      </c>
      <c r="N8">
        <f>Summary!K2</f>
        <v>34.764130000000002</v>
      </c>
      <c r="O8" t="str">
        <f>Summary!L2</f>
        <v>mph</v>
      </c>
      <c r="P8">
        <f>L11*(72*PI()*O4)/965.064</f>
        <v>36.890538082647147</v>
      </c>
      <c r="Q8" t="s">
        <v>24</v>
      </c>
      <c r="R8">
        <f>P8*Summary!B$15</f>
        <v>33.20148427438243</v>
      </c>
    </row>
    <row r="9" spans="1:18" x14ac:dyDescent="0.25">
      <c r="A9" t="s">
        <v>101</v>
      </c>
      <c r="C9">
        <v>43</v>
      </c>
      <c r="K9">
        <f>K8*(C8/C9)</f>
        <v>121.74770965468639</v>
      </c>
      <c r="L9">
        <f>L8*(C8/C9)</f>
        <v>768.17477096546861</v>
      </c>
      <c r="N9">
        <f>Summary!F21</f>
        <v>425.51787426738497</v>
      </c>
      <c r="O9" t="str">
        <f>Summary!L3</f>
        <v>lb-ft</v>
      </c>
      <c r="P9">
        <f>5252.08*Summary!H4/K11</f>
        <v>500.02075596202832</v>
      </c>
      <c r="Q9" t="s">
        <v>60</v>
      </c>
      <c r="R9">
        <f>P9*Summary!B$15</f>
        <v>450.0186803658255</v>
      </c>
    </row>
    <row r="10" spans="1:18" x14ac:dyDescent="0.25">
      <c r="A10" t="s">
        <v>102</v>
      </c>
      <c r="C10">
        <v>11</v>
      </c>
      <c r="K10">
        <f>K9</f>
        <v>121.74770965468639</v>
      </c>
      <c r="L10">
        <f>L9</f>
        <v>768.17477096546861</v>
      </c>
    </row>
    <row r="11" spans="1:18" x14ac:dyDescent="0.25">
      <c r="A11" t="s">
        <v>103</v>
      </c>
      <c r="C11">
        <v>15</v>
      </c>
      <c r="K11">
        <f>C10/C11*K10</f>
        <v>89.281653746770019</v>
      </c>
      <c r="L11">
        <f>C10/C11*L10</f>
        <v>563.32816537467693</v>
      </c>
    </row>
  </sheetData>
  <mergeCells count="3">
    <mergeCell ref="A1:K1"/>
    <mergeCell ref="P7:Q7"/>
    <mergeCell ref="N7:O7"/>
  </mergeCells>
  <pageMargins left="0.7" right="0.7" top="0.75" bottom="0.75" header="0.3" footer="0.3"/>
  <pageSetup orientation="portrait" r:id="rId1"/>
  <ignoredErrors>
    <ignoredError sqref="K7 K9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Breakdown</vt:lpstr>
      <vt:lpstr>eCVT</vt:lpstr>
    </vt:vector>
  </TitlesOfParts>
  <Company>Wichita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Formula SAE Student Account</dc:creator>
  <cp:lastModifiedBy>Formula SAE Student Account</cp:lastModifiedBy>
  <dcterms:created xsi:type="dcterms:W3CDTF">2023-02-03T00:52:19Z</dcterms:created>
  <dcterms:modified xsi:type="dcterms:W3CDTF">2023-02-08T00:54:18Z</dcterms:modified>
</cp:coreProperties>
</file>