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ER\Downloads\"/>
    </mc:Choice>
  </mc:AlternateContent>
  <bookViews>
    <workbookView xWindow="0" yWindow="0" windowWidth="0" windowHeight="0" tabRatio="824" firstSheet="5" activeTab="13"/>
  </bookViews>
  <sheets>
    <sheet name="WACC" sheetId="1" r:id="rId1"/>
    <sheet name="Beta - Regression" sheetId="7" r:id="rId2"/>
    <sheet name="Beta - Comps" sheetId="8" r:id="rId3"/>
    <sheet name="Rm" sheetId="9" r:id="rId4"/>
    <sheet name="Intrisic Growth" sheetId="14" r:id="rId5"/>
    <sheet name="DCF" sheetId="15" r:id="rId6"/>
    <sheet name="Comps_Val" sheetId="16" r:id="rId7"/>
    <sheet name="Football Field" sheetId="18" r:id="rId8"/>
    <sheet name="HistoricalFS" sheetId="10" r:id="rId9"/>
    <sheet name="Dupont Analysis" sheetId="20" r:id="rId10"/>
    <sheet name="Altman Z Score" sheetId="21" r:id="rId11"/>
    <sheet name="Relative Data" sheetId="17" r:id="rId12"/>
    <sheet name="Data Sheet" sheetId="11" r:id="rId13"/>
    <sheet name="Raw FS" sheetId="13" r:id="rId14"/>
  </sheets>
  <definedNames>
    <definedName name="_xlnm._FilterDatabase" localSheetId="1" hidden="1">'Beta - Regression'!$B$10:$D$115</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"04/29/2023 08:53:12"</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10">'Altman Z Score'!$A$1:$I$95</definedName>
    <definedName name="_xlnm.Print_Area" localSheetId="6">Comps_Val!$A$1:$Q$39</definedName>
    <definedName name="_xlnm.Print_Area" localSheetId="9">'Dupont Analysis'!$A$1:$I$113</definedName>
    <definedName name="UPDATE">'Data Sheet'!$E$1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84" i="21" l="1"/>
  <c r="D84" i="21"/>
  <c r="E84" i="21"/>
  <c r="F84" i="21"/>
  <c r="G84" i="21"/>
  <c r="H84" i="21"/>
  <c r="C84" i="21"/>
  <c r="D79" i="21"/>
  <c r="E79" i="21"/>
  <c r="F79" i="21"/>
  <c r="G79" i="21"/>
  <c r="H79" i="21"/>
  <c r="I79" i="21"/>
  <c r="C79" i="21"/>
  <c r="I78" i="21"/>
  <c r="H78" i="21"/>
  <c r="G78" i="21"/>
  <c r="F78" i="21"/>
  <c r="E78" i="21"/>
  <c r="D78" i="21"/>
  <c r="C78" i="21"/>
  <c r="D73" i="21"/>
  <c r="E73" i="21"/>
  <c r="F73" i="21"/>
  <c r="G73" i="21"/>
  <c r="H73" i="21"/>
  <c r="I73" i="21"/>
  <c r="C73" i="21"/>
  <c r="D68" i="21"/>
  <c r="E68" i="21"/>
  <c r="F68" i="21"/>
  <c r="G68" i="21"/>
  <c r="H68" i="21"/>
  <c r="I68" i="21"/>
  <c r="C68" i="21"/>
  <c r="D63" i="21"/>
  <c r="D74" i="21" s="1"/>
  <c r="D85" i="21" s="1"/>
  <c r="E63" i="21"/>
  <c r="E69" i="21" s="1"/>
  <c r="F63" i="21"/>
  <c r="G63" i="21"/>
  <c r="G74" i="21" s="1"/>
  <c r="G85" i="21" s="1"/>
  <c r="H63" i="21"/>
  <c r="I63" i="21"/>
  <c r="I74" i="21" s="1"/>
  <c r="I85" i="21" s="1"/>
  <c r="C63" i="21"/>
  <c r="C69" i="21" s="1"/>
  <c r="D62" i="21"/>
  <c r="E62" i="21"/>
  <c r="F62" i="21"/>
  <c r="G62" i="21"/>
  <c r="H62" i="21"/>
  <c r="I62" i="21"/>
  <c r="C62" i="21"/>
  <c r="I61" i="21"/>
  <c r="I67" i="21" s="1"/>
  <c r="I83" i="21" s="1"/>
  <c r="I89" i="21" s="1"/>
  <c r="H61" i="21"/>
  <c r="H67" i="21" s="1"/>
  <c r="H83" i="21" s="1"/>
  <c r="H89" i="21" s="1"/>
  <c r="G61" i="21"/>
  <c r="G67" i="21" s="1"/>
  <c r="G83" i="21" s="1"/>
  <c r="G89" i="21" s="1"/>
  <c r="F61" i="21"/>
  <c r="F67" i="21" s="1"/>
  <c r="F83" i="21" s="1"/>
  <c r="F89" i="21" s="1"/>
  <c r="E61" i="21"/>
  <c r="E67" i="21" s="1"/>
  <c r="E83" i="21" s="1"/>
  <c r="E89" i="21" s="1"/>
  <c r="D61" i="21"/>
  <c r="D67" i="21" s="1"/>
  <c r="D83" i="21" s="1"/>
  <c r="D89" i="21" s="1"/>
  <c r="C61" i="21"/>
  <c r="C67" i="21" s="1"/>
  <c r="C83" i="21" s="1"/>
  <c r="C89" i="21" s="1"/>
  <c r="B5" i="21"/>
  <c r="B3" i="21"/>
  <c r="B4" i="21" s="1"/>
  <c r="E30" i="15"/>
  <c r="B90" i="20"/>
  <c r="B77" i="20"/>
  <c r="B76" i="20"/>
  <c r="B85" i="20" s="1"/>
  <c r="H73" i="20"/>
  <c r="H76" i="20" s="1"/>
  <c r="G73" i="20"/>
  <c r="G76" i="20" s="1"/>
  <c r="F73" i="20"/>
  <c r="F76" i="20" s="1"/>
  <c r="E73" i="20"/>
  <c r="E76" i="20" s="1"/>
  <c r="D73" i="20"/>
  <c r="D76" i="20" s="1"/>
  <c r="C73" i="20"/>
  <c r="C76" i="20" s="1"/>
  <c r="I73" i="20"/>
  <c r="I76" i="20" s="1"/>
  <c r="H69" i="20"/>
  <c r="H72" i="20" s="1"/>
  <c r="H91" i="20" s="1"/>
  <c r="H94" i="20" s="1"/>
  <c r="G69" i="20"/>
  <c r="G72" i="20" s="1"/>
  <c r="G91" i="20" s="1"/>
  <c r="G94" i="20" s="1"/>
  <c r="F69" i="20"/>
  <c r="F72" i="20" s="1"/>
  <c r="F91" i="20" s="1"/>
  <c r="F94" i="20" s="1"/>
  <c r="E69" i="20"/>
  <c r="E72" i="20" s="1"/>
  <c r="E91" i="20" s="1"/>
  <c r="E94" i="20" s="1"/>
  <c r="D69" i="20"/>
  <c r="D72" i="20" s="1"/>
  <c r="D91" i="20" s="1"/>
  <c r="D94" i="20" s="1"/>
  <c r="C69" i="20"/>
  <c r="C72" i="20" s="1"/>
  <c r="C91" i="20" s="1"/>
  <c r="C94" i="20" s="1"/>
  <c r="I69" i="20"/>
  <c r="I72" i="20" s="1"/>
  <c r="I91" i="20" s="1"/>
  <c r="I94" i="20" s="1"/>
  <c r="B68" i="20"/>
  <c r="H63" i="20"/>
  <c r="H77" i="20" s="1"/>
  <c r="G63" i="20"/>
  <c r="G77" i="20" s="1"/>
  <c r="F63" i="20"/>
  <c r="F77" i="20" s="1"/>
  <c r="E63" i="20"/>
  <c r="E77" i="20" s="1"/>
  <c r="D63" i="20"/>
  <c r="D77" i="20" s="1"/>
  <c r="C63" i="20"/>
  <c r="C77" i="20" s="1"/>
  <c r="I63" i="20"/>
  <c r="I77" i="20" s="1"/>
  <c r="H62" i="20"/>
  <c r="H68" i="20" s="1"/>
  <c r="H84" i="20" s="1"/>
  <c r="H90" i="20" s="1"/>
  <c r="G62" i="20"/>
  <c r="G68" i="20" s="1"/>
  <c r="G84" i="20" s="1"/>
  <c r="G90" i="20" s="1"/>
  <c r="F62" i="20"/>
  <c r="F68" i="20" s="1"/>
  <c r="F84" i="20" s="1"/>
  <c r="F90" i="20" s="1"/>
  <c r="E62" i="20"/>
  <c r="E68" i="20" s="1"/>
  <c r="E84" i="20" s="1"/>
  <c r="E90" i="20" s="1"/>
  <c r="D62" i="20"/>
  <c r="D68" i="20" s="1"/>
  <c r="D84" i="20" s="1"/>
  <c r="D90" i="20" s="1"/>
  <c r="C62" i="20"/>
  <c r="C68" i="20" s="1"/>
  <c r="C84" i="20" s="1"/>
  <c r="C90" i="20" s="1"/>
  <c r="I62" i="20"/>
  <c r="I68" i="20" s="1"/>
  <c r="I84" i="20" s="1"/>
  <c r="I90" i="20" s="1"/>
  <c r="B5" i="20"/>
  <c r="B3" i="20"/>
  <c r="B4" i="20" s="1"/>
  <c r="I80" i="21" l="1"/>
  <c r="D80" i="21"/>
  <c r="E80" i="21"/>
  <c r="F80" i="21"/>
  <c r="G69" i="21"/>
  <c r="H80" i="21"/>
  <c r="G80" i="21"/>
  <c r="C80" i="21"/>
  <c r="F69" i="21"/>
  <c r="H74" i="21"/>
  <c r="H85" i="21" s="1"/>
  <c r="I69" i="21"/>
  <c r="I70" i="21" s="1"/>
  <c r="C74" i="21"/>
  <c r="C85" i="21" s="1"/>
  <c r="H69" i="21"/>
  <c r="H70" i="21" s="1"/>
  <c r="D69" i="21"/>
  <c r="D70" i="21" s="1"/>
  <c r="E74" i="21"/>
  <c r="F74" i="21"/>
  <c r="I64" i="21"/>
  <c r="G64" i="21"/>
  <c r="D75" i="21"/>
  <c r="E64" i="21"/>
  <c r="D64" i="21"/>
  <c r="F64" i="21"/>
  <c r="C64" i="21"/>
  <c r="H64" i="21"/>
  <c r="I75" i="21"/>
  <c r="G75" i="21"/>
  <c r="F92" i="20"/>
  <c r="D92" i="20"/>
  <c r="I92" i="20"/>
  <c r="E92" i="20"/>
  <c r="H92" i="20"/>
  <c r="C92" i="20"/>
  <c r="G92" i="20"/>
  <c r="H85" i="20"/>
  <c r="C85" i="20"/>
  <c r="D85" i="20"/>
  <c r="E85" i="20"/>
  <c r="F85" i="20"/>
  <c r="G85" i="20"/>
  <c r="I85" i="20"/>
  <c r="E78" i="20"/>
  <c r="F78" i="20"/>
  <c r="G78" i="20"/>
  <c r="H78" i="20"/>
  <c r="C78" i="20"/>
  <c r="I78" i="20"/>
  <c r="D78" i="20"/>
  <c r="F74" i="20"/>
  <c r="E74" i="20"/>
  <c r="G74" i="20"/>
  <c r="H74" i="20"/>
  <c r="I74" i="20"/>
  <c r="C74" i="20"/>
  <c r="D74" i="20"/>
  <c r="D70" i="20"/>
  <c r="H70" i="20"/>
  <c r="I70" i="20"/>
  <c r="G70" i="20"/>
  <c r="C70" i="20"/>
  <c r="E70" i="20"/>
  <c r="F70" i="20"/>
  <c r="D64" i="20"/>
  <c r="E64" i="20"/>
  <c r="F64" i="20"/>
  <c r="G64" i="20"/>
  <c r="H64" i="20"/>
  <c r="I64" i="20"/>
  <c r="C64" i="20"/>
  <c r="E85" i="21" l="1"/>
  <c r="F85" i="21"/>
  <c r="F75" i="21"/>
  <c r="E75" i="21"/>
  <c r="H75" i="21"/>
  <c r="C75" i="21"/>
  <c r="G70" i="21"/>
  <c r="I86" i="21"/>
  <c r="I90" i="21" s="1"/>
  <c r="I91" i="21" s="1"/>
  <c r="F70" i="21"/>
  <c r="C70" i="21"/>
  <c r="E70" i="21"/>
  <c r="G86" i="21"/>
  <c r="C86" i="20"/>
  <c r="C95" i="20"/>
  <c r="C96" i="20" s="1"/>
  <c r="C98" i="20" s="1"/>
  <c r="H86" i="20"/>
  <c r="H95" i="20"/>
  <c r="H96" i="20" s="1"/>
  <c r="H98" i="20" s="1"/>
  <c r="G86" i="20"/>
  <c r="G95" i="20"/>
  <c r="G96" i="20" s="1"/>
  <c r="G98" i="20" s="1"/>
  <c r="F86" i="20"/>
  <c r="F95" i="20"/>
  <c r="F96" i="20" s="1"/>
  <c r="F98" i="20" s="1"/>
  <c r="D86" i="20"/>
  <c r="D95" i="20"/>
  <c r="D96" i="20" s="1"/>
  <c r="D98" i="20" s="1"/>
  <c r="E86" i="20"/>
  <c r="E95" i="20"/>
  <c r="E96" i="20" s="1"/>
  <c r="E98" i="20" s="1"/>
  <c r="I86" i="20"/>
  <c r="I95" i="20"/>
  <c r="I96" i="20" s="1"/>
  <c r="I98" i="20" s="1"/>
  <c r="D80" i="20"/>
  <c r="C80" i="20"/>
  <c r="H80" i="20"/>
  <c r="G80" i="20"/>
  <c r="F80" i="20"/>
  <c r="E80" i="20"/>
  <c r="I80" i="20"/>
  <c r="G90" i="21" l="1"/>
  <c r="G91" i="21" s="1"/>
  <c r="D86" i="21"/>
  <c r="D90" i="21" s="1"/>
  <c r="D91" i="21" s="1"/>
  <c r="H86" i="21"/>
  <c r="H90" i="21" s="1"/>
  <c r="H91" i="21" s="1"/>
  <c r="E86" i="21"/>
  <c r="E90" i="21" s="1"/>
  <c r="E91" i="21" s="1"/>
  <c r="C86" i="21"/>
  <c r="C90" i="21" s="1"/>
  <c r="C91" i="21" s="1"/>
  <c r="F86" i="21"/>
  <c r="F90" i="21" s="1"/>
  <c r="F91" i="21" s="1"/>
  <c r="F38" i="17"/>
  <c r="J38" i="17" s="1"/>
  <c r="F37" i="17"/>
  <c r="J37" i="17" s="1"/>
  <c r="F36" i="17"/>
  <c r="J36" i="17" s="1"/>
  <c r="F35" i="17"/>
  <c r="J35" i="17" s="1"/>
  <c r="F34" i="17"/>
  <c r="J34" i="17" s="1"/>
  <c r="F33" i="17"/>
  <c r="J33" i="17" s="1"/>
  <c r="F32" i="17"/>
  <c r="J32" i="17" s="1"/>
  <c r="F31" i="17"/>
  <c r="J31" i="17" s="1"/>
  <c r="F30" i="17"/>
  <c r="J30" i="17" s="1"/>
  <c r="F29" i="17"/>
  <c r="J29" i="17" s="1"/>
  <c r="F28" i="17"/>
  <c r="J28" i="17" s="1"/>
  <c r="F27" i="17"/>
  <c r="J27" i="17" s="1"/>
  <c r="F26" i="17"/>
  <c r="J26" i="17" s="1"/>
  <c r="F25" i="17"/>
  <c r="J25" i="17" s="1"/>
  <c r="F24" i="17"/>
  <c r="J24" i="17" s="1"/>
  <c r="F23" i="17"/>
  <c r="J23" i="17" s="1"/>
  <c r="F22" i="17"/>
  <c r="J22" i="17" s="1"/>
  <c r="F21" i="17"/>
  <c r="J21" i="17" s="1"/>
  <c r="F20" i="17"/>
  <c r="J20" i="17" s="1"/>
  <c r="F19" i="17"/>
  <c r="J19" i="17" s="1"/>
  <c r="I12" i="17"/>
  <c r="G21" i="16" s="1"/>
  <c r="F12" i="17"/>
  <c r="J12" i="17" s="1"/>
  <c r="I11" i="17"/>
  <c r="G20" i="16" s="1"/>
  <c r="F11" i="17"/>
  <c r="J11" i="17" s="1"/>
  <c r="I10" i="17"/>
  <c r="G19" i="16" s="1"/>
  <c r="F10" i="17"/>
  <c r="J10" i="17" s="1"/>
  <c r="I9" i="17"/>
  <c r="G18" i="16" s="1"/>
  <c r="F9" i="17"/>
  <c r="J9" i="17" s="1"/>
  <c r="I8" i="17"/>
  <c r="G17" i="16" s="1"/>
  <c r="F8" i="17"/>
  <c r="J8" i="17" s="1"/>
  <c r="I7" i="17"/>
  <c r="G16" i="16" s="1"/>
  <c r="F7" i="17"/>
  <c r="J7" i="17" s="1"/>
  <c r="I6" i="17"/>
  <c r="G15" i="16" s="1"/>
  <c r="F6" i="17"/>
  <c r="J6" i="17" s="1"/>
  <c r="I5" i="17"/>
  <c r="G12" i="16" s="1"/>
  <c r="F5" i="17"/>
  <c r="J5" i="17" s="1"/>
  <c r="I4" i="17"/>
  <c r="G14" i="16" s="1"/>
  <c r="F4" i="17"/>
  <c r="J4" i="17" s="1"/>
  <c r="I3" i="17"/>
  <c r="G13" i="16" s="1"/>
  <c r="F3" i="17"/>
  <c r="J3" i="17" s="1"/>
  <c r="M21" i="16"/>
  <c r="L21" i="16"/>
  <c r="K21" i="16"/>
  <c r="E21" i="16"/>
  <c r="D21" i="16"/>
  <c r="B21" i="16"/>
  <c r="M20" i="16"/>
  <c r="L20" i="16"/>
  <c r="K20" i="16"/>
  <c r="E20" i="16"/>
  <c r="D20" i="16"/>
  <c r="B20" i="16"/>
  <c r="M19" i="16"/>
  <c r="L19" i="16"/>
  <c r="K19" i="16"/>
  <c r="E19" i="16"/>
  <c r="D19" i="16"/>
  <c r="B19" i="16"/>
  <c r="M18" i="16"/>
  <c r="L18" i="16"/>
  <c r="K18" i="16"/>
  <c r="E18" i="16"/>
  <c r="D18" i="16"/>
  <c r="B18" i="16"/>
  <c r="M17" i="16"/>
  <c r="L17" i="16"/>
  <c r="K17" i="16"/>
  <c r="E17" i="16"/>
  <c r="D17" i="16"/>
  <c r="B17" i="16"/>
  <c r="M16" i="16"/>
  <c r="L16" i="16"/>
  <c r="K16" i="16"/>
  <c r="E16" i="16"/>
  <c r="D16" i="16"/>
  <c r="B16" i="16"/>
  <c r="M15" i="16"/>
  <c r="L15" i="16"/>
  <c r="K15" i="16"/>
  <c r="E15" i="16"/>
  <c r="D15" i="16"/>
  <c r="B15" i="16"/>
  <c r="M14" i="16"/>
  <c r="L14" i="16"/>
  <c r="K14" i="16"/>
  <c r="E14" i="16"/>
  <c r="D14" i="16"/>
  <c r="B14" i="16"/>
  <c r="M13" i="16"/>
  <c r="L13" i="16"/>
  <c r="K13" i="16"/>
  <c r="E13" i="16"/>
  <c r="D13" i="16"/>
  <c r="B13" i="16"/>
  <c r="M12" i="16"/>
  <c r="L12" i="16"/>
  <c r="K12" i="16"/>
  <c r="E12" i="16"/>
  <c r="O35" i="16" s="1"/>
  <c r="D12" i="16"/>
  <c r="B12" i="16"/>
  <c r="F16" i="16" l="1"/>
  <c r="H16" i="16" s="1"/>
  <c r="F13" i="16"/>
  <c r="Q13" i="16" s="1"/>
  <c r="F14" i="16"/>
  <c r="H14" i="16" s="1"/>
  <c r="F15" i="16"/>
  <c r="Q15" i="16" s="1"/>
  <c r="F21" i="16"/>
  <c r="Q21" i="16" s="1"/>
  <c r="F20" i="16"/>
  <c r="H20" i="16" s="1"/>
  <c r="F19" i="16"/>
  <c r="Q19" i="16" s="1"/>
  <c r="F18" i="16"/>
  <c r="H18" i="16" s="1"/>
  <c r="F17" i="16"/>
  <c r="H17" i="16" s="1"/>
  <c r="Q33" i="16"/>
  <c r="P33" i="16"/>
  <c r="O33" i="16"/>
  <c r="P35" i="16"/>
  <c r="F12" i="16"/>
  <c r="Q35" i="16"/>
  <c r="Q16" i="16" l="1"/>
  <c r="H19" i="16"/>
  <c r="P19" i="16" s="1"/>
  <c r="Q18" i="16"/>
  <c r="Q17" i="16"/>
  <c r="Q20" i="16"/>
  <c r="H13" i="16"/>
  <c r="P13" i="16" s="1"/>
  <c r="Q14" i="16"/>
  <c r="H21" i="16"/>
  <c r="P21" i="16" s="1"/>
  <c r="H15" i="16"/>
  <c r="P15" i="16" s="1"/>
  <c r="P20" i="16"/>
  <c r="O20" i="16"/>
  <c r="P14" i="16"/>
  <c r="O14" i="16"/>
  <c r="Q12" i="16"/>
  <c r="H12" i="16"/>
  <c r="P16" i="16"/>
  <c r="O16" i="16"/>
  <c r="P17" i="16"/>
  <c r="O17" i="16"/>
  <c r="O18" i="16"/>
  <c r="P18" i="16"/>
  <c r="O19" i="16" l="1"/>
  <c r="O13" i="16"/>
  <c r="O15" i="16"/>
  <c r="O21" i="16"/>
  <c r="Q25" i="16"/>
  <c r="Q24" i="16"/>
  <c r="Q28" i="16"/>
  <c r="Q26" i="16"/>
  <c r="Q34" i="16" s="1"/>
  <c r="Q27" i="16"/>
  <c r="Q23" i="16"/>
  <c r="O12" i="16"/>
  <c r="P12" i="16"/>
  <c r="P28" i="16" l="1"/>
  <c r="P26" i="16"/>
  <c r="P32" i="16" s="1"/>
  <c r="P34" i="16" s="1"/>
  <c r="P37" i="16" s="1"/>
  <c r="P40" i="16" s="1"/>
  <c r="P23" i="16"/>
  <c r="P25" i="16"/>
  <c r="P24" i="16"/>
  <c r="P27" i="16"/>
  <c r="O23" i="16"/>
  <c r="O24" i="16"/>
  <c r="O28" i="16"/>
  <c r="O25" i="16"/>
  <c r="O26" i="16"/>
  <c r="O32" i="16" s="1"/>
  <c r="O34" i="16" s="1"/>
  <c r="O37" i="16" s="1"/>
  <c r="O40" i="16" s="1"/>
  <c r="O27" i="16"/>
  <c r="Q37" i="16"/>
  <c r="Q40" i="16" s="1"/>
  <c r="Q32" i="16"/>
  <c r="E42" i="15" l="1"/>
  <c r="E41" i="15"/>
  <c r="G14" i="15"/>
  <c r="H14" i="15" s="1"/>
  <c r="I14" i="15" s="1"/>
  <c r="J14" i="15" s="1"/>
  <c r="K14" i="15" s="1"/>
  <c r="G10" i="15"/>
  <c r="H10" i="15" s="1"/>
  <c r="I10" i="15" s="1"/>
  <c r="J10" i="15" s="1"/>
  <c r="K10" i="15" s="1"/>
  <c r="F6" i="15"/>
  <c r="G6" i="15" s="1"/>
  <c r="H6" i="15" s="1"/>
  <c r="I6" i="15" s="1"/>
  <c r="J6" i="15" s="1"/>
  <c r="K6" i="15" s="1"/>
  <c r="K59" i="14" l="1"/>
  <c r="J59" i="14"/>
  <c r="I59" i="14"/>
  <c r="H59" i="14"/>
  <c r="G59" i="14"/>
  <c r="K45" i="14"/>
  <c r="J45" i="14"/>
  <c r="I45" i="14"/>
  <c r="H45" i="14"/>
  <c r="G45" i="14"/>
  <c r="K43" i="14"/>
  <c r="J43" i="14"/>
  <c r="I43" i="14"/>
  <c r="H43" i="14"/>
  <c r="G43" i="14"/>
  <c r="K6" i="14"/>
  <c r="J6" i="14"/>
  <c r="I6" i="14"/>
  <c r="H6" i="14"/>
  <c r="G6" i="14"/>
  <c r="K34" i="14"/>
  <c r="J34" i="14"/>
  <c r="I34" i="14"/>
  <c r="H34" i="14"/>
  <c r="G34" i="14"/>
  <c r="K31" i="14"/>
  <c r="J31" i="14"/>
  <c r="I31" i="14"/>
  <c r="H31" i="14"/>
  <c r="G31" i="14"/>
  <c r="K30" i="14"/>
  <c r="J30" i="14"/>
  <c r="I30" i="14"/>
  <c r="H30" i="14"/>
  <c r="G30" i="14"/>
  <c r="K29" i="14"/>
  <c r="J29" i="14"/>
  <c r="I29" i="14"/>
  <c r="H29" i="14"/>
  <c r="G29" i="14"/>
  <c r="K28" i="14"/>
  <c r="J28" i="14"/>
  <c r="I28" i="14"/>
  <c r="H28" i="14"/>
  <c r="G28" i="14"/>
  <c r="K27" i="14"/>
  <c r="J27" i="14"/>
  <c r="I27" i="14"/>
  <c r="H27" i="14"/>
  <c r="G27" i="14"/>
  <c r="K26" i="14"/>
  <c r="J26" i="14"/>
  <c r="I26" i="14"/>
  <c r="H26" i="14"/>
  <c r="G26" i="14"/>
  <c r="K25" i="14"/>
  <c r="J25" i="14"/>
  <c r="I25" i="14"/>
  <c r="H25" i="14"/>
  <c r="G25" i="14"/>
  <c r="K24" i="14"/>
  <c r="J24" i="14"/>
  <c r="I24" i="14"/>
  <c r="H24" i="14"/>
  <c r="G24" i="14"/>
  <c r="B25" i="14"/>
  <c r="B26" i="14"/>
  <c r="B27" i="14"/>
  <c r="B28" i="14"/>
  <c r="B29" i="14"/>
  <c r="B30" i="14"/>
  <c r="B31" i="14"/>
  <c r="B24" i="14"/>
  <c r="K18" i="14"/>
  <c r="J18" i="14"/>
  <c r="I18" i="14"/>
  <c r="H18" i="14"/>
  <c r="G18" i="14"/>
  <c r="K17" i="14"/>
  <c r="J17" i="14"/>
  <c r="I17" i="14"/>
  <c r="H17" i="14"/>
  <c r="G17" i="14"/>
  <c r="K16" i="14"/>
  <c r="J16" i="14"/>
  <c r="I16" i="14"/>
  <c r="H16" i="14"/>
  <c r="G16" i="14"/>
  <c r="B18" i="14"/>
  <c r="B17" i="14"/>
  <c r="B16" i="14"/>
  <c r="K12" i="14"/>
  <c r="J12" i="14"/>
  <c r="I12" i="14"/>
  <c r="H12" i="14"/>
  <c r="G12" i="14"/>
  <c r="K11" i="14"/>
  <c r="J11" i="14"/>
  <c r="I11" i="14"/>
  <c r="H11" i="14"/>
  <c r="G11" i="14"/>
  <c r="K10" i="14"/>
  <c r="J10" i="14"/>
  <c r="I10" i="14"/>
  <c r="H10" i="14"/>
  <c r="G10" i="14"/>
  <c r="K9" i="14"/>
  <c r="J9" i="14"/>
  <c r="I9" i="14"/>
  <c r="H9" i="14"/>
  <c r="G9" i="14"/>
  <c r="B12" i="14"/>
  <c r="B11" i="14"/>
  <c r="B10" i="14"/>
  <c r="B9" i="14"/>
  <c r="N29" i="13"/>
  <c r="M29" i="13"/>
  <c r="L29" i="13"/>
  <c r="K29" i="13"/>
  <c r="J29" i="13"/>
  <c r="I29" i="13"/>
  <c r="H29" i="13"/>
  <c r="G29" i="13"/>
  <c r="F29" i="13"/>
  <c r="E29" i="13"/>
  <c r="D29" i="13"/>
  <c r="C29" i="13"/>
  <c r="K73" i="11"/>
  <c r="J73" i="11"/>
  <c r="I73" i="11"/>
  <c r="H73" i="11"/>
  <c r="K51" i="11"/>
  <c r="J51" i="11"/>
  <c r="I51" i="11"/>
  <c r="H51" i="11"/>
  <c r="G51" i="11"/>
  <c r="F51" i="11"/>
  <c r="E51" i="11"/>
  <c r="D51" i="11"/>
  <c r="C51" i="11"/>
  <c r="B51" i="11"/>
  <c r="K34" i="11"/>
  <c r="F8" i="15" s="1"/>
  <c r="J34" i="11"/>
  <c r="I34" i="11"/>
  <c r="H34" i="11"/>
  <c r="G34" i="11"/>
  <c r="F34" i="11"/>
  <c r="E34" i="11"/>
  <c r="D34" i="11"/>
  <c r="C34" i="11"/>
  <c r="B34" i="11"/>
  <c r="B15" i="11" s="1"/>
  <c r="K32" i="11"/>
  <c r="J32" i="11"/>
  <c r="I32" i="11"/>
  <c r="H32" i="11"/>
  <c r="G32" i="11"/>
  <c r="F32" i="11"/>
  <c r="E32" i="11"/>
  <c r="D32" i="11"/>
  <c r="C32" i="11"/>
  <c r="B32" i="11"/>
  <c r="K15" i="11"/>
  <c r="B6" i="11"/>
  <c r="E44" i="15" s="1"/>
  <c r="E1" i="11"/>
  <c r="L74" i="10"/>
  <c r="K74" i="10"/>
  <c r="J74" i="10"/>
  <c r="I74" i="10"/>
  <c r="H74" i="10"/>
  <c r="G74" i="10"/>
  <c r="F74" i="10"/>
  <c r="E74" i="10"/>
  <c r="D74" i="10"/>
  <c r="C74" i="10"/>
  <c r="L72" i="10"/>
  <c r="K72" i="10"/>
  <c r="J72" i="10"/>
  <c r="I72" i="10"/>
  <c r="H72" i="10"/>
  <c r="G72" i="10"/>
  <c r="F72" i="10"/>
  <c r="E72" i="10"/>
  <c r="D72" i="10"/>
  <c r="C72" i="10"/>
  <c r="L70" i="10"/>
  <c r="K70" i="10"/>
  <c r="J70" i="10"/>
  <c r="I70" i="10"/>
  <c r="H70" i="10"/>
  <c r="G70" i="10"/>
  <c r="F70" i="10"/>
  <c r="E70" i="10"/>
  <c r="D70" i="10"/>
  <c r="C70" i="10"/>
  <c r="L61" i="10"/>
  <c r="K61" i="10"/>
  <c r="J61" i="10"/>
  <c r="I61" i="10"/>
  <c r="H61" i="10"/>
  <c r="G61" i="10"/>
  <c r="F61" i="10"/>
  <c r="E61" i="10"/>
  <c r="D61" i="10"/>
  <c r="C61" i="10"/>
  <c r="L60" i="10"/>
  <c r="K60" i="10"/>
  <c r="J60" i="10"/>
  <c r="I60" i="10"/>
  <c r="H60" i="10"/>
  <c r="G60" i="10"/>
  <c r="F60" i="10"/>
  <c r="E60" i="10"/>
  <c r="D60" i="10"/>
  <c r="C60" i="10"/>
  <c r="L59" i="10"/>
  <c r="K59" i="10"/>
  <c r="J59" i="10"/>
  <c r="I59" i="10"/>
  <c r="H59" i="10"/>
  <c r="G59" i="10"/>
  <c r="F59" i="10"/>
  <c r="E59" i="10"/>
  <c r="D59" i="10"/>
  <c r="C59" i="10"/>
  <c r="L56" i="10"/>
  <c r="K56" i="10"/>
  <c r="J56" i="10"/>
  <c r="I56" i="10"/>
  <c r="H56" i="10"/>
  <c r="G56" i="10"/>
  <c r="F56" i="10"/>
  <c r="E56" i="10"/>
  <c r="D56" i="10"/>
  <c r="C56" i="10"/>
  <c r="L55" i="10"/>
  <c r="K55" i="10"/>
  <c r="J55" i="10"/>
  <c r="I55" i="10"/>
  <c r="H55" i="10"/>
  <c r="G55" i="10"/>
  <c r="F55" i="10"/>
  <c r="E55" i="10"/>
  <c r="D55" i="10"/>
  <c r="C55" i="10"/>
  <c r="L54" i="10"/>
  <c r="K54" i="10"/>
  <c r="J54" i="10"/>
  <c r="I54" i="10"/>
  <c r="H54" i="10"/>
  <c r="G54" i="10"/>
  <c r="F54" i="10"/>
  <c r="E54" i="10"/>
  <c r="D54" i="10"/>
  <c r="C54" i="10"/>
  <c r="L53" i="10"/>
  <c r="K53" i="10"/>
  <c r="J53" i="10"/>
  <c r="I53" i="10"/>
  <c r="H53" i="10"/>
  <c r="G53" i="10"/>
  <c r="F53" i="10"/>
  <c r="E53" i="10"/>
  <c r="D53" i="10"/>
  <c r="C53" i="10"/>
  <c r="L51" i="10"/>
  <c r="K51" i="10"/>
  <c r="J51" i="10"/>
  <c r="I51" i="10"/>
  <c r="H51" i="10"/>
  <c r="G51" i="10"/>
  <c r="F51" i="10"/>
  <c r="E51" i="10"/>
  <c r="D51" i="10"/>
  <c r="C51" i="10"/>
  <c r="L50" i="10"/>
  <c r="K50" i="10"/>
  <c r="J50" i="10"/>
  <c r="I50" i="10"/>
  <c r="H50" i="10"/>
  <c r="G50" i="10"/>
  <c r="F50" i="10"/>
  <c r="E50" i="10"/>
  <c r="D50" i="10"/>
  <c r="C50" i="10"/>
  <c r="L49" i="10"/>
  <c r="K49" i="10"/>
  <c r="J49" i="10"/>
  <c r="I49" i="10"/>
  <c r="H49" i="10"/>
  <c r="G49" i="10"/>
  <c r="F49" i="10"/>
  <c r="E49" i="10"/>
  <c r="D49" i="10"/>
  <c r="C49" i="10"/>
  <c r="L48" i="10"/>
  <c r="K48" i="10"/>
  <c r="J48" i="10"/>
  <c r="I48" i="10"/>
  <c r="H48" i="10"/>
  <c r="G48" i="10"/>
  <c r="F48" i="10"/>
  <c r="E48" i="10"/>
  <c r="D48" i="10"/>
  <c r="C48" i="10"/>
  <c r="L47" i="10"/>
  <c r="K47" i="10"/>
  <c r="J47" i="10"/>
  <c r="I47" i="10"/>
  <c r="H47" i="10"/>
  <c r="G47" i="10"/>
  <c r="F47" i="10"/>
  <c r="E47" i="10"/>
  <c r="D47" i="10"/>
  <c r="C47" i="10"/>
  <c r="L36" i="10"/>
  <c r="M36" i="10" s="1"/>
  <c r="M41" i="10" s="1"/>
  <c r="K36" i="10"/>
  <c r="K41" i="10" s="1"/>
  <c r="J36" i="10"/>
  <c r="J41" i="10" s="1"/>
  <c r="I36" i="10"/>
  <c r="I41" i="10" s="1"/>
  <c r="H36" i="10"/>
  <c r="H41" i="10" s="1"/>
  <c r="G36" i="10"/>
  <c r="G41" i="10" s="1"/>
  <c r="F36" i="10"/>
  <c r="F41" i="10" s="1"/>
  <c r="E36" i="10"/>
  <c r="E41" i="10" s="1"/>
  <c r="D36" i="10"/>
  <c r="D41" i="10" s="1"/>
  <c r="C36" i="10"/>
  <c r="C41" i="10" s="1"/>
  <c r="M30" i="10"/>
  <c r="L30" i="10"/>
  <c r="K30" i="10"/>
  <c r="J30" i="10"/>
  <c r="I30" i="10"/>
  <c r="H30" i="10"/>
  <c r="G30" i="10"/>
  <c r="F30" i="10"/>
  <c r="E30" i="10"/>
  <c r="D30" i="10"/>
  <c r="C30" i="10"/>
  <c r="M24" i="10"/>
  <c r="L24" i="10"/>
  <c r="K24" i="10"/>
  <c r="J24" i="10"/>
  <c r="I24" i="10"/>
  <c r="H24" i="10"/>
  <c r="G24" i="10"/>
  <c r="F24" i="10"/>
  <c r="E24" i="10"/>
  <c r="D24" i="10"/>
  <c r="C24" i="10"/>
  <c r="M21" i="10"/>
  <c r="L21" i="10"/>
  <c r="K21" i="10"/>
  <c r="J21" i="10"/>
  <c r="I21" i="10"/>
  <c r="H21" i="10"/>
  <c r="G21" i="10"/>
  <c r="F21" i="10"/>
  <c r="E21" i="10"/>
  <c r="D21" i="10"/>
  <c r="C21" i="10"/>
  <c r="L15" i="10"/>
  <c r="K15" i="10"/>
  <c r="J15" i="10"/>
  <c r="I15" i="10"/>
  <c r="H15" i="10"/>
  <c r="G15" i="10"/>
  <c r="F15" i="10"/>
  <c r="E15" i="10"/>
  <c r="D15" i="10"/>
  <c r="C15" i="10"/>
  <c r="M9" i="10"/>
  <c r="L9" i="10"/>
  <c r="K9" i="10"/>
  <c r="J9" i="10"/>
  <c r="I9" i="10"/>
  <c r="H9" i="10"/>
  <c r="G9" i="10"/>
  <c r="F9" i="10"/>
  <c r="E9" i="10"/>
  <c r="D9" i="10"/>
  <c r="C9" i="10"/>
  <c r="M6" i="10"/>
  <c r="L6" i="10"/>
  <c r="K6" i="10"/>
  <c r="J6" i="10"/>
  <c r="I6" i="10"/>
  <c r="H6" i="10"/>
  <c r="G6" i="10"/>
  <c r="F6" i="10"/>
  <c r="E6" i="10"/>
  <c r="D6" i="10"/>
  <c r="C6" i="10"/>
  <c r="L3" i="10"/>
  <c r="I61" i="20" s="1"/>
  <c r="I67" i="20" s="1"/>
  <c r="I83" i="20" s="1"/>
  <c r="I89" i="20" s="1"/>
  <c r="K3" i="10"/>
  <c r="H61" i="20" s="1"/>
  <c r="H67" i="20" s="1"/>
  <c r="H83" i="20" s="1"/>
  <c r="H89" i="20" s="1"/>
  <c r="J3" i="10"/>
  <c r="G61" i="20" s="1"/>
  <c r="G67" i="20" s="1"/>
  <c r="G83" i="20" s="1"/>
  <c r="G89" i="20" s="1"/>
  <c r="I3" i="10"/>
  <c r="F61" i="20" s="1"/>
  <c r="F67" i="20" s="1"/>
  <c r="F83" i="20" s="1"/>
  <c r="F89" i="20" s="1"/>
  <c r="H3" i="10"/>
  <c r="E61" i="20" s="1"/>
  <c r="E67" i="20" s="1"/>
  <c r="E83" i="20" s="1"/>
  <c r="E89" i="20" s="1"/>
  <c r="G3" i="10"/>
  <c r="D61" i="20" s="1"/>
  <c r="D67" i="20" s="1"/>
  <c r="D83" i="20" s="1"/>
  <c r="D89" i="20" s="1"/>
  <c r="F3" i="10"/>
  <c r="C61" i="20" s="1"/>
  <c r="C67" i="20" s="1"/>
  <c r="C83" i="20" s="1"/>
  <c r="C89" i="20" s="1"/>
  <c r="E3" i="10"/>
  <c r="D3" i="10"/>
  <c r="C3" i="10"/>
  <c r="B2" i="10"/>
  <c r="J16" i="10" l="1"/>
  <c r="M18" i="10"/>
  <c r="M19" i="10" s="1"/>
  <c r="G62" i="10"/>
  <c r="I76" i="10"/>
  <c r="M22" i="10"/>
  <c r="C12" i="10"/>
  <c r="C18" i="10" s="1"/>
  <c r="C27" i="10" s="1"/>
  <c r="C31" i="10" s="1"/>
  <c r="K12" i="10"/>
  <c r="K18" i="10" s="1"/>
  <c r="K27" i="10" s="1"/>
  <c r="J38" i="14" s="1"/>
  <c r="J48" i="14" s="1"/>
  <c r="J50" i="14" s="1"/>
  <c r="H10" i="10"/>
  <c r="G76" i="10"/>
  <c r="F22" i="10"/>
  <c r="J12" i="10"/>
  <c r="J18" i="10" s="1"/>
  <c r="J27" i="10" s="1"/>
  <c r="I38" i="14" s="1"/>
  <c r="I48" i="14" s="1"/>
  <c r="I50" i="14" s="1"/>
  <c r="D57" i="10"/>
  <c r="D12" i="10"/>
  <c r="D13" i="10" s="1"/>
  <c r="L12" i="10"/>
  <c r="L18" i="10" s="1"/>
  <c r="E22" i="10"/>
  <c r="G8" i="15"/>
  <c r="F12" i="15"/>
  <c r="F16" i="15" s="1"/>
  <c r="I10" i="10"/>
  <c r="D62" i="10"/>
  <c r="H25" i="10"/>
  <c r="F57" i="10"/>
  <c r="F10" i="10"/>
  <c r="K7" i="10"/>
  <c r="G12" i="10"/>
  <c r="G13" i="10" s="1"/>
  <c r="I62" i="10"/>
  <c r="C76" i="10"/>
  <c r="K76" i="10"/>
  <c r="G22" i="10"/>
  <c r="D25" i="10"/>
  <c r="L25" i="10"/>
  <c r="J57" i="10"/>
  <c r="J62" i="10"/>
  <c r="D76" i="10"/>
  <c r="L76" i="10"/>
  <c r="I7" i="10"/>
  <c r="C16" i="10"/>
  <c r="K16" i="10"/>
  <c r="C57" i="10"/>
  <c r="K57" i="10"/>
  <c r="I57" i="10"/>
  <c r="K62" i="10"/>
  <c r="E76" i="10"/>
  <c r="L57" i="10"/>
  <c r="G10" i="10"/>
  <c r="I16" i="10"/>
  <c r="C22" i="10"/>
  <c r="K22" i="10"/>
  <c r="F25" i="10"/>
  <c r="H62" i="10"/>
  <c r="J76" i="10"/>
  <c r="E12" i="10"/>
  <c r="E13" i="10" s="1"/>
  <c r="D7" i="10"/>
  <c r="D22" i="10"/>
  <c r="L22" i="10"/>
  <c r="G25" i="10"/>
  <c r="I25" i="10"/>
  <c r="H12" i="10"/>
  <c r="H13" i="10" s="1"/>
  <c r="L7" i="10"/>
  <c r="J10" i="10"/>
  <c r="D16" i="10"/>
  <c r="L16" i="10"/>
  <c r="C10" i="10"/>
  <c r="K10" i="10"/>
  <c r="E16" i="10"/>
  <c r="J25" i="10"/>
  <c r="E57" i="10"/>
  <c r="L62" i="10"/>
  <c r="F76" i="10"/>
  <c r="J7" i="10"/>
  <c r="D10" i="10"/>
  <c r="L10" i="10"/>
  <c r="F16" i="10"/>
  <c r="H22" i="10"/>
  <c r="C25" i="10"/>
  <c r="K25" i="10"/>
  <c r="E62" i="10"/>
  <c r="I33" i="14"/>
  <c r="I35" i="14" s="1"/>
  <c r="G16" i="10"/>
  <c r="I22" i="10"/>
  <c r="G57" i="10"/>
  <c r="F62" i="10"/>
  <c r="H76" i="10"/>
  <c r="H16" i="10"/>
  <c r="J22" i="10"/>
  <c r="E25" i="10"/>
  <c r="M25" i="10"/>
  <c r="H57" i="10"/>
  <c r="C62" i="10"/>
  <c r="G33" i="14"/>
  <c r="G35" i="14" s="1"/>
  <c r="H33" i="14"/>
  <c r="H35" i="14" s="1"/>
  <c r="J33" i="14"/>
  <c r="J35" i="14" s="1"/>
  <c r="K33" i="14"/>
  <c r="K35" i="14" s="1"/>
  <c r="H13" i="14"/>
  <c r="G13" i="14"/>
  <c r="I13" i="14"/>
  <c r="I19" i="14"/>
  <c r="G19" i="14"/>
  <c r="J13" i="14"/>
  <c r="K13" i="14"/>
  <c r="J19" i="14"/>
  <c r="H19" i="14"/>
  <c r="K19" i="14"/>
  <c r="E10" i="10"/>
  <c r="L41" i="10"/>
  <c r="I12" i="10"/>
  <c r="E7" i="10"/>
  <c r="M7" i="10"/>
  <c r="F7" i="10"/>
  <c r="M12" i="10"/>
  <c r="M13" i="10" s="1"/>
  <c r="M16" i="10"/>
  <c r="G7" i="10"/>
  <c r="F12" i="10"/>
  <c r="M10" i="10"/>
  <c r="H7" i="10"/>
  <c r="G64" i="10" l="1"/>
  <c r="G66" i="10" s="1"/>
  <c r="J19" i="10"/>
  <c r="M27" i="10"/>
  <c r="M33" i="10" s="1"/>
  <c r="M34" i="10" s="1"/>
  <c r="D18" i="10"/>
  <c r="D19" i="10" s="1"/>
  <c r="K13" i="10"/>
  <c r="G18" i="10"/>
  <c r="G19" i="10" s="1"/>
  <c r="K19" i="10"/>
  <c r="C13" i="10"/>
  <c r="C19" i="10"/>
  <c r="L13" i="10"/>
  <c r="K64" i="10"/>
  <c r="K66" i="10" s="1"/>
  <c r="I64" i="10"/>
  <c r="I66" i="10" s="1"/>
  <c r="J64" i="10"/>
  <c r="J66" i="10" s="1"/>
  <c r="H18" i="10"/>
  <c r="H27" i="10" s="1"/>
  <c r="G38" i="14" s="1"/>
  <c r="G48" i="14" s="1"/>
  <c r="G50" i="14" s="1"/>
  <c r="D64" i="10"/>
  <c r="D66" i="10" s="1"/>
  <c r="E18" i="10"/>
  <c r="E27" i="10" s="1"/>
  <c r="J13" i="10"/>
  <c r="K31" i="10"/>
  <c r="L64" i="10"/>
  <c r="L66" i="10" s="1"/>
  <c r="F64" i="10"/>
  <c r="F66" i="10" s="1"/>
  <c r="C64" i="10"/>
  <c r="C66" i="10" s="1"/>
  <c r="H64" i="10"/>
  <c r="H66" i="10" s="1"/>
  <c r="H8" i="15"/>
  <c r="G12" i="15"/>
  <c r="G16" i="15" s="1"/>
  <c r="E64" i="10"/>
  <c r="E66" i="10" s="1"/>
  <c r="K21" i="14"/>
  <c r="H21" i="14"/>
  <c r="G21" i="14"/>
  <c r="G37" i="14" s="1"/>
  <c r="J21" i="14"/>
  <c r="I21" i="14"/>
  <c r="F18" i="10"/>
  <c r="F13" i="10"/>
  <c r="I18" i="10"/>
  <c r="I13" i="10"/>
  <c r="J33" i="10"/>
  <c r="J28" i="10"/>
  <c r="C28" i="10"/>
  <c r="C33" i="10"/>
  <c r="L19" i="10"/>
  <c r="L27" i="10"/>
  <c r="K38" i="14" s="1"/>
  <c r="K48" i="14" s="1"/>
  <c r="K50" i="14" s="1"/>
  <c r="J31" i="10"/>
  <c r="K33" i="10"/>
  <c r="K28" i="10"/>
  <c r="D27" i="10" l="1"/>
  <c r="D33" i="10" s="1"/>
  <c r="M31" i="10"/>
  <c r="H19" i="10"/>
  <c r="M38" i="10"/>
  <c r="M42" i="10" s="1"/>
  <c r="M44" i="10" s="1"/>
  <c r="M28" i="10"/>
  <c r="G27" i="10"/>
  <c r="G33" i="10" s="1"/>
  <c r="E19" i="10"/>
  <c r="I8" i="15"/>
  <c r="H12" i="15"/>
  <c r="H16" i="15" s="1"/>
  <c r="G40" i="14"/>
  <c r="I46" i="14"/>
  <c r="I52" i="14" s="1"/>
  <c r="I54" i="14" s="1"/>
  <c r="I61" i="14" s="1"/>
  <c r="I37" i="14"/>
  <c r="I40" i="14" s="1"/>
  <c r="I62" i="14" s="1"/>
  <c r="J46" i="14"/>
  <c r="J52" i="14" s="1"/>
  <c r="J54" i="14" s="1"/>
  <c r="J61" i="14" s="1"/>
  <c r="J37" i="14"/>
  <c r="J40" i="14" s="1"/>
  <c r="J62" i="14" s="1"/>
  <c r="H46" i="14"/>
  <c r="H52" i="14" s="1"/>
  <c r="H37" i="14"/>
  <c r="K46" i="14"/>
  <c r="K52" i="14" s="1"/>
  <c r="K54" i="14" s="1"/>
  <c r="K61" i="14" s="1"/>
  <c r="K37" i="14"/>
  <c r="K40" i="14" s="1"/>
  <c r="K62" i="14" s="1"/>
  <c r="E33" i="10"/>
  <c r="E28" i="10"/>
  <c r="E31" i="10"/>
  <c r="C34" i="10"/>
  <c r="C38" i="10"/>
  <c r="J34" i="10"/>
  <c r="J38" i="10"/>
  <c r="H28" i="10"/>
  <c r="H33" i="10"/>
  <c r="H31" i="10"/>
  <c r="K34" i="10"/>
  <c r="K38" i="10"/>
  <c r="I19" i="10"/>
  <c r="I27" i="10"/>
  <c r="H38" i="14" s="1"/>
  <c r="H48" i="14" s="1"/>
  <c r="H50" i="14" s="1"/>
  <c r="L33" i="10"/>
  <c r="L28" i="10"/>
  <c r="L31" i="10"/>
  <c r="F19" i="10"/>
  <c r="F27" i="10"/>
  <c r="D31" i="10" l="1"/>
  <c r="D28" i="10"/>
  <c r="G31" i="10"/>
  <c r="G28" i="10"/>
  <c r="K64" i="14"/>
  <c r="J8" i="15"/>
  <c r="I12" i="15"/>
  <c r="I16" i="15" s="1"/>
  <c r="J64" i="14"/>
  <c r="H40" i="14"/>
  <c r="H62" i="14" s="1"/>
  <c r="H54" i="14"/>
  <c r="H61" i="14" s="1"/>
  <c r="I64" i="14"/>
  <c r="L34" i="10"/>
  <c r="L38" i="10"/>
  <c r="C42" i="10"/>
  <c r="C44" i="10" s="1"/>
  <c r="H34" i="10"/>
  <c r="H38" i="10"/>
  <c r="G34" i="10"/>
  <c r="G38" i="10"/>
  <c r="F33" i="10"/>
  <c r="F28" i="10"/>
  <c r="F31" i="10"/>
  <c r="I33" i="10"/>
  <c r="I28" i="10"/>
  <c r="I31" i="10"/>
  <c r="E38" i="10"/>
  <c r="E34" i="10"/>
  <c r="D34" i="10"/>
  <c r="D38" i="10"/>
  <c r="K39" i="10"/>
  <c r="K42" i="10"/>
  <c r="K44" i="10" s="1"/>
  <c r="J42" i="10"/>
  <c r="J44" i="10" s="1"/>
  <c r="H64" i="14" l="1"/>
  <c r="K66" i="14" s="1"/>
  <c r="K56" i="14"/>
  <c r="K8" i="15"/>
  <c r="K12" i="15" s="1"/>
  <c r="K16" i="15" s="1"/>
  <c r="J12" i="15"/>
  <c r="J16" i="15" s="1"/>
  <c r="K57" i="14"/>
  <c r="D39" i="10"/>
  <c r="D42" i="10"/>
  <c r="D44" i="10" s="1"/>
  <c r="F38" i="10"/>
  <c r="G39" i="10" s="1"/>
  <c r="F34" i="10"/>
  <c r="H39" i="10"/>
  <c r="H42" i="10"/>
  <c r="H44" i="10" s="1"/>
  <c r="L39" i="10"/>
  <c r="M39" i="10"/>
  <c r="L42" i="10"/>
  <c r="L44" i="10" s="1"/>
  <c r="G42" i="10"/>
  <c r="G44" i="10" s="1"/>
  <c r="E39" i="10"/>
  <c r="E42" i="10"/>
  <c r="E44" i="10" s="1"/>
  <c r="I34" i="10"/>
  <c r="I38" i="10"/>
  <c r="K67" i="14" l="1"/>
  <c r="E28" i="15"/>
  <c r="I39" i="10"/>
  <c r="I42" i="10"/>
  <c r="I44" i="10" s="1"/>
  <c r="J39" i="10"/>
  <c r="F39" i="10"/>
  <c r="F42" i="10"/>
  <c r="F44" i="10" s="1"/>
  <c r="E26" i="1" l="1"/>
  <c r="G9" i="9"/>
  <c r="G11" i="9" s="1"/>
  <c r="J27" i="1" s="1"/>
  <c r="E15" i="1"/>
  <c r="E16" i="1"/>
  <c r="E17" i="1"/>
  <c r="E18" i="1"/>
  <c r="E14" i="1"/>
  <c r="D15" i="1"/>
  <c r="D16" i="1"/>
  <c r="D17" i="1"/>
  <c r="D18" i="1"/>
  <c r="D14" i="1"/>
  <c r="C35" i="1" s="1"/>
  <c r="M11" i="7"/>
  <c r="J10" i="7" s="1"/>
  <c r="J16" i="7" s="1"/>
  <c r="G14" i="1" l="1"/>
  <c r="H16" i="1"/>
  <c r="G18" i="1"/>
  <c r="J18" i="1" s="1"/>
  <c r="G17" i="1"/>
  <c r="J17" i="1" s="1"/>
  <c r="G16" i="1"/>
  <c r="J16" i="1" s="1"/>
  <c r="G15" i="1"/>
  <c r="J15" i="1" s="1"/>
  <c r="H14" i="1"/>
  <c r="H15" i="1"/>
  <c r="H17" i="1"/>
  <c r="H18" i="1"/>
  <c r="C36" i="1"/>
  <c r="C37" i="1" s="1"/>
  <c r="D37" i="1" s="1"/>
  <c r="E37" i="1" s="1"/>
  <c r="I14" i="1"/>
  <c r="I21" i="1" s="1"/>
  <c r="G115" i="7"/>
  <c r="G114" i="7"/>
  <c r="G113" i="7"/>
  <c r="G112" i="7"/>
  <c r="G111" i="7"/>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D115" i="7"/>
  <c r="D114" i="7"/>
  <c r="D113" i="7"/>
  <c r="D112" i="7"/>
  <c r="D111" i="7"/>
  <c r="D110" i="7"/>
  <c r="D109" i="7"/>
  <c r="D108" i="7"/>
  <c r="D107" i="7"/>
  <c r="D106" i="7"/>
  <c r="D105" i="7"/>
  <c r="D104" i="7"/>
  <c r="D103" i="7"/>
  <c r="D102" i="7"/>
  <c r="D101" i="7"/>
  <c r="D100" i="7"/>
  <c r="D99" i="7"/>
  <c r="D98" i="7"/>
  <c r="D97" i="7"/>
  <c r="D96" i="7"/>
  <c r="D95" i="7"/>
  <c r="D94" i="7"/>
  <c r="D93" i="7"/>
  <c r="D92" i="7"/>
  <c r="D91" i="7"/>
  <c r="D90" i="7"/>
  <c r="D89" i="7"/>
  <c r="D88" i="7"/>
  <c r="D87" i="7"/>
  <c r="D86" i="7"/>
  <c r="D85" i="7"/>
  <c r="D84" i="7"/>
  <c r="D83" i="7"/>
  <c r="D82" i="7"/>
  <c r="D81" i="7"/>
  <c r="D80" i="7"/>
  <c r="D79" i="7"/>
  <c r="D78" i="7"/>
  <c r="D77" i="7"/>
  <c r="D76" i="7"/>
  <c r="D75" i="7"/>
  <c r="D74" i="7"/>
  <c r="D73" i="7"/>
  <c r="D72" i="7"/>
  <c r="D71" i="7"/>
  <c r="D70" i="7"/>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F21" i="1"/>
  <c r="E27" i="1" s="1"/>
  <c r="E28" i="1" s="1"/>
  <c r="J44" i="1" s="1"/>
  <c r="F20" i="1"/>
  <c r="I20" i="1" l="1"/>
  <c r="J14" i="1"/>
  <c r="J20" i="1" s="1"/>
  <c r="J36" i="1"/>
  <c r="M9" i="7"/>
  <c r="M8" i="7"/>
  <c r="H21" i="1"/>
  <c r="D35" i="1"/>
  <c r="D36" i="1"/>
  <c r="G21" i="1"/>
  <c r="H20" i="1"/>
  <c r="E35" i="1" s="1"/>
  <c r="J45" i="1" s="1"/>
  <c r="G20" i="1"/>
  <c r="J21" i="1" l="1"/>
  <c r="J34" i="1" s="1"/>
  <c r="E36" i="1"/>
  <c r="D39" i="1"/>
  <c r="E39" i="1" l="1"/>
  <c r="J35" i="1" s="1"/>
  <c r="J37" i="1" s="1"/>
  <c r="J28" i="1" s="1"/>
  <c r="J29" i="1" s="1"/>
  <c r="J41" i="1" s="1"/>
  <c r="J42" i="1"/>
  <c r="J47" i="1" l="1"/>
  <c r="E29" i="15" s="1"/>
  <c r="F18" i="15" l="1"/>
  <c r="F20" i="15" s="1"/>
  <c r="I18" i="15"/>
  <c r="I20" i="15" s="1"/>
  <c r="G18" i="15"/>
  <c r="G20" i="15" s="1"/>
  <c r="H18" i="15"/>
  <c r="H20" i="15" s="1"/>
  <c r="K18" i="15"/>
  <c r="K20" i="15" s="1"/>
  <c r="J18" i="15"/>
  <c r="J20" i="15" s="1"/>
  <c r="E32" i="15"/>
  <c r="E38" i="15" l="1"/>
  <c r="E37" i="15"/>
  <c r="E39" i="15" l="1"/>
  <c r="E43" i="15" s="1"/>
  <c r="E45" i="15" s="1"/>
  <c r="G27" i="15" s="1"/>
</calcChain>
</file>

<file path=xl/sharedStrings.xml><?xml version="1.0" encoding="utf-8"?>
<sst xmlns="http://schemas.openxmlformats.org/spreadsheetml/2006/main" count="504" uniqueCount="390">
  <si>
    <t>Weighted Average Cost of Capital</t>
  </si>
  <si>
    <t>All figures are in INR unless stated otherwise.</t>
  </si>
  <si>
    <t>Peer Comps</t>
  </si>
  <si>
    <t>Name</t>
  </si>
  <si>
    <t>Country</t>
  </si>
  <si>
    <t>Total Debt</t>
  </si>
  <si>
    <t>Total Equity</t>
  </si>
  <si>
    <t>Average</t>
  </si>
  <si>
    <t>Debt/</t>
  </si>
  <si>
    <t>Equity</t>
  </si>
  <si>
    <t>Levered</t>
  </si>
  <si>
    <r>
      <t xml:space="preserve">Tax Rate </t>
    </r>
    <r>
      <rPr>
        <vertAlign val="superscript"/>
        <sz val="11"/>
        <color theme="1"/>
        <rFont val="Calibri"/>
        <family val="2"/>
      </rPr>
      <t>1</t>
    </r>
  </si>
  <si>
    <r>
      <t xml:space="preserve">Beta </t>
    </r>
    <r>
      <rPr>
        <vertAlign val="superscript"/>
        <sz val="11"/>
        <color theme="1"/>
        <rFont val="Calibri"/>
        <family val="2"/>
      </rPr>
      <t>2</t>
    </r>
  </si>
  <si>
    <t>Unlevered</t>
  </si>
  <si>
    <r>
      <t xml:space="preserve">Beta </t>
    </r>
    <r>
      <rPr>
        <vertAlign val="superscript"/>
        <sz val="11"/>
        <color theme="1"/>
        <rFont val="Calibri"/>
        <family val="2"/>
      </rPr>
      <t>3</t>
    </r>
  </si>
  <si>
    <t>India</t>
  </si>
  <si>
    <t>Capital</t>
  </si>
  <si>
    <t>Median</t>
  </si>
  <si>
    <t>Capital Structure</t>
  </si>
  <si>
    <t>Market Capitalization</t>
  </si>
  <si>
    <t>Total Capitalization</t>
  </si>
  <si>
    <t>Current</t>
  </si>
  <si>
    <t>Target</t>
  </si>
  <si>
    <t>Cost of Equity</t>
  </si>
  <si>
    <t>Risk Free Rate</t>
  </si>
  <si>
    <t>Equity Risk Premium</t>
  </si>
  <si>
    <t>Levered Beta</t>
  </si>
  <si>
    <t>Debt / Equity</t>
  </si>
  <si>
    <r>
      <t xml:space="preserve">Levered Beta </t>
    </r>
    <r>
      <rPr>
        <vertAlign val="superscript"/>
        <sz val="11"/>
        <color theme="1"/>
        <rFont val="Calibri"/>
        <family val="2"/>
      </rPr>
      <t>4</t>
    </r>
  </si>
  <si>
    <t>Cost of Debt</t>
  </si>
  <si>
    <t>Pre-tax Cost of Debt</t>
  </si>
  <si>
    <t>Tax Rate</t>
  </si>
  <si>
    <t>After Tax Cost of Debt</t>
  </si>
  <si>
    <t xml:space="preserve">Levered Beta </t>
  </si>
  <si>
    <t>Comps Median Unlevered Beta</t>
  </si>
  <si>
    <t xml:space="preserve">Target Debt/ Equity  </t>
  </si>
  <si>
    <t>1. Tax Rate considered as Marginal Tax Rate for the country</t>
  </si>
  <si>
    <t>2. Levered Beta is based on 5 year monthly data</t>
  </si>
  <si>
    <t xml:space="preserve"> </t>
  </si>
  <si>
    <t>3. Unlevered Beta = Levered Beta/(1+(1-Tax Rate) x Debt/Equity)</t>
  </si>
  <si>
    <t>3. Levered Beta = Unlevered Beta/(1+(1-Tax Rate) x Debt/Equity)</t>
  </si>
  <si>
    <t>Date</t>
  </si>
  <si>
    <t>S.No.</t>
  </si>
  <si>
    <t>CMP Rs.</t>
  </si>
  <si>
    <t>Debt Rs.Cr.</t>
  </si>
  <si>
    <t xml:space="preserve">Mar Cap Rs.Cr. </t>
  </si>
  <si>
    <t>Debt / Eq</t>
  </si>
  <si>
    <t>Avenue Super.</t>
  </si>
  <si>
    <t>Trent</t>
  </si>
  <si>
    <t>Vedant Fashions</t>
  </si>
  <si>
    <t>Aditya Bir. Fas.</t>
  </si>
  <si>
    <t>Metro Brands</t>
  </si>
  <si>
    <t>Closing Price</t>
  </si>
  <si>
    <t>Avenue Supermart Weekly Returns</t>
  </si>
  <si>
    <t>Return</t>
  </si>
  <si>
    <t>NIFTY Returns</t>
  </si>
  <si>
    <t>Beta 1</t>
  </si>
  <si>
    <t>Beta 2</t>
  </si>
  <si>
    <t>Beta 3</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</si>
  <si>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</si>
  <si>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</si>
  <si>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</si>
  <si>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</si>
  <si>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</si>
  <si>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</si>
  <si>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</si>
  <si>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</si>
  <si>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</si>
  <si>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</si>
  <si>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</si>
  <si>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</si>
  <si>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</si>
  <si>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</si>
  <si>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</si>
  <si>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</si>
  <si>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</si>
  <si>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</si>
  <si>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</si>
  <si>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</si>
  <si>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</si>
  <si>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</si>
  <si>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</si>
  <si>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</si>
  <si>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</si>
  <si>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Beta Drifting</t>
  </si>
  <si>
    <t>Levered Raw Beta</t>
  </si>
  <si>
    <t>Raw Beta Weight</t>
  </si>
  <si>
    <t>Market Beta Weight</t>
  </si>
  <si>
    <t xml:space="preserve">Market Beta </t>
  </si>
  <si>
    <t>Adjusted Beta</t>
  </si>
  <si>
    <t>Regression Beta - 2 Years Weekly</t>
  </si>
  <si>
    <t>Year</t>
  </si>
  <si>
    <t>Annual</t>
  </si>
  <si>
    <t>Return on Markets</t>
  </si>
  <si>
    <t>Average Return</t>
  </si>
  <si>
    <t>Dividend Yield</t>
  </si>
  <si>
    <r>
      <t xml:space="preserve">1.39% </t>
    </r>
    <r>
      <rPr>
        <vertAlign val="superscript"/>
        <sz val="11"/>
        <color theme="1"/>
        <rFont val="Calibri"/>
        <family val="2"/>
      </rPr>
      <t>1</t>
    </r>
  </si>
  <si>
    <t>Total Market Returns</t>
  </si>
  <si>
    <t>Equity Weight</t>
  </si>
  <si>
    <t>Debt Weight</t>
  </si>
  <si>
    <t>WACC</t>
  </si>
  <si>
    <t>Years</t>
  </si>
  <si>
    <t>LTM</t>
  </si>
  <si>
    <t>#</t>
  </si>
  <si>
    <t>Income Statement</t>
  </si>
  <si>
    <t>Sales</t>
  </si>
  <si>
    <t>Sales Growth</t>
  </si>
  <si>
    <t>-</t>
  </si>
  <si>
    <t>COGS</t>
  </si>
  <si>
    <t>COGS % Sales</t>
  </si>
  <si>
    <t>Gross Profit</t>
  </si>
  <si>
    <t>Gross Margins</t>
  </si>
  <si>
    <t>Selling &amp; General Expenses</t>
  </si>
  <si>
    <t>S&amp;G Exp % Sales</t>
  </si>
  <si>
    <t>EBITDA</t>
  </si>
  <si>
    <t>EBITDA Margins</t>
  </si>
  <si>
    <t>Interest</t>
  </si>
  <si>
    <t>Interest % Sales</t>
  </si>
  <si>
    <t>Depreciation</t>
  </si>
  <si>
    <t>Depreciation%Sales</t>
  </si>
  <si>
    <t>Earnings Before Tax</t>
  </si>
  <si>
    <t>EBT % Sales</t>
  </si>
  <si>
    <t>Tax</t>
  </si>
  <si>
    <t>Effective Tax Rate</t>
  </si>
  <si>
    <t>Net Profit</t>
  </si>
  <si>
    <t>Net Margins</t>
  </si>
  <si>
    <t>No of Equity Shares</t>
  </si>
  <si>
    <t>Earnings per Share</t>
  </si>
  <si>
    <t>EPS Growth %</t>
  </si>
  <si>
    <t>Dividend per Share</t>
  </si>
  <si>
    <t>Dividend payout ratio</t>
  </si>
  <si>
    <t>Retained Earnings</t>
  </si>
  <si>
    <t>Balance Sheet</t>
  </si>
  <si>
    <t>Equity Share Capital</t>
  </si>
  <si>
    <t>Reserves</t>
  </si>
  <si>
    <t>Borrowings</t>
  </si>
  <si>
    <t>Other Liabilities</t>
  </si>
  <si>
    <t>Total Liabilities</t>
  </si>
  <si>
    <t>Fixed Assets Net Block</t>
  </si>
  <si>
    <t>Capital Work in Progress</t>
  </si>
  <si>
    <t>Investments</t>
  </si>
  <si>
    <t>Other Assets</t>
  </si>
  <si>
    <t>Total Non Current Assets</t>
  </si>
  <si>
    <t>Receivables</t>
  </si>
  <si>
    <t>Inventory</t>
  </si>
  <si>
    <t>Cash &amp; Bank</t>
  </si>
  <si>
    <t>Total Current Assets</t>
  </si>
  <si>
    <t>Total Assets</t>
  </si>
  <si>
    <t>Check</t>
  </si>
  <si>
    <t>Cash Flow Statements</t>
  </si>
  <si>
    <t>Cash from Operating Activities</t>
  </si>
  <si>
    <t>Cash from Investing Activities</t>
  </si>
  <si>
    <t>Cash from Financing Activities</t>
  </si>
  <si>
    <t>Net Cash Flow</t>
  </si>
  <si>
    <t>COMPANY NAME</t>
  </si>
  <si>
    <t>AVENUE SUPERMARTS LTD</t>
  </si>
  <si>
    <t>LATEST VERSION</t>
  </si>
  <si>
    <t>PLEASE DO NOT MAKE ANY CHANGES TO THIS SHEET</t>
  </si>
  <si>
    <t>CURRENT VERSION</t>
  </si>
  <si>
    <t>META</t>
  </si>
  <si>
    <t>Number of shares</t>
  </si>
  <si>
    <t>Face Value</t>
  </si>
  <si>
    <t>Current Price</t>
  </si>
  <si>
    <t>PROFIT &amp; LOSS</t>
  </si>
  <si>
    <t>Report Date</t>
  </si>
  <si>
    <t>Raw Material Cost</t>
  </si>
  <si>
    <t>Change in Inventory</t>
  </si>
  <si>
    <t>Power and Fuel</t>
  </si>
  <si>
    <t>Other Mfr. Exp</t>
  </si>
  <si>
    <t>Employee Cost</t>
  </si>
  <si>
    <t>Selling and admin</t>
  </si>
  <si>
    <t>Other Expenses</t>
  </si>
  <si>
    <t>Other Income</t>
  </si>
  <si>
    <t>Profit before tax</t>
  </si>
  <si>
    <t>Net profit</t>
  </si>
  <si>
    <t>Dividend Amount</t>
  </si>
  <si>
    <t>Quarters</t>
  </si>
  <si>
    <t>Expenses</t>
  </si>
  <si>
    <t>Operating Profit</t>
  </si>
  <si>
    <t>BALANCE SHEET</t>
  </si>
  <si>
    <t>Net Block</t>
  </si>
  <si>
    <t>No. of Equity Shares</t>
  </si>
  <si>
    <t>New Bonus Shares</t>
  </si>
  <si>
    <t>Face value</t>
  </si>
  <si>
    <t>CASH FLOW:</t>
  </si>
  <si>
    <t>Cash from Operating Activity</t>
  </si>
  <si>
    <t>Cash from Investing Activity</t>
  </si>
  <si>
    <t>Cash from Financing Activity</t>
  </si>
  <si>
    <t>PRICE:</t>
  </si>
  <si>
    <t>DERIVED:</t>
  </si>
  <si>
    <t>Adjusted Equity Shares in Cr</t>
  </si>
  <si>
    <t>Equity Capital</t>
  </si>
  <si>
    <t>Borrowings -</t>
  </si>
  <si>
    <t>Long term Borrowings</t>
  </si>
  <si>
    <t>Short term Borrowings</t>
  </si>
  <si>
    <t>Lease Liabilities</t>
  </si>
  <si>
    <t>Other Borrowings</t>
  </si>
  <si>
    <t>Other Liabilities -</t>
  </si>
  <si>
    <t>Non controlling int</t>
  </si>
  <si>
    <t>Trade Payables</t>
  </si>
  <si>
    <t>Advance from Customers</t>
  </si>
  <si>
    <t>Other liability items</t>
  </si>
  <si>
    <t>Fixed Assets -</t>
  </si>
  <si>
    <t>Land</t>
  </si>
  <si>
    <t>Building</t>
  </si>
  <si>
    <t>Plant Machinery</t>
  </si>
  <si>
    <t>Equipments</t>
  </si>
  <si>
    <t>Furniture n fittings</t>
  </si>
  <si>
    <t>Vehicles</t>
  </si>
  <si>
    <t>Intangible Assets</t>
  </si>
  <si>
    <t>Other fixed assets</t>
  </si>
  <si>
    <t>Gross Block</t>
  </si>
  <si>
    <t>Accumulated Depreciation</t>
  </si>
  <si>
    <t>CWIP</t>
  </si>
  <si>
    <t>Other Assets -</t>
  </si>
  <si>
    <t>Inventories</t>
  </si>
  <si>
    <t>Trade receivables</t>
  </si>
  <si>
    <t>Cash Equivalents</t>
  </si>
  <si>
    <t>Loans n Advances</t>
  </si>
  <si>
    <t>Other asset items</t>
  </si>
  <si>
    <t>Particulars</t>
  </si>
  <si>
    <t>ROIC</t>
  </si>
  <si>
    <t>Calculation of ROIC</t>
  </si>
  <si>
    <t>Current Assets</t>
  </si>
  <si>
    <t>Current Liabilities</t>
  </si>
  <si>
    <t>Total Current Liabilities</t>
  </si>
  <si>
    <t>Net Working Capital</t>
  </si>
  <si>
    <t>Non Current Assets</t>
  </si>
  <si>
    <t>Net Non Current Assets</t>
  </si>
  <si>
    <t>Invested Capital</t>
  </si>
  <si>
    <t>EBIT</t>
  </si>
  <si>
    <t>Calculation of Reinvestment Rate</t>
  </si>
  <si>
    <t>Net Capex</t>
  </si>
  <si>
    <t>Cash from Operating Activity -</t>
  </si>
  <si>
    <t>Profit from operations</t>
  </si>
  <si>
    <t>Payables</t>
  </si>
  <si>
    <t>Other WC items</t>
  </si>
  <si>
    <t>Working capital changes</t>
  </si>
  <si>
    <t>Direct taxes</t>
  </si>
  <si>
    <t>Exceptional CF items</t>
  </si>
  <si>
    <t>Cash from Investing Activity -</t>
  </si>
  <si>
    <t>Fixed assets purchased</t>
  </si>
  <si>
    <t>Fixed assets sold</t>
  </si>
  <si>
    <t>Investments purchased</t>
  </si>
  <si>
    <t>Investments sold</t>
  </si>
  <si>
    <t>Interest received</t>
  </si>
  <si>
    <t>Dividends received</t>
  </si>
  <si>
    <t>Redemp n Canc of Shares</t>
  </si>
  <si>
    <t>Acquisition of companies</t>
  </si>
  <si>
    <t>Other investing items</t>
  </si>
  <si>
    <t>Cash from Financing Activity -</t>
  </si>
  <si>
    <t>Proceeds from borrowings</t>
  </si>
  <si>
    <t>Repayment of borrowings</t>
  </si>
  <si>
    <t>Interest paid fin</t>
  </si>
  <si>
    <t>Dividends paid</t>
  </si>
  <si>
    <t>Financial liabilities</t>
  </si>
  <si>
    <t>Other financing items</t>
  </si>
  <si>
    <t>Change in Working Capital</t>
  </si>
  <si>
    <t>Marginal Tax Rate</t>
  </si>
  <si>
    <t>Reinvestment</t>
  </si>
  <si>
    <t>EBIT(1-T)</t>
  </si>
  <si>
    <t>Reinvestment Rate</t>
  </si>
  <si>
    <t>4 Year Average</t>
  </si>
  <si>
    <t>4 Year Median</t>
  </si>
  <si>
    <t>Calculation of Growth Rate</t>
  </si>
  <si>
    <t>Intrinsic Growth</t>
  </si>
  <si>
    <t>EBIT (1-T)</t>
  </si>
  <si>
    <t>Less: Reinvestment Rate</t>
  </si>
  <si>
    <t>Free Cash Flow to Firm</t>
  </si>
  <si>
    <t>Expected Growth</t>
  </si>
  <si>
    <t>Terminal Growth</t>
  </si>
  <si>
    <t>Calculation of Terminal Value</t>
  </si>
  <si>
    <t>FCFF (n+1)</t>
  </si>
  <si>
    <t>Terminal Growth Rate</t>
  </si>
  <si>
    <t>Terminal Value</t>
  </si>
  <si>
    <t>Calculation of PV of FCFF</t>
  </si>
  <si>
    <t>Discounting Factor</t>
  </si>
  <si>
    <t>PV of FCFF</t>
  </si>
  <si>
    <t>Calculation of Enterprise Value</t>
  </si>
  <si>
    <t>PV of Terminal Value</t>
  </si>
  <si>
    <t>Value of Operating Asset</t>
  </si>
  <si>
    <t>Add: Cash</t>
  </si>
  <si>
    <t>Less: Debt</t>
  </si>
  <si>
    <t>Value of Equity</t>
  </si>
  <si>
    <t>No. of Shares</t>
  </si>
  <si>
    <t>Value per Share</t>
  </si>
  <si>
    <t>Sensitivity Analysis</t>
  </si>
  <si>
    <t>Amount in crores</t>
  </si>
  <si>
    <t>Comparable Company Valuation</t>
  </si>
  <si>
    <t>Market Data</t>
  </si>
  <si>
    <t>Financials</t>
  </si>
  <si>
    <t>Valuation</t>
  </si>
  <si>
    <t>Company</t>
  </si>
  <si>
    <t>Ticker</t>
  </si>
  <si>
    <t>Share Price</t>
  </si>
  <si>
    <t>Shares Outstanding</t>
  </si>
  <si>
    <t>Equity Value</t>
  </si>
  <si>
    <t>Net Debt</t>
  </si>
  <si>
    <t>Enterprise Value</t>
  </si>
  <si>
    <t>Revenue</t>
  </si>
  <si>
    <t>Net Income</t>
  </si>
  <si>
    <t>EV/Revenue</t>
  </si>
  <si>
    <t>EV/EBITDA</t>
  </si>
  <si>
    <t>P/E</t>
  </si>
  <si>
    <t>High</t>
  </si>
  <si>
    <t>75th Percentile</t>
  </si>
  <si>
    <t>25th Percentile</t>
  </si>
  <si>
    <t>Low</t>
  </si>
  <si>
    <t>Cipla Comparable Valuation</t>
  </si>
  <si>
    <t>Implied Enterprise Value</t>
  </si>
  <si>
    <t>Implied Market Value</t>
  </si>
  <si>
    <t>Implied Value per Share</t>
  </si>
  <si>
    <t>Source: The Valuation School, Screener.in</t>
  </si>
  <si>
    <t>No. Eq. Shares Cr.</t>
  </si>
  <si>
    <t>Market Cap</t>
  </si>
  <si>
    <t>Cash End Rs.Cr.</t>
  </si>
  <si>
    <t>EV</t>
  </si>
  <si>
    <t>Sales Rs.Cr.</t>
  </si>
  <si>
    <t>NP 12M Rs.Cr.</t>
  </si>
  <si>
    <t>Sun Pharma.Inds.</t>
  </si>
  <si>
    <t>Dr Reddy's Labs</t>
  </si>
  <si>
    <t>Cipla</t>
  </si>
  <si>
    <t>Torrent Pharma.</t>
  </si>
  <si>
    <t>Zydus Lifesci.</t>
  </si>
  <si>
    <t>Alkem Lab</t>
  </si>
  <si>
    <t>Aurobindo Pharma</t>
  </si>
  <si>
    <t>Biocon</t>
  </si>
  <si>
    <t>Syngene Intl.</t>
  </si>
  <si>
    <t>Ipca Labs.</t>
  </si>
  <si>
    <t>J B Chem &amp; Pharm</t>
  </si>
  <si>
    <t>Glenmark Pharma.</t>
  </si>
  <si>
    <t>Suven Pharma</t>
  </si>
  <si>
    <t>Natco Pharma</t>
  </si>
  <si>
    <t>Alembic Pharma</t>
  </si>
  <si>
    <t>Piramal Pharma</t>
  </si>
  <si>
    <t>Glenmark Life</t>
  </si>
  <si>
    <t>FDC</t>
  </si>
  <si>
    <t>Indoco Remedies</t>
  </si>
  <si>
    <t>Strides Pharma</t>
  </si>
  <si>
    <t>Aarti Pharma</t>
  </si>
  <si>
    <t>Unichem Labs.</t>
  </si>
  <si>
    <t>Wockhardt</t>
  </si>
  <si>
    <t>Dishman Carbogen</t>
  </si>
  <si>
    <t>IOL Chemicals</t>
  </si>
  <si>
    <t>Gufic BioScience</t>
  </si>
  <si>
    <t>Supriya Lifesci.</t>
  </si>
  <si>
    <t>Morepen Labs.</t>
  </si>
  <si>
    <t>RPG LifeScience.</t>
  </si>
  <si>
    <t>Solara Active</t>
  </si>
  <si>
    <t>Comps</t>
  </si>
  <si>
    <t>OpenHigh</t>
  </si>
  <si>
    <t>OpenLow</t>
  </si>
  <si>
    <t>DCF Base</t>
  </si>
  <si>
    <t>DCF Bear</t>
  </si>
  <si>
    <t>DCF Bull</t>
  </si>
  <si>
    <t>52W H/L</t>
  </si>
  <si>
    <t>Football Field Analysis - Data</t>
  </si>
  <si>
    <t xml:space="preserve">   52 Week (High - INR 4609 &amp; Low - 3292)</t>
  </si>
  <si>
    <t>About the company</t>
  </si>
  <si>
    <t>Avenue Supermarts Limited, d/b/a DMart, is an Indian retail corporation that operates a chain of hypermarkets in India. It was founded by Radhakishan Damani in 2002 when its first store was opened in Powai, Mumbai. As of December 2022, it has 306 stores across 14 states in India. The company has its headquarters in Mumbai. As of 31 March 2022, DMart had a total of 10,713 permanent employees and 58,597 employees hired on contractual basis.</t>
  </si>
  <si>
    <t>Return on Equity (ROE)</t>
  </si>
  <si>
    <t>Average Shareholder Equity</t>
  </si>
  <si>
    <t>Return on Equity</t>
  </si>
  <si>
    <t>ROE - Dupont Equation</t>
  </si>
  <si>
    <t>Net Profit Margin (A)</t>
  </si>
  <si>
    <t>Average Total Asset</t>
  </si>
  <si>
    <t>Asset Turnover Ratio (B)</t>
  </si>
  <si>
    <t>Equity Multiplier (C)</t>
  </si>
  <si>
    <t>Return on Equity (A*B*C)</t>
  </si>
  <si>
    <t>Return on Asset</t>
  </si>
  <si>
    <t>ROA - Dupont Equation</t>
  </si>
  <si>
    <t>Return on Asset (A*B)</t>
  </si>
  <si>
    <t>Financial Summary</t>
  </si>
  <si>
    <t>Altman's Z Score Analysis</t>
  </si>
  <si>
    <t>Working Capital / Total Assets</t>
  </si>
  <si>
    <t>Working Capital</t>
  </si>
  <si>
    <t>Retained Earnings / Total Assets</t>
  </si>
  <si>
    <t>EBIT / Total Assets</t>
  </si>
  <si>
    <t>Market Cap / Long term Liabilities</t>
  </si>
  <si>
    <t>Long term Liabilities</t>
  </si>
  <si>
    <t>Sales / Total Assets</t>
  </si>
  <si>
    <t>Total Sales</t>
  </si>
  <si>
    <t>Working Capital / Total Assets (A)</t>
  </si>
  <si>
    <t>Retained Earnings / Total Assets (B)</t>
  </si>
  <si>
    <t>EBIT/Total Assets (C)</t>
  </si>
  <si>
    <t>Market Cap / Long term Liabilities (D)</t>
  </si>
  <si>
    <t>Return on Asset (E)</t>
  </si>
  <si>
    <t>Altman's Z Score</t>
  </si>
  <si>
    <t>Final Score</t>
  </si>
  <si>
    <t>Financial 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</si>
</sst>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3" formatCode="_ * #,##0.00_ ;_ * \-#,##0.00_ ;_ * &quot;-&quot;??_ ;_ @_ "/>
    <numFmt numFmtId="164" formatCode="#,##0.0"/>
    <numFmt numFmtId="165" formatCode="&quot;₹&quot;\ #,##0.0;\(&quot;₹&quot;\ #,##0.0\);\-"/>
    <numFmt numFmtId="166" formatCode="&quot;₹&quot;\ #,##0.00"/>
    <numFmt numFmtId="167" formatCode="&quot;₹&quot;\ #,##0.00;\(&quot;₹&quot;\ #,##0.00\);\-"/>
    <numFmt numFmtId="168" formatCode="[$-409]mmm\-yy;@"/>
    <numFmt numFmtId="169" formatCode="_(* #,##0.00_);_(* \(#,##0.00\);_(* &quot;-&quot;??_);_(@_)"/>
    <numFmt numFmtId="170" formatCode="#,##0.0;\(#,##0.0\);\-"/>
    <numFmt numFmtId="171" formatCode="0.000000000000000%"/>
    <numFmt numFmtId="172" formatCode="0.0"/>
    <numFmt numFmtId="173" formatCode="0.0\x"/>
    <numFmt numFmtId="174" formatCode="0.00\x"/>
  </numFmts>
  <fonts count="33">
    <font>
      <sz val="11"/>
      <color theme="1"/>
      <name val="calibri"/>
      <family val="2"/>
    </font>
    <font>
      <b/>
      <sz val="11"/>
      <color theme="1"/>
      <name val="calibri"/>
      <family val="2"/>
    </font>
    <font>
      <vertAlign val="superscript"/>
      <sz val="11"/>
      <color theme="1"/>
      <name val="Calibri"/>
      <family val="2"/>
    </font>
    <font>
      <b/>
      <sz val="14"/>
      <color theme="1"/>
      <name val="calibri"/>
      <family val="2"/>
    </font>
    <font>
      <sz val="14"/>
      <color theme="1"/>
      <name val="calibri"/>
      <family val="2"/>
    </font>
    <font>
      <sz val="11"/>
      <color theme="1"/>
      <name val="calibri"/>
      <family val="2"/>
    </font>
    <font>
      <sz val="11"/>
      <color rgb="FF3333FF"/>
      <name val="calibri"/>
      <family val="2"/>
    </font>
    <font>
      <i/>
      <sz val="10"/>
      <color theme="1"/>
      <name val="calibri"/>
      <family val="2"/>
    </font>
    <font>
      <i/>
      <sz val="9"/>
      <color theme="1"/>
      <name val="calibri"/>
      <family val="2"/>
    </font>
    <font>
      <b/>
      <sz val="11"/>
      <color theme="0"/>
      <name val="calibri"/>
      <family val="2"/>
    </font>
    <font>
      <sz val="11"/>
      <color theme="0"/>
      <name val="calibri"/>
      <family val="2"/>
    </font>
    <font>
      <i/>
      <sz val="11"/>
      <color theme="1"/>
      <name val="calibri"/>
      <family val="2"/>
    </font>
    <font>
      <i/>
      <sz val="11"/>
      <color theme="0" tint="-0.499984740745262"/>
      <name val="calibri"/>
      <family val="2"/>
    </font>
    <font>
      <u/>
      <sz val="11"/>
      <color theme="10"/>
      <name val="calibri"/>
      <family val="2"/>
    </font>
    <font>
      <sz val="11"/>
      <color theme="1"/>
      <name val="Calibri"/>
      <family val="2"/>
      <scheme val="minor"/>
    </font>
    <font>
      <b/>
      <sz val="10"/>
      <color theme="1"/>
      <name val="Arial"/>
      <family val="2"/>
    </font>
    <font>
      <u/>
      <sz val="10"/>
      <color theme="10"/>
      <name val="Arial"/>
      <family val="2"/>
    </font>
    <font>
      <sz val="10"/>
      <color theme="1"/>
      <name val="Arial"/>
      <family val="2"/>
    </font>
    <font>
      <sz val="11"/>
      <color theme="0"/>
      <name val="Calibri"/>
      <family val="2"/>
      <scheme val="minor"/>
    </font>
    <font>
      <b/>
      <sz val="10"/>
      <color theme="0"/>
      <name val="Arial"/>
      <family val="2"/>
    </font>
    <font>
      <sz val="10"/>
      <name val="Arial"/>
      <family val="2"/>
    </font>
    <font>
      <sz val="11"/>
      <color theme="1"/>
      <name val="Arial Narrow"/>
      <family val="2"/>
    </font>
    <font>
      <sz val="11"/>
      <color rgb="FF22222F"/>
      <name val="Arial"/>
      <family val="2"/>
    </font>
    <font>
      <sz val="11"/>
      <color rgb="FF22222F"/>
      <name val="Calibri "/>
    </font>
    <font>
      <sz val="11"/>
      <color rgb="FF22222F"/>
      <name val="Calibri "/>
    </font>
    <font>
      <sz val="11"/>
      <name val="calibri"/>
      <family val="2"/>
    </font>
    <font>
      <b/>
      <sz val="12"/>
      <color rgb="FF002060"/>
      <name val="calibri"/>
      <family val="2"/>
    </font>
    <font>
      <b/>
      <sz val="22"/>
      <color rgb="FF028655"/>
      <name val="calibri"/>
      <family val="2"/>
    </font>
    <font>
      <sz val="12"/>
      <color theme="1"/>
      <name val="calibri"/>
      <family val="2"/>
    </font>
    <font>
      <b/>
      <sz val="12"/>
      <color theme="0"/>
      <name val="calibri"/>
      <family val="2"/>
    </font>
    <font>
      <b/>
      <sz val="14"/>
      <color rgb="FF028655"/>
      <name val="calibri"/>
      <family val="2"/>
    </font>
    <font>
      <b/>
      <sz val="18"/>
      <color rgb="FF028655"/>
      <name val="calibri"/>
      <family val="2"/>
    </font>
    <font>
      <b/>
      <i/>
      <sz val="11"/>
      <color rgb="FF028655"/>
      <name val="calibri"/>
      <family val="2"/>
    </font>
  </fonts>
  <fills count="11">
    <fill>
      <patternFill patternType="none"/>
    </fill>
    <fill>
      <patternFill patternType="gray125"/>
    </fill>
    <fill>
      <patternFill patternType="solid">
        <fgColor rgb="FF00206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patternFill>
    </fill>
    <fill>
      <patternFill patternType="solid">
        <fgColor rgb="FF0275D8"/>
        <bgColor indexed="64"/>
      </patternFill>
    </fill>
    <fill>
      <patternFill patternType="solid">
        <fgColor rgb="FFFFFFFF"/>
        <bgColor indexed="64"/>
      </patternFill>
    </fill>
    <fill>
      <patternFill patternType="solid">
        <fgColor rgb="FF028655"/>
        <bgColor indexed="64"/>
      </patternFill>
    </fill>
    <fill>
      <patternFill patternType="solid">
        <fgColor theme="9" tint="0.79998168889431442"/>
        <bgColor indexed="64"/>
      </patternFill>
    </fill>
  </fills>
  <borders count="16">
    <border>
      <left/>
      <right/>
      <top/>
      <bottom/>
      <diagonal/>
    </border>
    <border>
      <left/>
      <right/>
      <top style="thin">
        <color rgb="FF002060"/>
      </top>
      <bottom/>
      <diagonal/>
    </border>
    <border>
      <left/>
      <right/>
      <top/>
      <bottom style="thin">
        <color rgb="FF002060"/>
      </bottom>
      <diagonal/>
    </border>
    <border>
      <left/>
      <right/>
      <top style="thin">
        <color auto="1"/>
      </top>
      <bottom/>
      <diagonal/>
    </border>
    <border>
      <left/>
      <right/>
      <top/>
      <bottom style="thin">
        <color auto="1"/>
      </bottom>
      <diagonal/>
    </border>
    <border>
      <left/>
      <right/>
      <top style="hair">
        <color auto="1"/>
      </top>
      <bottom/>
      <diagonal/>
    </border>
    <border>
      <left/>
      <right/>
      <top/>
      <bottom style="thin">
        <color theme="8" tint="-0.499984740745262"/>
      </bottom>
      <diagonal/>
    </border>
    <border>
      <left/>
      <right/>
      <top/>
      <bottom style="medium">
        <color indexed="64"/>
      </bottom>
      <diagonal/>
    </border>
    <border>
      <left/>
      <right/>
      <top style="medium">
        <color indexed="64"/>
      </top>
      <bottom style="thin">
        <color indexed="64"/>
      </bottom>
      <diagonal/>
    </border>
    <border>
      <left/>
      <right/>
      <top style="hair">
        <color rgb="FF002060"/>
      </top>
      <bottom style="hair">
        <color rgb="FF002060"/>
      </bottom>
      <diagonal/>
    </border>
    <border>
      <left/>
      <right/>
      <top style="thin">
        <color rgb="FF002060"/>
      </top>
      <bottom style="thin">
        <color rgb="FF002060"/>
      </bottom>
      <diagonal/>
    </border>
    <border>
      <left/>
      <right/>
      <top style="hair">
        <color rgb="FF002060"/>
      </top>
      <bottom/>
      <diagonal/>
    </border>
    <border>
      <left/>
      <right/>
      <top style="thin">
        <color rgb="FF002060"/>
      </top>
      <bottom style="medium">
        <color rgb="FF002060"/>
      </bottom>
      <diagonal/>
    </border>
    <border>
      <left/>
      <right/>
      <top/>
      <bottom style="thin">
        <color theme="0"/>
      </bottom>
      <diagonal/>
    </border>
    <border>
      <left/>
      <right/>
      <top/>
      <bottom style="medium">
        <color rgb="FF028655"/>
      </bottom>
      <diagonal/>
    </border>
    <border>
      <left/>
      <right/>
      <top style="medium">
        <color rgb="FF028655"/>
      </top>
      <bottom/>
      <diagonal/>
    </border>
  </borders>
  <cellStyleXfs count="8">
    <xf numFmtId="0" fontId="0" fillId="0" borderId="0"/>
    <xf numFmtId="9" fontId="5" fillId="0" borderId="0" applyFont="0" applyFill="0" applyBorder="0" applyAlignment="0" applyProtection="0"/>
    <xf numFmtId="43" fontId="14" fillId="0" borderId="0" applyFont="0" applyFill="0" applyBorder="0" applyAlignment="0" applyProtection="0"/>
    <xf numFmtId="0" fontId="13" fillId="0" borderId="0" applyNumberFormat="0" applyFill="0" applyBorder="0" applyAlignment="0" applyProtection="0">
      <alignment vertical="top"/>
      <protection locked="0"/>
    </xf>
    <xf numFmtId="0" fontId="18" fillId="6" borderId="0" applyNumberFormat="0" applyBorder="0" applyAlignment="0" applyProtection="0"/>
    <xf numFmtId="0" fontId="14" fillId="0" borderId="0"/>
    <xf numFmtId="9" fontId="14" fillId="0" borderId="0" applyFont="0" applyFill="0" applyBorder="0" applyAlignment="0" applyProtection="0"/>
    <xf numFmtId="0" fontId="21" fillId="0" borderId="0"/>
  </cellStyleXfs>
  <cellXfs count="189">
    <xf numFmtId="0" fontId="0" fillId="0" borderId="0" xfId="0"/>
    <xf numFmtId="0" fontId="0" fillId="2" borderId="0" xfId="0" applyFill="1"/>
    <xf numFmtId="0" fontId="1" fillId="0" borderId="0" xfId="0" applyFont="1"/>
    <xf numFmtId="0" fontId="0" fillId="0" borderId="1" xfId="0" applyBorder="1"/>
    <xf numFmtId="0" fontId="0" fillId="0" borderId="2" xfId="0" applyBorder="1" applyAlignment="1">
      <alignment vertical="top"/>
    </xf>
    <xf numFmtId="0" fontId="3" fillId="3" borderId="0" xfId="0" applyFont="1" applyFill="1"/>
    <xf numFmtId="0" fontId="4" fillId="3" borderId="0" xfId="0" applyFont="1" applyFill="1"/>
    <xf numFmtId="0" fontId="0" fillId="3" borderId="0" xfId="0" applyFill="1"/>
    <xf numFmtId="0" fontId="0" fillId="0" borderId="0" xfId="0" applyAlignment="1">
      <alignment vertical="top"/>
    </xf>
    <xf numFmtId="2" fontId="0" fillId="0" borderId="0" xfId="0" applyNumberFormat="1"/>
    <xf numFmtId="0" fontId="6" fillId="0" borderId="0" xfId="0" applyFont="1"/>
    <xf numFmtId="0" fontId="0" fillId="0" borderId="1" xfId="0" applyBorder="1" applyAlignment="1">
      <alignment horizontal="right"/>
    </xf>
    <xf numFmtId="0" fontId="0" fillId="0" borderId="2" xfId="0" applyBorder="1" applyAlignment="1">
      <alignment horizontal="right" vertical="top"/>
    </xf>
    <xf numFmtId="2" fontId="6" fillId="0" borderId="0" xfId="0" applyNumberFormat="1" applyFont="1"/>
    <xf numFmtId="10" fontId="0" fillId="0" borderId="0" xfId="1" applyNumberFormat="1" applyFont="1"/>
    <xf numFmtId="10" fontId="6" fillId="0" borderId="0" xfId="0" applyNumberFormat="1" applyFont="1" applyAlignment="1">
      <alignment vertical="top"/>
    </xf>
    <xf numFmtId="10" fontId="0" fillId="0" borderId="0" xfId="0" applyNumberFormat="1"/>
    <xf numFmtId="0" fontId="1" fillId="0" borderId="3" xfId="0" applyFont="1" applyBorder="1"/>
    <xf numFmtId="10" fontId="0" fillId="0" borderId="3" xfId="1" applyNumberFormat="1" applyFont="1" applyBorder="1"/>
    <xf numFmtId="2" fontId="0" fillId="0" borderId="3" xfId="0" applyNumberFormat="1" applyBorder="1"/>
    <xf numFmtId="0" fontId="1" fillId="0" borderId="4" xfId="0" applyFont="1" applyBorder="1"/>
    <xf numFmtId="10" fontId="0" fillId="0" borderId="4" xfId="1" applyNumberFormat="1" applyFont="1" applyBorder="1"/>
    <xf numFmtId="2" fontId="0" fillId="0" borderId="4" xfId="0" applyNumberFormat="1" applyBorder="1"/>
    <xf numFmtId="10" fontId="0" fillId="4" borderId="0" xfId="1" applyNumberFormat="1" applyFont="1" applyFill="1" applyAlignment="1"/>
    <xf numFmtId="2" fontId="0" fillId="4" borderId="0" xfId="0" applyNumberFormat="1" applyFill="1"/>
    <xf numFmtId="0" fontId="0" fillId="0" borderId="4" xfId="0" applyBorder="1"/>
    <xf numFmtId="0" fontId="1" fillId="0" borderId="4" xfId="0" applyFont="1" applyBorder="1" applyAlignment="1">
      <alignment horizontal="right"/>
    </xf>
    <xf numFmtId="0" fontId="0" fillId="0" borderId="5" xfId="0" applyBorder="1"/>
    <xf numFmtId="10" fontId="0" fillId="0" borderId="5" xfId="1" applyNumberFormat="1" applyFont="1" applyBorder="1"/>
    <xf numFmtId="10" fontId="0" fillId="0" borderId="5" xfId="0" applyNumberFormat="1" applyBorder="1"/>
    <xf numFmtId="10" fontId="0" fillId="4" borderId="0" xfId="0" applyNumberFormat="1" applyFill="1"/>
    <xf numFmtId="10" fontId="0" fillId="4" borderId="5" xfId="1" applyNumberFormat="1" applyFont="1" applyFill="1" applyBorder="1"/>
    <xf numFmtId="10" fontId="6" fillId="0" borderId="0" xfId="0" applyNumberFormat="1" applyFont="1"/>
    <xf numFmtId="10" fontId="0" fillId="0" borderId="0" xfId="1" applyNumberFormat="1" applyFont="1" applyBorder="1"/>
    <xf numFmtId="2" fontId="0" fillId="0" borderId="5" xfId="0" applyNumberFormat="1" applyBorder="1"/>
    <xf numFmtId="0" fontId="7" fillId="0" borderId="0" xfId="0" applyFont="1"/>
    <xf numFmtId="0" fontId="8" fillId="0" borderId="0" xfId="0" applyFont="1"/>
    <xf numFmtId="164" fontId="0" fillId="0" borderId="0" xfId="0" applyNumberFormat="1"/>
    <xf numFmtId="164" fontId="6" fillId="0" borderId="0" xfId="0" applyNumberFormat="1" applyFont="1"/>
    <xf numFmtId="0" fontId="0" fillId="0" borderId="0" xfId="0" applyAlignment="1">
      <alignment horizontal="left"/>
    </xf>
    <xf numFmtId="14" fontId="0" fillId="0" borderId="0" xfId="0" applyNumberFormat="1" applyAlignment="1">
      <alignment horizontal="left"/>
    </xf>
    <xf numFmtId="164" fontId="0" fillId="0" borderId="0" xfId="0" applyNumberFormat="1" applyAlignment="1">
      <alignment horizontal="right"/>
    </xf>
    <xf numFmtId="0" fontId="1" fillId="0" borderId="0" xfId="0" applyFont="1" applyAlignment="1">
      <alignment horizontal="left"/>
    </xf>
    <xf numFmtId="0" fontId="1" fillId="0" borderId="0" xfId="0" applyFont="1" applyAlignment="1">
      <alignment horizontal="right"/>
    </xf>
    <xf numFmtId="0" fontId="1" fillId="0" borderId="6" xfId="0" applyFont="1" applyBorder="1" applyAlignment="1">
      <alignment horizontal="left"/>
    </xf>
    <xf numFmtId="0" fontId="1" fillId="0" borderId="6" xfId="0" applyFont="1" applyBorder="1" applyAlignment="1">
      <alignment horizontal="right"/>
    </xf>
    <xf numFmtId="0" fontId="0" fillId="0" borderId="7" xfId="0" applyBorder="1"/>
    <xf numFmtId="0" fontId="11" fillId="0" borderId="8" xfId="0" applyFont="1" applyBorder="1" applyAlignment="1">
      <alignment horizontal="center"/>
    </xf>
    <xf numFmtId="0" fontId="11" fillId="0" borderId="8" xfId="0" applyFont="1" applyBorder="1" applyAlignment="1">
      <alignment horizontal="centerContinuous"/>
    </xf>
    <xf numFmtId="0" fontId="0" fillId="5" borderId="0" xfId="0" applyFill="1"/>
    <xf numFmtId="2" fontId="0" fillId="5" borderId="0" xfId="0" applyNumberFormat="1" applyFill="1"/>
    <xf numFmtId="10" fontId="6" fillId="0" borderId="0" xfId="1" applyNumberFormat="1" applyFont="1"/>
    <xf numFmtId="10" fontId="0" fillId="0" borderId="0" xfId="1" applyNumberFormat="1" applyFont="1" applyAlignment="1">
      <alignment horizontal="right"/>
    </xf>
    <xf numFmtId="0" fontId="9" fillId="2" borderId="0" xfId="0" applyFont="1" applyFill="1"/>
    <xf numFmtId="0" fontId="10" fillId="2" borderId="0" xfId="0" applyFont="1" applyFill="1"/>
    <xf numFmtId="10" fontId="0" fillId="0" borderId="0" xfId="0" applyNumberFormat="1" applyAlignment="1">
      <alignment horizontal="right"/>
    </xf>
    <xf numFmtId="0" fontId="1" fillId="4" borderId="0" xfId="0" applyFont="1" applyFill="1"/>
    <xf numFmtId="10" fontId="1" fillId="4" borderId="0" xfId="0" applyNumberFormat="1" applyFont="1" applyFill="1"/>
    <xf numFmtId="10" fontId="6" fillId="0" borderId="0" xfId="0" applyNumberFormat="1" applyFont="1" applyAlignment="1">
      <alignment horizontal="right"/>
    </xf>
    <xf numFmtId="2" fontId="0" fillId="4" borderId="0" xfId="0" applyNumberFormat="1" applyFill="1" applyAlignment="1">
      <alignment horizontal="right"/>
    </xf>
    <xf numFmtId="10" fontId="0" fillId="4" borderId="5" xfId="0" applyNumberFormat="1" applyFill="1" applyBorder="1"/>
    <xf numFmtId="10" fontId="0" fillId="0" borderId="0" xfId="1" applyNumberFormat="1" applyFont="1" applyFill="1" applyBorder="1"/>
    <xf numFmtId="0" fontId="1" fillId="5" borderId="0" xfId="0" applyFont="1" applyFill="1"/>
    <xf numFmtId="10" fontId="1" fillId="5" borderId="0" xfId="0" applyNumberFormat="1" applyFont="1" applyFill="1"/>
    <xf numFmtId="0" fontId="9" fillId="0" borderId="0" xfId="0" applyFont="1"/>
    <xf numFmtId="17" fontId="9" fillId="0" borderId="0" xfId="0" applyNumberFormat="1" applyFont="1"/>
    <xf numFmtId="17" fontId="9" fillId="0" borderId="0" xfId="0" applyNumberFormat="1" applyFont="1" applyAlignment="1">
      <alignment horizontal="right"/>
    </xf>
    <xf numFmtId="0" fontId="1" fillId="3" borderId="0" xfId="0" applyFont="1" applyFill="1"/>
    <xf numFmtId="165" fontId="0" fillId="0" borderId="0" xfId="0" applyNumberFormat="1"/>
    <xf numFmtId="0" fontId="12" fillId="0" borderId="0" xfId="0" applyFont="1"/>
    <xf numFmtId="0" fontId="12" fillId="0" borderId="0" xfId="0" applyFont="1" applyAlignment="1">
      <alignment horizontal="right"/>
    </xf>
    <xf numFmtId="10" fontId="12" fillId="0" borderId="0" xfId="1" applyNumberFormat="1" applyFont="1"/>
    <xf numFmtId="0" fontId="1" fillId="0" borderId="9" xfId="0" applyFont="1" applyBorder="1"/>
    <xf numFmtId="166" fontId="1" fillId="0" borderId="9" xfId="0" applyNumberFormat="1" applyFont="1" applyBorder="1"/>
    <xf numFmtId="166" fontId="0" fillId="0" borderId="0" xfId="0" applyNumberFormat="1"/>
    <xf numFmtId="165" fontId="1" fillId="0" borderId="9" xfId="0" applyNumberFormat="1" applyFont="1" applyBorder="1"/>
    <xf numFmtId="167" fontId="0" fillId="0" borderId="0" xfId="0" applyNumberFormat="1"/>
    <xf numFmtId="0" fontId="11" fillId="0" borderId="0" xfId="0" applyFont="1"/>
    <xf numFmtId="165" fontId="1" fillId="0" borderId="0" xfId="0" applyNumberFormat="1" applyFont="1"/>
    <xf numFmtId="43" fontId="15" fillId="0" borderId="0" xfId="2" applyFont="1" applyBorder="1"/>
    <xf numFmtId="43" fontId="17" fillId="0" borderId="0" xfId="2" applyFont="1" applyBorder="1"/>
    <xf numFmtId="0" fontId="17" fillId="0" borderId="0" xfId="5" applyFont="1"/>
    <xf numFmtId="168" fontId="19" fillId="7" borderId="0" xfId="2" applyNumberFormat="1" applyFont="1" applyFill="1" applyBorder="1"/>
    <xf numFmtId="168" fontId="19" fillId="7" borderId="0" xfId="5" applyNumberFormat="1" applyFont="1" applyFill="1" applyAlignment="1">
      <alignment horizontal="center"/>
    </xf>
    <xf numFmtId="168" fontId="20" fillId="0" borderId="0" xfId="2" applyNumberFormat="1" applyFont="1" applyFill="1" applyBorder="1"/>
    <xf numFmtId="0" fontId="14" fillId="0" borderId="0" xfId="5"/>
    <xf numFmtId="9" fontId="17" fillId="0" borderId="0" xfId="6" applyFont="1" applyBorder="1"/>
    <xf numFmtId="0" fontId="21" fillId="0" borderId="0" xfId="7"/>
    <xf numFmtId="169" fontId="17" fillId="0" borderId="0" xfId="2" applyNumberFormat="1" applyFont="1" applyBorder="1"/>
    <xf numFmtId="3" fontId="0" fillId="0" borderId="0" xfId="0" applyNumberFormat="1"/>
    <xf numFmtId="17" fontId="9" fillId="2" borderId="0" xfId="0" applyNumberFormat="1" applyFont="1" applyFill="1"/>
    <xf numFmtId="0" fontId="0" fillId="8" borderId="0" xfId="0" applyFill="1"/>
    <xf numFmtId="17" fontId="22" fillId="8" borderId="0" xfId="0" applyNumberFormat="1" applyFont="1" applyFill="1" applyAlignment="1">
      <alignment horizontal="right" vertical="center" wrapText="1" indent="1"/>
    </xf>
    <xf numFmtId="0" fontId="1" fillId="0" borderId="10" xfId="0" applyFont="1" applyBorder="1"/>
    <xf numFmtId="0" fontId="0" fillId="0" borderId="9" xfId="0" applyBorder="1"/>
    <xf numFmtId="170" fontId="0" fillId="0" borderId="9" xfId="0" applyNumberFormat="1" applyBorder="1"/>
    <xf numFmtId="170" fontId="0" fillId="0" borderId="0" xfId="0" applyNumberFormat="1"/>
    <xf numFmtId="170" fontId="1" fillId="0" borderId="0" xfId="0" applyNumberFormat="1" applyFont="1"/>
    <xf numFmtId="0" fontId="1" fillId="0" borderId="1" xfId="0" applyFont="1" applyBorder="1"/>
    <xf numFmtId="170" fontId="0" fillId="0" borderId="1" xfId="0" applyNumberFormat="1" applyBorder="1"/>
    <xf numFmtId="170" fontId="0" fillId="0" borderId="11" xfId="0" applyNumberFormat="1" applyBorder="1"/>
    <xf numFmtId="170" fontId="1" fillId="0" borderId="10" xfId="0" applyNumberFormat="1" applyFont="1" applyBorder="1"/>
    <xf numFmtId="0" fontId="1" fillId="0" borderId="12" xfId="0" applyFont="1" applyBorder="1"/>
    <xf numFmtId="0" fontId="0" fillId="0" borderId="12" xfId="0" applyBorder="1"/>
    <xf numFmtId="10" fontId="1" fillId="0" borderId="12" xfId="1" applyNumberFormat="1" applyFont="1" applyBorder="1"/>
    <xf numFmtId="0" fontId="23" fillId="8" borderId="0" xfId="0" applyFont="1" applyFill="1" applyAlignment="1">
      <alignment horizontal="left" vertical="center" indent="1"/>
    </xf>
    <xf numFmtId="0" fontId="23" fillId="8" borderId="0" xfId="0" applyFont="1" applyFill="1" applyAlignment="1">
      <alignment horizontal="right" vertical="center" wrapText="1" indent="1"/>
    </xf>
    <xf numFmtId="3" fontId="23" fillId="8" borderId="0" xfId="0" applyNumberFormat="1" applyFont="1" applyFill="1" applyAlignment="1">
      <alignment horizontal="right" vertical="center" wrapText="1" indent="1"/>
    </xf>
    <xf numFmtId="0" fontId="23" fillId="8" borderId="0" xfId="0" applyFont="1" applyFill="1" applyAlignment="1">
      <alignment horizontal="left" vertical="center"/>
    </xf>
    <xf numFmtId="0" fontId="24" fillId="8" borderId="0" xfId="0" applyFont="1" applyFill="1" applyAlignment="1">
      <alignment horizontal="left" vertical="center"/>
    </xf>
    <xf numFmtId="0" fontId="24" fillId="8" borderId="0" xfId="0" applyFont="1" applyFill="1" applyAlignment="1">
      <alignment horizontal="right" vertical="center" wrapText="1" indent="1"/>
    </xf>
    <xf numFmtId="3" fontId="24" fillId="8" borderId="0" xfId="0" applyNumberFormat="1" applyFont="1" applyFill="1" applyAlignment="1">
      <alignment horizontal="right" vertical="center" wrapText="1" indent="1"/>
    </xf>
    <xf numFmtId="0" fontId="23" fillId="8" borderId="0" xfId="0" applyFont="1" applyFill="1" applyAlignment="1">
      <alignment vertical="center"/>
    </xf>
    <xf numFmtId="171" fontId="0" fillId="0" borderId="0" xfId="0" applyNumberFormat="1"/>
    <xf numFmtId="170" fontId="1" fillId="0" borderId="1" xfId="0" applyNumberFormat="1" applyFont="1" applyBorder="1"/>
    <xf numFmtId="170" fontId="1" fillId="0" borderId="12" xfId="0" applyNumberFormat="1" applyFont="1" applyBorder="1"/>
    <xf numFmtId="10" fontId="6" fillId="0" borderId="9" xfId="0" applyNumberFormat="1" applyFont="1" applyBorder="1"/>
    <xf numFmtId="170" fontId="25" fillId="0" borderId="9" xfId="0" applyNumberFormat="1" applyFont="1" applyBorder="1"/>
    <xf numFmtId="10" fontId="0" fillId="0" borderId="9" xfId="0" applyNumberFormat="1" applyBorder="1"/>
    <xf numFmtId="10" fontId="1" fillId="0" borderId="12" xfId="0" applyNumberFormat="1" applyFont="1" applyBorder="1"/>
    <xf numFmtId="17" fontId="9" fillId="2" borderId="0" xfId="0" applyNumberFormat="1" applyFont="1" applyFill="1" applyAlignment="1">
      <alignment horizontal="right"/>
    </xf>
    <xf numFmtId="43" fontId="0" fillId="0" borderId="0" xfId="0" applyNumberFormat="1"/>
    <xf numFmtId="43" fontId="1" fillId="0" borderId="0" xfId="0" applyNumberFormat="1" applyFont="1"/>
    <xf numFmtId="43" fontId="1" fillId="0" borderId="12" xfId="0" applyNumberFormat="1" applyFont="1" applyBorder="1"/>
    <xf numFmtId="10" fontId="0" fillId="5" borderId="0" xfId="0" applyNumberFormat="1" applyFill="1"/>
    <xf numFmtId="172" fontId="0" fillId="0" borderId="0" xfId="0" applyNumberFormat="1"/>
    <xf numFmtId="0" fontId="9" fillId="2" borderId="0" xfId="0" applyFont="1" applyFill="1" applyAlignment="1">
      <alignment horizontal="center"/>
    </xf>
    <xf numFmtId="9" fontId="0" fillId="0" borderId="0" xfId="0" applyNumberFormat="1"/>
    <xf numFmtId="10" fontId="1" fillId="0" borderId="0" xfId="0" applyNumberFormat="1" applyFont="1"/>
    <xf numFmtId="43" fontId="9" fillId="0" borderId="0" xfId="0" applyNumberFormat="1" applyFont="1" applyAlignment="1">
      <alignment horizontal="left"/>
    </xf>
    <xf numFmtId="10" fontId="1" fillId="0" borderId="0" xfId="0" applyNumberFormat="1" applyFont="1" applyAlignment="1">
      <alignment horizontal="left"/>
    </xf>
    <xf numFmtId="164" fontId="0" fillId="5" borderId="0" xfId="0" applyNumberFormat="1" applyFill="1"/>
    <xf numFmtId="0" fontId="26" fillId="0" borderId="2" xfId="0" applyFont="1" applyBorder="1"/>
    <xf numFmtId="0" fontId="0" fillId="0" borderId="2" xfId="0" applyBorder="1"/>
    <xf numFmtId="0" fontId="11" fillId="0" borderId="2" xfId="0" applyFont="1" applyBorder="1"/>
    <xf numFmtId="0" fontId="9" fillId="2" borderId="0" xfId="0" applyFont="1" applyFill="1" applyAlignment="1">
      <alignment horizontal="left"/>
    </xf>
    <xf numFmtId="0" fontId="9" fillId="2" borderId="0" xfId="0" applyFont="1" applyFill="1" applyAlignment="1">
      <alignment horizontal="right" wrapText="1"/>
    </xf>
    <xf numFmtId="0" fontId="9" fillId="2" borderId="0" xfId="0" applyFont="1" applyFill="1" applyAlignment="1">
      <alignment horizontal="right"/>
    </xf>
    <xf numFmtId="2" fontId="9" fillId="0" borderId="0" xfId="0" applyNumberFormat="1" applyFont="1" applyAlignment="1">
      <alignment horizontal="left"/>
    </xf>
    <xf numFmtId="2" fontId="9" fillId="0" borderId="0" xfId="0" applyNumberFormat="1" applyFont="1" applyAlignment="1">
      <alignment horizontal="right" wrapText="1"/>
    </xf>
    <xf numFmtId="2" fontId="9" fillId="0" borderId="0" xfId="0" applyNumberFormat="1" applyFont="1" applyAlignment="1">
      <alignment horizontal="right"/>
    </xf>
    <xf numFmtId="0" fontId="25" fillId="5" borderId="9" xfId="0" applyFont="1" applyFill="1" applyBorder="1" applyAlignment="1">
      <alignment horizontal="left"/>
    </xf>
    <xf numFmtId="2" fontId="25" fillId="5" borderId="9" xfId="0" applyNumberFormat="1" applyFont="1" applyFill="1" applyBorder="1" applyAlignment="1">
      <alignment horizontal="left"/>
    </xf>
    <xf numFmtId="3" fontId="25" fillId="5" borderId="9" xfId="0" applyNumberFormat="1" applyFont="1" applyFill="1" applyBorder="1" applyAlignment="1">
      <alignment horizontal="right" wrapText="1"/>
    </xf>
    <xf numFmtId="2" fontId="25" fillId="5" borderId="9" xfId="0" applyNumberFormat="1" applyFont="1" applyFill="1" applyBorder="1" applyAlignment="1">
      <alignment horizontal="right" wrapText="1"/>
    </xf>
    <xf numFmtId="3" fontId="0" fillId="5" borderId="9" xfId="0" applyNumberFormat="1" applyFill="1" applyBorder="1" applyAlignment="1">
      <alignment horizontal="right"/>
    </xf>
    <xf numFmtId="3" fontId="25" fillId="5" borderId="9" xfId="0" applyNumberFormat="1" applyFont="1" applyFill="1" applyBorder="1" applyAlignment="1">
      <alignment horizontal="right"/>
    </xf>
    <xf numFmtId="2" fontId="25" fillId="5" borderId="9" xfId="0" applyNumberFormat="1" applyFont="1" applyFill="1" applyBorder="1" applyAlignment="1">
      <alignment horizontal="right"/>
    </xf>
    <xf numFmtId="173" fontId="25" fillId="5" borderId="9" xfId="0" applyNumberFormat="1" applyFont="1" applyFill="1" applyBorder="1" applyAlignment="1">
      <alignment horizontal="right"/>
    </xf>
    <xf numFmtId="0" fontId="0" fillId="0" borderId="9" xfId="0" applyBorder="1" applyAlignment="1">
      <alignment horizontal="left"/>
    </xf>
    <xf numFmtId="3" fontId="0" fillId="0" borderId="9" xfId="0" applyNumberFormat="1" applyBorder="1" applyAlignment="1">
      <alignment horizontal="right"/>
    </xf>
    <xf numFmtId="2" fontId="0" fillId="0" borderId="9" xfId="0" applyNumberFormat="1" applyBorder="1" applyAlignment="1">
      <alignment horizontal="right"/>
    </xf>
    <xf numFmtId="0" fontId="0" fillId="0" borderId="9" xfId="0" applyBorder="1" applyAlignment="1">
      <alignment horizontal="right"/>
    </xf>
    <xf numFmtId="173" fontId="25" fillId="0" borderId="9" xfId="0" applyNumberFormat="1" applyFont="1" applyBorder="1" applyAlignment="1">
      <alignment horizontal="right"/>
    </xf>
    <xf numFmtId="0" fontId="0" fillId="5" borderId="9" xfId="0" applyFill="1" applyBorder="1"/>
    <xf numFmtId="173" fontId="0" fillId="5" borderId="9" xfId="0" applyNumberFormat="1" applyFill="1" applyBorder="1"/>
    <xf numFmtId="0" fontId="1" fillId="5" borderId="9" xfId="0" applyFont="1" applyFill="1" applyBorder="1"/>
    <xf numFmtId="173" fontId="1" fillId="5" borderId="9" xfId="0" applyNumberFormat="1" applyFont="1" applyFill="1" applyBorder="1"/>
    <xf numFmtId="0" fontId="9" fillId="2" borderId="2" xfId="0" applyFont="1" applyFill="1" applyBorder="1"/>
    <xf numFmtId="3" fontId="0" fillId="0" borderId="9" xfId="0" applyNumberFormat="1" applyBorder="1"/>
    <xf numFmtId="2" fontId="0" fillId="0" borderId="9" xfId="0" applyNumberFormat="1" applyBorder="1"/>
    <xf numFmtId="0" fontId="1" fillId="5" borderId="10" xfId="0" applyFont="1" applyFill="1" applyBorder="1"/>
    <xf numFmtId="164" fontId="1" fillId="5" borderId="10" xfId="0" applyNumberFormat="1" applyFont="1" applyFill="1" applyBorder="1"/>
    <xf numFmtId="164" fontId="1" fillId="0" borderId="0" xfId="0" applyNumberFormat="1" applyFont="1"/>
    <xf numFmtId="2" fontId="0" fillId="0" borderId="0" xfId="1" applyNumberFormat="1" applyFont="1"/>
    <xf numFmtId="0" fontId="0" fillId="0" borderId="0" xfId="0" applyAlignment="1">
      <alignment wrapText="1"/>
    </xf>
    <xf numFmtId="0" fontId="0" fillId="0" borderId="0" xfId="0" applyAlignment="1">
      <alignment horizontal="center"/>
    </xf>
    <xf numFmtId="43" fontId="27" fillId="0" borderId="0" xfId="0" applyNumberFormat="1" applyFont="1" applyAlignment="1">
      <alignment horizontal="left"/>
    </xf>
    <xf numFmtId="0" fontId="0" fillId="0" borderId="14" xfId="0" applyBorder="1"/>
    <xf numFmtId="0" fontId="0" fillId="9" borderId="0" xfId="0" applyFill="1"/>
    <xf numFmtId="17" fontId="1" fillId="0" borderId="0" xfId="0" applyNumberFormat="1" applyFont="1"/>
    <xf numFmtId="0" fontId="1" fillId="10" borderId="0" xfId="0" applyFont="1" applyFill="1"/>
    <xf numFmtId="10" fontId="1" fillId="10" borderId="0" xfId="1" applyNumberFormat="1" applyFont="1" applyFill="1"/>
    <xf numFmtId="174" fontId="1" fillId="10" borderId="0" xfId="1" applyNumberFormat="1" applyFont="1" applyFill="1"/>
    <xf numFmtId="173" fontId="1" fillId="10" borderId="0" xfId="1" applyNumberFormat="1" applyFont="1" applyFill="1"/>
    <xf numFmtId="0" fontId="30" fillId="0" borderId="0" xfId="0" applyFont="1" applyAlignment="1">
      <alignment horizontal="left"/>
    </xf>
    <xf numFmtId="0" fontId="30" fillId="0" borderId="0" xfId="0" applyFont="1"/>
    <xf numFmtId="172" fontId="1" fillId="10" borderId="0" xfId="0" applyNumberFormat="1" applyFont="1" applyFill="1"/>
    <xf numFmtId="0" fontId="1" fillId="0" borderId="0" xfId="0" applyFont="1" applyFill="1"/>
    <xf numFmtId="0" fontId="0" fillId="0" borderId="0" xfId="0" applyFill="1"/>
    <xf numFmtId="172" fontId="32" fillId="0" borderId="0" xfId="0" applyNumberFormat="1" applyFont="1" applyFill="1" applyAlignment="1">
      <alignment horizontal="right"/>
    </xf>
    <xf numFmtId="0" fontId="9" fillId="2" borderId="0" xfId="0" applyFont="1" applyFill="1" applyAlignment="1">
      <alignment horizontal="center"/>
    </xf>
    <xf numFmtId="0" fontId="9" fillId="2" borderId="13" xfId="0" applyFont="1" applyFill="1" applyBorder="1" applyAlignment="1">
      <alignment horizontal="center"/>
    </xf>
    <xf numFmtId="0" fontId="28" fillId="0" borderId="0" xfId="0" applyFont="1" applyAlignment="1">
      <alignment horizontal="left" vertical="center" wrapText="1"/>
    </xf>
    <xf numFmtId="0" fontId="29" fillId="9" borderId="0" xfId="0" applyFont="1" applyFill="1" applyAlignment="1">
      <alignment horizontal="center"/>
    </xf>
    <xf numFmtId="0" fontId="31" fillId="0" borderId="15" xfId="0" applyFont="1" applyBorder="1" applyAlignment="1">
      <alignment horizontal="center"/>
    </xf>
    <xf numFmtId="0" fontId="30" fillId="0" borderId="15" xfId="0" applyFont="1" applyBorder="1" applyAlignment="1">
      <alignment horizontal="center"/>
    </xf>
    <xf numFmtId="43" fontId="16" fillId="0" borderId="0" xfId="3" applyNumberFormat="1" applyFont="1" applyBorder="1" applyAlignment="1" applyProtection="1">
      <alignment horizontal="center"/>
    </xf>
    <xf numFmtId="43" fontId="19" fillId="6" borderId="0" xfId="4" applyNumberFormat="1" applyFont="1" applyBorder="1" applyAlignment="1">
      <alignment horizontal="center"/>
    </xf>
  </cellXfs>
  <cellStyles count="8">
    <cellStyle name="Accent6 2" xfId="4"/>
    <cellStyle name="Comma 2" xfId="2"/>
    <cellStyle name="Hyperlink 2" xfId="3"/>
    <cellStyle name="Normal" xfId="0" builtinId="0"/>
    <cellStyle name="Normal 2" xfId="7"/>
    <cellStyle name="Normal 3" xfId="5"/>
    <cellStyle name="Percent" xfId="1" builtinId="5"/>
    <cellStyle name="Percent 3" xfId="6"/>
  </cellStyles>
  <dxfs count="1">
    <dxf>
      <font>
        <b/>
        <i val="0"/>
        <color theme="0"/>
      </font>
      <fill>
        <patternFill>
          <bgColor theme="5"/>
        </patternFill>
      </fill>
    </dxf>
  </dxfs>
  <tableStyles count="0" defaultTableStyle="TableStyleMedium2" defaultPivotStyle="PivotStyleLight16"/>
  <colors>
    <mruColors>
      <color rgb="FF028655"/>
      <color rgb="FF7AC4A4"/>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rgbClr val="002060"/>
                </a:solidFill>
              </a:rPr>
              <a:t>Football Field Analysis -</a:t>
            </a:r>
            <a:r>
              <a:rPr lang="en-IN" sz="1200" b="1" baseline="0">
                <a:solidFill>
                  <a:srgbClr val="002060"/>
                </a:solidFill>
              </a:rPr>
              <a:t> </a:t>
            </a:r>
            <a:r>
              <a:rPr lang="en-IN" sz="1200" b="1">
                <a:solidFill>
                  <a:srgbClr val="002060"/>
                </a:solidFill>
              </a:rPr>
              <a:t>Valuation Summary (Rs)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0"/>
          <c:order val="0"/>
          <c:spPr>
            <a:ln w="19050" cap="rnd">
              <a:noFill/>
              <a:round/>
            </a:ln>
            <a:effectLst/>
          </c:spPr>
          <c:marker>
            <c:symbol val="none"/>
          </c:marker>
          <c:cat>
            <c:strRef>
              <c:f>'Football Field'!$L$8:$L$12</c:f>
              <c:strCache>
                <c:ptCount val="5"/>
                <c:pt idx="0">
                  <c:v>Comps</c:v>
                </c:pt>
                <c:pt idx="1">
                  <c:v>DCF Bear</c:v>
                </c:pt>
                <c:pt idx="2">
                  <c:v>DCF Base</c:v>
                </c:pt>
                <c:pt idx="3">
                  <c:v>DCF Bull</c:v>
                </c:pt>
                <c:pt idx="4">
                  <c:v>52W H/L</c:v>
                </c:pt>
              </c:strCache>
            </c:strRef>
          </c:cat>
          <c:val>
            <c:numRef>
              <c:f>'Football Field'!$N$8:$N$12</c:f>
              <c:numCache>
                <c:formatCode>General</c:formatCode>
                <c:ptCount val="5"/>
                <c:pt idx="0">
                  <c:v>162.5</c:v>
                </c:pt>
                <c:pt idx="1">
                  <c:v>181.7</c:v>
                </c:pt>
                <c:pt idx="2">
                  <c:v>229.2</c:v>
                </c:pt>
                <c:pt idx="3">
                  <c:v>263.89999999999998</c:v>
                </c:pt>
                <c:pt idx="4">
                  <c:v>126</c:v>
                </c:pt>
              </c:numCache>
            </c:numRef>
          </c:val>
          <c:smooth val="0"/>
          <c:extLst>
            <c:ext xmlns:c16="http://schemas.microsoft.com/office/drawing/2014/chart" uri="{C3380CC4-5D6E-409C-BE32-E72D297353CC}">
              <c16:uniqueId val="{00000000-6367-47FF-9BD4-2E58AB4E582C}"/>
            </c:ext>
          </c:extLst>
        </c:ser>
        <c:ser>
          <c:idx val="1"/>
          <c:order val="1"/>
          <c:spPr>
            <a:ln w="1905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'Football Field'!$L$8:$L$12</c:f>
              <c:strCache>
                <c:ptCount val="5"/>
                <c:pt idx="0">
                  <c:v>Comps</c:v>
                </c:pt>
                <c:pt idx="1">
                  <c:v>DCF Bear</c:v>
                </c:pt>
                <c:pt idx="2">
                  <c:v>DCF Base</c:v>
                </c:pt>
                <c:pt idx="3">
                  <c:v>DCF Bull</c:v>
                </c:pt>
                <c:pt idx="4">
                  <c:v>52W H/L</c:v>
                </c:pt>
              </c:strCache>
            </c:strRef>
          </c:cat>
          <c:val>
            <c:numRef>
              <c:f>'Football Field'!$O$8:$O$12</c:f>
              <c:numCache>
                <c:formatCode>General</c:formatCode>
                <c:ptCount val="5"/>
                <c:pt idx="0">
                  <c:v>162.5</c:v>
                </c:pt>
                <c:pt idx="1">
                  <c:v>181.7</c:v>
                </c:pt>
                <c:pt idx="2">
                  <c:v>229.2</c:v>
                </c:pt>
                <c:pt idx="3">
                  <c:v>263.89999999999998</c:v>
                </c:pt>
                <c:pt idx="4">
                  <c:v>126</c:v>
                </c:pt>
              </c:numCache>
            </c:numRef>
          </c:val>
          <c:smooth val="0"/>
          <c:extLst>
            <c:ext xmlns:c16="http://schemas.microsoft.com/office/drawing/2014/chart" uri="{C3380CC4-5D6E-409C-BE32-E72D297353CC}">
              <c16:uniqueId val="{00000001-6367-47FF-9BD4-2E58AB4E582C}"/>
            </c:ext>
          </c:extLst>
        </c:ser>
        <c:ser>
          <c:idx val="2"/>
          <c:order val="2"/>
          <c:spPr>
            <a:ln w="19050" cap="rnd">
              <a:noFill/>
              <a:round/>
            </a:ln>
            <a:effectLst/>
          </c:spPr>
          <c:marker>
            <c:symbol val="none"/>
          </c:marker>
          <c:cat>
            <c:strRef>
              <c:f>'Football Field'!$L$8:$L$12</c:f>
              <c:strCache>
                <c:ptCount val="5"/>
                <c:pt idx="0">
                  <c:v>Comps</c:v>
                </c:pt>
                <c:pt idx="1">
                  <c:v>DCF Bear</c:v>
                </c:pt>
                <c:pt idx="2">
                  <c:v>DCF Base</c:v>
                </c:pt>
                <c:pt idx="3">
                  <c:v>DCF Bull</c:v>
                </c:pt>
                <c:pt idx="4">
                  <c:v>52W H/L</c:v>
                </c:pt>
              </c:strCache>
            </c:strRef>
          </c:cat>
          <c:val>
            <c:numRef>
              <c:f>'Football Field'!$P$8:$P$12</c:f>
              <c:numCache>
                <c:formatCode>General</c:formatCode>
                <c:ptCount val="5"/>
                <c:pt idx="0">
                  <c:v>220</c:v>
                </c:pt>
                <c:pt idx="1">
                  <c:v>203.9</c:v>
                </c:pt>
                <c:pt idx="2">
                  <c:v>270.39999999999998</c:v>
                </c:pt>
                <c:pt idx="3">
                  <c:v>323.89999999999998</c:v>
                </c:pt>
                <c:pt idx="4">
                  <c:v>199</c:v>
                </c:pt>
              </c:numCache>
            </c:numRef>
          </c:val>
          <c:smooth val="0"/>
          <c:extLst>
            <c:ext xmlns:c16="http://schemas.microsoft.com/office/drawing/2014/chart" uri="{C3380CC4-5D6E-409C-BE32-E72D297353CC}">
              <c16:uniqueId val="{00000002-6367-47FF-9BD4-2E58AB4E582C}"/>
            </c:ext>
          </c:extLst>
        </c:ser>
        <c:ser>
          <c:idx val="3"/>
          <c:order val="3"/>
          <c:spPr>
            <a:ln w="1905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'Football Field'!$L$8:$L$12</c:f>
              <c:strCache>
                <c:ptCount val="5"/>
                <c:pt idx="0">
                  <c:v>Comps</c:v>
                </c:pt>
                <c:pt idx="1">
                  <c:v>DCF Bear</c:v>
                </c:pt>
                <c:pt idx="2">
                  <c:v>DCF Base</c:v>
                </c:pt>
                <c:pt idx="3">
                  <c:v>DCF Bull</c:v>
                </c:pt>
                <c:pt idx="4">
                  <c:v>52W H/L</c:v>
                </c:pt>
              </c:strCache>
            </c:strRef>
          </c:cat>
          <c:val>
            <c:numRef>
              <c:f>'Football Field'!$Q$8:$Q$12</c:f>
              <c:numCache>
                <c:formatCode>General</c:formatCode>
                <c:ptCount val="5"/>
                <c:pt idx="0">
                  <c:v>220</c:v>
                </c:pt>
                <c:pt idx="1">
                  <c:v>203.9</c:v>
                </c:pt>
                <c:pt idx="2">
                  <c:v>270.39999999999998</c:v>
                </c:pt>
                <c:pt idx="3">
                  <c:v>323.89999999999998</c:v>
                </c:pt>
                <c:pt idx="4">
                  <c:v>199</c:v>
                </c:pt>
              </c:numCache>
            </c:numRef>
          </c:val>
          <c:smooth val="0"/>
          <c:extLst>
            <c:ext xmlns:c16="http://schemas.microsoft.com/office/drawing/2014/chart" uri="{C3380CC4-5D6E-409C-BE32-E72D297353CC}">
              <c16:uniqueId val="{00000003-6367-47FF-9BD4-2E58AB4E582C}"/>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rgbClr val="002060"/>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937652544"/>
        <c:axId val="937654344"/>
      </c:stockChart>
      <c:catAx>
        <c:axId val="93765254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654344"/>
        <c:crosses val="autoZero"/>
        <c:auto val="1"/>
        <c:lblAlgn val="ctr"/>
        <c:lblOffset val="100"/>
        <c:noMultiLvlLbl val="0"/>
      </c:catAx>
      <c:valAx>
        <c:axId val="937654344"/>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6525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28655"/>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6-6620-466F-8DB5-0094BFD82D45}"/>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5-6620-466F-8DB5-0094BFD82D45}"/>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6620-466F-8DB5-0094BFD82D4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43921</c:v>
                </c:pt>
                <c:pt idx="1">
                  <c:v>44286</c:v>
                </c:pt>
                <c:pt idx="2">
                  <c:v>44651</c:v>
                </c:pt>
                <c:pt idx="3">
                  <c:v>45016</c:v>
                </c:pt>
              </c:numCache>
            </c:numRef>
          </c:cat>
          <c:val>
            <c:numRef>
              <c:f>'Dupont Analysis'!$F$69:$I$69</c:f>
              <c:numCache>
                <c:formatCode>#,##0.0</c:formatCode>
                <c:ptCount val="4"/>
                <c:pt idx="0">
                  <c:v>24870.2</c:v>
                </c:pt>
                <c:pt idx="1">
                  <c:v>24143.06</c:v>
                </c:pt>
                <c:pt idx="2">
                  <c:v>30976.27</c:v>
                </c:pt>
                <c:pt idx="3">
                  <c:v>42839.56</c:v>
                </c:pt>
              </c:numCache>
            </c:numRef>
          </c:val>
          <c:extLst>
            <c:ext xmlns:c16="http://schemas.microsoft.com/office/drawing/2014/chart" uri="{C3380CC4-5D6E-409C-BE32-E72D297353CC}">
              <c16:uniqueId val="{00000000-6620-466F-8DB5-0094BFD82D45}"/>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28655"/>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AAF4-4911-80CD-45A45466F641}"/>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AAF4-4911-80CD-45A45466F641}"/>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AAF4-4911-80CD-45A45466F641}"/>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43921</c:v>
                </c:pt>
                <c:pt idx="1">
                  <c:v>44286</c:v>
                </c:pt>
                <c:pt idx="2">
                  <c:v>44651</c:v>
                </c:pt>
                <c:pt idx="3">
                  <c:v>45016</c:v>
                </c:pt>
              </c:numCache>
            </c:numRef>
          </c:cat>
          <c:val>
            <c:numRef>
              <c:f>'Dupont Analysis'!$F$68:$I$68</c:f>
              <c:numCache>
                <c:formatCode>#,##0.0</c:formatCode>
                <c:ptCount val="4"/>
                <c:pt idx="0">
                  <c:v>1301.08</c:v>
                </c:pt>
                <c:pt idx="1">
                  <c:v>1099.49</c:v>
                </c:pt>
                <c:pt idx="2">
                  <c:v>1492.55</c:v>
                </c:pt>
                <c:pt idx="3">
                  <c:v>2378.5100000000002</c:v>
                </c:pt>
              </c:numCache>
            </c:numRef>
          </c:val>
          <c:extLst>
            <c:ext xmlns:c16="http://schemas.microsoft.com/office/drawing/2014/chart" uri="{C3380CC4-5D6E-409C-BE32-E72D297353CC}">
              <c16:uniqueId val="{00000006-AAF4-4911-80CD-45A45466F641}"/>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8BB8-49EF-A180-D54DD46DBB28}"/>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8BB8-49EF-A180-D54DD46DBB28}"/>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8BB8-49EF-A180-D54DD46DBB28}"/>
              </c:ext>
            </c:extLst>
          </c:dPt>
          <c:dPt>
            <c:idx val="3"/>
            <c:invertIfNegative val="0"/>
            <c:bubble3D val="0"/>
            <c:spPr>
              <a:solidFill>
                <a:srgbClr val="028655"/>
              </a:solidFill>
              <a:ln>
                <a:noFill/>
              </a:ln>
              <a:effectLst/>
            </c:spPr>
            <c:extLst>
              <c:ext xmlns:c16="http://schemas.microsoft.com/office/drawing/2014/chart" uri="{C3380CC4-5D6E-409C-BE32-E72D297353CC}">
                <c16:uniqueId val="{00000008-8BB8-49EF-A180-D54DD46DBB28}"/>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43921</c:v>
                </c:pt>
                <c:pt idx="1">
                  <c:v>44286</c:v>
                </c:pt>
                <c:pt idx="2">
                  <c:v>44651</c:v>
                </c:pt>
                <c:pt idx="3">
                  <c:v>45016</c:v>
                </c:pt>
              </c:numCache>
            </c:numRef>
          </c:cat>
          <c:val>
            <c:numRef>
              <c:f>'Dupont Analysis'!$F$73:$I$73</c:f>
              <c:numCache>
                <c:formatCode>#,##0.0</c:formatCode>
                <c:ptCount val="4"/>
                <c:pt idx="0">
                  <c:v>9540.83</c:v>
                </c:pt>
                <c:pt idx="1">
                  <c:v>12865.605</c:v>
                </c:pt>
                <c:pt idx="2">
                  <c:v>14563.014999999999</c:v>
                </c:pt>
                <c:pt idx="3">
                  <c:v>16788.635000000002</c:v>
                </c:pt>
              </c:numCache>
            </c:numRef>
          </c:val>
          <c:extLst>
            <c:ext xmlns:c16="http://schemas.microsoft.com/office/drawing/2014/chart" uri="{C3380CC4-5D6E-409C-BE32-E72D297353CC}">
              <c16:uniqueId val="{00000006-8BB8-49EF-A180-D54DD46DBB28}"/>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66E9-4E91-A74A-1F762CDB8F7D}"/>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66E9-4E91-A74A-1F762CDB8F7D}"/>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66E9-4E91-A74A-1F762CDB8F7D}"/>
              </c:ext>
            </c:extLst>
          </c:dPt>
          <c:dPt>
            <c:idx val="3"/>
            <c:invertIfNegative val="0"/>
            <c:bubble3D val="0"/>
            <c:spPr>
              <a:solidFill>
                <a:srgbClr val="028655"/>
              </a:solidFill>
              <a:ln>
                <a:noFill/>
              </a:ln>
              <a:effectLst/>
            </c:spPr>
            <c:extLst>
              <c:ext xmlns:c16="http://schemas.microsoft.com/office/drawing/2014/chart" uri="{C3380CC4-5D6E-409C-BE32-E72D297353CC}">
                <c16:uniqueId val="{00000007-66E9-4E91-A74A-1F762CDB8F7D}"/>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43921</c:v>
                </c:pt>
                <c:pt idx="1">
                  <c:v>44286</c:v>
                </c:pt>
                <c:pt idx="2">
                  <c:v>44651</c:v>
                </c:pt>
                <c:pt idx="3">
                  <c:v>45016</c:v>
                </c:pt>
              </c:numCache>
            </c:numRef>
          </c:cat>
          <c:val>
            <c:numRef>
              <c:f>'Dupont Analysis'!$F$80:$I$80</c:f>
              <c:numCache>
                <c:formatCode>0.00%</c:formatCode>
                <c:ptCount val="4"/>
                <c:pt idx="0">
                  <c:v>0.15612469768449272</c:v>
                </c:pt>
                <c:pt idx="1">
                  <c:v>9.4525102682534196E-2</c:v>
                </c:pt>
                <c:pt idx="2">
                  <c:v>0.11542707553936662</c:v>
                </c:pt>
                <c:pt idx="3">
                  <c:v>0.15986576306091407</c:v>
                </c:pt>
              </c:numCache>
            </c:numRef>
          </c:val>
          <c:extLst>
            <c:ext xmlns:c16="http://schemas.microsoft.com/office/drawing/2014/chart" uri="{C3380CC4-5D6E-409C-BE32-E72D297353CC}">
              <c16:uniqueId val="{00000006-66E9-4E91-A74A-1F762CDB8F7D}"/>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BB80-4567-97CD-3418D24C680C}"/>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BB80-4567-97CD-3418D24C680C}"/>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BB80-4567-97CD-3418D24C680C}"/>
              </c:ext>
            </c:extLst>
          </c:dPt>
          <c:dPt>
            <c:idx val="3"/>
            <c:invertIfNegative val="0"/>
            <c:bubble3D val="0"/>
            <c:spPr>
              <a:solidFill>
                <a:srgbClr val="028655"/>
              </a:solidFill>
              <a:ln>
                <a:solidFill>
                  <a:srgbClr val="028655"/>
                </a:solidFill>
              </a:ln>
              <a:effectLst/>
            </c:spPr>
            <c:extLst>
              <c:ext xmlns:c16="http://schemas.microsoft.com/office/drawing/2014/chart" uri="{C3380CC4-5D6E-409C-BE32-E72D297353CC}">
                <c16:uniqueId val="{00000007-BB80-4567-97CD-3418D24C680C}"/>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'Dupont Analysis'!$F$83:$I$83</c:f>
              <c:numCache>
                <c:formatCode>mmm\-yy</c:formatCode>
                <c:ptCount val="4"/>
                <c:pt idx="0">
                  <c:v>43921</c:v>
                </c:pt>
                <c:pt idx="1">
                  <c:v>44286</c:v>
                </c:pt>
                <c:pt idx="2">
                  <c:v>44651</c:v>
                </c:pt>
                <c:pt idx="3">
                  <c:v>45016</c:v>
                </c:pt>
              </c:numCache>
            </c:numRef>
          </c:cat>
          <c:val>
            <c:numRef>
              <c:f>'Dupont Analysis'!$F$86:$I$86</c:f>
              <c:numCache>
                <c:formatCode>0.00%</c:formatCode>
                <c:ptCount val="4"/>
                <c:pt idx="0">
                  <c:v>0.13636968691403159</c:v>
                </c:pt>
                <c:pt idx="1">
                  <c:v>8.5459642201046904E-2</c:v>
                </c:pt>
                <c:pt idx="2">
                  <c:v>0.10248907935616354</c:v>
                </c:pt>
                <c:pt idx="3">
                  <c:v>0.14167381684097605</c:v>
                </c:pt>
              </c:numCache>
            </c:numRef>
          </c:val>
          <c:extLst>
            <c:ext xmlns:c16="http://schemas.microsoft.com/office/drawing/2014/chart" uri="{C3380CC4-5D6E-409C-BE32-E72D297353CC}">
              <c16:uniqueId val="{00000006-BB80-4567-97CD-3418D24C680C}"/>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6884-46F3-A815-409B506CE279}"/>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6884-46F3-A815-409B506CE279}"/>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6884-46F3-A815-409B506CE279}"/>
              </c:ext>
            </c:extLst>
          </c:dPt>
          <c:dPt>
            <c:idx val="3"/>
            <c:invertIfNegative val="0"/>
            <c:bubble3D val="0"/>
            <c:spPr>
              <a:solidFill>
                <a:srgbClr val="028655"/>
              </a:solidFill>
              <a:ln>
                <a:solidFill>
                  <a:srgbClr val="028655"/>
                </a:solidFill>
              </a:ln>
              <a:effectLst/>
            </c:spPr>
            <c:extLst>
              <c:ext xmlns:c16="http://schemas.microsoft.com/office/drawing/2014/chart" uri="{C3380CC4-5D6E-409C-BE32-E72D297353CC}">
                <c16:uniqueId val="{00000007-6884-46F3-A815-409B506CE279}"/>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43921</c:v>
                </c:pt>
                <c:pt idx="1">
                  <c:v>44286</c:v>
                </c:pt>
                <c:pt idx="2">
                  <c:v>44651</c:v>
                </c:pt>
                <c:pt idx="3">
                  <c:v>45016</c:v>
                </c:pt>
              </c:numCache>
            </c:numRef>
          </c:cat>
          <c:val>
            <c:numRef>
              <c:f>'Dupont Analysis'!$F$78:$I$78</c:f>
              <c:numCache>
                <c:formatCode>0.00\x</c:formatCode>
                <c:ptCount val="4"/>
                <c:pt idx="0">
                  <c:v>1.1448636512813499</c:v>
                </c:pt>
                <c:pt idx="1">
                  <c:v>1.1060788490099276</c:v>
                </c:pt>
                <c:pt idx="2">
                  <c:v>1.1262378027442494</c:v>
                </c:pt>
                <c:pt idx="3">
                  <c:v>1.128407257075299</c:v>
                </c:pt>
              </c:numCache>
            </c:numRef>
          </c:val>
          <c:extLst>
            <c:ext xmlns:c16="http://schemas.microsoft.com/office/drawing/2014/chart" uri="{C3380CC4-5D6E-409C-BE32-E72D297353CC}">
              <c16:uniqueId val="{00000006-6884-46F3-A815-409B506CE279}"/>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x" sourceLinked="1"/>
        <c:majorTickMark val="none"/>
        <c:minorTickMark val="none"/>
        <c:tickLblPos val="nextTo"/>
        <c:crossAx val="8840295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numRef>
              <c:f>'Altman Z Score'!$C$61:$I$61</c:f>
              <c:numCache>
                <c:formatCode>mmm\-yy</c:formatCode>
                <c:ptCount val="7"/>
                <c:pt idx="0">
                  <c:v>42825</c:v>
                </c:pt>
                <c:pt idx="1">
                  <c:v>43190</c:v>
                </c:pt>
                <c:pt idx="2">
                  <c:v>43555</c:v>
                </c:pt>
                <c:pt idx="3">
                  <c:v>43921</c:v>
                </c:pt>
                <c:pt idx="4">
                  <c:v>44286</c:v>
                </c:pt>
                <c:pt idx="5">
                  <c:v>44651</c:v>
                </c:pt>
                <c:pt idx="6">
                  <c:v>45016</c:v>
                </c:pt>
              </c:numCache>
            </c:numRef>
          </c:cat>
          <c:val>
            <c:numRef>
              <c:f>'Altman Z Score'!$C$64:$I$64</c:f>
              <c:numCache>
                <c:formatCode>0.00%</c:formatCode>
                <c:ptCount val="7"/>
                <c:pt idx="0">
                  <c:v>0.44382982087131057</c:v>
                </c:pt>
                <c:pt idx="1">
                  <c:v>0.26434522734596028</c:v>
                </c:pt>
                <c:pt idx="2">
                  <c:v>0.2132410249090001</c:v>
                </c:pt>
                <c:pt idx="3">
                  <c:v>0.42114546345858284</c:v>
                </c:pt>
                <c:pt idx="4">
                  <c:v>0.33284975155711627</c:v>
                </c:pt>
                <c:pt idx="5">
                  <c:v>0.25397744680686035</c:v>
                </c:pt>
                <c:pt idx="6">
                  <c:v>0.24023916550546798</c:v>
                </c:pt>
              </c:numCache>
            </c:numRef>
          </c:val>
          <c:extLst>
            <c:ext xmlns:c16="http://schemas.microsoft.com/office/drawing/2014/chart" uri="{C3380CC4-5D6E-409C-BE32-E72D297353CC}">
              <c16:uniqueId val="{00000006-D603-4DFD-86FB-42E70B174D68}"/>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28655"/>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ACC6-4125-A5BD-6E69D37536F0}"/>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ACC6-4125-A5BD-6E69D37536F0}"/>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ACC6-4125-A5BD-6E69D37536F0}"/>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'Altman Z Score'!$F$67:$I$67</c:f>
              <c:numCache>
                <c:formatCode>mmm\-yy</c:formatCode>
                <c:ptCount val="4"/>
                <c:pt idx="0">
                  <c:v>43921</c:v>
                </c:pt>
                <c:pt idx="1">
                  <c:v>44286</c:v>
                </c:pt>
                <c:pt idx="2">
                  <c:v>44651</c:v>
                </c:pt>
                <c:pt idx="3">
                  <c:v>45016</c:v>
                </c:pt>
              </c:numCache>
            </c:numRef>
          </c:cat>
          <c:val>
            <c:numRef>
              <c:f>'Altman Z Score'!$F$68:$I$68</c:f>
              <c:numCache>
                <c:formatCode>#,##0.0</c:formatCode>
                <c:ptCount val="4"/>
                <c:pt idx="0">
                  <c:v>1240.9900000000005</c:v>
                </c:pt>
                <c:pt idx="1">
                  <c:v>904.99999999999841</c:v>
                </c:pt>
                <c:pt idx="2">
                  <c:v>1378.7600000000014</c:v>
                </c:pt>
                <c:pt idx="3">
                  <c:v>2248.9999999999973</c:v>
                </c:pt>
              </c:numCache>
            </c:numRef>
          </c:val>
          <c:extLst>
            <c:ext xmlns:c16="http://schemas.microsoft.com/office/drawing/2014/chart" uri="{C3380CC4-5D6E-409C-BE32-E72D297353CC}">
              <c16:uniqueId val="{00000006-ACC6-4125-A5BD-6E69D37536F0}"/>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CD6B-4CDE-AF3A-62CA0FB1305B}"/>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CD6B-4CDE-AF3A-62CA0FB1305B}"/>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CD6B-4CDE-AF3A-62CA0FB1305B}"/>
              </c:ext>
            </c:extLst>
          </c:dPt>
          <c:dPt>
            <c:idx val="3"/>
            <c:invertIfNegative val="0"/>
            <c:bubble3D val="0"/>
            <c:spPr>
              <a:solidFill>
                <a:srgbClr val="028655"/>
              </a:solidFill>
              <a:ln>
                <a:noFill/>
              </a:ln>
              <a:effectLst/>
            </c:spPr>
            <c:extLst>
              <c:ext xmlns:c16="http://schemas.microsoft.com/office/drawing/2014/chart" uri="{C3380CC4-5D6E-409C-BE32-E72D297353CC}">
                <c16:uniqueId val="{00000007-CD6B-4CDE-AF3A-62CA0FB1305B}"/>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'Altman Z Score'!$F$67:$I$67</c:f>
              <c:numCache>
                <c:formatCode>mmm\-yy</c:formatCode>
                <c:ptCount val="4"/>
                <c:pt idx="0">
                  <c:v>43921</c:v>
                </c:pt>
                <c:pt idx="1">
                  <c:v>44286</c:v>
                </c:pt>
                <c:pt idx="2">
                  <c:v>44651</c:v>
                </c:pt>
                <c:pt idx="3">
                  <c:v>45016</c:v>
                </c:pt>
              </c:numCache>
            </c:numRef>
          </c:cat>
          <c:val>
            <c:numRef>
              <c:f>'Altman Z Score'!$F$74:$I$74</c:f>
              <c:numCache>
                <c:formatCode>#,##0.0</c:formatCode>
                <c:ptCount val="4"/>
                <c:pt idx="0">
                  <c:v>12076.16</c:v>
                </c:pt>
                <c:pt idx="1">
                  <c:v>13655.05</c:v>
                </c:pt>
                <c:pt idx="2">
                  <c:v>15470.98</c:v>
                </c:pt>
                <c:pt idx="3">
                  <c:v>18106.29</c:v>
                </c:pt>
              </c:numCache>
            </c:numRef>
          </c:val>
          <c:extLst>
            <c:ext xmlns:c16="http://schemas.microsoft.com/office/drawing/2014/chart" uri="{C3380CC4-5D6E-409C-BE32-E72D297353CC}">
              <c16:uniqueId val="{00000008-CD6B-4CDE-AF3A-62CA0FB1305B}"/>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numRef>
              <c:f>'Altman Z Score'!$F$67:$I$67</c:f>
              <c:numCache>
                <c:formatCode>mmm\-yy</c:formatCode>
                <c:ptCount val="4"/>
                <c:pt idx="0">
                  <c:v>43921</c:v>
                </c:pt>
                <c:pt idx="1">
                  <c:v>44286</c:v>
                </c:pt>
                <c:pt idx="2">
                  <c:v>44651</c:v>
                </c:pt>
                <c:pt idx="3">
                  <c:v>45016</c:v>
                </c:pt>
              </c:numCache>
            </c:numRef>
          </c:cat>
          <c:val>
            <c:numRef>
              <c:f>'Altman Z Score'!#REF!</c:f>
              <c:numCache>
                <c:formatCode>General</c:formatCode>
                <c:ptCount val="1"/>
                <c:pt idx="0">
                  <c:v>1</c:v>
                </c:pt>
              </c:numCache>
            </c:numRef>
          </c:val>
          <c:extLst>
            <c:ext xmlns:c16="http://schemas.microsoft.com/office/drawing/2014/chart" uri="{C3380CC4-5D6E-409C-BE32-E72D297353CC}">
              <c16:uniqueId val="{00000008-2A97-4BCA-967A-07026C6D0BD7}"/>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General" sourceLinked="1"/>
        <c:majorTickMark val="none"/>
        <c:minorTickMark val="none"/>
        <c:tickLblPos val="nextTo"/>
        <c:crossAx val="8840295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B296-4DCE-8357-6FA612612793}"/>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B296-4DCE-8357-6FA612612793}"/>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B296-4DCE-8357-6FA612612793}"/>
              </c:ext>
            </c:extLst>
          </c:dPt>
          <c:dPt>
            <c:idx val="3"/>
            <c:invertIfNegative val="0"/>
            <c:bubble3D val="0"/>
            <c:spPr>
              <a:solidFill>
                <a:srgbClr val="028655"/>
              </a:solidFill>
              <a:ln>
                <a:solidFill>
                  <a:srgbClr val="028655"/>
                </a:solidFill>
              </a:ln>
              <a:effectLst/>
            </c:spPr>
            <c:extLst>
              <c:ext xmlns:c16="http://schemas.microsoft.com/office/drawing/2014/chart" uri="{C3380CC4-5D6E-409C-BE32-E72D297353CC}">
                <c16:uniqueId val="{00000007-B296-4DCE-8357-6FA612612793}"/>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'Altman Z Score'!$F$83:$I$83</c:f>
              <c:numCache>
                <c:formatCode>mmm\-yy</c:formatCode>
                <c:ptCount val="4"/>
                <c:pt idx="0">
                  <c:v>43921</c:v>
                </c:pt>
                <c:pt idx="1">
                  <c:v>44286</c:v>
                </c:pt>
                <c:pt idx="2">
                  <c:v>44651</c:v>
                </c:pt>
                <c:pt idx="3">
                  <c:v>45016</c:v>
                </c:pt>
              </c:numCache>
            </c:numRef>
          </c:cat>
          <c:val>
            <c:numRef>
              <c:f>'Altman Z Score'!$F$86:$I$86</c:f>
              <c:numCache>
                <c:formatCode>0.00%</c:formatCode>
                <c:ptCount val="4"/>
                <c:pt idx="0">
                  <c:v>2.0594460490752029</c:v>
                </c:pt>
                <c:pt idx="1">
                  <c:v>1.768068223843926</c:v>
                </c:pt>
                <c:pt idx="2">
                  <c:v>2.0022177004947328</c:v>
                </c:pt>
                <c:pt idx="3">
                  <c:v>2.3660043001630924</c:v>
                </c:pt>
              </c:numCache>
            </c:numRef>
          </c:val>
          <c:extLst>
            <c:ext xmlns:c16="http://schemas.microsoft.com/office/drawing/2014/chart" uri="{C3380CC4-5D6E-409C-BE32-E72D297353CC}">
              <c16:uniqueId val="{00000008-B296-4DCE-8357-6FA612612793}"/>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E31B-4CBB-8FB5-1C4677E34EE6}"/>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E31B-4CBB-8FB5-1C4677E34EE6}"/>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E31B-4CBB-8FB5-1C4677E34EE6}"/>
              </c:ext>
            </c:extLst>
          </c:dPt>
          <c:dPt>
            <c:idx val="3"/>
            <c:invertIfNegative val="0"/>
            <c:bubble3D val="0"/>
            <c:spPr>
              <a:solidFill>
                <a:srgbClr val="028655"/>
              </a:solidFill>
              <a:ln>
                <a:solidFill>
                  <a:srgbClr val="028655"/>
                </a:solidFill>
              </a:ln>
              <a:effectLst/>
            </c:spPr>
            <c:extLst>
              <c:ext xmlns:c16="http://schemas.microsoft.com/office/drawing/2014/chart" uri="{C3380CC4-5D6E-409C-BE32-E72D297353CC}">
                <c16:uniqueId val="{00000007-E31B-4CBB-8FB5-1C4677E34EE6}"/>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'Altman Z Score'!$F$67:$I$67</c:f>
              <c:numCache>
                <c:formatCode>mmm\-yy</c:formatCode>
                <c:ptCount val="4"/>
                <c:pt idx="0">
                  <c:v>43921</c:v>
                </c:pt>
                <c:pt idx="1">
                  <c:v>44286</c:v>
                </c:pt>
                <c:pt idx="2">
                  <c:v>44651</c:v>
                </c:pt>
                <c:pt idx="3">
                  <c:v>45016</c:v>
                </c:pt>
              </c:numCache>
            </c:numRef>
          </c:cat>
          <c:val>
            <c:numRef>
              <c:f>'Altman Z Score'!$F$80:$I$80</c:f>
              <c:numCache>
                <c:formatCode>0.00%</c:formatCode>
                <c:ptCount val="4"/>
                <c:pt idx="0">
                  <c:v>425.28501352456561</c:v>
                </c:pt>
                <c:pt idx="1">
                  <c:v>471.59996697398844</c:v>
                </c:pt>
                <c:pt idx="2">
                  <c:v>400.85151779374439</c:v>
                </c:pt>
                <c:pt idx="3">
                  <c:v>342.6411572405907</c:v>
                </c:pt>
              </c:numCache>
            </c:numRef>
          </c:val>
          <c:extLst>
            <c:ext xmlns:c16="http://schemas.microsoft.com/office/drawing/2014/chart" uri="{C3380CC4-5D6E-409C-BE32-E72D297353CC}">
              <c16:uniqueId val="{00000008-E31B-4CBB-8FB5-1C4677E34EE6}"/>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image" Target="../media/image1.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xdr:col>
      <xdr:colOff>209550</xdr:colOff>
      <xdr:row>6</xdr:row>
      <xdr:rowOff>28575</xdr:rowOff>
    </xdr:from>
    <xdr:to>
      <xdr:col>8</xdr:col>
      <xdr:colOff>514350</xdr:colOff>
      <xdr:row>20</xdr:row>
      <xdr:rowOff>104775</xdr:rowOff>
    </xdr:to>
    <xdr:graphicFrame macro="">
      <xdr:nvGraphicFramePr>
        <xdr:cNvPr id="7" name="Chart 6">
          <a:extLst>
            <a:ext uri="{FF2B5EF4-FFF2-40B4-BE49-F238E27FC236}">
              <a16:creationId xmlns:a16="http://schemas.microsoft.com/office/drawing/2014/main" id="{33DE4673-F6C4-6EAA-5EDD-0E17C9A625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34925</xdr:colOff>
      <xdr:row>13</xdr:row>
      <xdr:rowOff>76200</xdr:rowOff>
    </xdr:from>
    <xdr:to>
      <xdr:col>8</xdr:col>
      <xdr:colOff>492125</xdr:colOff>
      <xdr:row>13</xdr:row>
      <xdr:rowOff>76200</xdr:rowOff>
    </xdr:to>
    <xdr:cxnSp macro="">
      <xdr:nvCxnSpPr>
        <xdr:cNvPr id="9" name="Straight Connector 8">
          <a:extLst>
            <a:ext uri="{FF2B5EF4-FFF2-40B4-BE49-F238E27FC236}">
              <a16:creationId xmlns:a16="http://schemas.microsoft.com/office/drawing/2014/main" id="{4BA9E952-F27E-1594-78DC-B603BAA50E50}"/>
            </a:ext>
          </a:extLst>
        </xdr:cNvPr>
        <xdr:cNvCxnSpPr/>
      </xdr:nvCxnSpPr>
      <xdr:spPr>
        <a:xfrm>
          <a:off x="771525" y="2552700"/>
          <a:ext cx="4114800" cy="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177164</xdr:colOff>
      <xdr:row>1</xdr:row>
      <xdr:rowOff>133350</xdr:rowOff>
    </xdr:from>
    <xdr:to>
      <xdr:col>8</xdr:col>
      <xdr:colOff>567690</xdr:colOff>
      <xdr:row>3</xdr:row>
      <xdr:rowOff>72279</xdr:rowOff>
    </xdr:to>
    <xdr:pic>
      <xdr:nvPicPr>
        <xdr:cNvPr id="2" name="Picture 1">
          <a:extLst>
            <a:ext uri="{FF2B5EF4-FFF2-40B4-BE49-F238E27FC236}">
              <a16:creationId xmlns:a16="http://schemas.microsoft.com/office/drawing/2014/main" id="{9069E5B1-FC39-8288-4310-DEEE699DFF76}"/>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315" b="23116"/>
        <a:stretch/>
      </xdr:blipFill>
      <xdr:spPr bwMode="auto">
        <a:xfrm>
          <a:off x="5122544" y="133350"/>
          <a:ext cx="1605916" cy="4551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3661</xdr:colOff>
      <xdr:row>16</xdr:row>
      <xdr:rowOff>117625</xdr:rowOff>
    </xdr:from>
    <xdr:to>
      <xdr:col>1</xdr:col>
      <xdr:colOff>1934883</xdr:colOff>
      <xdr:row>24</xdr:row>
      <xdr:rowOff>147938</xdr:rowOff>
    </xdr:to>
    <xdr:graphicFrame macro="">
      <xdr:nvGraphicFramePr>
        <xdr:cNvPr id="3" name="Chart 2">
          <a:extLst>
            <a:ext uri="{FF2B5EF4-FFF2-40B4-BE49-F238E27FC236}">
              <a16:creationId xmlns:a16="http://schemas.microsoft.com/office/drawing/2014/main" id="{F1086B5E-DFFF-4C13-3590-DF6689198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193754</xdr:colOff>
      <xdr:row>15</xdr:row>
      <xdr:rowOff>54408</xdr:rowOff>
    </xdr:from>
    <xdr:to>
      <xdr:col>1</xdr:col>
      <xdr:colOff>1602107</xdr:colOff>
      <xdr:row>16</xdr:row>
      <xdr:rowOff>63600</xdr:rowOff>
    </xdr:to>
    <xdr:sp macro="" textlink="">
      <xdr:nvSpPr>
        <xdr:cNvPr id="7" name="TextBox 6">
          <a:extLst>
            <a:ext uri="{FF2B5EF4-FFF2-40B4-BE49-F238E27FC236}">
              <a16:creationId xmlns:a16="http://schemas.microsoft.com/office/drawing/2014/main" id="{B7B023E8-0B2E-E197-E6CC-8422D3A230FE}"/>
            </a:ext>
          </a:extLst>
        </xdr:cNvPr>
        <xdr:cNvSpPr txBox="1"/>
      </xdr:nvSpPr>
      <xdr:spPr>
        <a:xfrm>
          <a:off x="312287" y="3373341"/>
          <a:ext cx="1408353" cy="203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Revenues (INR</a:t>
          </a:r>
          <a:r>
            <a:rPr lang="en-IN" sz="1050" b="1" baseline="0">
              <a:solidFill>
                <a:srgbClr val="028655"/>
              </a:solidFill>
              <a:latin typeface="+mn-lt"/>
            </a:rPr>
            <a:t> Crs.)</a:t>
          </a:r>
          <a:endParaRPr lang="en-IN" sz="1050" b="1">
            <a:solidFill>
              <a:srgbClr val="028655"/>
            </a:solidFill>
            <a:latin typeface="+mn-lt"/>
          </a:endParaRPr>
        </a:p>
      </xdr:txBody>
    </xdr:sp>
    <xdr:clientData/>
  </xdr:twoCellAnchor>
  <xdr:twoCellAnchor>
    <xdr:from>
      <xdr:col>1</xdr:col>
      <xdr:colOff>46580</xdr:colOff>
      <xdr:row>15</xdr:row>
      <xdr:rowOff>67734</xdr:rowOff>
    </xdr:from>
    <xdr:to>
      <xdr:col>1</xdr:col>
      <xdr:colOff>1701800</xdr:colOff>
      <xdr:row>15</xdr:row>
      <xdr:rowOff>72950</xdr:rowOff>
    </xdr:to>
    <xdr:cxnSp macro="">
      <xdr:nvCxnSpPr>
        <xdr:cNvPr id="9" name="Straight Connector 8">
          <a:extLst>
            <a:ext uri="{FF2B5EF4-FFF2-40B4-BE49-F238E27FC236}">
              <a16:creationId xmlns:a16="http://schemas.microsoft.com/office/drawing/2014/main" id="{F6AC0360-765E-8BB5-D6DF-85227E1B8005}"/>
            </a:ext>
          </a:extLst>
        </xdr:cNvPr>
        <xdr:cNvCxnSpPr/>
      </xdr:nvCxnSpPr>
      <xdr:spPr>
        <a:xfrm flipV="1">
          <a:off x="165113" y="2726267"/>
          <a:ext cx="1655220" cy="521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218220</xdr:colOff>
      <xdr:row>15</xdr:row>
      <xdr:rowOff>41371</xdr:rowOff>
    </xdr:from>
    <xdr:to>
      <xdr:col>4</xdr:col>
      <xdr:colOff>334012</xdr:colOff>
      <xdr:row>16</xdr:row>
      <xdr:rowOff>54373</xdr:rowOff>
    </xdr:to>
    <xdr:sp macro="" textlink="">
      <xdr:nvSpPr>
        <xdr:cNvPr id="19" name="TextBox 18">
          <a:extLst>
            <a:ext uri="{FF2B5EF4-FFF2-40B4-BE49-F238E27FC236}">
              <a16:creationId xmlns:a16="http://schemas.microsoft.com/office/drawing/2014/main" id="{73B209D1-EFE5-4A87-B29D-79505F60BF0E}"/>
            </a:ext>
          </a:extLst>
        </xdr:cNvPr>
        <xdr:cNvSpPr txBox="1"/>
      </xdr:nvSpPr>
      <xdr:spPr>
        <a:xfrm>
          <a:off x="2724353" y="3360304"/>
          <a:ext cx="1394259" cy="207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Net Profit (INR</a:t>
          </a:r>
          <a:r>
            <a:rPr lang="en-IN" sz="1050" b="1" baseline="0">
              <a:solidFill>
                <a:srgbClr val="028655"/>
              </a:solidFill>
              <a:latin typeface="+mn-lt"/>
            </a:rPr>
            <a:t> Crs.)</a:t>
          </a:r>
          <a:endParaRPr lang="en-IN" sz="1050" b="1">
            <a:solidFill>
              <a:srgbClr val="028655"/>
            </a:solidFill>
            <a:latin typeface="+mn-lt"/>
          </a:endParaRPr>
        </a:p>
      </xdr:txBody>
    </xdr:sp>
    <xdr:clientData/>
  </xdr:twoCellAnchor>
  <xdr:twoCellAnchor>
    <xdr:from>
      <xdr:col>5</xdr:col>
      <xdr:colOff>459268</xdr:colOff>
      <xdr:row>15</xdr:row>
      <xdr:rowOff>51507</xdr:rowOff>
    </xdr:from>
    <xdr:to>
      <xdr:col>8</xdr:col>
      <xdr:colOff>574885</xdr:colOff>
      <xdr:row>16</xdr:row>
      <xdr:rowOff>77258</xdr:rowOff>
    </xdr:to>
    <xdr:sp macro="" textlink="">
      <xdr:nvSpPr>
        <xdr:cNvPr id="22" name="TextBox 21">
          <a:extLst>
            <a:ext uri="{FF2B5EF4-FFF2-40B4-BE49-F238E27FC236}">
              <a16:creationId xmlns:a16="http://schemas.microsoft.com/office/drawing/2014/main" id="{F1033CB5-641B-43D8-A4AF-7F28247BA08C}"/>
            </a:ext>
          </a:extLst>
        </xdr:cNvPr>
        <xdr:cNvSpPr txBox="1"/>
      </xdr:nvSpPr>
      <xdr:spPr>
        <a:xfrm>
          <a:off x="4853468" y="3370440"/>
          <a:ext cx="1944417" cy="220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Average Total Assets (INR</a:t>
          </a:r>
          <a:r>
            <a:rPr lang="en-IN" sz="1050" b="1" baseline="0">
              <a:solidFill>
                <a:srgbClr val="028655"/>
              </a:solidFill>
              <a:latin typeface="+mn-lt"/>
            </a:rPr>
            <a:t> Crs.)</a:t>
          </a:r>
          <a:endParaRPr lang="en-IN" sz="1050" b="1">
            <a:solidFill>
              <a:srgbClr val="028655"/>
            </a:solidFill>
            <a:latin typeface="+mn-lt"/>
          </a:endParaRPr>
        </a:p>
      </xdr:txBody>
    </xdr:sp>
    <xdr:clientData/>
  </xdr:twoCellAnchor>
  <xdr:twoCellAnchor>
    <xdr:from>
      <xdr:col>1</xdr:col>
      <xdr:colOff>2211794</xdr:colOff>
      <xdr:row>16</xdr:row>
      <xdr:rowOff>129140</xdr:rowOff>
    </xdr:from>
    <xdr:to>
      <xdr:col>4</xdr:col>
      <xdr:colOff>587688</xdr:colOff>
      <xdr:row>24</xdr:row>
      <xdr:rowOff>163263</xdr:rowOff>
    </xdr:to>
    <xdr:graphicFrame macro="">
      <xdr:nvGraphicFramePr>
        <xdr:cNvPr id="24" name="Chart 23">
          <a:extLst>
            <a:ext uri="{FF2B5EF4-FFF2-40B4-BE49-F238E27FC236}">
              <a16:creationId xmlns:a16="http://schemas.microsoft.com/office/drawing/2014/main" id="{D338E88C-C409-4985-8EB5-661DDC0779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302136</xdr:colOff>
      <xdr:row>16</xdr:row>
      <xdr:rowOff>109157</xdr:rowOff>
    </xdr:from>
    <xdr:to>
      <xdr:col>8</xdr:col>
      <xdr:colOff>515944</xdr:colOff>
      <xdr:row>24</xdr:row>
      <xdr:rowOff>145185</xdr:rowOff>
    </xdr:to>
    <xdr:graphicFrame macro="">
      <xdr:nvGraphicFramePr>
        <xdr:cNvPr id="26" name="Chart 25">
          <a:extLst>
            <a:ext uri="{FF2B5EF4-FFF2-40B4-BE49-F238E27FC236}">
              <a16:creationId xmlns:a16="http://schemas.microsoft.com/office/drawing/2014/main" id="{33D29D89-1D55-4F80-9BC8-92F85A15F8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16933</xdr:colOff>
      <xdr:row>28</xdr:row>
      <xdr:rowOff>51237</xdr:rowOff>
    </xdr:from>
    <xdr:to>
      <xdr:col>1</xdr:col>
      <xdr:colOff>1951965</xdr:colOff>
      <xdr:row>36</xdr:row>
      <xdr:rowOff>83454</xdr:rowOff>
    </xdr:to>
    <xdr:graphicFrame macro="">
      <xdr:nvGraphicFramePr>
        <xdr:cNvPr id="27" name="Chart 26">
          <a:extLst>
            <a:ext uri="{FF2B5EF4-FFF2-40B4-BE49-F238E27FC236}">
              <a16:creationId xmlns:a16="http://schemas.microsoft.com/office/drawing/2014/main" id="{1CF118B4-9DBA-4828-A2B4-9A7BC92A1A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219304</xdr:colOff>
      <xdr:row>26</xdr:row>
      <xdr:rowOff>180847</xdr:rowOff>
    </xdr:from>
    <xdr:to>
      <xdr:col>1</xdr:col>
      <xdr:colOff>1627657</xdr:colOff>
      <xdr:row>27</xdr:row>
      <xdr:rowOff>188135</xdr:rowOff>
    </xdr:to>
    <xdr:sp macro="" textlink="">
      <xdr:nvSpPr>
        <xdr:cNvPr id="28" name="TextBox 27">
          <a:extLst>
            <a:ext uri="{FF2B5EF4-FFF2-40B4-BE49-F238E27FC236}">
              <a16:creationId xmlns:a16="http://schemas.microsoft.com/office/drawing/2014/main" id="{64F0EF42-3F27-47B8-BD4F-A7DD6B9A9B66}"/>
            </a:ext>
          </a:extLst>
        </xdr:cNvPr>
        <xdr:cNvSpPr txBox="1"/>
      </xdr:nvSpPr>
      <xdr:spPr>
        <a:xfrm>
          <a:off x="337837" y="5447114"/>
          <a:ext cx="1408353" cy="2020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Return on Equity (%)</a:t>
          </a:r>
        </a:p>
      </xdr:txBody>
    </xdr:sp>
    <xdr:clientData/>
  </xdr:twoCellAnchor>
  <xdr:twoCellAnchor>
    <xdr:from>
      <xdr:col>2</xdr:col>
      <xdr:colOff>249271</xdr:colOff>
      <xdr:row>26</xdr:row>
      <xdr:rowOff>155944</xdr:rowOff>
    </xdr:from>
    <xdr:to>
      <xdr:col>4</xdr:col>
      <xdr:colOff>363158</xdr:colOff>
      <xdr:row>27</xdr:row>
      <xdr:rowOff>180377</xdr:rowOff>
    </xdr:to>
    <xdr:sp macro="" textlink="">
      <xdr:nvSpPr>
        <xdr:cNvPr id="31" name="TextBox 30">
          <a:extLst>
            <a:ext uri="{FF2B5EF4-FFF2-40B4-BE49-F238E27FC236}">
              <a16:creationId xmlns:a16="http://schemas.microsoft.com/office/drawing/2014/main" id="{E241296C-9003-4F5A-A783-0F8ECA8E95F0}"/>
            </a:ext>
          </a:extLst>
        </xdr:cNvPr>
        <xdr:cNvSpPr txBox="1"/>
      </xdr:nvSpPr>
      <xdr:spPr>
        <a:xfrm>
          <a:off x="2755404" y="5422211"/>
          <a:ext cx="1392354" cy="219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Return</a:t>
          </a:r>
          <a:r>
            <a:rPr lang="en-IN" sz="1050" b="1" baseline="0">
              <a:solidFill>
                <a:srgbClr val="028655"/>
              </a:solidFill>
              <a:latin typeface="+mn-lt"/>
            </a:rPr>
            <a:t> on Asset (%)</a:t>
          </a:r>
          <a:endParaRPr lang="en-IN" sz="1050" b="1">
            <a:solidFill>
              <a:srgbClr val="028655"/>
            </a:solidFill>
            <a:latin typeface="+mn-lt"/>
          </a:endParaRPr>
        </a:p>
      </xdr:txBody>
    </xdr:sp>
    <xdr:clientData/>
  </xdr:twoCellAnchor>
  <xdr:twoCellAnchor>
    <xdr:from>
      <xdr:col>1</xdr:col>
      <xdr:colOff>2224219</xdr:colOff>
      <xdr:row>28</xdr:row>
      <xdr:rowOff>60411</xdr:rowOff>
    </xdr:from>
    <xdr:to>
      <xdr:col>4</xdr:col>
      <xdr:colOff>586778</xdr:colOff>
      <xdr:row>36</xdr:row>
      <xdr:rowOff>94533</xdr:rowOff>
    </xdr:to>
    <xdr:graphicFrame macro="">
      <xdr:nvGraphicFramePr>
        <xdr:cNvPr id="33" name="Chart 32">
          <a:extLst>
            <a:ext uri="{FF2B5EF4-FFF2-40B4-BE49-F238E27FC236}">
              <a16:creationId xmlns:a16="http://schemas.microsoft.com/office/drawing/2014/main" id="{CA94DF9B-FAFD-44D9-B86E-E7CF3CA6C0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134310</xdr:colOff>
      <xdr:row>26</xdr:row>
      <xdr:rowOff>146136</xdr:rowOff>
    </xdr:from>
    <xdr:to>
      <xdr:col>8</xdr:col>
      <xdr:colOff>315084</xdr:colOff>
      <xdr:row>27</xdr:row>
      <xdr:rowOff>149614</xdr:rowOff>
    </xdr:to>
    <xdr:sp macro="" textlink="">
      <xdr:nvSpPr>
        <xdr:cNvPr id="34" name="TextBox 33">
          <a:extLst>
            <a:ext uri="{FF2B5EF4-FFF2-40B4-BE49-F238E27FC236}">
              <a16:creationId xmlns:a16="http://schemas.microsoft.com/office/drawing/2014/main" id="{CD8868A1-D8C4-4BD4-9656-D859D65F62A1}"/>
            </a:ext>
          </a:extLst>
        </xdr:cNvPr>
        <xdr:cNvSpPr txBox="1"/>
      </xdr:nvSpPr>
      <xdr:spPr>
        <a:xfrm>
          <a:off x="5138110" y="5412403"/>
          <a:ext cx="1399974" cy="198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Financial Leverage</a:t>
          </a:r>
        </a:p>
      </xdr:txBody>
    </xdr:sp>
    <xdr:clientData/>
  </xdr:twoCellAnchor>
  <xdr:twoCellAnchor>
    <xdr:from>
      <xdr:col>5</xdr:col>
      <xdr:colOff>302048</xdr:colOff>
      <xdr:row>28</xdr:row>
      <xdr:rowOff>63513</xdr:rowOff>
    </xdr:from>
    <xdr:to>
      <xdr:col>8</xdr:col>
      <xdr:colOff>511399</xdr:colOff>
      <xdr:row>36</xdr:row>
      <xdr:rowOff>101445</xdr:rowOff>
    </xdr:to>
    <xdr:graphicFrame macro="">
      <xdr:nvGraphicFramePr>
        <xdr:cNvPr id="36" name="Chart 35">
          <a:extLst>
            <a:ext uri="{FF2B5EF4-FFF2-40B4-BE49-F238E27FC236}">
              <a16:creationId xmlns:a16="http://schemas.microsoft.com/office/drawing/2014/main" id="{C0C96841-DF53-4B86-8B2A-3C3A3CE38F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109222</xdr:colOff>
      <xdr:row>37</xdr:row>
      <xdr:rowOff>119026</xdr:rowOff>
    </xdr:from>
    <xdr:to>
      <xdr:col>9</xdr:col>
      <xdr:colOff>102660</xdr:colOff>
      <xdr:row>52</xdr:row>
      <xdr:rowOff>237349</xdr:rowOff>
    </xdr:to>
    <xdr:sp macro="" textlink="">
      <xdr:nvSpPr>
        <xdr:cNvPr id="37" name="TextBox 36">
          <a:extLst>
            <a:ext uri="{FF2B5EF4-FFF2-40B4-BE49-F238E27FC236}">
              <a16:creationId xmlns:a16="http://schemas.microsoft.com/office/drawing/2014/main" id="{A46C8345-F2E9-48A8-16B1-9BDC75D93946}"/>
            </a:ext>
          </a:extLst>
        </xdr:cNvPr>
        <xdr:cNvSpPr txBox="1"/>
      </xdr:nvSpPr>
      <xdr:spPr>
        <a:xfrm>
          <a:off x="109222" y="7604970"/>
          <a:ext cx="6809105" cy="2975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400" b="1" i="0">
              <a:solidFill>
                <a:srgbClr val="028655"/>
              </a:solidFill>
              <a:effectLst/>
              <a:latin typeface="+mn-lt"/>
              <a:ea typeface="+mn-ea"/>
              <a:cs typeface="+mn-cs"/>
            </a:rPr>
            <a:t>Recent Updates</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Net profit rises 8% YoY to Rs 505 crore; misses street</a:t>
          </a:r>
          <a:r>
            <a:rPr lang="en-IN" sz="1200" b="0" i="0" baseline="0">
              <a:solidFill>
                <a:schemeClr val="dk1"/>
              </a:solidFill>
              <a:effectLst/>
              <a:latin typeface="+mn-lt"/>
              <a:ea typeface="+mn-ea"/>
              <a:cs typeface="+mn-cs"/>
            </a:rPr>
            <a:t> </a:t>
          </a:r>
          <a:r>
            <a:rPr lang="en-IN" sz="1200" b="0" i="0">
              <a:solidFill>
                <a:schemeClr val="dk1"/>
              </a:solidFill>
              <a:effectLst/>
              <a:latin typeface="+mn-lt"/>
              <a:ea typeface="+mn-ea"/>
              <a:cs typeface="+mn-cs"/>
            </a:rPr>
            <a:t>estimates.</a:t>
          </a:r>
        </a:p>
        <a:p>
          <a:pPr marL="171450" indent="-171450">
            <a:buFont typeface="Arial" panose="020B0604020202020204" pitchFamily="34" charset="0"/>
            <a:buChar char="•"/>
          </a:pPr>
          <a:r>
            <a:rPr lang="en-IN" sz="1200" b="0" i="0">
              <a:solidFill>
                <a:schemeClr val="dk1"/>
              </a:solidFill>
              <a:effectLst/>
              <a:latin typeface="+mn-lt"/>
              <a:ea typeface="+mn-ea"/>
              <a:cs typeface="+mn-cs"/>
            </a:rPr>
            <a:t>DMart's margins decreased to 7.6% vs 8.6% on a YoY basis while EBITDA was up 5.5% at Rs 783 crore. </a:t>
          </a:r>
        </a:p>
        <a:p>
          <a:pPr marL="171450" indent="-171450">
            <a:buFont typeface="Arial" panose="020B0604020202020204" pitchFamily="34" charset="0"/>
            <a:buChar char="•"/>
          </a:pPr>
          <a:r>
            <a:rPr lang="en-IN" sz="1200" b="0" i="0">
              <a:solidFill>
                <a:schemeClr val="dk1"/>
              </a:solidFill>
              <a:effectLst/>
              <a:latin typeface="+mn-lt"/>
              <a:ea typeface="+mn-ea"/>
              <a:cs typeface="+mn-cs"/>
            </a:rPr>
            <a:t>The retailer's earnings per share or EPS rose to 7.2% from 7.8% in the corresponding quarter of the previous year.</a:t>
          </a:r>
        </a:p>
        <a:p>
          <a:pPr marL="171450" indent="-171450">
            <a:buFont typeface="Arial" panose="020B0604020202020204" pitchFamily="34" charset="0"/>
            <a:buChar char="•"/>
          </a:pPr>
          <a:r>
            <a:rPr lang="en-IN" sz="1200" b="0" i="0">
              <a:solidFill>
                <a:schemeClr val="dk1"/>
              </a:solidFill>
              <a:effectLst/>
              <a:latin typeface="+mn-lt"/>
              <a:ea typeface="+mn-ea"/>
              <a:cs typeface="+mn-cs"/>
            </a:rPr>
            <a:t>These same stores grew at 11.0% in the second half of FY 2023 vis-a-vis second half of FY 2022. </a:t>
          </a:r>
        </a:p>
        <a:p>
          <a:pPr marL="171450" indent="-171450">
            <a:buFont typeface="Arial" panose="020B0604020202020204" pitchFamily="34" charset="0"/>
            <a:buChar char="•"/>
          </a:pPr>
          <a:r>
            <a:rPr lang="en-IN" sz="1200" b="0" i="0">
              <a:solidFill>
                <a:schemeClr val="dk1"/>
              </a:solidFill>
              <a:effectLst/>
              <a:latin typeface="+mn-lt"/>
              <a:ea typeface="+mn-ea"/>
              <a:cs typeface="+mn-cs"/>
            </a:rPr>
            <a:t>In FY23, over 56% of its revenue came from the foods division, 21% from FMCG and around 23% from general merchandise and apparel.</a:t>
          </a:r>
        </a:p>
        <a:p>
          <a:pPr marL="171450" indent="-171450">
            <a:buFont typeface="Arial" panose="020B0604020202020204" pitchFamily="34" charset="0"/>
            <a:buChar char="•"/>
          </a:pPr>
          <a:r>
            <a:rPr lang="en-IN" sz="1200" b="0" i="0">
              <a:solidFill>
                <a:schemeClr val="dk1"/>
              </a:solidFill>
              <a:effectLst/>
              <a:latin typeface="+mn-lt"/>
              <a:ea typeface="+mn-ea"/>
              <a:cs typeface="+mn-cs"/>
            </a:rPr>
            <a:t> With the discretionary product mix being impacted, gross margins for the quarter came in below our estimate at 14.0%.</a:t>
          </a:r>
        </a:p>
        <a:p>
          <a:pPr marL="171450" indent="-171450">
            <a:buFont typeface="Arial" panose="020B0604020202020204" pitchFamily="34" charset="0"/>
            <a:buChar char="•"/>
          </a:pPr>
          <a:r>
            <a:rPr lang="en-IN" sz="1200" b="0" i="0">
              <a:solidFill>
                <a:schemeClr val="dk1"/>
              </a:solidFill>
              <a:effectLst/>
              <a:latin typeface="+mn-lt"/>
              <a:ea typeface="+mn-ea"/>
              <a:cs typeface="+mn-cs"/>
            </a:rPr>
            <a:t>Opex too grew at a faster clip (~25%) than the revenue growth (21%). Subsequently EBITDA margins declined by 110 bps YoY to 7.3% </a:t>
          </a:r>
        </a:p>
        <a:p>
          <a:pPr marL="171450" indent="-171450">
            <a:buFont typeface="Arial" panose="020B0604020202020204" pitchFamily="34" charset="0"/>
            <a:buChar char="•"/>
          </a:pPr>
          <a:r>
            <a:rPr lang="en-IN" sz="1200" b="0" i="0">
              <a:solidFill>
                <a:schemeClr val="dk1"/>
              </a:solidFill>
              <a:effectLst/>
              <a:latin typeface="+mn-lt"/>
              <a:ea typeface="+mn-ea"/>
              <a:cs typeface="+mn-cs"/>
            </a:rPr>
            <a:t>Higher depreciation expenses (up 12% YoY) further impacted profitability. Ensuing PBT stood at Rs 624.9 crore (I-direct estimate: Rs 659.1 crore, up 3% YoY). Lower tax rate 26% vs 30% in Q4FY22 enabled the company to report a PAT of  Rs 460 crore during the quarter</a:t>
          </a:r>
          <a:r>
            <a:rPr lang="en-IN" sz="1200"/>
            <a:t/>
          </a:r>
          <a:br>
            <a:rPr lang="en-IN" sz="1200"/>
          </a:br>
          <a:r>
            <a:rPr lang="en-IN" sz="1200"/>
            <a:t/>
          </a:r>
          <a:br>
            <a:rPr lang="en-IN" sz="1200"/>
          </a:br>
          <a:r>
            <a:rPr lang="en-IN" sz="1200"/>
            <a:t/>
          </a:r>
          <a:br>
            <a:rPr lang="en-IN" sz="1200"/>
          </a:br>
          <a:endParaRPr lang="en-IN" sz="1200" b="0"/>
        </a:p>
      </xdr:txBody>
    </xdr:sp>
    <xdr:clientData/>
  </xdr:twoCellAnchor>
  <xdr:twoCellAnchor>
    <xdr:from>
      <xdr:col>2</xdr:col>
      <xdr:colOff>17371</xdr:colOff>
      <xdr:row>15</xdr:row>
      <xdr:rowOff>61172</xdr:rowOff>
    </xdr:from>
    <xdr:to>
      <xdr:col>4</xdr:col>
      <xdr:colOff>401744</xdr:colOff>
      <xdr:row>15</xdr:row>
      <xdr:rowOff>64483</xdr:rowOff>
    </xdr:to>
    <xdr:cxnSp macro="">
      <xdr:nvCxnSpPr>
        <xdr:cNvPr id="42" name="Straight Connector 41">
          <a:extLst>
            <a:ext uri="{FF2B5EF4-FFF2-40B4-BE49-F238E27FC236}">
              <a16:creationId xmlns:a16="http://schemas.microsoft.com/office/drawing/2014/main" id="{E6F0DFE1-A896-4FDB-9C4F-33DD3E7D8EF8}"/>
            </a:ext>
          </a:extLst>
        </xdr:cNvPr>
        <xdr:cNvCxnSpPr/>
      </xdr:nvCxnSpPr>
      <xdr:spPr>
        <a:xfrm flipV="1">
          <a:off x="2523504" y="3380105"/>
          <a:ext cx="1662840" cy="3311"/>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523465</xdr:colOff>
      <xdr:row>15</xdr:row>
      <xdr:rowOff>63077</xdr:rowOff>
    </xdr:from>
    <xdr:to>
      <xdr:col>8</xdr:col>
      <xdr:colOff>359410</xdr:colOff>
      <xdr:row>15</xdr:row>
      <xdr:rowOff>64483</xdr:rowOff>
    </xdr:to>
    <xdr:cxnSp macro="">
      <xdr:nvCxnSpPr>
        <xdr:cNvPr id="43" name="Straight Connector 42">
          <a:extLst>
            <a:ext uri="{FF2B5EF4-FFF2-40B4-BE49-F238E27FC236}">
              <a16:creationId xmlns:a16="http://schemas.microsoft.com/office/drawing/2014/main" id="{703F9EF8-5DC8-493F-A2B2-63A7F1AEE947}"/>
            </a:ext>
          </a:extLst>
        </xdr:cNvPr>
        <xdr:cNvCxnSpPr/>
      </xdr:nvCxnSpPr>
      <xdr:spPr>
        <a:xfrm flipV="1">
          <a:off x="4917665" y="3382010"/>
          <a:ext cx="1664745" cy="140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91666</xdr:colOff>
      <xdr:row>26</xdr:row>
      <xdr:rowOff>181609</xdr:rowOff>
    </xdr:from>
    <xdr:to>
      <xdr:col>1</xdr:col>
      <xdr:colOff>1760221</xdr:colOff>
      <xdr:row>26</xdr:row>
      <xdr:rowOff>183015</xdr:rowOff>
    </xdr:to>
    <xdr:cxnSp macro="">
      <xdr:nvCxnSpPr>
        <xdr:cNvPr id="44" name="Straight Connector 43">
          <a:extLst>
            <a:ext uri="{FF2B5EF4-FFF2-40B4-BE49-F238E27FC236}">
              <a16:creationId xmlns:a16="http://schemas.microsoft.com/office/drawing/2014/main" id="{6DC919CE-2B01-4328-B9AF-157CB9E1B3A2}"/>
            </a:ext>
          </a:extLst>
        </xdr:cNvPr>
        <xdr:cNvCxnSpPr/>
      </xdr:nvCxnSpPr>
      <xdr:spPr>
        <a:xfrm flipV="1">
          <a:off x="210199" y="5447876"/>
          <a:ext cx="1668555" cy="140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11657</xdr:colOff>
      <xdr:row>26</xdr:row>
      <xdr:rowOff>190076</xdr:rowOff>
    </xdr:from>
    <xdr:to>
      <xdr:col>4</xdr:col>
      <xdr:colOff>415080</xdr:colOff>
      <xdr:row>26</xdr:row>
      <xdr:rowOff>190076</xdr:rowOff>
    </xdr:to>
    <xdr:cxnSp macro="">
      <xdr:nvCxnSpPr>
        <xdr:cNvPr id="45" name="Straight Connector 44">
          <a:extLst>
            <a:ext uri="{FF2B5EF4-FFF2-40B4-BE49-F238E27FC236}">
              <a16:creationId xmlns:a16="http://schemas.microsoft.com/office/drawing/2014/main" id="{A0E8B039-2C0E-41D1-8228-C3DFC46D1BA7}"/>
            </a:ext>
          </a:extLst>
        </xdr:cNvPr>
        <xdr:cNvCxnSpPr/>
      </xdr:nvCxnSpPr>
      <xdr:spPr>
        <a:xfrm flipV="1">
          <a:off x="2517790" y="5456343"/>
          <a:ext cx="1681890"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499971</xdr:colOff>
      <xdr:row>26</xdr:row>
      <xdr:rowOff>154304</xdr:rowOff>
    </xdr:from>
    <xdr:to>
      <xdr:col>8</xdr:col>
      <xdr:colOff>351156</xdr:colOff>
      <xdr:row>26</xdr:row>
      <xdr:rowOff>154304</xdr:rowOff>
    </xdr:to>
    <xdr:cxnSp macro="">
      <xdr:nvCxnSpPr>
        <xdr:cNvPr id="46" name="Straight Connector 45">
          <a:extLst>
            <a:ext uri="{FF2B5EF4-FFF2-40B4-BE49-F238E27FC236}">
              <a16:creationId xmlns:a16="http://schemas.microsoft.com/office/drawing/2014/main" id="{9C711A49-1CC3-493C-98DD-AA046BEF641C}"/>
            </a:ext>
          </a:extLst>
        </xdr:cNvPr>
        <xdr:cNvCxnSpPr/>
      </xdr:nvCxnSpPr>
      <xdr:spPr>
        <a:xfrm flipV="1">
          <a:off x="4894171" y="5420571"/>
          <a:ext cx="1679985"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61837</xdr:colOff>
      <xdr:row>56</xdr:row>
      <xdr:rowOff>97820</xdr:rowOff>
    </xdr:from>
    <xdr:to>
      <xdr:col>9</xdr:col>
      <xdr:colOff>60990</xdr:colOff>
      <xdr:row>58</xdr:row>
      <xdr:rowOff>33306</xdr:rowOff>
    </xdr:to>
    <xdr:sp macro="" textlink="">
      <xdr:nvSpPr>
        <xdr:cNvPr id="47" name="TextBox 46">
          <a:extLst>
            <a:ext uri="{FF2B5EF4-FFF2-40B4-BE49-F238E27FC236}">
              <a16:creationId xmlns:a16="http://schemas.microsoft.com/office/drawing/2014/main" id="{D40BCC90-09D2-49AC-A503-DD369F15677D}"/>
            </a:ext>
          </a:extLst>
        </xdr:cNvPr>
        <xdr:cNvSpPr txBox="1"/>
      </xdr:nvSpPr>
      <xdr:spPr>
        <a:xfrm>
          <a:off x="61837" y="11133977"/>
          <a:ext cx="6822906" cy="312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800" b="1" i="0">
              <a:solidFill>
                <a:srgbClr val="028655"/>
              </a:solidFill>
              <a:effectLst/>
              <a:latin typeface="+mn-lt"/>
              <a:ea typeface="+mn-ea"/>
              <a:cs typeface="+mn-cs"/>
            </a:rPr>
            <a:t>Dupont Analysis - Return on Equity &amp; Return</a:t>
          </a:r>
          <a:r>
            <a:rPr lang="en-IN" sz="1800" b="1" i="0" baseline="0">
              <a:solidFill>
                <a:srgbClr val="028655"/>
              </a:solidFill>
              <a:effectLst/>
              <a:latin typeface="+mn-lt"/>
              <a:ea typeface="+mn-ea"/>
              <a:cs typeface="+mn-cs"/>
            </a:rPr>
            <a:t> on Asset</a:t>
          </a:r>
          <a:endParaRPr lang="en-IN" sz="1800" b="1" i="0">
            <a:solidFill>
              <a:srgbClr val="028655"/>
            </a:solidFill>
            <a:effectLst/>
            <a:latin typeface="+mn-lt"/>
            <a:ea typeface="+mn-ea"/>
            <a:cs typeface="+mn-cs"/>
          </a:endParaRPr>
        </a:p>
      </xdr:txBody>
    </xdr:sp>
    <xdr:clientData/>
  </xdr:twoCellAnchor>
  <xdr:twoCellAnchor>
    <xdr:from>
      <xdr:col>0</xdr:col>
      <xdr:colOff>73662</xdr:colOff>
      <xdr:row>98</xdr:row>
      <xdr:rowOff>103534</xdr:rowOff>
    </xdr:from>
    <xdr:to>
      <xdr:col>9</xdr:col>
      <xdr:colOff>76625</xdr:colOff>
      <xdr:row>109</xdr:row>
      <xdr:rowOff>17123</xdr:rowOff>
    </xdr:to>
    <xdr:sp macro="" textlink="">
      <xdr:nvSpPr>
        <xdr:cNvPr id="48" name="TextBox 47">
          <a:extLst>
            <a:ext uri="{FF2B5EF4-FFF2-40B4-BE49-F238E27FC236}">
              <a16:creationId xmlns:a16="http://schemas.microsoft.com/office/drawing/2014/main" id="{D031438D-A2D8-455F-8597-9E2EBF56B2F6}"/>
            </a:ext>
          </a:extLst>
        </xdr:cNvPr>
        <xdr:cNvSpPr txBox="1"/>
      </xdr:nvSpPr>
      <xdr:spPr>
        <a:xfrm>
          <a:off x="73662" y="19085040"/>
          <a:ext cx="6826716" cy="1985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400" b="1" i="0">
              <a:solidFill>
                <a:srgbClr val="028655"/>
              </a:solidFill>
              <a:effectLst/>
              <a:latin typeface="+mn-lt"/>
              <a:ea typeface="+mn-ea"/>
              <a:cs typeface="+mn-cs"/>
            </a:rPr>
            <a:t>Dupont Summary</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ROE of Avenue Supermart has been decreased to</a:t>
          </a:r>
          <a:r>
            <a:rPr lang="en-IN" sz="1200" b="0" i="0" baseline="0">
              <a:solidFill>
                <a:schemeClr val="dk1"/>
              </a:solidFill>
              <a:effectLst/>
              <a:latin typeface="+mn-lt"/>
              <a:ea typeface="+mn-ea"/>
              <a:cs typeface="+mn-cs"/>
            </a:rPr>
            <a:t> 15.61% during COVID and made a low of 9.45% in FY2021 which now has rose to precovid levels and currently at 15.99% as of 31 March 2023.</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baseline="0">
              <a:solidFill>
                <a:schemeClr val="dk1"/>
              </a:solidFill>
              <a:effectLst/>
              <a:latin typeface="+mn-lt"/>
              <a:ea typeface="+mn-ea"/>
              <a:cs typeface="+mn-cs"/>
            </a:rPr>
            <a:t>ROE has been decreased significantly in past 7 years from 17.86% to 15.99%. While the company was able to increase the net margins from 4.02% in FY2017 to 5.55% in FY23. Asset efficiency of the company is constantly maintained throughout the period, the reason for fall in ROE is reduction of financial leverage in the company from 1.66x in FY2017 to 1.13x in FY2023.</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ROA of Avenue Supermart has been increased from 10.73% in FY2017 to 14.17% in FY2023. While the asset efficiency remains constant, the reason for increase in ROA is increased net margin of the company.</a:t>
          </a:r>
        </a:p>
      </xdr:txBody>
    </xdr:sp>
    <xdr:clientData/>
  </xdr:twoCellAnchor>
  <xdr:twoCellAnchor>
    <xdr:from>
      <xdr:col>1</xdr:col>
      <xdr:colOff>41319</xdr:colOff>
      <xdr:row>109</xdr:row>
      <xdr:rowOff>64535</xdr:rowOff>
    </xdr:from>
    <xdr:to>
      <xdr:col>9</xdr:col>
      <xdr:colOff>226416</xdr:colOff>
      <xdr:row>114</xdr:row>
      <xdr:rowOff>109399</xdr:rowOff>
    </xdr:to>
    <xdr:sp macro="" textlink="">
      <xdr:nvSpPr>
        <xdr:cNvPr id="49" name="TextBox 48">
          <a:extLst>
            <a:ext uri="{FF2B5EF4-FFF2-40B4-BE49-F238E27FC236}">
              <a16:creationId xmlns:a16="http://schemas.microsoft.com/office/drawing/2014/main" id="{92D6A1EA-1C9B-48AA-BEFB-1AB6F493B248}"/>
            </a:ext>
          </a:extLst>
        </xdr:cNvPr>
        <xdr:cNvSpPr txBox="1"/>
      </xdr:nvSpPr>
      <xdr:spPr>
        <a:xfrm>
          <a:off x="161184" y="21117996"/>
          <a:ext cx="6888985" cy="9438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900" b="0" i="1">
              <a:solidFill>
                <a:srgbClr val="028655"/>
              </a:solidFill>
              <a:effectLst/>
              <a:latin typeface="+mn-lt"/>
              <a:ea typeface="+mn-ea"/>
              <a:cs typeface="+mn-cs"/>
            </a:rPr>
            <a:t>Disclaimer : </a:t>
          </a:r>
          <a:r>
            <a:rPr lang="en-IN" sz="900" b="0" i="1">
              <a:solidFill>
                <a:sysClr val="windowText" lastClr="000000"/>
              </a:solidFill>
              <a:effectLst/>
              <a:latin typeface="+mn-lt"/>
              <a:ea typeface="+mn-ea"/>
              <a:cs typeface="+mn-cs"/>
            </a:rPr>
            <a:t>This report is made as part</a:t>
          </a:r>
          <a:r>
            <a:rPr lang="en-IN" sz="900" b="0" i="1" baseline="0">
              <a:solidFill>
                <a:sysClr val="windowText" lastClr="000000"/>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900" b="0" i="1">
            <a:solidFill>
              <a:sysClr val="windowText" lastClr="000000"/>
            </a:solidFill>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177164</xdr:colOff>
      <xdr:row>1</xdr:row>
      <xdr:rowOff>133350</xdr:rowOff>
    </xdr:from>
    <xdr:to>
      <xdr:col>8</xdr:col>
      <xdr:colOff>377462</xdr:colOff>
      <xdr:row>3</xdr:row>
      <xdr:rowOff>72279</xdr:rowOff>
    </xdr:to>
    <xdr:pic>
      <xdr:nvPicPr>
        <xdr:cNvPr id="2" name="Picture 1">
          <a:extLst>
            <a:ext uri="{FF2B5EF4-FFF2-40B4-BE49-F238E27FC236}">
              <a16:creationId xmlns:a16="http://schemas.microsoft.com/office/drawing/2014/main" id="{6AC970E6-0AFF-483C-8C73-754D0DF1F41D}"/>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315" b="23116"/>
        <a:stretch/>
      </xdr:blipFill>
      <xdr:spPr bwMode="auto">
        <a:xfrm>
          <a:off x="5185409" y="274320"/>
          <a:ext cx="1607821" cy="4608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3661</xdr:colOff>
      <xdr:row>16</xdr:row>
      <xdr:rowOff>117625</xdr:rowOff>
    </xdr:from>
    <xdr:to>
      <xdr:col>1</xdr:col>
      <xdr:colOff>1934883</xdr:colOff>
      <xdr:row>24</xdr:row>
      <xdr:rowOff>147938</xdr:rowOff>
    </xdr:to>
    <xdr:graphicFrame macro="">
      <xdr:nvGraphicFramePr>
        <xdr:cNvPr id="3" name="Chart 2">
          <a:extLst>
            <a:ext uri="{FF2B5EF4-FFF2-40B4-BE49-F238E27FC236}">
              <a16:creationId xmlns:a16="http://schemas.microsoft.com/office/drawing/2014/main" id="{A6878BAB-4CD2-4C54-A571-02E946D0C5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193754</xdr:colOff>
      <xdr:row>15</xdr:row>
      <xdr:rowOff>54408</xdr:rowOff>
    </xdr:from>
    <xdr:to>
      <xdr:col>1</xdr:col>
      <xdr:colOff>1602107</xdr:colOff>
      <xdr:row>16</xdr:row>
      <xdr:rowOff>63600</xdr:rowOff>
    </xdr:to>
    <xdr:sp macro="" textlink="">
      <xdr:nvSpPr>
        <xdr:cNvPr id="4" name="TextBox 3">
          <a:extLst>
            <a:ext uri="{FF2B5EF4-FFF2-40B4-BE49-F238E27FC236}">
              <a16:creationId xmlns:a16="http://schemas.microsoft.com/office/drawing/2014/main" id="{77A419F3-B3E2-4F27-8948-7BB3591660A6}"/>
            </a:ext>
          </a:extLst>
        </xdr:cNvPr>
        <xdr:cNvSpPr txBox="1"/>
      </xdr:nvSpPr>
      <xdr:spPr>
        <a:xfrm>
          <a:off x="315674" y="3350058"/>
          <a:ext cx="1408353" cy="1977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Revenues (INR</a:t>
          </a:r>
          <a:r>
            <a:rPr lang="en-IN" sz="1050" b="1" baseline="0">
              <a:solidFill>
                <a:srgbClr val="028655"/>
              </a:solidFill>
              <a:latin typeface="+mn-lt"/>
            </a:rPr>
            <a:t> Crs.)</a:t>
          </a:r>
          <a:endParaRPr lang="en-IN" sz="1050" b="1">
            <a:solidFill>
              <a:srgbClr val="028655"/>
            </a:solidFill>
            <a:latin typeface="+mn-lt"/>
          </a:endParaRPr>
        </a:p>
      </xdr:txBody>
    </xdr:sp>
    <xdr:clientData/>
  </xdr:twoCellAnchor>
  <xdr:twoCellAnchor>
    <xdr:from>
      <xdr:col>1</xdr:col>
      <xdr:colOff>46580</xdr:colOff>
      <xdr:row>15</xdr:row>
      <xdr:rowOff>67734</xdr:rowOff>
    </xdr:from>
    <xdr:to>
      <xdr:col>1</xdr:col>
      <xdr:colOff>1701800</xdr:colOff>
      <xdr:row>15</xdr:row>
      <xdr:rowOff>72950</xdr:rowOff>
    </xdr:to>
    <xdr:cxnSp macro="">
      <xdr:nvCxnSpPr>
        <xdr:cNvPr id="5" name="Straight Connector 4">
          <a:extLst>
            <a:ext uri="{FF2B5EF4-FFF2-40B4-BE49-F238E27FC236}">
              <a16:creationId xmlns:a16="http://schemas.microsoft.com/office/drawing/2014/main" id="{0AEC94CE-954B-4531-A86A-10D960EF3F4D}"/>
            </a:ext>
          </a:extLst>
        </xdr:cNvPr>
        <xdr:cNvCxnSpPr/>
      </xdr:nvCxnSpPr>
      <xdr:spPr>
        <a:xfrm flipV="1">
          <a:off x="166595" y="3361479"/>
          <a:ext cx="1659030" cy="3311"/>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218220</xdr:colOff>
      <xdr:row>15</xdr:row>
      <xdr:rowOff>41371</xdr:rowOff>
    </xdr:from>
    <xdr:to>
      <xdr:col>4</xdr:col>
      <xdr:colOff>334012</xdr:colOff>
      <xdr:row>16</xdr:row>
      <xdr:rowOff>54373</xdr:rowOff>
    </xdr:to>
    <xdr:sp macro="" textlink="">
      <xdr:nvSpPr>
        <xdr:cNvPr id="6" name="TextBox 5">
          <a:extLst>
            <a:ext uri="{FF2B5EF4-FFF2-40B4-BE49-F238E27FC236}">
              <a16:creationId xmlns:a16="http://schemas.microsoft.com/office/drawing/2014/main" id="{0BB88328-7BDD-4B8A-A613-90B15D89BB9A}"/>
            </a:ext>
          </a:extLst>
        </xdr:cNvPr>
        <xdr:cNvSpPr txBox="1"/>
      </xdr:nvSpPr>
      <xdr:spPr>
        <a:xfrm>
          <a:off x="2727105" y="3333211"/>
          <a:ext cx="1395952" cy="2073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Net Profit (INR</a:t>
          </a:r>
          <a:r>
            <a:rPr lang="en-IN" sz="1050" b="1" baseline="0">
              <a:solidFill>
                <a:srgbClr val="028655"/>
              </a:solidFill>
              <a:latin typeface="+mn-lt"/>
            </a:rPr>
            <a:t> Crs.)</a:t>
          </a:r>
          <a:endParaRPr lang="en-IN" sz="1050" b="1">
            <a:solidFill>
              <a:srgbClr val="028655"/>
            </a:solidFill>
            <a:latin typeface="+mn-lt"/>
          </a:endParaRPr>
        </a:p>
      </xdr:txBody>
    </xdr:sp>
    <xdr:clientData/>
  </xdr:twoCellAnchor>
  <xdr:twoCellAnchor>
    <xdr:from>
      <xdr:col>5</xdr:col>
      <xdr:colOff>459268</xdr:colOff>
      <xdr:row>15</xdr:row>
      <xdr:rowOff>51507</xdr:rowOff>
    </xdr:from>
    <xdr:to>
      <xdr:col>8</xdr:col>
      <xdr:colOff>574885</xdr:colOff>
      <xdr:row>16</xdr:row>
      <xdr:rowOff>77258</xdr:rowOff>
    </xdr:to>
    <xdr:sp macro="" textlink="">
      <xdr:nvSpPr>
        <xdr:cNvPr id="7" name="TextBox 6">
          <a:extLst>
            <a:ext uri="{FF2B5EF4-FFF2-40B4-BE49-F238E27FC236}">
              <a16:creationId xmlns:a16="http://schemas.microsoft.com/office/drawing/2014/main" id="{649EADF8-0606-4589-8F71-3C7BB41AEC12}"/>
            </a:ext>
          </a:extLst>
        </xdr:cNvPr>
        <xdr:cNvSpPr txBox="1"/>
      </xdr:nvSpPr>
      <xdr:spPr>
        <a:xfrm>
          <a:off x="4856008" y="3341442"/>
          <a:ext cx="1944417" cy="2181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Average Total Assets (INR</a:t>
          </a:r>
          <a:r>
            <a:rPr lang="en-IN" sz="1050" b="1" baseline="0">
              <a:solidFill>
                <a:srgbClr val="028655"/>
              </a:solidFill>
              <a:latin typeface="+mn-lt"/>
            </a:rPr>
            <a:t> Crs.)</a:t>
          </a:r>
          <a:endParaRPr lang="en-IN" sz="1050" b="1">
            <a:solidFill>
              <a:srgbClr val="028655"/>
            </a:solidFill>
            <a:latin typeface="+mn-lt"/>
          </a:endParaRPr>
        </a:p>
      </xdr:txBody>
    </xdr:sp>
    <xdr:clientData/>
  </xdr:twoCellAnchor>
  <xdr:twoCellAnchor>
    <xdr:from>
      <xdr:col>1</xdr:col>
      <xdr:colOff>2211794</xdr:colOff>
      <xdr:row>16</xdr:row>
      <xdr:rowOff>129140</xdr:rowOff>
    </xdr:from>
    <xdr:to>
      <xdr:col>4</xdr:col>
      <xdr:colOff>587688</xdr:colOff>
      <xdr:row>24</xdr:row>
      <xdr:rowOff>163263</xdr:rowOff>
    </xdr:to>
    <xdr:graphicFrame macro="">
      <xdr:nvGraphicFramePr>
        <xdr:cNvPr id="8" name="Chart 7">
          <a:extLst>
            <a:ext uri="{FF2B5EF4-FFF2-40B4-BE49-F238E27FC236}">
              <a16:creationId xmlns:a16="http://schemas.microsoft.com/office/drawing/2014/main" id="{CB51C298-A575-4995-BE7C-6ADC8CCF56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302136</xdr:colOff>
      <xdr:row>16</xdr:row>
      <xdr:rowOff>109157</xdr:rowOff>
    </xdr:from>
    <xdr:to>
      <xdr:col>8</xdr:col>
      <xdr:colOff>515944</xdr:colOff>
      <xdr:row>24</xdr:row>
      <xdr:rowOff>145185</xdr:rowOff>
    </xdr:to>
    <xdr:graphicFrame macro="">
      <xdr:nvGraphicFramePr>
        <xdr:cNvPr id="9" name="Chart 8">
          <a:extLst>
            <a:ext uri="{FF2B5EF4-FFF2-40B4-BE49-F238E27FC236}">
              <a16:creationId xmlns:a16="http://schemas.microsoft.com/office/drawing/2014/main" id="{65A95EC8-94CB-48F9-B089-18CA57A8BE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16933</xdr:colOff>
      <xdr:row>28</xdr:row>
      <xdr:rowOff>51237</xdr:rowOff>
    </xdr:from>
    <xdr:to>
      <xdr:col>1</xdr:col>
      <xdr:colOff>1951965</xdr:colOff>
      <xdr:row>36</xdr:row>
      <xdr:rowOff>83454</xdr:rowOff>
    </xdr:to>
    <xdr:graphicFrame macro="">
      <xdr:nvGraphicFramePr>
        <xdr:cNvPr id="10" name="Chart 9">
          <a:extLst>
            <a:ext uri="{FF2B5EF4-FFF2-40B4-BE49-F238E27FC236}">
              <a16:creationId xmlns:a16="http://schemas.microsoft.com/office/drawing/2014/main" id="{0FED7E23-4B55-4BD3-9265-C5B03513D4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219304</xdr:colOff>
      <xdr:row>26</xdr:row>
      <xdr:rowOff>180847</xdr:rowOff>
    </xdr:from>
    <xdr:to>
      <xdr:col>1</xdr:col>
      <xdr:colOff>1627657</xdr:colOff>
      <xdr:row>27</xdr:row>
      <xdr:rowOff>188135</xdr:rowOff>
    </xdr:to>
    <xdr:sp macro="" textlink="">
      <xdr:nvSpPr>
        <xdr:cNvPr id="11" name="TextBox 10">
          <a:extLst>
            <a:ext uri="{FF2B5EF4-FFF2-40B4-BE49-F238E27FC236}">
              <a16:creationId xmlns:a16="http://schemas.microsoft.com/office/drawing/2014/main" id="{7F978A9B-D271-4587-ADC0-BBD254604CED}"/>
            </a:ext>
          </a:extLst>
        </xdr:cNvPr>
        <xdr:cNvSpPr txBox="1"/>
      </xdr:nvSpPr>
      <xdr:spPr>
        <a:xfrm>
          <a:off x="343129" y="5570092"/>
          <a:ext cx="1408353" cy="195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Return on Equity (%)</a:t>
          </a:r>
        </a:p>
      </xdr:txBody>
    </xdr:sp>
    <xdr:clientData/>
  </xdr:twoCellAnchor>
  <xdr:twoCellAnchor>
    <xdr:from>
      <xdr:col>2</xdr:col>
      <xdr:colOff>249271</xdr:colOff>
      <xdr:row>26</xdr:row>
      <xdr:rowOff>155944</xdr:rowOff>
    </xdr:from>
    <xdr:to>
      <xdr:col>4</xdr:col>
      <xdr:colOff>363158</xdr:colOff>
      <xdr:row>27</xdr:row>
      <xdr:rowOff>180377</xdr:rowOff>
    </xdr:to>
    <xdr:sp macro="" textlink="">
      <xdr:nvSpPr>
        <xdr:cNvPr id="12" name="TextBox 11">
          <a:extLst>
            <a:ext uri="{FF2B5EF4-FFF2-40B4-BE49-F238E27FC236}">
              <a16:creationId xmlns:a16="http://schemas.microsoft.com/office/drawing/2014/main" id="{A4973849-DB6A-4600-8C2E-A485B2CA20B5}"/>
            </a:ext>
          </a:extLst>
        </xdr:cNvPr>
        <xdr:cNvSpPr txBox="1"/>
      </xdr:nvSpPr>
      <xdr:spPr>
        <a:xfrm>
          <a:off x="2760061" y="5543284"/>
          <a:ext cx="1394047" cy="216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Return</a:t>
          </a:r>
          <a:r>
            <a:rPr lang="en-IN" sz="1050" b="1" baseline="0">
              <a:solidFill>
                <a:srgbClr val="028655"/>
              </a:solidFill>
              <a:latin typeface="+mn-lt"/>
            </a:rPr>
            <a:t> on Asset (%)</a:t>
          </a:r>
          <a:endParaRPr lang="en-IN" sz="1050" b="1">
            <a:solidFill>
              <a:srgbClr val="028655"/>
            </a:solidFill>
            <a:latin typeface="+mn-lt"/>
          </a:endParaRPr>
        </a:p>
      </xdr:txBody>
    </xdr:sp>
    <xdr:clientData/>
  </xdr:twoCellAnchor>
  <xdr:twoCellAnchor>
    <xdr:from>
      <xdr:col>1</xdr:col>
      <xdr:colOff>2224219</xdr:colOff>
      <xdr:row>28</xdr:row>
      <xdr:rowOff>60411</xdr:rowOff>
    </xdr:from>
    <xdr:to>
      <xdr:col>4</xdr:col>
      <xdr:colOff>586778</xdr:colOff>
      <xdr:row>36</xdr:row>
      <xdr:rowOff>94533</xdr:rowOff>
    </xdr:to>
    <xdr:graphicFrame macro="">
      <xdr:nvGraphicFramePr>
        <xdr:cNvPr id="13" name="Chart 12">
          <a:extLst>
            <a:ext uri="{FF2B5EF4-FFF2-40B4-BE49-F238E27FC236}">
              <a16:creationId xmlns:a16="http://schemas.microsoft.com/office/drawing/2014/main" id="{40A786E1-C0D1-4A08-B3AE-F593337900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134310</xdr:colOff>
      <xdr:row>26</xdr:row>
      <xdr:rowOff>146136</xdr:rowOff>
    </xdr:from>
    <xdr:to>
      <xdr:col>8</xdr:col>
      <xdr:colOff>315084</xdr:colOff>
      <xdr:row>27</xdr:row>
      <xdr:rowOff>149614</xdr:rowOff>
    </xdr:to>
    <xdr:sp macro="" textlink="">
      <xdr:nvSpPr>
        <xdr:cNvPr id="14" name="TextBox 13">
          <a:extLst>
            <a:ext uri="{FF2B5EF4-FFF2-40B4-BE49-F238E27FC236}">
              <a16:creationId xmlns:a16="http://schemas.microsoft.com/office/drawing/2014/main" id="{89C0D26E-7F61-410F-B6C1-6FF54113C1AD}"/>
            </a:ext>
          </a:extLst>
        </xdr:cNvPr>
        <xdr:cNvSpPr txBox="1"/>
      </xdr:nvSpPr>
      <xdr:spPr>
        <a:xfrm>
          <a:off x="5144460" y="5535381"/>
          <a:ext cx="1394259" cy="192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Financial Leverage</a:t>
          </a:r>
        </a:p>
      </xdr:txBody>
    </xdr:sp>
    <xdr:clientData/>
  </xdr:twoCellAnchor>
  <xdr:twoCellAnchor>
    <xdr:from>
      <xdr:col>5</xdr:col>
      <xdr:colOff>302048</xdr:colOff>
      <xdr:row>28</xdr:row>
      <xdr:rowOff>63513</xdr:rowOff>
    </xdr:from>
    <xdr:to>
      <xdr:col>8</xdr:col>
      <xdr:colOff>511399</xdr:colOff>
      <xdr:row>36</xdr:row>
      <xdr:rowOff>101445</xdr:rowOff>
    </xdr:to>
    <xdr:graphicFrame macro="">
      <xdr:nvGraphicFramePr>
        <xdr:cNvPr id="15" name="Chart 14">
          <a:extLst>
            <a:ext uri="{FF2B5EF4-FFF2-40B4-BE49-F238E27FC236}">
              <a16:creationId xmlns:a16="http://schemas.microsoft.com/office/drawing/2014/main" id="{EDE1A6CC-FA84-449E-B819-26D5B8A2EA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109222</xdr:colOff>
      <xdr:row>37</xdr:row>
      <xdr:rowOff>119026</xdr:rowOff>
    </xdr:from>
    <xdr:to>
      <xdr:col>9</xdr:col>
      <xdr:colOff>102660</xdr:colOff>
      <xdr:row>52</xdr:row>
      <xdr:rowOff>237349</xdr:rowOff>
    </xdr:to>
    <xdr:sp macro="" textlink="">
      <xdr:nvSpPr>
        <xdr:cNvPr id="16" name="TextBox 15">
          <a:extLst>
            <a:ext uri="{FF2B5EF4-FFF2-40B4-BE49-F238E27FC236}">
              <a16:creationId xmlns:a16="http://schemas.microsoft.com/office/drawing/2014/main" id="{CEF979ED-24FE-4C95-9221-1A63D7761434}"/>
            </a:ext>
          </a:extLst>
        </xdr:cNvPr>
        <xdr:cNvSpPr txBox="1"/>
      </xdr:nvSpPr>
      <xdr:spPr>
        <a:xfrm>
          <a:off x="111127" y="7601866"/>
          <a:ext cx="6828578" cy="2973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400" b="1" i="0">
              <a:solidFill>
                <a:srgbClr val="028655"/>
              </a:solidFill>
              <a:effectLst/>
              <a:latin typeface="+mn-lt"/>
              <a:ea typeface="+mn-ea"/>
              <a:cs typeface="+mn-cs"/>
            </a:rPr>
            <a:t>Recent Updates</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Net profit rises 8% YoY to Rs 505 crore; misses street</a:t>
          </a:r>
          <a:r>
            <a:rPr lang="en-IN" sz="1200" b="0" i="0" baseline="0">
              <a:solidFill>
                <a:schemeClr val="dk1"/>
              </a:solidFill>
              <a:effectLst/>
              <a:latin typeface="+mn-lt"/>
              <a:ea typeface="+mn-ea"/>
              <a:cs typeface="+mn-cs"/>
            </a:rPr>
            <a:t> </a:t>
          </a:r>
          <a:r>
            <a:rPr lang="en-IN" sz="1200" b="0" i="0">
              <a:solidFill>
                <a:schemeClr val="dk1"/>
              </a:solidFill>
              <a:effectLst/>
              <a:latin typeface="+mn-lt"/>
              <a:ea typeface="+mn-ea"/>
              <a:cs typeface="+mn-cs"/>
            </a:rPr>
            <a:t>estimates.</a:t>
          </a:r>
        </a:p>
        <a:p>
          <a:pPr marL="171450" indent="-171450">
            <a:buFont typeface="Arial" panose="020B0604020202020204" pitchFamily="34" charset="0"/>
            <a:buChar char="•"/>
          </a:pPr>
          <a:r>
            <a:rPr lang="en-IN" sz="1200" b="0" i="0">
              <a:solidFill>
                <a:schemeClr val="dk1"/>
              </a:solidFill>
              <a:effectLst/>
              <a:latin typeface="+mn-lt"/>
              <a:ea typeface="+mn-ea"/>
              <a:cs typeface="+mn-cs"/>
            </a:rPr>
            <a:t>DMart's margins decreased to 7.6% vs 8.6% on a YoY basis while EBITDA was up 5.5% at Rs 783 crore. </a:t>
          </a:r>
        </a:p>
        <a:p>
          <a:pPr marL="171450" indent="-171450">
            <a:buFont typeface="Arial" panose="020B0604020202020204" pitchFamily="34" charset="0"/>
            <a:buChar char="•"/>
          </a:pPr>
          <a:r>
            <a:rPr lang="en-IN" sz="1200" b="0" i="0">
              <a:solidFill>
                <a:schemeClr val="dk1"/>
              </a:solidFill>
              <a:effectLst/>
              <a:latin typeface="+mn-lt"/>
              <a:ea typeface="+mn-ea"/>
              <a:cs typeface="+mn-cs"/>
            </a:rPr>
            <a:t>The retailer's earnings per share or EPS rose to 7.2% from 7.8% in the corresponding quarter of the previous year.</a:t>
          </a:r>
        </a:p>
        <a:p>
          <a:pPr marL="171450" indent="-171450">
            <a:buFont typeface="Arial" panose="020B0604020202020204" pitchFamily="34" charset="0"/>
            <a:buChar char="•"/>
          </a:pPr>
          <a:r>
            <a:rPr lang="en-IN" sz="1200" b="0" i="0">
              <a:solidFill>
                <a:schemeClr val="dk1"/>
              </a:solidFill>
              <a:effectLst/>
              <a:latin typeface="+mn-lt"/>
              <a:ea typeface="+mn-ea"/>
              <a:cs typeface="+mn-cs"/>
            </a:rPr>
            <a:t>These same stores grew at 11.0% in the second half of FY 2023 vis-a-vis second half of FY 2022. </a:t>
          </a:r>
        </a:p>
        <a:p>
          <a:pPr marL="171450" indent="-171450">
            <a:buFont typeface="Arial" panose="020B0604020202020204" pitchFamily="34" charset="0"/>
            <a:buChar char="•"/>
          </a:pPr>
          <a:r>
            <a:rPr lang="en-IN" sz="1200" b="0" i="0">
              <a:solidFill>
                <a:schemeClr val="dk1"/>
              </a:solidFill>
              <a:effectLst/>
              <a:latin typeface="+mn-lt"/>
              <a:ea typeface="+mn-ea"/>
              <a:cs typeface="+mn-cs"/>
            </a:rPr>
            <a:t>In FY23, over 56% of its revenue came from the foods division, 21% from FMCG and around 23% from general merchandise and apparel.</a:t>
          </a:r>
        </a:p>
        <a:p>
          <a:pPr marL="171450" indent="-171450">
            <a:buFont typeface="Arial" panose="020B0604020202020204" pitchFamily="34" charset="0"/>
            <a:buChar char="•"/>
          </a:pPr>
          <a:r>
            <a:rPr lang="en-IN" sz="1200" b="0" i="0">
              <a:solidFill>
                <a:schemeClr val="dk1"/>
              </a:solidFill>
              <a:effectLst/>
              <a:latin typeface="+mn-lt"/>
              <a:ea typeface="+mn-ea"/>
              <a:cs typeface="+mn-cs"/>
            </a:rPr>
            <a:t> With the discretionary product mix being impacted, gross margins for the quarter came in below our estimate at 14.0%.</a:t>
          </a:r>
        </a:p>
        <a:p>
          <a:pPr marL="171450" indent="-171450">
            <a:buFont typeface="Arial" panose="020B0604020202020204" pitchFamily="34" charset="0"/>
            <a:buChar char="•"/>
          </a:pPr>
          <a:r>
            <a:rPr lang="en-IN" sz="1200" b="0" i="0">
              <a:solidFill>
                <a:schemeClr val="dk1"/>
              </a:solidFill>
              <a:effectLst/>
              <a:latin typeface="+mn-lt"/>
              <a:ea typeface="+mn-ea"/>
              <a:cs typeface="+mn-cs"/>
            </a:rPr>
            <a:t>Opex too grew at a faster clip (~25%) than the revenue growth (21%). Subsequently EBITDA margins declined by 110 bps YoY to 7.3% </a:t>
          </a:r>
        </a:p>
        <a:p>
          <a:pPr marL="171450" indent="-171450">
            <a:buFont typeface="Arial" panose="020B0604020202020204" pitchFamily="34" charset="0"/>
            <a:buChar char="•"/>
          </a:pPr>
          <a:r>
            <a:rPr lang="en-IN" sz="1200" b="0" i="0">
              <a:solidFill>
                <a:schemeClr val="dk1"/>
              </a:solidFill>
              <a:effectLst/>
              <a:latin typeface="+mn-lt"/>
              <a:ea typeface="+mn-ea"/>
              <a:cs typeface="+mn-cs"/>
            </a:rPr>
            <a:t>Higher depreciation expenses (up 12% YoY) further impacted profitability. Ensuing PBT stood at Rs 624.9 crore (I-direct estimate: Rs 659.1 crore, up 3% YoY). Lower tax rate 26% vs 30% in Q4FY22 enabled the company to report a PAT of  Rs 460 crore during the quarter</a:t>
          </a:r>
          <a:r>
            <a:rPr lang="en-IN" sz="1200"/>
            <a:t/>
          </a:r>
          <a:br>
            <a:rPr lang="en-IN" sz="1200"/>
          </a:br>
          <a:r>
            <a:rPr lang="en-IN" sz="1200"/>
            <a:t/>
          </a:r>
          <a:br>
            <a:rPr lang="en-IN" sz="1200"/>
          </a:br>
          <a:r>
            <a:rPr lang="en-IN" sz="1200"/>
            <a:t/>
          </a:r>
          <a:br>
            <a:rPr lang="en-IN" sz="1200"/>
          </a:br>
          <a:endParaRPr lang="en-IN" sz="1200" b="0"/>
        </a:p>
      </xdr:txBody>
    </xdr:sp>
    <xdr:clientData/>
  </xdr:twoCellAnchor>
  <xdr:twoCellAnchor>
    <xdr:from>
      <xdr:col>2</xdr:col>
      <xdr:colOff>17371</xdr:colOff>
      <xdr:row>15</xdr:row>
      <xdr:rowOff>61172</xdr:rowOff>
    </xdr:from>
    <xdr:to>
      <xdr:col>4</xdr:col>
      <xdr:colOff>401744</xdr:colOff>
      <xdr:row>15</xdr:row>
      <xdr:rowOff>64483</xdr:rowOff>
    </xdr:to>
    <xdr:cxnSp macro="">
      <xdr:nvCxnSpPr>
        <xdr:cNvPr id="17" name="Straight Connector 16">
          <a:extLst>
            <a:ext uri="{FF2B5EF4-FFF2-40B4-BE49-F238E27FC236}">
              <a16:creationId xmlns:a16="http://schemas.microsoft.com/office/drawing/2014/main" id="{534DF8EB-C14C-4D67-B797-B906CB9882C7}"/>
            </a:ext>
          </a:extLst>
        </xdr:cNvPr>
        <xdr:cNvCxnSpPr/>
      </xdr:nvCxnSpPr>
      <xdr:spPr>
        <a:xfrm flipV="1">
          <a:off x="2528161" y="3356822"/>
          <a:ext cx="1664533" cy="140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523465</xdr:colOff>
      <xdr:row>15</xdr:row>
      <xdr:rowOff>63077</xdr:rowOff>
    </xdr:from>
    <xdr:to>
      <xdr:col>8</xdr:col>
      <xdr:colOff>359410</xdr:colOff>
      <xdr:row>15</xdr:row>
      <xdr:rowOff>64483</xdr:rowOff>
    </xdr:to>
    <xdr:cxnSp macro="">
      <xdr:nvCxnSpPr>
        <xdr:cNvPr id="18" name="Straight Connector 17">
          <a:extLst>
            <a:ext uri="{FF2B5EF4-FFF2-40B4-BE49-F238E27FC236}">
              <a16:creationId xmlns:a16="http://schemas.microsoft.com/office/drawing/2014/main" id="{6F3D9ED2-A4BF-4997-AAA8-CACD6369E590}"/>
            </a:ext>
          </a:extLst>
        </xdr:cNvPr>
        <xdr:cNvCxnSpPr/>
      </xdr:nvCxnSpPr>
      <xdr:spPr>
        <a:xfrm flipV="1">
          <a:off x="4922110" y="3356822"/>
          <a:ext cx="1666650" cy="140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91666</xdr:colOff>
      <xdr:row>26</xdr:row>
      <xdr:rowOff>181609</xdr:rowOff>
    </xdr:from>
    <xdr:to>
      <xdr:col>1</xdr:col>
      <xdr:colOff>1760221</xdr:colOff>
      <xdr:row>26</xdr:row>
      <xdr:rowOff>183015</xdr:rowOff>
    </xdr:to>
    <xdr:cxnSp macro="">
      <xdr:nvCxnSpPr>
        <xdr:cNvPr id="19" name="Straight Connector 18">
          <a:extLst>
            <a:ext uri="{FF2B5EF4-FFF2-40B4-BE49-F238E27FC236}">
              <a16:creationId xmlns:a16="http://schemas.microsoft.com/office/drawing/2014/main" id="{21550E0A-16D3-463E-9E6E-1D6D1A968D5E}"/>
            </a:ext>
          </a:extLst>
        </xdr:cNvPr>
        <xdr:cNvCxnSpPr/>
      </xdr:nvCxnSpPr>
      <xdr:spPr>
        <a:xfrm flipV="1">
          <a:off x="217396" y="5570854"/>
          <a:ext cx="1662840" cy="140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11657</xdr:colOff>
      <xdr:row>26</xdr:row>
      <xdr:rowOff>190076</xdr:rowOff>
    </xdr:from>
    <xdr:to>
      <xdr:col>4</xdr:col>
      <xdr:colOff>415080</xdr:colOff>
      <xdr:row>26</xdr:row>
      <xdr:rowOff>190076</xdr:rowOff>
    </xdr:to>
    <xdr:cxnSp macro="">
      <xdr:nvCxnSpPr>
        <xdr:cNvPr id="20" name="Straight Connector 19">
          <a:extLst>
            <a:ext uri="{FF2B5EF4-FFF2-40B4-BE49-F238E27FC236}">
              <a16:creationId xmlns:a16="http://schemas.microsoft.com/office/drawing/2014/main" id="{A2ABA0CC-88FB-4E33-9F5C-783F5B3E7757}"/>
            </a:ext>
          </a:extLst>
        </xdr:cNvPr>
        <xdr:cNvCxnSpPr/>
      </xdr:nvCxnSpPr>
      <xdr:spPr>
        <a:xfrm flipV="1">
          <a:off x="2516732" y="5577416"/>
          <a:ext cx="1685488"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499971</xdr:colOff>
      <xdr:row>26</xdr:row>
      <xdr:rowOff>154304</xdr:rowOff>
    </xdr:from>
    <xdr:to>
      <xdr:col>8</xdr:col>
      <xdr:colOff>351156</xdr:colOff>
      <xdr:row>26</xdr:row>
      <xdr:rowOff>154304</xdr:rowOff>
    </xdr:to>
    <xdr:cxnSp macro="">
      <xdr:nvCxnSpPr>
        <xdr:cNvPr id="21" name="Straight Connector 20">
          <a:extLst>
            <a:ext uri="{FF2B5EF4-FFF2-40B4-BE49-F238E27FC236}">
              <a16:creationId xmlns:a16="http://schemas.microsoft.com/office/drawing/2014/main" id="{E329FD13-B598-4F93-B0B0-36341EA72FE4}"/>
            </a:ext>
          </a:extLst>
        </xdr:cNvPr>
        <xdr:cNvCxnSpPr/>
      </xdr:nvCxnSpPr>
      <xdr:spPr>
        <a:xfrm flipV="1">
          <a:off x="4896711" y="5541644"/>
          <a:ext cx="1678080"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61837</xdr:colOff>
      <xdr:row>56</xdr:row>
      <xdr:rowOff>97820</xdr:rowOff>
    </xdr:from>
    <xdr:to>
      <xdr:col>9</xdr:col>
      <xdr:colOff>60990</xdr:colOff>
      <xdr:row>58</xdr:row>
      <xdr:rowOff>33306</xdr:rowOff>
    </xdr:to>
    <xdr:sp macro="" textlink="">
      <xdr:nvSpPr>
        <xdr:cNvPr id="22" name="TextBox 21">
          <a:extLst>
            <a:ext uri="{FF2B5EF4-FFF2-40B4-BE49-F238E27FC236}">
              <a16:creationId xmlns:a16="http://schemas.microsoft.com/office/drawing/2014/main" id="{9885384F-D566-4547-9C02-F6C9C891E985}"/>
            </a:ext>
          </a:extLst>
        </xdr:cNvPr>
        <xdr:cNvSpPr txBox="1"/>
      </xdr:nvSpPr>
      <xdr:spPr>
        <a:xfrm>
          <a:off x="65647" y="11120150"/>
          <a:ext cx="6834293" cy="314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800" b="1" i="0">
              <a:solidFill>
                <a:srgbClr val="028655"/>
              </a:solidFill>
              <a:effectLst/>
              <a:latin typeface="+mn-lt"/>
              <a:ea typeface="+mn-ea"/>
              <a:cs typeface="+mn-cs"/>
            </a:rPr>
            <a:t>Altman's Z Score Analysis Calculation</a:t>
          </a:r>
        </a:p>
      </xdr:txBody>
    </xdr:sp>
    <xdr:clientData/>
  </xdr:twoCellAnchor>
  <xdr:twoCellAnchor>
    <xdr:from>
      <xdr:col>1</xdr:col>
      <xdr:colOff>41319</xdr:colOff>
      <xdr:row>91</xdr:row>
      <xdr:rowOff>64535</xdr:rowOff>
    </xdr:from>
    <xdr:to>
      <xdr:col>9</xdr:col>
      <xdr:colOff>226416</xdr:colOff>
      <xdr:row>96</xdr:row>
      <xdr:rowOff>109399</xdr:rowOff>
    </xdr:to>
    <xdr:sp macro="" textlink="">
      <xdr:nvSpPr>
        <xdr:cNvPr id="24" name="TextBox 23">
          <a:extLst>
            <a:ext uri="{FF2B5EF4-FFF2-40B4-BE49-F238E27FC236}">
              <a16:creationId xmlns:a16="http://schemas.microsoft.com/office/drawing/2014/main" id="{BB6A228C-DA81-4993-BC57-B078CBAA63E3}"/>
            </a:ext>
          </a:extLst>
        </xdr:cNvPr>
        <xdr:cNvSpPr txBox="1"/>
      </xdr:nvSpPr>
      <xdr:spPr>
        <a:xfrm>
          <a:off x="163239" y="21211940"/>
          <a:ext cx="6898317" cy="951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900" b="0" i="1">
              <a:solidFill>
                <a:srgbClr val="028655"/>
              </a:solidFill>
              <a:effectLst/>
              <a:latin typeface="+mn-lt"/>
              <a:ea typeface="+mn-ea"/>
              <a:cs typeface="+mn-cs"/>
            </a:rPr>
            <a:t>Disclaimer : </a:t>
          </a:r>
          <a:r>
            <a:rPr lang="en-IN" sz="900" b="0" i="1">
              <a:solidFill>
                <a:sysClr val="windowText" lastClr="000000"/>
              </a:solidFill>
              <a:effectLst/>
              <a:latin typeface="+mn-lt"/>
              <a:ea typeface="+mn-ea"/>
              <a:cs typeface="+mn-cs"/>
            </a:rPr>
            <a:t>This report is made as part</a:t>
          </a:r>
          <a:r>
            <a:rPr lang="en-IN" sz="900" b="0" i="1" baseline="0">
              <a:solidFill>
                <a:sysClr val="windowText" lastClr="000000"/>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900" b="0" i="1">
            <a:solidFill>
              <a:sysClr val="windowText" lastClr="000000"/>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screener.in/excel/"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7"/>
  <sheetViews>
    <sheetView showGridLines="0" zoomScaleNormal="100" workbookViewId="0">
      <selection activeCell="N21" sqref="N21"/>
    </sheetView>
  </sheetViews>
  <sheetFormatPr defaultRowHeight="15"/>
  <cols>
    <col min="1" max="1" width="1.85546875" customWidth="1"/>
    <col min="2" max="2" width="19.85546875" customWidth="1"/>
    <col min="3" max="3" width="10.28515625" bestFit="1" customWidth="1"/>
    <col min="4" max="4" width="10.140625" bestFit="1" customWidth="1"/>
    <col min="5" max="5" width="11.42578125" bestFit="1" customWidth="1"/>
    <col min="6" max="6" width="10.85546875" customWidth="1"/>
    <col min="7" max="9" width="9.28515625" customWidth="1"/>
    <col min="10" max="10" width="10.28515625" bestFit="1" customWidth="1"/>
    <col min="14" max="14" width="16.5703125" bestFit="1" customWidth="1"/>
    <col min="15" max="15" width="9.85546875" bestFit="1" customWidth="1"/>
    <col min="16" max="16" width="6.5703125" bestFit="1" customWidth="1"/>
  </cols>
  <sheetData>
    <row r="1" spans="2:10">
      <c r="B1" s="1"/>
      <c r="C1" s="1"/>
      <c r="D1" s="1"/>
      <c r="E1" s="1"/>
      <c r="F1" s="1"/>
      <c r="G1" s="1"/>
      <c r="H1" s="1"/>
      <c r="I1" s="1"/>
      <c r="J1" s="1"/>
    </row>
    <row r="2" spans="2:10">
      <c r="B2" s="1"/>
      <c r="C2" s="1"/>
      <c r="D2" s="1"/>
      <c r="E2" s="1"/>
      <c r="F2" s="1"/>
      <c r="G2" s="1"/>
      <c r="H2" s="1"/>
      <c r="I2" s="1"/>
      <c r="J2" s="1"/>
    </row>
    <row r="3" spans="2:10">
      <c r="B3" s="1"/>
      <c r="C3" s="1"/>
      <c r="D3" s="1"/>
      <c r="E3" s="1"/>
      <c r="F3" s="1"/>
      <c r="G3" s="1"/>
      <c r="H3" s="1"/>
      <c r="I3" s="1"/>
      <c r="J3" s="1"/>
    </row>
    <row r="4" spans="2:10">
      <c r="B4" s="1"/>
      <c r="C4" s="1"/>
      <c r="D4" s="1"/>
      <c r="E4" s="1"/>
      <c r="F4" s="1"/>
      <c r="G4" s="1"/>
      <c r="H4" s="1"/>
      <c r="I4" s="1"/>
      <c r="J4" s="1"/>
    </row>
    <row r="6" spans="2:10" ht="18.75">
      <c r="B6" s="5" t="s">
        <v>0</v>
      </c>
      <c r="C6" s="6"/>
      <c r="D6" s="6"/>
      <c r="E6" s="6"/>
      <c r="F6" s="7"/>
      <c r="G6" s="7"/>
      <c r="H6" s="7"/>
      <c r="I6" s="7"/>
      <c r="J6" s="7"/>
    </row>
    <row r="8" spans="2:10">
      <c r="B8" s="35" t="s">
        <v>1</v>
      </c>
    </row>
    <row r="10" spans="2:10">
      <c r="B10" s="2" t="s">
        <v>2</v>
      </c>
    </row>
    <row r="11" spans="2:10" ht="13.5" customHeight="1">
      <c r="B11" s="3"/>
      <c r="C11" s="3"/>
      <c r="D11" s="3"/>
      <c r="E11" s="3"/>
      <c r="F11" s="11"/>
      <c r="G11" s="11" t="s">
        <v>8</v>
      </c>
      <c r="H11" s="11" t="s">
        <v>8</v>
      </c>
      <c r="I11" s="11" t="s">
        <v>10</v>
      </c>
      <c r="J11" s="11" t="s">
        <v>13</v>
      </c>
    </row>
    <row r="12" spans="2:10" ht="18.75" customHeight="1">
      <c r="B12" s="4" t="s">
        <v>3</v>
      </c>
      <c r="C12" s="4" t="s">
        <v>4</v>
      </c>
      <c r="D12" s="12" t="s">
        <v>5</v>
      </c>
      <c r="E12" s="12" t="s">
        <v>6</v>
      </c>
      <c r="F12" s="12" t="s">
        <v>11</v>
      </c>
      <c r="G12" s="12" t="s">
        <v>9</v>
      </c>
      <c r="H12" s="12" t="s">
        <v>16</v>
      </c>
      <c r="I12" s="12" t="s">
        <v>12</v>
      </c>
      <c r="J12" s="12" t="s">
        <v>14</v>
      </c>
    </row>
    <row r="13" spans="2:10">
      <c r="B13" s="8"/>
      <c r="C13" s="8"/>
      <c r="D13" s="8"/>
      <c r="E13" s="8"/>
      <c r="F13" s="8"/>
      <c r="G13" s="8"/>
      <c r="H13" s="8"/>
      <c r="I13" s="8"/>
      <c r="J13" s="8"/>
    </row>
    <row r="14" spans="2:10">
      <c r="B14" s="10" t="s">
        <v>47</v>
      </c>
      <c r="C14" s="10" t="s">
        <v>15</v>
      </c>
      <c r="D14" s="38">
        <f>'Beta - Comps'!F7</f>
        <v>710.83</v>
      </c>
      <c r="E14" s="38">
        <f>'Beta - Comps'!E7</f>
        <v>228379.45</v>
      </c>
      <c r="F14" s="15">
        <v>0.3</v>
      </c>
      <c r="G14" s="23">
        <f>D14/E14</f>
        <v>3.1124954543852346E-3</v>
      </c>
      <c r="H14" s="23">
        <f>D14/(D14+E14)</f>
        <v>3.1028378855707021E-3</v>
      </c>
      <c r="I14" s="13">
        <f>'Beta - Regression'!M11</f>
        <v>1.2421196304007405</v>
      </c>
      <c r="J14" s="24">
        <f>I14/(1+(1-F14)*G14)</f>
        <v>1.2394192496543019</v>
      </c>
    </row>
    <row r="15" spans="2:10">
      <c r="B15" s="10" t="s">
        <v>48</v>
      </c>
      <c r="C15" s="10" t="s">
        <v>15</v>
      </c>
      <c r="D15" s="38">
        <f>'Beta - Comps'!F8</f>
        <v>4525.96</v>
      </c>
      <c r="E15" s="38">
        <f>'Beta - Comps'!E8</f>
        <v>47567.78</v>
      </c>
      <c r="F15" s="15">
        <v>0.3</v>
      </c>
      <c r="G15" s="23">
        <f t="shared" ref="G15:G18" si="0">D15/E15</f>
        <v>9.5147597806750708E-2</v>
      </c>
      <c r="H15" s="23">
        <f t="shared" ref="H15:H18" si="1">D15/(D15+E15)</f>
        <v>8.6881072466672579E-2</v>
      </c>
      <c r="I15" s="13">
        <v>1.4</v>
      </c>
      <c r="J15" s="24">
        <f t="shared" ref="J15:J18" si="2">I15/(1+(1-F15)*G15)</f>
        <v>1.3125779526123802</v>
      </c>
    </row>
    <row r="16" spans="2:10">
      <c r="B16" s="10" t="s">
        <v>49</v>
      </c>
      <c r="C16" s="10" t="s">
        <v>15</v>
      </c>
      <c r="D16" s="38">
        <f>'Beta - Comps'!F9</f>
        <v>248.92</v>
      </c>
      <c r="E16" s="38">
        <f>'Beta - Comps'!E9</f>
        <v>28378.34</v>
      </c>
      <c r="F16" s="15">
        <v>0.3</v>
      </c>
      <c r="G16" s="23">
        <f t="shared" si="0"/>
        <v>8.7714785290471525E-3</v>
      </c>
      <c r="H16" s="23">
        <f t="shared" si="1"/>
        <v>8.6952086926936067E-3</v>
      </c>
      <c r="I16" s="13">
        <v>1.373</v>
      </c>
      <c r="J16" s="24">
        <f t="shared" si="2"/>
        <v>1.3646211782443227</v>
      </c>
    </row>
    <row r="17" spans="2:10">
      <c r="B17" s="10" t="s">
        <v>50</v>
      </c>
      <c r="C17" s="10" t="s">
        <v>15</v>
      </c>
      <c r="D17" s="38">
        <f>'Beta - Comps'!F10</f>
        <v>4617.57</v>
      </c>
      <c r="E17" s="38">
        <f>'Beta - Comps'!E10</f>
        <v>23395.42</v>
      </c>
      <c r="F17" s="15">
        <v>0.3</v>
      </c>
      <c r="G17" s="23">
        <f t="shared" si="0"/>
        <v>0.1973706819539893</v>
      </c>
      <c r="H17" s="23">
        <f t="shared" si="1"/>
        <v>0.16483674181156671</v>
      </c>
      <c r="I17" s="13">
        <v>1.23</v>
      </c>
      <c r="J17" s="24">
        <f t="shared" si="2"/>
        <v>1.080692138894811</v>
      </c>
    </row>
    <row r="18" spans="2:10">
      <c r="B18" s="10" t="s">
        <v>51</v>
      </c>
      <c r="C18" s="10" t="s">
        <v>15</v>
      </c>
      <c r="D18" s="38">
        <f>'Beta - Comps'!F11</f>
        <v>805.48</v>
      </c>
      <c r="E18" s="38">
        <f>'Beta - Comps'!E11</f>
        <v>23076.59</v>
      </c>
      <c r="F18" s="15">
        <v>0.3</v>
      </c>
      <c r="G18" s="23">
        <f t="shared" si="0"/>
        <v>3.4904637123595816E-2</v>
      </c>
      <c r="H18" s="23">
        <f t="shared" si="1"/>
        <v>3.3727394652138615E-2</v>
      </c>
      <c r="I18" s="13">
        <v>1.41</v>
      </c>
      <c r="J18" s="24">
        <f t="shared" si="2"/>
        <v>1.3763707938257965</v>
      </c>
    </row>
    <row r="19" spans="2:10">
      <c r="F19" s="16"/>
    </row>
    <row r="20" spans="2:10">
      <c r="E20" s="17" t="s">
        <v>7</v>
      </c>
      <c r="F20" s="18">
        <f>AVERAGE(F14:F18)</f>
        <v>0.3</v>
      </c>
      <c r="G20" s="18">
        <f t="shared" ref="G20:J20" si="3">AVERAGE(G14:G18)</f>
        <v>6.7861378173553644E-2</v>
      </c>
      <c r="H20" s="18">
        <f t="shared" si="3"/>
        <v>5.9448651101728436E-2</v>
      </c>
      <c r="I20" s="19">
        <f t="shared" si="3"/>
        <v>1.3310239260801482</v>
      </c>
      <c r="J20" s="19">
        <f t="shared" si="3"/>
        <v>1.2747362626463226</v>
      </c>
    </row>
    <row r="21" spans="2:10">
      <c r="E21" s="20" t="s">
        <v>17</v>
      </c>
      <c r="F21" s="21">
        <f>MEDIAN(F14:F18)</f>
        <v>0.3</v>
      </c>
      <c r="G21" s="21">
        <f t="shared" ref="G21:J21" si="4">MEDIAN(G14:G18)</f>
        <v>3.4904637123595816E-2</v>
      </c>
      <c r="H21" s="21">
        <f t="shared" si="4"/>
        <v>3.3727394652138615E-2</v>
      </c>
      <c r="I21" s="22">
        <f t="shared" si="4"/>
        <v>1.373</v>
      </c>
      <c r="J21" s="22">
        <f t="shared" si="4"/>
        <v>1.3125779526123802</v>
      </c>
    </row>
    <row r="22" spans="2:10">
      <c r="G22" s="9"/>
    </row>
    <row r="23" spans="2:10">
      <c r="G23" s="9"/>
    </row>
    <row r="24" spans="2:10">
      <c r="B24" s="20" t="s">
        <v>29</v>
      </c>
      <c r="C24" s="25"/>
      <c r="D24" s="25"/>
      <c r="E24" s="25"/>
      <c r="G24" s="20" t="s">
        <v>23</v>
      </c>
      <c r="H24" s="25"/>
      <c r="I24" s="25"/>
      <c r="J24" s="25"/>
    </row>
    <row r="25" spans="2:10">
      <c r="B25" s="9"/>
      <c r="G25" s="9"/>
    </row>
    <row r="26" spans="2:10">
      <c r="B26" t="s">
        <v>30</v>
      </c>
      <c r="E26" s="51">
        <f>69/710</f>
        <v>9.7183098591549291E-2</v>
      </c>
      <c r="G26" t="s">
        <v>24</v>
      </c>
      <c r="J26" s="58">
        <v>7.3910000000000003E-2</v>
      </c>
    </row>
    <row r="27" spans="2:10">
      <c r="B27" t="s">
        <v>31</v>
      </c>
      <c r="E27" s="16">
        <f>F21</f>
        <v>0.3</v>
      </c>
      <c r="G27" t="s">
        <v>25</v>
      </c>
      <c r="J27" s="55">
        <f>Rm!G11-WACC!J26</f>
        <v>8.0207391304347841E-2</v>
      </c>
    </row>
    <row r="28" spans="2:10" ht="15.75" customHeight="1">
      <c r="B28" s="27" t="s">
        <v>32</v>
      </c>
      <c r="C28" s="27"/>
      <c r="D28" s="27"/>
      <c r="E28" s="31">
        <f>E26*(1-E27)</f>
        <v>6.8028169014084497E-2</v>
      </c>
      <c r="G28" t="s">
        <v>28</v>
      </c>
      <c r="J28" s="59">
        <f>J37</f>
        <v>1.6814624297235128</v>
      </c>
    </row>
    <row r="29" spans="2:10">
      <c r="G29" s="27" t="s">
        <v>23</v>
      </c>
      <c r="H29" s="27"/>
      <c r="I29" s="27"/>
      <c r="J29" s="60">
        <f>J26+(J27*J28)</f>
        <v>0.20877571506439327</v>
      </c>
    </row>
    <row r="32" spans="2:10">
      <c r="B32" s="20" t="s">
        <v>18</v>
      </c>
      <c r="C32" s="25"/>
      <c r="D32" s="25"/>
      <c r="E32" s="25"/>
      <c r="G32" s="20" t="s">
        <v>33</v>
      </c>
      <c r="H32" s="25"/>
      <c r="I32" s="25"/>
      <c r="J32" s="25"/>
    </row>
    <row r="33" spans="1:10">
      <c r="G33" s="2"/>
    </row>
    <row r="34" spans="1:10">
      <c r="D34" s="26" t="s">
        <v>21</v>
      </c>
      <c r="E34" s="26" t="s">
        <v>22</v>
      </c>
      <c r="G34" s="9" t="s">
        <v>34</v>
      </c>
      <c r="J34" s="9">
        <f>J21</f>
        <v>1.3125779526123802</v>
      </c>
    </row>
    <row r="35" spans="1:10">
      <c r="B35" t="s">
        <v>5</v>
      </c>
      <c r="C35" s="38">
        <f>D14</f>
        <v>710.83</v>
      </c>
      <c r="D35" s="14">
        <f>C35/$C$37</f>
        <v>3.1028378855707021E-3</v>
      </c>
      <c r="E35" s="32">
        <f>H20</f>
        <v>5.9448651101728436E-2</v>
      </c>
      <c r="G35" t="s">
        <v>35</v>
      </c>
      <c r="J35" s="33">
        <f>E39</f>
        <v>6.3206172817001943E-2</v>
      </c>
    </row>
    <row r="36" spans="1:10">
      <c r="B36" t="s">
        <v>19</v>
      </c>
      <c r="C36" s="38">
        <f>E14</f>
        <v>228379.45</v>
      </c>
      <c r="D36" s="14">
        <f>C36/$C$37</f>
        <v>0.99689716211442936</v>
      </c>
      <c r="E36" s="16">
        <f>E37-E35</f>
        <v>0.94055134889827152</v>
      </c>
      <c r="G36" t="s">
        <v>31</v>
      </c>
      <c r="J36" s="16">
        <f>E27</f>
        <v>0.3</v>
      </c>
    </row>
    <row r="37" spans="1:10">
      <c r="B37" t="s">
        <v>20</v>
      </c>
      <c r="C37" s="27">
        <f>SUM(C35:C36)</f>
        <v>229090.28</v>
      </c>
      <c r="D37" s="28">
        <f>C37/$C$37</f>
        <v>1</v>
      </c>
      <c r="E37" s="29">
        <f>D37</f>
        <v>1</v>
      </c>
      <c r="G37" s="27" t="s">
        <v>26</v>
      </c>
      <c r="H37" s="27"/>
      <c r="I37" s="27"/>
      <c r="J37" s="34">
        <f>J34*(1+(1-J35)*J36)</f>
        <v>1.6814624297235128</v>
      </c>
    </row>
    <row r="39" spans="1:10">
      <c r="B39" t="s">
        <v>27</v>
      </c>
      <c r="D39" s="30">
        <f>D35/D36</f>
        <v>3.112495454385235E-3</v>
      </c>
      <c r="E39" s="30">
        <f>E35/E36</f>
        <v>6.3206172817001943E-2</v>
      </c>
      <c r="G39" s="20" t="s">
        <v>0</v>
      </c>
      <c r="H39" s="25"/>
      <c r="I39" s="25"/>
      <c r="J39" s="25"/>
    </row>
    <row r="40" spans="1:10">
      <c r="G40" s="9"/>
    </row>
    <row r="41" spans="1:10">
      <c r="B41" s="36" t="s">
        <v>36</v>
      </c>
      <c r="G41" t="s">
        <v>23</v>
      </c>
      <c r="J41" s="61">
        <f>J29</f>
        <v>0.20877571506439327</v>
      </c>
    </row>
    <row r="42" spans="1:10">
      <c r="B42" s="36" t="s">
        <v>37</v>
      </c>
      <c r="G42" t="s">
        <v>98</v>
      </c>
      <c r="J42" s="16">
        <f>E36</f>
        <v>0.94055134889827152</v>
      </c>
    </row>
    <row r="43" spans="1:10">
      <c r="A43" t="s">
        <v>38</v>
      </c>
      <c r="B43" s="36" t="s">
        <v>39</v>
      </c>
      <c r="J43" s="61"/>
    </row>
    <row r="44" spans="1:10">
      <c r="B44" s="36" t="s">
        <v>40</v>
      </c>
      <c r="G44" t="s">
        <v>29</v>
      </c>
      <c r="J44" s="16">
        <f>E28</f>
        <v>6.8028169014084497E-2</v>
      </c>
    </row>
    <row r="45" spans="1:10">
      <c r="G45" t="s">
        <v>99</v>
      </c>
      <c r="J45" s="16">
        <f>E35</f>
        <v>5.9448651101728436E-2</v>
      </c>
    </row>
    <row r="47" spans="1:10">
      <c r="G47" s="62" t="s">
        <v>100</v>
      </c>
      <c r="H47" s="62"/>
      <c r="I47" s="62"/>
      <c r="J47" s="63">
        <f>(J41*J42)+(J44*J45)</f>
        <v>0.20040846330582401</v>
      </c>
    </row>
  </sheetData>
  <pageMargins left="0.7" right="0.7" top="0.75" bottom="0.75" header="0.3" footer="0.3"/>
  <pageSetup scale="88" orientation="portrait" r:id="rId1"/>
  <customProperties>
    <customPr name="Gu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15"/>
  <sheetViews>
    <sheetView showGridLines="0" workbookViewId="0">
      <selection activeCell="O8" sqref="O8"/>
    </sheetView>
  </sheetViews>
  <sheetFormatPr defaultRowHeight="15"/>
  <cols>
    <col min="1" max="1" width="1.85546875" customWidth="1"/>
    <col min="2" max="2" width="11.140625" customWidth="1"/>
    <col min="3" max="3" width="12.28515625" bestFit="1" customWidth="1"/>
    <col min="4" max="4" width="11.28515625" customWidth="1"/>
    <col min="6" max="6" width="13.5703125" bestFit="1" customWidth="1"/>
    <col min="9" max="9" width="18.140625" customWidth="1"/>
    <col min="10" max="10" width="12" bestFit="1" customWidth="1"/>
    <col min="12" max="12" width="14.42578125" customWidth="1"/>
    <col min="13" max="13" width="14.5703125" customWidth="1"/>
    <col min="14" max="14" width="11.85546875" customWidth="1"/>
    <col min="15" max="15" width="10.85546875" customWidth="1"/>
    <col min="16" max="16" width="11.7109375" customWidth="1"/>
    <col min="17" max="17" width="11.28515625" customWidth="1"/>
    <col min="18" max="18" width="12.85546875" customWidth="1"/>
  </cols>
  <sheetData>
    <row r="1" spans="2:13">
      <c r="B1" s="1"/>
      <c r="C1" s="1"/>
      <c r="D1" s="1"/>
      <c r="E1" s="1"/>
      <c r="F1" s="1"/>
      <c r="G1" s="1"/>
      <c r="H1" s="1"/>
      <c r="I1" s="1"/>
      <c r="J1" s="1"/>
      <c r="K1" s="1"/>
    </row>
    <row r="2" spans="2:13">
      <c r="B2" s="1"/>
      <c r="C2" s="1"/>
      <c r="D2" s="1"/>
      <c r="E2" s="1"/>
      <c r="F2" s="1"/>
      <c r="G2" s="1"/>
      <c r="H2" s="1"/>
      <c r="I2" s="1"/>
      <c r="J2" s="1"/>
      <c r="K2" s="1"/>
    </row>
    <row r="3" spans="2:13">
      <c r="B3" s="1"/>
      <c r="C3" s="1"/>
      <c r="D3" s="1"/>
      <c r="E3" s="1"/>
      <c r="F3" s="1"/>
      <c r="G3" s="1"/>
      <c r="H3" s="1"/>
      <c r="I3" s="1"/>
      <c r="J3" s="1"/>
      <c r="K3" s="1"/>
    </row>
    <row r="4" spans="2:13">
      <c r="B4" s="1"/>
      <c r="C4" s="1"/>
      <c r="D4" s="1"/>
      <c r="E4" s="1"/>
      <c r="F4" s="1"/>
      <c r="G4" s="1"/>
      <c r="H4" s="1"/>
      <c r="I4" s="1"/>
      <c r="J4" s="1"/>
      <c r="K4" s="1"/>
    </row>
    <row r="6" spans="2:13">
      <c r="B6" s="2" t="s">
        <v>90</v>
      </c>
    </row>
    <row r="8" spans="2:13">
      <c r="B8" s="181" t="s">
        <v>53</v>
      </c>
      <c r="C8" s="181"/>
      <c r="D8" s="181"/>
      <c r="F8" s="181" t="s">
        <v>55</v>
      </c>
      <c r="G8" s="181"/>
      <c r="I8" s="181" t="s">
        <v>84</v>
      </c>
      <c r="J8" s="181"/>
      <c r="L8" t="s">
        <v>56</v>
      </c>
      <c r="M8" s="9">
        <f>SLOPE(D12:D115,G12:G115)</f>
        <v>1.24211963040074</v>
      </c>
    </row>
    <row r="9" spans="2:13">
      <c r="B9" s="2"/>
      <c r="L9" t="s">
        <v>57</v>
      </c>
      <c r="M9" s="9">
        <f>_xlfn.COVARIANCE.S(D11:D115,G11:G115)/_xlfn.VAR.S(G11:G115)</f>
        <v>1.2421196304007396</v>
      </c>
    </row>
    <row r="10" spans="2:13">
      <c r="B10" s="44" t="s">
        <v>41</v>
      </c>
      <c r="C10" s="45" t="s">
        <v>52</v>
      </c>
      <c r="D10" s="45" t="s">
        <v>54</v>
      </c>
      <c r="F10" s="45" t="s">
        <v>52</v>
      </c>
      <c r="G10" s="45" t="s">
        <v>54</v>
      </c>
      <c r="I10" s="39" t="s">
        <v>85</v>
      </c>
      <c r="J10" s="9">
        <f>M11</f>
        <v>1.2421196304007405</v>
      </c>
    </row>
    <row r="11" spans="2:13">
      <c r="B11" s="40">
        <v>44249</v>
      </c>
      <c r="C11" s="41">
        <v>2994.1999510000001</v>
      </c>
      <c r="F11" s="37">
        <v>14529.150390999999</v>
      </c>
      <c r="I11" t="s">
        <v>86</v>
      </c>
      <c r="J11" s="14">
        <v>0.75</v>
      </c>
      <c r="L11" t="s">
        <v>58</v>
      </c>
      <c r="M11" s="9">
        <f>M30</f>
        <v>1.2421196304007405</v>
      </c>
    </row>
    <row r="12" spans="2:13">
      <c r="B12" s="40">
        <v>44256</v>
      </c>
      <c r="C12" s="41">
        <v>3286.1000979999999</v>
      </c>
      <c r="D12" s="14">
        <f>C12/C11-1</f>
        <v>9.7488528413912867E-2</v>
      </c>
      <c r="F12" s="37">
        <v>14938.099609000001</v>
      </c>
      <c r="G12" s="14">
        <f>F12/F11-1</f>
        <v>2.8146808794361711E-2</v>
      </c>
      <c r="J12" s="9"/>
    </row>
    <row r="13" spans="2:13">
      <c r="B13" s="40">
        <v>44263</v>
      </c>
      <c r="C13" s="41">
        <v>3129.3500979999999</v>
      </c>
      <c r="D13" s="14">
        <f t="shared" ref="D13:D76" si="0">C13/C12-1</f>
        <v>-4.7700920643105715E-2</v>
      </c>
      <c r="F13" s="37">
        <v>15030.950194999999</v>
      </c>
      <c r="G13" s="14">
        <f t="shared" ref="G13:G76" si="1">F13/F12-1</f>
        <v>6.2156893065605789E-3</v>
      </c>
      <c r="I13" t="s">
        <v>88</v>
      </c>
      <c r="J13" s="9">
        <v>1</v>
      </c>
      <c r="L13" t="s">
        <v>59</v>
      </c>
    </row>
    <row r="14" spans="2:13" ht="15.75" thickBot="1">
      <c r="B14" s="40">
        <v>44270</v>
      </c>
      <c r="C14" s="41">
        <v>2960.3000489999999</v>
      </c>
      <c r="D14" s="14">
        <f t="shared" si="0"/>
        <v>-5.402081700863115E-2</v>
      </c>
      <c r="F14" s="37">
        <v>14744</v>
      </c>
      <c r="G14" s="14">
        <f t="shared" si="1"/>
        <v>-1.9090622434199345E-2</v>
      </c>
      <c r="I14" t="s">
        <v>87</v>
      </c>
      <c r="J14" s="14">
        <v>0.25</v>
      </c>
    </row>
    <row r="15" spans="2:13">
      <c r="B15" s="40">
        <v>44277</v>
      </c>
      <c r="C15" s="41">
        <v>2855.1999510000001</v>
      </c>
      <c r="D15" s="14">
        <f t="shared" si="0"/>
        <v>-3.5503190980759936E-2</v>
      </c>
      <c r="F15" s="37">
        <v>14507.299805000001</v>
      </c>
      <c r="G15" s="14">
        <f t="shared" si="1"/>
        <v>-1.6054001288659747E-2</v>
      </c>
      <c r="L15" s="48" t="s">
        <v>60</v>
      </c>
      <c r="M15" s="48"/>
    </row>
    <row r="16" spans="2:13">
      <c r="B16" s="40">
        <v>44284</v>
      </c>
      <c r="C16" s="41">
        <v>2912.6999510000001</v>
      </c>
      <c r="D16" s="14">
        <f t="shared" si="0"/>
        <v>2.0138694657745981E-2</v>
      </c>
      <c r="F16" s="37">
        <v>14867.349609000001</v>
      </c>
      <c r="G16" s="14">
        <f t="shared" si="1"/>
        <v>2.4818526454930545E-2</v>
      </c>
      <c r="I16" s="49" t="s">
        <v>89</v>
      </c>
      <c r="J16" s="50">
        <f>(J10*J11)+(J13*J14)</f>
        <v>1.1815897228005554</v>
      </c>
      <c r="L16" t="s">
        <v>61</v>
      </c>
      <c r="M16">
        <v>0.51108084476327509</v>
      </c>
    </row>
    <row r="17" spans="2:20">
      <c r="B17" s="40">
        <v>44291</v>
      </c>
      <c r="C17" s="41">
        <v>2947.75</v>
      </c>
      <c r="D17" s="14">
        <f t="shared" si="0"/>
        <v>1.2033525453923444E-2</v>
      </c>
      <c r="F17" s="37">
        <v>14834.849609000001</v>
      </c>
      <c r="G17" s="14">
        <f t="shared" si="1"/>
        <v>-2.1859982347038898E-3</v>
      </c>
      <c r="L17" t="s">
        <v>62</v>
      </c>
      <c r="M17">
        <v>0.26120362988394291</v>
      </c>
    </row>
    <row r="18" spans="2:20">
      <c r="B18" s="40">
        <v>44298</v>
      </c>
      <c r="C18" s="41">
        <v>2919.8999020000001</v>
      </c>
      <c r="D18" s="14">
        <f t="shared" si="0"/>
        <v>-9.4479172250020449E-3</v>
      </c>
      <c r="F18" s="37">
        <v>14617.849609000001</v>
      </c>
      <c r="G18" s="14">
        <f t="shared" si="1"/>
        <v>-1.4627718225626696E-2</v>
      </c>
      <c r="L18" t="s">
        <v>63</v>
      </c>
      <c r="M18">
        <v>0.2539605282161384</v>
      </c>
    </row>
    <row r="19" spans="2:20">
      <c r="B19" s="40">
        <v>44305</v>
      </c>
      <c r="C19" s="41">
        <v>2713.6999510000001</v>
      </c>
      <c r="D19" s="14">
        <f t="shared" si="0"/>
        <v>-7.0618842398933679E-2</v>
      </c>
      <c r="F19" s="37">
        <v>14341.349609000001</v>
      </c>
      <c r="G19" s="14">
        <f t="shared" si="1"/>
        <v>-1.8915230857879606E-2</v>
      </c>
      <c r="L19" t="s">
        <v>64</v>
      </c>
      <c r="M19">
        <v>4.2285168880719627E-2</v>
      </c>
    </row>
    <row r="20" spans="2:20" ht="15.75" thickBot="1">
      <c r="B20" s="40">
        <v>44312</v>
      </c>
      <c r="C20" s="41">
        <v>2852.8999020000001</v>
      </c>
      <c r="D20" s="14">
        <f t="shared" si="0"/>
        <v>5.1295262377369699E-2</v>
      </c>
      <c r="F20" s="37">
        <v>14631.099609000001</v>
      </c>
      <c r="G20" s="14">
        <f t="shared" si="1"/>
        <v>2.0203816788495699E-2</v>
      </c>
      <c r="L20" s="46" t="s">
        <v>65</v>
      </c>
      <c r="M20" s="46">
        <v>104</v>
      </c>
    </row>
    <row r="21" spans="2:20">
      <c r="B21" s="40">
        <v>44319</v>
      </c>
      <c r="C21" s="41">
        <v>2895.5</v>
      </c>
      <c r="D21" s="14">
        <f t="shared" si="0"/>
        <v>1.4932209142751729E-2</v>
      </c>
      <c r="F21" s="37">
        <v>14823.150390999999</v>
      </c>
      <c r="G21" s="14">
        <f t="shared" si="1"/>
        <v>1.3126202891945438E-2</v>
      </c>
    </row>
    <row r="22" spans="2:20" ht="15.75" thickBot="1">
      <c r="B22" s="40">
        <v>44326</v>
      </c>
      <c r="C22" s="41">
        <v>2844.6499020000001</v>
      </c>
      <c r="D22" s="14">
        <f t="shared" si="0"/>
        <v>-1.7561767570367759E-2</v>
      </c>
      <c r="F22" s="37">
        <v>14677.799805000001</v>
      </c>
      <c r="G22" s="14">
        <f t="shared" si="1"/>
        <v>-9.8056473938393784E-3</v>
      </c>
      <c r="L22" t="s">
        <v>66</v>
      </c>
    </row>
    <row r="23" spans="2:20">
      <c r="B23" s="40">
        <v>44333</v>
      </c>
      <c r="C23" s="41">
        <v>3034.1499020000001</v>
      </c>
      <c r="D23" s="14">
        <f t="shared" si="0"/>
        <v>6.6616281977886826E-2</v>
      </c>
      <c r="F23" s="37">
        <v>15175.299805000001</v>
      </c>
      <c r="G23" s="14">
        <f t="shared" si="1"/>
        <v>3.3894725817865901E-2</v>
      </c>
      <c r="L23" s="47"/>
      <c r="M23" s="47" t="s">
        <v>71</v>
      </c>
      <c r="N23" s="47" t="s">
        <v>72</v>
      </c>
      <c r="O23" s="47" t="s">
        <v>73</v>
      </c>
      <c r="P23" s="47" t="s">
        <v>74</v>
      </c>
      <c r="Q23" s="47" t="s">
        <v>75</v>
      </c>
    </row>
    <row r="24" spans="2:20">
      <c r="B24" s="40">
        <v>44340</v>
      </c>
      <c r="C24" s="41">
        <v>3022.1000979999999</v>
      </c>
      <c r="D24" s="14">
        <f t="shared" si="0"/>
        <v>-3.971393764051534E-3</v>
      </c>
      <c r="F24" s="37">
        <v>15435.650390999999</v>
      </c>
      <c r="G24" s="14">
        <f t="shared" si="1"/>
        <v>1.7156207082921426E-2</v>
      </c>
      <c r="L24" t="s">
        <v>67</v>
      </c>
      <c r="M24">
        <v>1</v>
      </c>
      <c r="N24">
        <v>6.4480851751198193E-2</v>
      </c>
      <c r="O24">
        <v>6.4480851751198193E-2</v>
      </c>
      <c r="P24">
        <v>36.062400041268319</v>
      </c>
      <c r="Q24">
        <v>2.9630301858897445E-8</v>
      </c>
    </row>
    <row r="25" spans="2:20">
      <c r="B25" s="40">
        <v>44347</v>
      </c>
      <c r="C25" s="41">
        <v>3197</v>
      </c>
      <c r="D25" s="14">
        <f t="shared" si="0"/>
        <v>5.7873629703975471E-2</v>
      </c>
      <c r="F25" s="37">
        <v>15670.25</v>
      </c>
      <c r="G25" s="14">
        <f t="shared" si="1"/>
        <v>1.5198556786229611E-2</v>
      </c>
      <c r="L25" t="s">
        <v>68</v>
      </c>
      <c r="M25">
        <v>102</v>
      </c>
      <c r="N25">
        <v>0.18237962174163994</v>
      </c>
      <c r="O25">
        <v>1.7880355072709797E-3</v>
      </c>
    </row>
    <row r="26" spans="2:20" ht="15.75" thickBot="1">
      <c r="B26" s="40">
        <v>44354</v>
      </c>
      <c r="C26" s="41">
        <v>3175.5500489999999</v>
      </c>
      <c r="D26" s="14">
        <f t="shared" si="0"/>
        <v>-6.7093997497654767E-3</v>
      </c>
      <c r="F26" s="37">
        <v>15799.349609000001</v>
      </c>
      <c r="G26" s="14">
        <f t="shared" si="1"/>
        <v>8.2385162329892125E-3</v>
      </c>
      <c r="L26" s="46" t="s">
        <v>69</v>
      </c>
      <c r="M26" s="46">
        <v>103</v>
      </c>
      <c r="N26" s="46">
        <v>0.24686047349283813</v>
      </c>
      <c r="O26" s="46"/>
      <c r="P26" s="46"/>
      <c r="Q26" s="46"/>
    </row>
    <row r="27" spans="2:20" ht="15.75" thickBot="1">
      <c r="B27" s="40">
        <v>44361</v>
      </c>
      <c r="C27" s="41">
        <v>3317.6999510000001</v>
      </c>
      <c r="D27" s="14">
        <f t="shared" si="0"/>
        <v>4.476386761555351E-2</v>
      </c>
      <c r="F27" s="37">
        <v>15683.349609000001</v>
      </c>
      <c r="G27" s="14">
        <f t="shared" si="1"/>
        <v>-7.3420743809555766E-3</v>
      </c>
    </row>
    <row r="28" spans="2:20">
      <c r="B28" s="40">
        <v>44368</v>
      </c>
      <c r="C28" s="41">
        <v>3315.3500979999999</v>
      </c>
      <c r="D28" s="14">
        <f t="shared" si="0"/>
        <v>-7.082777329794343E-4</v>
      </c>
      <c r="F28" s="37">
        <v>15860.349609000001</v>
      </c>
      <c r="G28" s="14">
        <f t="shared" si="1"/>
        <v>1.1285854387791394E-2</v>
      </c>
      <c r="L28" s="47"/>
      <c r="M28" s="47" t="s">
        <v>76</v>
      </c>
      <c r="N28" s="47" t="s">
        <v>64</v>
      </c>
      <c r="O28" s="47" t="s">
        <v>77</v>
      </c>
      <c r="P28" s="47" t="s">
        <v>78</v>
      </c>
      <c r="Q28" s="47" t="s">
        <v>79</v>
      </c>
      <c r="R28" s="47" t="s">
        <v>80</v>
      </c>
      <c r="S28" s="47" t="s">
        <v>81</v>
      </c>
      <c r="T28" s="47" t="s">
        <v>82</v>
      </c>
    </row>
    <row r="29" spans="2:20">
      <c r="B29" s="40">
        <v>44375</v>
      </c>
      <c r="C29" s="41">
        <v>3314.3000489999999</v>
      </c>
      <c r="D29" s="14">
        <f t="shared" si="0"/>
        <v>-3.1672341350419408E-4</v>
      </c>
      <c r="F29" s="37">
        <v>15722.200194999999</v>
      </c>
      <c r="G29" s="14">
        <f t="shared" si="1"/>
        <v>-8.7103637313018512E-3</v>
      </c>
      <c r="L29" t="s">
        <v>70</v>
      </c>
      <c r="M29">
        <v>1.0669115618811139E-4</v>
      </c>
      <c r="N29">
        <v>4.1708464646725736E-3</v>
      </c>
      <c r="O29">
        <v>2.5580216651894194E-2</v>
      </c>
      <c r="P29">
        <v>0.97964214464629351</v>
      </c>
      <c r="Q29">
        <v>-8.166163030683694E-3</v>
      </c>
      <c r="R29">
        <v>8.3795453430599177E-3</v>
      </c>
      <c r="S29">
        <v>-8.166163030683694E-3</v>
      </c>
      <c r="T29">
        <v>8.3795453430599177E-3</v>
      </c>
    </row>
    <row r="30" spans="2:20" ht="15.75" thickBot="1">
      <c r="B30" s="40">
        <v>44382</v>
      </c>
      <c r="C30" s="41">
        <v>3377.6000979999999</v>
      </c>
      <c r="D30" s="14">
        <f t="shared" si="0"/>
        <v>1.9099070109569238E-2</v>
      </c>
      <c r="F30" s="37">
        <v>15689.799805000001</v>
      </c>
      <c r="G30" s="14">
        <f t="shared" si="1"/>
        <v>-2.0608050780515086E-3</v>
      </c>
      <c r="L30" s="46" t="s">
        <v>83</v>
      </c>
      <c r="M30" s="46">
        <v>1.2421196304007405</v>
      </c>
      <c r="N30" s="46">
        <v>0.20684075390789466</v>
      </c>
      <c r="O30" s="46">
        <v>6.0051977520535011</v>
      </c>
      <c r="P30" s="46">
        <v>2.9630301858896244E-8</v>
      </c>
      <c r="Q30" s="46">
        <v>0.83185197574685965</v>
      </c>
      <c r="R30" s="46">
        <v>1.6523872850546213</v>
      </c>
      <c r="S30" s="46">
        <v>0.83185197574685965</v>
      </c>
      <c r="T30" s="46">
        <v>1.6523872850546213</v>
      </c>
    </row>
    <row r="31" spans="2:20">
      <c r="B31" s="40">
        <v>44389</v>
      </c>
      <c r="C31" s="41">
        <v>3349.1999510000001</v>
      </c>
      <c r="D31" s="14">
        <f t="shared" si="0"/>
        <v>-8.4083805589704186E-3</v>
      </c>
      <c r="F31" s="37">
        <v>15923.400390999999</v>
      </c>
      <c r="G31" s="14">
        <f t="shared" si="1"/>
        <v>1.488869130921322E-2</v>
      </c>
    </row>
    <row r="32" spans="2:20">
      <c r="B32" s="40">
        <v>44396</v>
      </c>
      <c r="C32" s="41">
        <v>3413.1999510000001</v>
      </c>
      <c r="D32" s="14">
        <f t="shared" si="0"/>
        <v>1.9109041244578684E-2</v>
      </c>
      <c r="F32" s="37">
        <v>15856.049805000001</v>
      </c>
      <c r="G32" s="14">
        <f t="shared" si="1"/>
        <v>-4.2296610237889665E-3</v>
      </c>
    </row>
    <row r="33" spans="2:7">
      <c r="B33" s="40">
        <v>44403</v>
      </c>
      <c r="C33" s="41">
        <v>3500.8000489999999</v>
      </c>
      <c r="D33" s="14">
        <f t="shared" si="0"/>
        <v>2.5665094122111043E-2</v>
      </c>
      <c r="F33" s="37">
        <v>15763.049805000001</v>
      </c>
      <c r="G33" s="14">
        <f t="shared" si="1"/>
        <v>-5.8652691650018518E-3</v>
      </c>
    </row>
    <row r="34" spans="2:7">
      <c r="B34" s="40">
        <v>44410</v>
      </c>
      <c r="C34" s="41">
        <v>3529.1999510000001</v>
      </c>
      <c r="D34" s="14">
        <f t="shared" si="0"/>
        <v>8.1124033370922888E-3</v>
      </c>
      <c r="F34" s="37">
        <v>16238.200194999999</v>
      </c>
      <c r="G34" s="14">
        <f t="shared" si="1"/>
        <v>3.0143303223547635E-2</v>
      </c>
    </row>
    <row r="35" spans="2:7">
      <c r="B35" s="40">
        <v>44417</v>
      </c>
      <c r="C35" s="41">
        <v>3594.5500489999999</v>
      </c>
      <c r="D35" s="14">
        <f t="shared" si="0"/>
        <v>1.8516972375419716E-2</v>
      </c>
      <c r="F35" s="37">
        <v>16529.099609000001</v>
      </c>
      <c r="G35" s="14">
        <f t="shared" si="1"/>
        <v>1.79145108760006E-2</v>
      </c>
    </row>
    <row r="36" spans="2:7">
      <c r="B36" s="40">
        <v>44424</v>
      </c>
      <c r="C36" s="41">
        <v>3643.1000979999999</v>
      </c>
      <c r="D36" s="14">
        <f t="shared" si="0"/>
        <v>1.3506571987641713E-2</v>
      </c>
      <c r="F36" s="37">
        <v>16450.5</v>
      </c>
      <c r="G36" s="14">
        <f t="shared" si="1"/>
        <v>-4.7552262893499897E-3</v>
      </c>
    </row>
    <row r="37" spans="2:7">
      <c r="B37" s="40">
        <v>44431</v>
      </c>
      <c r="C37" s="41">
        <v>3833.0500489999999</v>
      </c>
      <c r="D37" s="14">
        <f t="shared" si="0"/>
        <v>5.2139646424834485E-2</v>
      </c>
      <c r="F37" s="37">
        <v>16705.199218999998</v>
      </c>
      <c r="G37" s="14">
        <f t="shared" si="1"/>
        <v>1.5482764596820742E-2</v>
      </c>
    </row>
    <row r="38" spans="2:7">
      <c r="B38" s="40">
        <v>44438</v>
      </c>
      <c r="C38" s="41">
        <v>3938.8999020000001</v>
      </c>
      <c r="D38" s="14">
        <f t="shared" si="0"/>
        <v>2.7615045889529899E-2</v>
      </c>
      <c r="F38" s="37">
        <v>17323.599609000001</v>
      </c>
      <c r="G38" s="14">
        <f t="shared" si="1"/>
        <v>3.7018438504860862E-2</v>
      </c>
    </row>
    <row r="39" spans="2:7">
      <c r="B39" s="40">
        <v>44445</v>
      </c>
      <c r="C39" s="41">
        <v>3950.5</v>
      </c>
      <c r="D39" s="14">
        <f t="shared" si="0"/>
        <v>2.9450095936964793E-3</v>
      </c>
      <c r="F39" s="37">
        <v>17369.25</v>
      </c>
      <c r="G39" s="14">
        <f t="shared" si="1"/>
        <v>2.6351562048503308E-3</v>
      </c>
    </row>
    <row r="40" spans="2:7">
      <c r="B40" s="40">
        <v>44452</v>
      </c>
      <c r="C40" s="41">
        <v>4239.6499020000001</v>
      </c>
      <c r="D40" s="14">
        <f t="shared" si="0"/>
        <v>7.3193241868118042E-2</v>
      </c>
      <c r="F40" s="37">
        <v>17585.150390999999</v>
      </c>
      <c r="G40" s="14">
        <f t="shared" si="1"/>
        <v>1.2430035321041366E-2</v>
      </c>
    </row>
    <row r="41" spans="2:7">
      <c r="B41" s="40">
        <v>44459</v>
      </c>
      <c r="C41" s="41">
        <v>4422.3500979999999</v>
      </c>
      <c r="D41" s="14">
        <f t="shared" si="0"/>
        <v>4.3093227087881214E-2</v>
      </c>
      <c r="F41" s="37">
        <v>17853.199218999998</v>
      </c>
      <c r="G41" s="14">
        <f t="shared" si="1"/>
        <v>1.5242907910368864E-2</v>
      </c>
    </row>
    <row r="42" spans="2:7">
      <c r="B42" s="40">
        <v>44466</v>
      </c>
      <c r="C42" s="41">
        <v>4235.6000979999999</v>
      </c>
      <c r="D42" s="14">
        <f t="shared" si="0"/>
        <v>-4.2228678386285412E-2</v>
      </c>
      <c r="F42" s="37">
        <v>17532.050781000002</v>
      </c>
      <c r="G42" s="14">
        <f t="shared" si="1"/>
        <v>-1.7988285128091697E-2</v>
      </c>
    </row>
    <row r="43" spans="2:7">
      <c r="B43" s="40">
        <v>44473</v>
      </c>
      <c r="C43" s="41">
        <v>4407.9501950000003</v>
      </c>
      <c r="D43" s="14">
        <f t="shared" si="0"/>
        <v>4.0690833178840924E-2</v>
      </c>
      <c r="F43" s="37">
        <v>17895.199218999998</v>
      </c>
      <c r="G43" s="14">
        <f t="shared" si="1"/>
        <v>2.0713403271313213E-2</v>
      </c>
    </row>
    <row r="44" spans="2:7">
      <c r="B44" s="40">
        <v>44480</v>
      </c>
      <c r="C44" s="41">
        <v>5323.75</v>
      </c>
      <c r="D44" s="14">
        <f t="shared" si="0"/>
        <v>0.2077609238958289</v>
      </c>
      <c r="F44" s="37">
        <v>18338.550781000002</v>
      </c>
      <c r="G44" s="14">
        <f t="shared" si="1"/>
        <v>2.4774888313580767E-2</v>
      </c>
    </row>
    <row r="45" spans="2:7">
      <c r="B45" s="40">
        <v>44487</v>
      </c>
      <c r="C45" s="41">
        <v>4521.4501950000003</v>
      </c>
      <c r="D45" s="14">
        <f t="shared" si="0"/>
        <v>-0.1507020061047194</v>
      </c>
      <c r="F45" s="37">
        <v>18114.900390999999</v>
      </c>
      <c r="G45" s="14">
        <f t="shared" si="1"/>
        <v>-1.2195641447944716E-2</v>
      </c>
    </row>
    <row r="46" spans="2:7">
      <c r="B46" s="40">
        <v>44494</v>
      </c>
      <c r="C46" s="41">
        <v>4635.4501950000003</v>
      </c>
      <c r="D46" s="14">
        <f t="shared" si="0"/>
        <v>2.5213149561188475E-2</v>
      </c>
      <c r="F46" s="37">
        <v>17671.650390999999</v>
      </c>
      <c r="G46" s="14">
        <f t="shared" si="1"/>
        <v>-2.4468806917658736E-2</v>
      </c>
    </row>
    <row r="47" spans="2:7">
      <c r="B47" s="40">
        <v>44501</v>
      </c>
      <c r="C47" s="41">
        <v>4783.7001950000003</v>
      </c>
      <c r="D47" s="14">
        <f t="shared" si="0"/>
        <v>3.1981791145099248E-2</v>
      </c>
      <c r="F47" s="37">
        <v>17916.800781000002</v>
      </c>
      <c r="G47" s="14">
        <f t="shared" si="1"/>
        <v>1.3872523764099309E-2</v>
      </c>
    </row>
    <row r="48" spans="2:7">
      <c r="B48" s="40">
        <v>44508</v>
      </c>
      <c r="C48" s="41">
        <v>5078.5498049999997</v>
      </c>
      <c r="D48" s="14">
        <f t="shared" si="0"/>
        <v>6.1636306202504265E-2</v>
      </c>
      <c r="F48" s="37">
        <v>18102.75</v>
      </c>
      <c r="G48" s="14">
        <f t="shared" si="1"/>
        <v>1.0378483372834646E-2</v>
      </c>
    </row>
    <row r="49" spans="2:7">
      <c r="B49" s="40">
        <v>44515</v>
      </c>
      <c r="C49" s="41">
        <v>5080.8999020000001</v>
      </c>
      <c r="D49" s="14">
        <f t="shared" si="0"/>
        <v>4.6274962149372989E-4</v>
      </c>
      <c r="F49" s="37">
        <v>17764.800781000002</v>
      </c>
      <c r="G49" s="14">
        <f t="shared" si="1"/>
        <v>-1.8668391211279944E-2</v>
      </c>
    </row>
    <row r="50" spans="2:7">
      <c r="B50" s="40">
        <v>44522</v>
      </c>
      <c r="C50" s="41">
        <v>4718.75</v>
      </c>
      <c r="D50" s="14">
        <f t="shared" si="0"/>
        <v>-7.1276724396291846E-2</v>
      </c>
      <c r="F50" s="37">
        <v>17026.449218999998</v>
      </c>
      <c r="G50" s="14">
        <f t="shared" si="1"/>
        <v>-4.1562614245001406E-2</v>
      </c>
    </row>
    <row r="51" spans="2:7">
      <c r="B51" s="40">
        <v>44529</v>
      </c>
      <c r="C51" s="41">
        <v>4799.0498049999997</v>
      </c>
      <c r="D51" s="14">
        <f t="shared" si="0"/>
        <v>1.7017177218543011E-2</v>
      </c>
      <c r="F51" s="37">
        <v>17196.699218999998</v>
      </c>
      <c r="G51" s="14">
        <f t="shared" si="1"/>
        <v>9.9991488424970854E-3</v>
      </c>
    </row>
    <row r="52" spans="2:7">
      <c r="B52" s="40">
        <v>44536</v>
      </c>
      <c r="C52" s="41">
        <v>4796.6000979999999</v>
      </c>
      <c r="D52" s="14">
        <f t="shared" si="0"/>
        <v>-5.1045667362059621E-4</v>
      </c>
      <c r="F52" s="37">
        <v>17511.300781000002</v>
      </c>
      <c r="G52" s="14">
        <f t="shared" si="1"/>
        <v>1.8294299271828462E-2</v>
      </c>
    </row>
    <row r="53" spans="2:7">
      <c r="B53" s="40">
        <v>44543</v>
      </c>
      <c r="C53" s="41">
        <v>4697.7998049999997</v>
      </c>
      <c r="D53" s="14">
        <f t="shared" si="0"/>
        <v>-2.059798419326142E-2</v>
      </c>
      <c r="F53" s="37">
        <v>16985.199218999998</v>
      </c>
      <c r="G53" s="14">
        <f t="shared" si="1"/>
        <v>-3.0043545512668635E-2</v>
      </c>
    </row>
    <row r="54" spans="2:7">
      <c r="B54" s="40">
        <v>44550</v>
      </c>
      <c r="C54" s="41">
        <v>4628.8999020000001</v>
      </c>
      <c r="D54" s="14">
        <f t="shared" si="0"/>
        <v>-1.4666419570852574E-2</v>
      </c>
      <c r="F54" s="37">
        <v>17003.75</v>
      </c>
      <c r="G54" s="14">
        <f t="shared" si="1"/>
        <v>1.0921732951623131E-3</v>
      </c>
    </row>
    <row r="55" spans="2:7">
      <c r="B55" s="40">
        <v>44557</v>
      </c>
      <c r="C55" s="41">
        <v>4671.4501950000003</v>
      </c>
      <c r="D55" s="14">
        <f t="shared" si="0"/>
        <v>9.1923121909842642E-3</v>
      </c>
      <c r="F55" s="37">
        <v>17354.050781000002</v>
      </c>
      <c r="G55" s="14">
        <f t="shared" si="1"/>
        <v>2.0601383871204915E-2</v>
      </c>
    </row>
    <row r="56" spans="2:7">
      <c r="B56" s="40">
        <v>44564</v>
      </c>
      <c r="C56" s="41">
        <v>4731.3500979999999</v>
      </c>
      <c r="D56" s="14">
        <f t="shared" si="0"/>
        <v>1.2822549850603604E-2</v>
      </c>
      <c r="F56" s="37">
        <v>17812.699218999998</v>
      </c>
      <c r="G56" s="14">
        <f t="shared" si="1"/>
        <v>2.6428898001275014E-2</v>
      </c>
    </row>
    <row r="57" spans="2:7">
      <c r="B57" s="40">
        <v>44571</v>
      </c>
      <c r="C57" s="41">
        <v>4322.7001950000003</v>
      </c>
      <c r="D57" s="14">
        <f t="shared" si="0"/>
        <v>-8.6370675290492804E-2</v>
      </c>
      <c r="F57" s="37">
        <v>18255.75</v>
      </c>
      <c r="G57" s="14">
        <f t="shared" si="1"/>
        <v>2.4872748119354027E-2</v>
      </c>
    </row>
    <row r="58" spans="2:7">
      <c r="B58" s="40">
        <v>44578</v>
      </c>
      <c r="C58" s="41">
        <v>4299.7998049999997</v>
      </c>
      <c r="D58" s="14">
        <f t="shared" si="0"/>
        <v>-5.2977048990094922E-3</v>
      </c>
      <c r="F58" s="37">
        <v>17617.150390999999</v>
      </c>
      <c r="G58" s="14">
        <f t="shared" si="1"/>
        <v>-3.4980738068827621E-2</v>
      </c>
    </row>
    <row r="59" spans="2:7">
      <c r="B59" s="40">
        <v>44585</v>
      </c>
      <c r="C59" s="41">
        <v>4076</v>
      </c>
      <c r="D59" s="14">
        <f t="shared" si="0"/>
        <v>-5.2048889518008568E-2</v>
      </c>
      <c r="F59" s="37">
        <v>17101.949218999998</v>
      </c>
      <c r="G59" s="14">
        <f t="shared" si="1"/>
        <v>-2.9244296640800638E-2</v>
      </c>
    </row>
    <row r="60" spans="2:7">
      <c r="B60" s="40">
        <v>44592</v>
      </c>
      <c r="C60" s="41">
        <v>4081.8999020000001</v>
      </c>
      <c r="D60" s="14">
        <f t="shared" si="0"/>
        <v>1.4474735034346597E-3</v>
      </c>
      <c r="F60" s="37">
        <v>17516.300781000002</v>
      </c>
      <c r="G60" s="14">
        <f t="shared" si="1"/>
        <v>2.4228323724623468E-2</v>
      </c>
    </row>
    <row r="61" spans="2:7">
      <c r="B61" s="40">
        <v>44599</v>
      </c>
      <c r="C61" s="41">
        <v>4142.25</v>
      </c>
      <c r="D61" s="14">
        <f t="shared" si="0"/>
        <v>1.4784805960192715E-2</v>
      </c>
      <c r="F61" s="37">
        <v>17374.75</v>
      </c>
      <c r="G61" s="14">
        <f t="shared" si="1"/>
        <v>-8.0810887395552644E-3</v>
      </c>
    </row>
    <row r="62" spans="2:7">
      <c r="B62" s="40">
        <v>44606</v>
      </c>
      <c r="C62" s="41">
        <v>4073.1000979999999</v>
      </c>
      <c r="D62" s="14">
        <f t="shared" si="0"/>
        <v>-1.6693802160661519E-2</v>
      </c>
      <c r="F62" s="37">
        <v>17276.300781000002</v>
      </c>
      <c r="G62" s="14">
        <f t="shared" si="1"/>
        <v>-5.66622362911684E-3</v>
      </c>
    </row>
    <row r="63" spans="2:7">
      <c r="B63" s="40">
        <v>44613</v>
      </c>
      <c r="C63" s="41">
        <v>4190.75</v>
      </c>
      <c r="D63" s="14">
        <f t="shared" si="0"/>
        <v>2.8884608570697523E-2</v>
      </c>
      <c r="F63" s="37">
        <v>16658.400390999999</v>
      </c>
      <c r="G63" s="14">
        <f t="shared" si="1"/>
        <v>-3.5765780987070617E-2</v>
      </c>
    </row>
    <row r="64" spans="2:7">
      <c r="B64" s="40">
        <v>44620</v>
      </c>
      <c r="C64" s="41">
        <v>4110.2001950000003</v>
      </c>
      <c r="D64" s="14">
        <f t="shared" si="0"/>
        <v>-1.9220856648571205E-2</v>
      </c>
      <c r="F64" s="37">
        <v>16245.349609000001</v>
      </c>
      <c r="G64" s="14">
        <f t="shared" si="1"/>
        <v>-2.479534482933643E-2</v>
      </c>
    </row>
    <row r="65" spans="2:7">
      <c r="B65" s="40">
        <v>44627</v>
      </c>
      <c r="C65" s="41">
        <v>4198.9501950000003</v>
      </c>
      <c r="D65" s="14">
        <f t="shared" si="0"/>
        <v>2.1592622205595546E-2</v>
      </c>
      <c r="F65" s="37">
        <v>16630.449218999998</v>
      </c>
      <c r="G65" s="14">
        <f t="shared" si="1"/>
        <v>2.3705221449137115E-2</v>
      </c>
    </row>
    <row r="66" spans="2:7">
      <c r="B66" s="40">
        <v>44634</v>
      </c>
      <c r="C66" s="41">
        <v>4192.75</v>
      </c>
      <c r="D66" s="14">
        <f t="shared" si="0"/>
        <v>-1.476605987702162E-3</v>
      </c>
      <c r="F66" s="37">
        <v>17287.050781000002</v>
      </c>
      <c r="G66" s="14">
        <f t="shared" si="1"/>
        <v>3.9481889716475482E-2</v>
      </c>
    </row>
    <row r="67" spans="2:7">
      <c r="B67" s="40">
        <v>44641</v>
      </c>
      <c r="C67" s="41">
        <v>4001.3000489999999</v>
      </c>
      <c r="D67" s="14">
        <f t="shared" si="0"/>
        <v>-4.5662143223421436E-2</v>
      </c>
      <c r="F67" s="37">
        <v>17153</v>
      </c>
      <c r="G67" s="14">
        <f t="shared" si="1"/>
        <v>-7.7544043051771538E-3</v>
      </c>
    </row>
    <row r="68" spans="2:7">
      <c r="B68" s="40">
        <v>44648</v>
      </c>
      <c r="C68" s="41">
        <v>4082.1999510000001</v>
      </c>
      <c r="D68" s="14">
        <f t="shared" si="0"/>
        <v>2.0218404270936574E-2</v>
      </c>
      <c r="F68" s="37">
        <v>17670.449218999998</v>
      </c>
      <c r="G68" s="14">
        <f t="shared" si="1"/>
        <v>3.0166689150585846E-2</v>
      </c>
    </row>
    <row r="69" spans="2:7">
      <c r="B69" s="40">
        <v>44655</v>
      </c>
      <c r="C69" s="41">
        <v>4146.25</v>
      </c>
      <c r="D69" s="14">
        <f t="shared" si="0"/>
        <v>1.5690081272062617E-2</v>
      </c>
      <c r="F69" s="37">
        <v>17784.349609000001</v>
      </c>
      <c r="G69" s="14">
        <f t="shared" si="1"/>
        <v>6.4458117950692007E-3</v>
      </c>
    </row>
    <row r="70" spans="2:7">
      <c r="B70" s="40">
        <v>44662</v>
      </c>
      <c r="C70" s="41">
        <v>4090.8999020000001</v>
      </c>
      <c r="D70" s="14">
        <f t="shared" si="0"/>
        <v>-1.3349435755200423E-2</v>
      </c>
      <c r="F70" s="37">
        <v>17475.650390999999</v>
      </c>
      <c r="G70" s="14">
        <f t="shared" si="1"/>
        <v>-1.7357914390289553E-2</v>
      </c>
    </row>
    <row r="71" spans="2:7">
      <c r="B71" s="40">
        <v>44669</v>
      </c>
      <c r="C71" s="41">
        <v>4028.8500979999999</v>
      </c>
      <c r="D71" s="14">
        <f t="shared" si="0"/>
        <v>-1.5167763936161038E-2</v>
      </c>
      <c r="F71" s="37">
        <v>17171.949218999998</v>
      </c>
      <c r="G71" s="14">
        <f t="shared" si="1"/>
        <v>-1.7378533285170805E-2</v>
      </c>
    </row>
    <row r="72" spans="2:7">
      <c r="B72" s="40">
        <v>44676</v>
      </c>
      <c r="C72" s="41">
        <v>3944.25</v>
      </c>
      <c r="D72" s="14">
        <f t="shared" si="0"/>
        <v>-2.0998571786524645E-2</v>
      </c>
      <c r="F72" s="37">
        <v>17102.550781000002</v>
      </c>
      <c r="G72" s="14">
        <f t="shared" si="1"/>
        <v>-4.041383835634127E-3</v>
      </c>
    </row>
    <row r="73" spans="2:7">
      <c r="B73" s="40">
        <v>44683</v>
      </c>
      <c r="C73" s="41">
        <v>3666.1999510000001</v>
      </c>
      <c r="D73" s="14">
        <f t="shared" si="0"/>
        <v>-7.0495036825758972E-2</v>
      </c>
      <c r="F73" s="37">
        <v>16411.25</v>
      </c>
      <c r="G73" s="14">
        <f t="shared" si="1"/>
        <v>-4.0420916730619982E-2</v>
      </c>
    </row>
    <row r="74" spans="2:7">
      <c r="B74" s="40">
        <v>44690</v>
      </c>
      <c r="C74" s="41">
        <v>3230.6000979999999</v>
      </c>
      <c r="D74" s="14">
        <f t="shared" si="0"/>
        <v>-0.11881508341660008</v>
      </c>
      <c r="F74" s="37">
        <v>15782.150390999999</v>
      </c>
      <c r="G74" s="14">
        <f t="shared" si="1"/>
        <v>-3.8333436453652281E-2</v>
      </c>
    </row>
    <row r="75" spans="2:7">
      <c r="B75" s="40">
        <v>44697</v>
      </c>
      <c r="C75" s="41">
        <v>3630.3999020000001</v>
      </c>
      <c r="D75" s="14">
        <f t="shared" si="0"/>
        <v>0.12375403698139809</v>
      </c>
      <c r="F75" s="37">
        <v>16266.150390999999</v>
      </c>
      <c r="G75" s="14">
        <f t="shared" si="1"/>
        <v>3.0667557209187901E-2</v>
      </c>
    </row>
    <row r="76" spans="2:7">
      <c r="B76" s="40">
        <v>44704</v>
      </c>
      <c r="C76" s="41">
        <v>3613.8500979999999</v>
      </c>
      <c r="D76" s="14">
        <f t="shared" si="0"/>
        <v>-4.5586724456672112E-3</v>
      </c>
      <c r="F76" s="37">
        <v>16352.450194999999</v>
      </c>
      <c r="G76" s="14">
        <f t="shared" si="1"/>
        <v>5.3054842064996777E-3</v>
      </c>
    </row>
    <row r="77" spans="2:7">
      <c r="B77" s="40">
        <v>44711</v>
      </c>
      <c r="C77" s="41">
        <v>3820.1000979999999</v>
      </c>
      <c r="D77" s="14">
        <f t="shared" ref="D77:D115" si="2">C77/C76-1</f>
        <v>5.7072096076742129E-2</v>
      </c>
      <c r="F77" s="37">
        <v>16584.300781000002</v>
      </c>
      <c r="G77" s="14">
        <f t="shared" ref="G77:G115" si="3">F77/F76-1</f>
        <v>1.4178339223494207E-2</v>
      </c>
    </row>
    <row r="78" spans="2:7">
      <c r="B78" s="40">
        <v>44718</v>
      </c>
      <c r="C78" s="41">
        <v>3755.6499020000001</v>
      </c>
      <c r="D78" s="14">
        <f t="shared" si="2"/>
        <v>-1.6871336966730932E-2</v>
      </c>
      <c r="F78" s="37">
        <v>16201.799805000001</v>
      </c>
      <c r="G78" s="14">
        <f t="shared" si="3"/>
        <v>-2.3064039964724836E-2</v>
      </c>
    </row>
    <row r="79" spans="2:7">
      <c r="B79" s="40">
        <v>44725</v>
      </c>
      <c r="C79" s="41">
        <v>3460.5500489999999</v>
      </c>
      <c r="D79" s="14">
        <f t="shared" si="2"/>
        <v>-7.857490998904082E-2</v>
      </c>
      <c r="F79" s="37">
        <v>15293.5</v>
      </c>
      <c r="G79" s="14">
        <f t="shared" si="3"/>
        <v>-5.606166079892505E-2</v>
      </c>
    </row>
    <row r="80" spans="2:7">
      <c r="B80" s="40">
        <v>44732</v>
      </c>
      <c r="C80" s="41">
        <v>3412</v>
      </c>
      <c r="D80" s="14">
        <f t="shared" si="2"/>
        <v>-1.4029575735808097E-2</v>
      </c>
      <c r="F80" s="37">
        <v>15699.25</v>
      </c>
      <c r="G80" s="14">
        <f t="shared" si="3"/>
        <v>2.6530879131657192E-2</v>
      </c>
    </row>
    <row r="81" spans="2:7">
      <c r="B81" s="40">
        <v>44739</v>
      </c>
      <c r="C81" s="41">
        <v>3388.75</v>
      </c>
      <c r="D81" s="14">
        <f t="shared" si="2"/>
        <v>-6.8141852286048854E-3</v>
      </c>
      <c r="F81" s="37">
        <v>15752.049805000001</v>
      </c>
      <c r="G81" s="14">
        <f t="shared" si="3"/>
        <v>3.3632055671448668E-3</v>
      </c>
    </row>
    <row r="82" spans="2:7">
      <c r="B82" s="40">
        <v>44746</v>
      </c>
      <c r="C82" s="41">
        <v>3941.6999510000001</v>
      </c>
      <c r="D82" s="14">
        <f t="shared" si="2"/>
        <v>0.16317224669863517</v>
      </c>
      <c r="F82" s="37">
        <v>16220.599609000001</v>
      </c>
      <c r="G82" s="14">
        <f t="shared" si="3"/>
        <v>2.9745322659611828E-2</v>
      </c>
    </row>
    <row r="83" spans="2:7">
      <c r="B83" s="40">
        <v>44753</v>
      </c>
      <c r="C83" s="41">
        <v>3926.8000489999999</v>
      </c>
      <c r="D83" s="14">
        <f t="shared" si="2"/>
        <v>-3.7800700675403309E-3</v>
      </c>
      <c r="F83" s="37">
        <v>16049.200194999999</v>
      </c>
      <c r="G83" s="14">
        <f t="shared" si="3"/>
        <v>-1.0566774233481513E-2</v>
      </c>
    </row>
    <row r="84" spans="2:7">
      <c r="B84" s="40">
        <v>44760</v>
      </c>
      <c r="C84" s="41">
        <v>3963.3999020000001</v>
      </c>
      <c r="D84" s="14">
        <f t="shared" si="2"/>
        <v>9.3205288131033015E-3</v>
      </c>
      <c r="F84" s="37">
        <v>16719.449218999998</v>
      </c>
      <c r="G84" s="14">
        <f t="shared" si="3"/>
        <v>4.1762144895470144E-2</v>
      </c>
    </row>
    <row r="85" spans="2:7">
      <c r="B85" s="40">
        <v>44767</v>
      </c>
      <c r="C85" s="41">
        <v>4243.8500979999999</v>
      </c>
      <c r="D85" s="14">
        <f t="shared" si="2"/>
        <v>7.0760004777332686E-2</v>
      </c>
      <c r="F85" s="37">
        <v>17158.25</v>
      </c>
      <c r="G85" s="14">
        <f t="shared" si="3"/>
        <v>2.6244930395275645E-2</v>
      </c>
    </row>
    <row r="86" spans="2:7">
      <c r="B86" s="40">
        <v>44774</v>
      </c>
      <c r="C86" s="41">
        <v>4232.25</v>
      </c>
      <c r="D86" s="14">
        <f t="shared" si="2"/>
        <v>-2.7333901368162827E-3</v>
      </c>
      <c r="F86" s="37">
        <v>17397.5</v>
      </c>
      <c r="G86" s="14">
        <f t="shared" si="3"/>
        <v>1.3943729692713402E-2</v>
      </c>
    </row>
    <row r="87" spans="2:7">
      <c r="B87" s="40">
        <v>44781</v>
      </c>
      <c r="C87" s="41">
        <v>4336.7001950000003</v>
      </c>
      <c r="D87" s="14">
        <f t="shared" si="2"/>
        <v>2.4679590052572697E-2</v>
      </c>
      <c r="F87" s="37">
        <v>17698.150390999999</v>
      </c>
      <c r="G87" s="14">
        <f t="shared" si="3"/>
        <v>1.7281241040379314E-2</v>
      </c>
    </row>
    <row r="88" spans="2:7">
      <c r="B88" s="40">
        <v>44788</v>
      </c>
      <c r="C88" s="41">
        <v>4382</v>
      </c>
      <c r="D88" s="14">
        <f t="shared" si="2"/>
        <v>1.0445685189911957E-2</v>
      </c>
      <c r="F88" s="37">
        <v>17758.449218999998</v>
      </c>
      <c r="G88" s="14">
        <f t="shared" si="3"/>
        <v>3.4070694771959342E-3</v>
      </c>
    </row>
    <row r="89" spans="2:7">
      <c r="B89" s="40">
        <v>44795</v>
      </c>
      <c r="C89" s="41">
        <v>4409.6499020000001</v>
      </c>
      <c r="D89" s="14">
        <f t="shared" si="2"/>
        <v>6.3098817891373837E-3</v>
      </c>
      <c r="F89" s="37">
        <v>17558.900390999999</v>
      </c>
      <c r="G89" s="14">
        <f t="shared" si="3"/>
        <v>-1.1236838619134604E-2</v>
      </c>
    </row>
    <row r="90" spans="2:7">
      <c r="B90" s="40">
        <v>44802</v>
      </c>
      <c r="C90" s="41">
        <v>4576.7998049999997</v>
      </c>
      <c r="D90" s="14">
        <f t="shared" si="2"/>
        <v>3.7905481549496356E-2</v>
      </c>
      <c r="F90" s="37">
        <v>17539.449218999998</v>
      </c>
      <c r="G90" s="14">
        <f t="shared" si="3"/>
        <v>-1.1077670905844661E-3</v>
      </c>
    </row>
    <row r="91" spans="2:7">
      <c r="B91" s="40">
        <v>44809</v>
      </c>
      <c r="C91" s="41">
        <v>4386.1000979999999</v>
      </c>
      <c r="D91" s="14">
        <f t="shared" si="2"/>
        <v>-4.1666604423393538E-2</v>
      </c>
      <c r="F91" s="37">
        <v>17833.349609000001</v>
      </c>
      <c r="G91" s="14">
        <f t="shared" si="3"/>
        <v>1.6756534730955508E-2</v>
      </c>
    </row>
    <row r="92" spans="2:7">
      <c r="B92" s="40">
        <v>44816</v>
      </c>
      <c r="C92" s="41">
        <v>4327.5498049999997</v>
      </c>
      <c r="D92" s="14">
        <f t="shared" si="2"/>
        <v>-1.334905535482378E-2</v>
      </c>
      <c r="F92" s="37">
        <v>17530.849609000001</v>
      </c>
      <c r="G92" s="14">
        <f t="shared" si="3"/>
        <v>-1.6962601341440453E-2</v>
      </c>
    </row>
    <row r="93" spans="2:7">
      <c r="B93" s="40">
        <v>44823</v>
      </c>
      <c r="C93" s="41">
        <v>4367</v>
      </c>
      <c r="D93" s="14">
        <f t="shared" si="2"/>
        <v>9.1160579953164511E-3</v>
      </c>
      <c r="F93" s="37">
        <v>17327.349609000001</v>
      </c>
      <c r="G93" s="14">
        <f t="shared" si="3"/>
        <v>-1.1608108251383698E-2</v>
      </c>
    </row>
    <row r="94" spans="2:7">
      <c r="B94" s="40">
        <v>44830</v>
      </c>
      <c r="C94" s="41">
        <v>4386.5498049999997</v>
      </c>
      <c r="D94" s="14">
        <f t="shared" si="2"/>
        <v>4.4767128463474304E-3</v>
      </c>
      <c r="F94" s="37">
        <v>17094.349609000001</v>
      </c>
      <c r="G94" s="14">
        <f t="shared" si="3"/>
        <v>-1.3446949779265527E-2</v>
      </c>
    </row>
    <row r="95" spans="2:7">
      <c r="B95" s="40">
        <v>44837</v>
      </c>
      <c r="C95" s="41">
        <v>4471.4501950000003</v>
      </c>
      <c r="D95" s="14">
        <f t="shared" si="2"/>
        <v>1.9354707862481613E-2</v>
      </c>
      <c r="F95" s="37">
        <v>17314.650390999999</v>
      </c>
      <c r="G95" s="14">
        <f t="shared" si="3"/>
        <v>1.2887345060733635E-2</v>
      </c>
    </row>
    <row r="96" spans="2:7">
      <c r="B96" s="40">
        <v>44844</v>
      </c>
      <c r="C96" s="41">
        <v>4306.1499020000001</v>
      </c>
      <c r="D96" s="14">
        <f t="shared" si="2"/>
        <v>-3.6967937870545864E-2</v>
      </c>
      <c r="F96" s="37">
        <v>17185.699218999998</v>
      </c>
      <c r="G96" s="14">
        <f t="shared" si="3"/>
        <v>-7.4475180894804094E-3</v>
      </c>
    </row>
    <row r="97" spans="2:7">
      <c r="B97" s="40">
        <v>44851</v>
      </c>
      <c r="C97" s="41">
        <v>4215.5498049999997</v>
      </c>
      <c r="D97" s="14">
        <f t="shared" si="2"/>
        <v>-2.1039698817247654E-2</v>
      </c>
      <c r="F97" s="37">
        <v>17576.300781000002</v>
      </c>
      <c r="G97" s="14">
        <f t="shared" si="3"/>
        <v>2.2728290366455628E-2</v>
      </c>
    </row>
    <row r="98" spans="2:7">
      <c r="B98" s="40">
        <v>44858</v>
      </c>
      <c r="C98" s="41">
        <v>4307.3500979999999</v>
      </c>
      <c r="D98" s="14">
        <f t="shared" si="2"/>
        <v>2.1776588403988884E-2</v>
      </c>
      <c r="F98" s="37">
        <v>17786.800781000002</v>
      </c>
      <c r="G98" s="14">
        <f t="shared" si="3"/>
        <v>1.197635399068453E-2</v>
      </c>
    </row>
    <row r="99" spans="2:7">
      <c r="B99" s="40">
        <v>44865</v>
      </c>
      <c r="C99" s="41">
        <v>4167.3500979999999</v>
      </c>
      <c r="D99" s="14">
        <f t="shared" si="2"/>
        <v>-3.2502582055033091E-2</v>
      </c>
      <c r="F99" s="37">
        <v>18117.150390999999</v>
      </c>
      <c r="G99" s="14">
        <f t="shared" si="3"/>
        <v>1.8572739081492262E-2</v>
      </c>
    </row>
    <row r="100" spans="2:7">
      <c r="B100" s="40">
        <v>44872</v>
      </c>
      <c r="C100" s="41">
        <v>4128.3500979999999</v>
      </c>
      <c r="D100" s="14">
        <f t="shared" si="2"/>
        <v>-9.3584649916302887E-3</v>
      </c>
      <c r="F100" s="37">
        <v>18349.699218999998</v>
      </c>
      <c r="G100" s="14">
        <f t="shared" si="3"/>
        <v>1.2835839134808014E-2</v>
      </c>
    </row>
    <row r="101" spans="2:7">
      <c r="B101" s="40">
        <v>44879</v>
      </c>
      <c r="C101" s="41">
        <v>3910.6000979999999</v>
      </c>
      <c r="D101" s="14">
        <f t="shared" si="2"/>
        <v>-5.2745042167206213E-2</v>
      </c>
      <c r="F101" s="37">
        <v>18307.650390999999</v>
      </c>
      <c r="G101" s="14">
        <f t="shared" si="3"/>
        <v>-2.2915268254892762E-3</v>
      </c>
    </row>
    <row r="102" spans="2:7">
      <c r="B102" s="40">
        <v>44886</v>
      </c>
      <c r="C102" s="41">
        <v>3904.4499510000001</v>
      </c>
      <c r="D102" s="14">
        <f t="shared" si="2"/>
        <v>-1.5726862491373117E-3</v>
      </c>
      <c r="F102" s="37">
        <v>18512.75</v>
      </c>
      <c r="G102" s="14">
        <f t="shared" si="3"/>
        <v>1.1202945469224623E-2</v>
      </c>
    </row>
    <row r="103" spans="2:7">
      <c r="B103" s="40">
        <v>44893</v>
      </c>
      <c r="C103" s="41">
        <v>4005.75</v>
      </c>
      <c r="D103" s="14">
        <f t="shared" si="2"/>
        <v>2.5944768218646219E-2</v>
      </c>
      <c r="F103" s="37">
        <v>18696.099609000001</v>
      </c>
      <c r="G103" s="14">
        <f t="shared" si="3"/>
        <v>9.9039639707769744E-3</v>
      </c>
    </row>
    <row r="104" spans="2:7">
      <c r="B104" s="40">
        <v>44900</v>
      </c>
      <c r="C104" s="41">
        <v>4002.3999020000001</v>
      </c>
      <c r="D104" s="14">
        <f t="shared" si="2"/>
        <v>-8.3632228671282061E-4</v>
      </c>
      <c r="F104" s="37">
        <v>18496.599609000001</v>
      </c>
      <c r="G104" s="14">
        <f t="shared" si="3"/>
        <v>-1.0670674855838058E-2</v>
      </c>
    </row>
    <row r="105" spans="2:7">
      <c r="B105" s="40">
        <v>44907</v>
      </c>
      <c r="C105" s="41">
        <v>3990</v>
      </c>
      <c r="D105" s="14">
        <f t="shared" si="2"/>
        <v>-3.0981167058803383E-3</v>
      </c>
      <c r="F105" s="37">
        <v>18269</v>
      </c>
      <c r="G105" s="14">
        <f t="shared" si="3"/>
        <v>-1.2304943276668867E-2</v>
      </c>
    </row>
    <row r="106" spans="2:7">
      <c r="B106" s="40">
        <v>44914</v>
      </c>
      <c r="C106" s="41">
        <v>3875.6000979999999</v>
      </c>
      <c r="D106" s="14">
        <f t="shared" si="2"/>
        <v>-2.8671654636591493E-2</v>
      </c>
      <c r="F106" s="37">
        <v>17806.800781000002</v>
      </c>
      <c r="G106" s="14">
        <f t="shared" si="3"/>
        <v>-2.529964524604511E-2</v>
      </c>
    </row>
    <row r="107" spans="2:7">
      <c r="B107" s="40">
        <v>44921</v>
      </c>
      <c r="C107" s="41">
        <v>4068.75</v>
      </c>
      <c r="D107" s="14">
        <f t="shared" si="2"/>
        <v>4.9837417978102261E-2</v>
      </c>
      <c r="F107" s="37">
        <v>18105.300781000002</v>
      </c>
      <c r="G107" s="14">
        <f t="shared" si="3"/>
        <v>1.6763258244484991E-2</v>
      </c>
    </row>
    <row r="108" spans="2:7">
      <c r="B108" s="40">
        <v>44928</v>
      </c>
      <c r="C108" s="41">
        <v>3842.5</v>
      </c>
      <c r="D108" s="14">
        <f t="shared" si="2"/>
        <v>-5.5606758832565273E-2</v>
      </c>
      <c r="F108" s="37">
        <v>17859.449218999998</v>
      </c>
      <c r="G108" s="14">
        <f t="shared" si="3"/>
        <v>-1.3578982474458767E-2</v>
      </c>
    </row>
    <row r="109" spans="2:7">
      <c r="B109" s="40">
        <v>44935</v>
      </c>
      <c r="C109" s="41">
        <v>3863.6999510000001</v>
      </c>
      <c r="D109" s="14">
        <f t="shared" si="2"/>
        <v>5.517228627195836E-3</v>
      </c>
      <c r="F109" s="37">
        <v>17956.599609000001</v>
      </c>
      <c r="G109" s="14">
        <f t="shared" si="3"/>
        <v>5.4397192661825855E-3</v>
      </c>
    </row>
    <row r="110" spans="2:7">
      <c r="B110" s="40">
        <v>44942</v>
      </c>
      <c r="C110" s="41">
        <v>3513.75</v>
      </c>
      <c r="D110" s="14">
        <f t="shared" si="2"/>
        <v>-9.0573790780370089E-2</v>
      </c>
      <c r="F110" s="37">
        <v>18027.650390999999</v>
      </c>
      <c r="G110" s="14">
        <f t="shared" si="3"/>
        <v>3.9568060516528281E-3</v>
      </c>
    </row>
    <row r="111" spans="2:7">
      <c r="B111" s="40">
        <v>44949</v>
      </c>
      <c r="C111" s="41">
        <v>3562.3500979999999</v>
      </c>
      <c r="D111" s="14">
        <f t="shared" si="2"/>
        <v>1.3831404624688792E-2</v>
      </c>
      <c r="F111" s="37">
        <v>17604.349609000001</v>
      </c>
      <c r="G111" s="14">
        <f t="shared" si="3"/>
        <v>-2.3480640727941093E-2</v>
      </c>
    </row>
    <row r="112" spans="2:7">
      <c r="B112" s="40">
        <v>44956</v>
      </c>
      <c r="C112" s="41">
        <v>3470.3500979999999</v>
      </c>
      <c r="D112" s="14">
        <f t="shared" si="2"/>
        <v>-2.5825648088785957E-2</v>
      </c>
      <c r="F112" s="37">
        <v>17854.050781000002</v>
      </c>
      <c r="G112" s="14">
        <f t="shared" si="3"/>
        <v>1.4184061186352848E-2</v>
      </c>
    </row>
    <row r="113" spans="2:7">
      <c r="B113" s="40">
        <v>44963</v>
      </c>
      <c r="C113" s="41">
        <v>3498.8500979999999</v>
      </c>
      <c r="D113" s="14">
        <f t="shared" si="2"/>
        <v>8.2124279093411801E-3</v>
      </c>
      <c r="F113" s="37">
        <v>17856.5</v>
      </c>
      <c r="G113" s="14">
        <f t="shared" si="3"/>
        <v>1.371800175793414E-4</v>
      </c>
    </row>
    <row r="114" spans="2:7">
      <c r="B114" s="40">
        <v>44970</v>
      </c>
      <c r="C114" s="41">
        <v>3545</v>
      </c>
      <c r="D114" s="14">
        <f t="shared" si="2"/>
        <v>1.3190019780035867E-2</v>
      </c>
      <c r="F114" s="37">
        <v>17944.199218999998</v>
      </c>
      <c r="G114" s="14">
        <f t="shared" si="3"/>
        <v>4.9113330719905424E-3</v>
      </c>
    </row>
    <row r="115" spans="2:7">
      <c r="B115" s="40">
        <v>44977</v>
      </c>
      <c r="C115" s="41">
        <v>3552.8500979999999</v>
      </c>
      <c r="D115" s="14">
        <f t="shared" si="2"/>
        <v>2.2144141043722865E-3</v>
      </c>
      <c r="F115" s="37">
        <v>17844.599609000001</v>
      </c>
      <c r="G115" s="14">
        <f t="shared" si="3"/>
        <v>-5.550518514893521E-3</v>
      </c>
    </row>
  </sheetData>
  <mergeCells count="3">
    <mergeCell ref="B8:D8"/>
    <mergeCell ref="F8:G8"/>
    <mergeCell ref="I8:J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1"/>
  <sheetViews>
    <sheetView showGridLines="0" workbookViewId="0">
      <selection activeCell="D21" sqref="D1:D21"/>
    </sheetView>
  </sheetViews>
  <sheetFormatPr defaultRowHeight="15"/>
  <cols>
    <col min="1" max="1" width="1.85546875" customWidth="1"/>
    <col min="3" max="3" width="16.140625" bestFit="1" customWidth="1"/>
    <col min="4" max="4" width="8.28515625" bestFit="1" customWidth="1"/>
    <col min="5" max="5" width="14.42578125" bestFit="1" customWidth="1"/>
    <col min="6" max="6" width="10.7109375" bestFit="1" customWidth="1"/>
    <col min="18" max="18" width="16.140625" bestFit="1" customWidth="1"/>
    <col min="19" max="19" width="8.28515625" bestFit="1" customWidth="1"/>
    <col min="20" max="20" width="14.42578125" bestFit="1" customWidth="1"/>
  </cols>
  <sheetData>
    <row r="1" spans="2:11">
      <c r="B1" s="1"/>
      <c r="C1" s="1"/>
      <c r="D1" s="1"/>
      <c r="E1" s="1"/>
      <c r="F1" s="1"/>
      <c r="G1" s="1"/>
      <c r="H1" s="1"/>
      <c r="I1" s="1"/>
      <c r="J1" s="1"/>
      <c r="K1" s="1"/>
    </row>
    <row r="2" spans="2:11">
      <c r="B2" s="1"/>
      <c r="C2" s="1"/>
      <c r="D2" s="1"/>
      <c r="E2" s="1"/>
      <c r="F2" s="1"/>
      <c r="G2" s="1"/>
      <c r="H2" s="1"/>
      <c r="I2" s="1"/>
      <c r="J2" s="1"/>
      <c r="K2" s="1"/>
    </row>
    <row r="3" spans="2:11">
      <c r="B3" s="1"/>
      <c r="C3" s="1"/>
      <c r="D3" s="1"/>
      <c r="E3" s="1"/>
      <c r="F3" s="1"/>
      <c r="G3" s="1"/>
      <c r="H3" s="1"/>
      <c r="I3" s="1"/>
      <c r="J3" s="1"/>
      <c r="K3" s="1"/>
    </row>
    <row r="4" spans="2:11">
      <c r="B4" s="1"/>
      <c r="C4" s="1"/>
      <c r="D4" s="1"/>
      <c r="E4" s="1"/>
      <c r="F4" s="1"/>
      <c r="G4" s="1"/>
      <c r="H4" s="1"/>
      <c r="I4" s="1"/>
      <c r="J4" s="1"/>
      <c r="K4" s="1"/>
    </row>
    <row r="6" spans="2:11">
      <c r="B6" t="s">
        <v>42</v>
      </c>
      <c r="C6" t="s">
        <v>3</v>
      </c>
      <c r="D6" t="s">
        <v>43</v>
      </c>
      <c r="E6" t="s">
        <v>45</v>
      </c>
      <c r="F6" t="s">
        <v>44</v>
      </c>
      <c r="G6" t="s">
        <v>46</v>
      </c>
    </row>
    <row r="7" spans="2:11">
      <c r="B7">
        <v>1</v>
      </c>
      <c r="C7" t="s">
        <v>47</v>
      </c>
      <c r="D7">
        <v>3525.6</v>
      </c>
      <c r="E7">
        <v>228379.45</v>
      </c>
      <c r="F7">
        <v>710.83</v>
      </c>
      <c r="G7">
        <v>0.05</v>
      </c>
    </row>
    <row r="8" spans="2:11">
      <c r="B8">
        <v>2</v>
      </c>
      <c r="C8" t="s">
        <v>48</v>
      </c>
      <c r="D8">
        <v>1338.1</v>
      </c>
      <c r="E8">
        <v>47567.78</v>
      </c>
      <c r="F8">
        <v>4525.96</v>
      </c>
      <c r="G8">
        <v>1.9</v>
      </c>
    </row>
    <row r="9" spans="2:11">
      <c r="B9">
        <v>3</v>
      </c>
      <c r="C9" t="s">
        <v>49</v>
      </c>
      <c r="D9">
        <v>1168.9000000000001</v>
      </c>
      <c r="E9">
        <v>28378.34</v>
      </c>
      <c r="F9">
        <v>248.92</v>
      </c>
      <c r="G9">
        <v>0.22</v>
      </c>
    </row>
    <row r="10" spans="2:11">
      <c r="B10">
        <v>4</v>
      </c>
      <c r="C10" t="s">
        <v>50</v>
      </c>
      <c r="D10">
        <v>246.6</v>
      </c>
      <c r="E10">
        <v>23395.42</v>
      </c>
      <c r="F10">
        <v>4617.57</v>
      </c>
      <c r="G10">
        <v>1.28</v>
      </c>
    </row>
    <row r="11" spans="2:11">
      <c r="B11">
        <v>5</v>
      </c>
      <c r="C11" t="s">
        <v>51</v>
      </c>
      <c r="D11">
        <v>849.25</v>
      </c>
      <c r="E11">
        <v>23076.59</v>
      </c>
      <c r="F11">
        <v>805.48</v>
      </c>
      <c r="G11">
        <v>0.56000000000000005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2"/>
  <sheetViews>
    <sheetView showGridLines="0" workbookViewId="0">
      <selection activeCell="F19" sqref="F19"/>
    </sheetView>
  </sheetViews>
  <sheetFormatPr defaultRowHeight="15"/>
  <cols>
    <col min="1" max="1" width="1.85546875" customWidth="1"/>
  </cols>
  <sheetData>
    <row r="1" spans="2:11">
      <c r="B1" s="1"/>
      <c r="C1" s="1"/>
      <c r="D1" s="1"/>
      <c r="E1" s="1"/>
      <c r="F1" s="1"/>
      <c r="G1" s="1"/>
      <c r="H1" s="1"/>
      <c r="I1" s="1"/>
      <c r="J1" s="1"/>
      <c r="K1" s="1"/>
    </row>
    <row r="2" spans="2:11">
      <c r="B2" s="1"/>
      <c r="C2" s="1"/>
      <c r="D2" s="1"/>
      <c r="E2" s="1"/>
      <c r="F2" s="1"/>
      <c r="G2" s="1"/>
      <c r="H2" s="1"/>
      <c r="I2" s="1"/>
      <c r="J2" s="1"/>
      <c r="K2" s="1"/>
    </row>
    <row r="3" spans="2:11">
      <c r="B3" s="1"/>
      <c r="C3" s="1"/>
      <c r="D3" s="1"/>
      <c r="E3" s="1"/>
      <c r="F3" s="1"/>
      <c r="G3" s="1"/>
      <c r="H3" s="1"/>
      <c r="I3" s="1"/>
      <c r="J3" s="1"/>
      <c r="K3" s="1"/>
    </row>
    <row r="4" spans="2:11">
      <c r="B4" s="1"/>
      <c r="C4" s="1"/>
      <c r="D4" s="1"/>
      <c r="E4" s="1"/>
      <c r="F4" s="1"/>
      <c r="G4" s="1"/>
      <c r="H4" s="1"/>
      <c r="I4" s="1"/>
      <c r="J4" s="1"/>
      <c r="K4" s="1"/>
    </row>
    <row r="6" spans="2:11">
      <c r="B6" s="53" t="s">
        <v>93</v>
      </c>
      <c r="C6" s="54"/>
      <c r="D6" s="54"/>
      <c r="E6" s="54"/>
      <c r="F6" s="54"/>
      <c r="G6" s="54"/>
    </row>
    <row r="8" spans="2:11">
      <c r="B8" s="42" t="s">
        <v>91</v>
      </c>
      <c r="C8" s="43" t="s">
        <v>92</v>
      </c>
    </row>
    <row r="9" spans="2:11">
      <c r="B9" s="39">
        <v>2000</v>
      </c>
      <c r="C9" s="52">
        <v>-0.14649999999999999</v>
      </c>
      <c r="E9" t="s">
        <v>94</v>
      </c>
      <c r="G9" s="16">
        <f>AVERAGE(C9:C31)</f>
        <v>0.15411739130434784</v>
      </c>
    </row>
    <row r="10" spans="2:11" ht="17.25">
      <c r="B10" s="39">
        <v>2001</v>
      </c>
      <c r="C10" s="52">
        <v>-0.1618</v>
      </c>
      <c r="E10" t="s">
        <v>95</v>
      </c>
      <c r="G10" s="55" t="s">
        <v>96</v>
      </c>
    </row>
    <row r="11" spans="2:11">
      <c r="B11" s="39">
        <v>2002</v>
      </c>
      <c r="C11" s="52">
        <v>3.2500000000000001E-2</v>
      </c>
      <c r="E11" s="56" t="s">
        <v>97</v>
      </c>
      <c r="F11" s="56"/>
      <c r="G11" s="57">
        <f>SUM(G9:G10)</f>
        <v>0.15411739130434784</v>
      </c>
    </row>
    <row r="12" spans="2:11">
      <c r="B12" s="39">
        <v>2003</v>
      </c>
      <c r="C12" s="52">
        <v>0.71900000000000008</v>
      </c>
    </row>
    <row r="13" spans="2:11">
      <c r="B13" s="39">
        <v>2004</v>
      </c>
      <c r="C13" s="52">
        <v>0.10679999999999999</v>
      </c>
    </row>
    <row r="14" spans="2:11">
      <c r="B14" s="39">
        <v>2005</v>
      </c>
      <c r="C14" s="52">
        <v>0.36340000000000006</v>
      </c>
    </row>
    <row r="15" spans="2:11">
      <c r="B15" s="39">
        <v>2006</v>
      </c>
      <c r="C15" s="52">
        <v>0.39829999999999999</v>
      </c>
    </row>
    <row r="16" spans="2:11">
      <c r="B16" s="39">
        <v>2007</v>
      </c>
      <c r="C16" s="52">
        <v>0.54770000000000008</v>
      </c>
    </row>
    <row r="17" spans="2:3">
      <c r="B17" s="39">
        <v>2008</v>
      </c>
      <c r="C17" s="52">
        <v>-0.51790000000000003</v>
      </c>
    </row>
    <row r="18" spans="2:3">
      <c r="B18" s="39">
        <v>2009</v>
      </c>
      <c r="C18" s="52">
        <v>0.75760000000000005</v>
      </c>
    </row>
    <row r="19" spans="2:3">
      <c r="B19" s="39">
        <v>2010</v>
      </c>
      <c r="C19" s="52">
        <v>0.17949999999999999</v>
      </c>
    </row>
    <row r="20" spans="2:3">
      <c r="B20" s="39">
        <v>2011</v>
      </c>
      <c r="C20" s="52">
        <v>-0.2462</v>
      </c>
    </row>
    <row r="21" spans="2:3">
      <c r="B21" s="39">
        <v>2012</v>
      </c>
      <c r="C21" s="52">
        <v>0.27699999999999997</v>
      </c>
    </row>
    <row r="22" spans="2:3">
      <c r="B22" s="39">
        <v>2013</v>
      </c>
      <c r="C22" s="52">
        <v>6.7599999999999993E-2</v>
      </c>
    </row>
    <row r="23" spans="2:3">
      <c r="B23" s="39">
        <v>2014</v>
      </c>
      <c r="C23" s="52">
        <v>0.31390000000000001</v>
      </c>
    </row>
    <row r="24" spans="2:3">
      <c r="B24" s="39">
        <v>2015</v>
      </c>
      <c r="C24" s="52">
        <v>-4.0599999999999997E-2</v>
      </c>
    </row>
    <row r="25" spans="2:3">
      <c r="B25" s="39">
        <v>2016</v>
      </c>
      <c r="C25" s="52">
        <v>3.0099999999999998E-2</v>
      </c>
    </row>
    <row r="26" spans="2:3">
      <c r="B26" s="39">
        <v>2017</v>
      </c>
      <c r="C26" s="52">
        <v>0.28649999999999998</v>
      </c>
    </row>
    <row r="27" spans="2:3">
      <c r="B27" s="39">
        <v>2018</v>
      </c>
      <c r="C27" s="52">
        <v>3.15E-2</v>
      </c>
    </row>
    <row r="28" spans="2:3">
      <c r="B28" s="39">
        <v>2019</v>
      </c>
      <c r="C28" s="52">
        <v>0.1202</v>
      </c>
    </row>
    <row r="29" spans="2:3">
      <c r="B29" s="39">
        <v>2020</v>
      </c>
      <c r="C29" s="52">
        <v>0.14169999999999999</v>
      </c>
    </row>
    <row r="30" spans="2:3">
      <c r="B30" s="39">
        <v>2021</v>
      </c>
      <c r="C30" s="52">
        <v>0.2412</v>
      </c>
    </row>
    <row r="31" spans="2:3">
      <c r="B31" s="39">
        <v>2022</v>
      </c>
      <c r="C31" s="52">
        <v>4.3200000000000002E-2</v>
      </c>
    </row>
    <row r="32" spans="2:3">
      <c r="B32"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showGridLines="0" workbookViewId="0">
      <pane ySplit="4" topLeftCell="A44" activePane="bottomLeft" state="frozen"/>
      <selection pane="bottomLeft" activeCell="C57" sqref="C57:C67"/>
    </sheetView>
  </sheetViews>
  <sheetFormatPr defaultRowHeight="15"/>
  <cols>
    <col min="1" max="1" width="1.85546875" customWidth="1"/>
    <col min="7" max="7" width="11.5703125" bestFit="1" customWidth="1"/>
    <col min="8" max="8" width="8.5703125" bestFit="1" customWidth="1"/>
    <col min="9" max="9" width="12.140625" bestFit="1" customWidth="1"/>
    <col min="10" max="10" width="14.28515625" bestFit="1" customWidth="1"/>
    <col min="11" max="11" width="10.140625" bestFit="1" customWidth="1"/>
    <col min="13" max="13" width="21" bestFit="1" customWidth="1"/>
  </cols>
  <sheetData>
    <row r="1" spans="2:11">
      <c r="B1" s="1"/>
      <c r="C1" s="1"/>
      <c r="D1" s="1"/>
      <c r="E1" s="1"/>
      <c r="F1" s="1"/>
      <c r="G1" s="1"/>
      <c r="H1" s="1"/>
      <c r="I1" s="1"/>
      <c r="J1" s="1"/>
      <c r="K1" s="1"/>
    </row>
    <row r="2" spans="2:11">
      <c r="B2" s="1"/>
      <c r="C2" s="1"/>
      <c r="D2" s="1"/>
      <c r="E2" s="1"/>
      <c r="F2" s="1"/>
      <c r="G2" s="1"/>
      <c r="H2" s="1"/>
      <c r="I2" s="1"/>
      <c r="J2" s="1"/>
      <c r="K2" s="1"/>
    </row>
    <row r="3" spans="2:11">
      <c r="B3" s="1"/>
      <c r="C3" s="1"/>
      <c r="D3" s="1"/>
      <c r="E3" s="1"/>
      <c r="F3" s="1"/>
      <c r="G3" s="1"/>
      <c r="H3" s="1"/>
      <c r="I3" s="1"/>
      <c r="J3" s="1"/>
      <c r="K3" s="1"/>
    </row>
    <row r="4" spans="2:11">
      <c r="B4" s="1"/>
      <c r="C4" s="1"/>
      <c r="D4" s="1"/>
      <c r="E4" s="1"/>
      <c r="F4" s="1"/>
      <c r="G4" s="1"/>
      <c r="H4" s="1"/>
      <c r="I4" s="1"/>
      <c r="J4" s="1"/>
      <c r="K4" s="1"/>
    </row>
    <row r="6" spans="2:11">
      <c r="B6" s="53" t="s">
        <v>222</v>
      </c>
      <c r="C6" s="54"/>
      <c r="D6" s="54"/>
      <c r="E6" s="54"/>
      <c r="F6" s="54"/>
      <c r="G6" s="90">
        <f>'Raw FS'!J$2</f>
        <v>43160</v>
      </c>
      <c r="H6" s="90">
        <f>'Raw FS'!K$2</f>
        <v>43525</v>
      </c>
      <c r="I6" s="90">
        <f>'Raw FS'!L$2</f>
        <v>43891</v>
      </c>
      <c r="J6" s="90">
        <f>'Raw FS'!M$2</f>
        <v>44256</v>
      </c>
      <c r="K6" s="90">
        <f>'Raw FS'!N$2</f>
        <v>44621</v>
      </c>
    </row>
    <row r="8" spans="2:11">
      <c r="B8" s="2" t="s">
        <v>223</v>
      </c>
    </row>
    <row r="9" spans="2:11">
      <c r="B9" s="94" t="str">
        <f>'Raw FS'!B35</f>
        <v>Inventories</v>
      </c>
      <c r="C9" s="94"/>
      <c r="D9" s="94"/>
      <c r="E9" s="94"/>
      <c r="F9" s="94"/>
      <c r="G9" s="95">
        <f>'Raw FS'!J35</f>
        <v>2658</v>
      </c>
      <c r="H9" s="95">
        <f>'Raw FS'!K35</f>
        <v>3150</v>
      </c>
      <c r="I9" s="95">
        <f>'Raw FS'!L35</f>
        <v>3390</v>
      </c>
      <c r="J9" s="95">
        <f>'Raw FS'!M35</f>
        <v>3799</v>
      </c>
      <c r="K9" s="95">
        <f>'Raw FS'!N35</f>
        <v>6153</v>
      </c>
    </row>
    <row r="10" spans="2:11">
      <c r="B10" s="94" t="str">
        <f>'Raw FS'!B36</f>
        <v>Trade receivables</v>
      </c>
      <c r="C10" s="94"/>
      <c r="D10" s="94"/>
      <c r="E10" s="94"/>
      <c r="F10" s="94"/>
      <c r="G10" s="95">
        <f>'Raw FS'!J36</f>
        <v>1731</v>
      </c>
      <c r="H10" s="95">
        <f>'Raw FS'!K36</f>
        <v>1907</v>
      </c>
      <c r="I10" s="95">
        <f>'Raw FS'!L36</f>
        <v>1795</v>
      </c>
      <c r="J10" s="95">
        <f>'Raw FS'!M36</f>
        <v>2602</v>
      </c>
      <c r="K10" s="95">
        <f>'Raw FS'!N36</f>
        <v>3871</v>
      </c>
    </row>
    <row r="11" spans="2:11">
      <c r="B11" s="94" t="str">
        <f>'Raw FS'!B38</f>
        <v>Loans n Advances</v>
      </c>
      <c r="C11" s="94"/>
      <c r="D11" s="94"/>
      <c r="E11" s="94"/>
      <c r="F11" s="94"/>
      <c r="G11" s="95">
        <f>'Raw FS'!J38</f>
        <v>1141</v>
      </c>
      <c r="H11" s="95">
        <f>'Raw FS'!K38</f>
        <v>1058</v>
      </c>
      <c r="I11" s="95">
        <f>'Raw FS'!L38</f>
        <v>1177</v>
      </c>
      <c r="J11" s="95">
        <f>'Raw FS'!M38</f>
        <v>1846</v>
      </c>
      <c r="K11" s="95">
        <f>'Raw FS'!N38</f>
        <v>2216</v>
      </c>
    </row>
    <row r="12" spans="2:11">
      <c r="B12" t="str">
        <f>'Raw FS'!B39</f>
        <v>Other asset items</v>
      </c>
      <c r="G12" s="96">
        <f>'Raw FS'!J39</f>
        <v>551</v>
      </c>
      <c r="H12" s="96">
        <f>'Raw FS'!K39</f>
        <v>414</v>
      </c>
      <c r="I12" s="96">
        <f>'Raw FS'!L39</f>
        <v>561</v>
      </c>
      <c r="J12" s="96">
        <f>'Raw FS'!M39</f>
        <v>720</v>
      </c>
      <c r="K12" s="96">
        <f>'Raw FS'!N39</f>
        <v>661</v>
      </c>
    </row>
    <row r="13" spans="2:11">
      <c r="B13" s="98" t="s">
        <v>146</v>
      </c>
      <c r="C13" s="3"/>
      <c r="D13" s="3"/>
      <c r="E13" s="3"/>
      <c r="F13" s="3"/>
      <c r="G13" s="114">
        <f>SUM(G9:G12)</f>
        <v>6081</v>
      </c>
      <c r="H13" s="114">
        <f t="shared" ref="H13:K13" si="0">SUM(H9:H12)</f>
        <v>6529</v>
      </c>
      <c r="I13" s="114">
        <f t="shared" si="0"/>
        <v>6923</v>
      </c>
      <c r="J13" s="114">
        <f t="shared" si="0"/>
        <v>8967</v>
      </c>
      <c r="K13" s="114">
        <f t="shared" si="0"/>
        <v>12901</v>
      </c>
    </row>
    <row r="14" spans="2:11">
      <c r="G14" s="96"/>
      <c r="H14" s="96"/>
      <c r="I14" s="96"/>
      <c r="J14" s="96"/>
      <c r="K14" s="96"/>
    </row>
    <row r="15" spans="2:11">
      <c r="B15" s="2" t="s">
        <v>224</v>
      </c>
      <c r="G15" s="96"/>
      <c r="H15" s="96"/>
      <c r="I15" s="96"/>
      <c r="J15" s="96"/>
      <c r="K15" s="96"/>
    </row>
    <row r="16" spans="2:11">
      <c r="B16" s="94" t="str">
        <f>'Raw FS'!B13</f>
        <v>Trade Payables</v>
      </c>
      <c r="C16" s="94"/>
      <c r="D16" s="94"/>
      <c r="E16" s="94"/>
      <c r="F16" s="94"/>
      <c r="G16" s="95">
        <f>'Raw FS'!J13</f>
        <v>2160</v>
      </c>
      <c r="H16" s="95">
        <f>'Raw FS'!K13</f>
        <v>2394</v>
      </c>
      <c r="I16" s="95">
        <f>'Raw FS'!L13</f>
        <v>2137</v>
      </c>
      <c r="J16" s="95">
        <f>'Raw FS'!M13</f>
        <v>3379</v>
      </c>
      <c r="K16" s="95">
        <f>'Raw FS'!N13</f>
        <v>4164</v>
      </c>
    </row>
    <row r="17" spans="1:11">
      <c r="B17" s="94" t="str">
        <f>'Raw FS'!B14</f>
        <v>Advance from Customers</v>
      </c>
      <c r="C17" s="94"/>
      <c r="D17" s="94"/>
      <c r="E17" s="94"/>
      <c r="F17" s="94"/>
      <c r="G17" s="95">
        <f>'Raw FS'!J14</f>
        <v>16</v>
      </c>
      <c r="H17" s="95">
        <f>'Raw FS'!K14</f>
        <v>13</v>
      </c>
      <c r="I17" s="95">
        <f>'Raw FS'!L14</f>
        <v>29</v>
      </c>
      <c r="J17" s="95">
        <f>'Raw FS'!M14</f>
        <v>41</v>
      </c>
      <c r="K17" s="95">
        <f>'Raw FS'!N14</f>
        <v>76</v>
      </c>
    </row>
    <row r="18" spans="1:11">
      <c r="B18" s="94" t="str">
        <f>'Raw FS'!B15</f>
        <v>Other liability items</v>
      </c>
      <c r="C18" s="94"/>
      <c r="D18" s="94"/>
      <c r="E18" s="94"/>
      <c r="F18" s="94"/>
      <c r="G18" s="95">
        <f>'Raw FS'!J15</f>
        <v>2316</v>
      </c>
      <c r="H18" s="95">
        <f>'Raw FS'!K15</f>
        <v>2690</v>
      </c>
      <c r="I18" s="95">
        <f>'Raw FS'!L15</f>
        <v>2320</v>
      </c>
      <c r="J18" s="95">
        <f>'Raw FS'!M15</f>
        <v>2613</v>
      </c>
      <c r="K18" s="95">
        <f>'Raw FS'!N15</f>
        <v>2932</v>
      </c>
    </row>
    <row r="19" spans="1:11">
      <c r="B19" s="98" t="s">
        <v>225</v>
      </c>
      <c r="C19" s="3"/>
      <c r="D19" s="3"/>
      <c r="E19" s="3"/>
      <c r="F19" s="3"/>
      <c r="G19" s="114">
        <f>SUM(G16:G18)</f>
        <v>4492</v>
      </c>
      <c r="H19" s="114">
        <f>SUM(H16:H18)</f>
        <v>5097</v>
      </c>
      <c r="I19" s="114">
        <f>SUM(I16:I18)</f>
        <v>4486</v>
      </c>
      <c r="J19" s="114">
        <f>SUM(J16:J18)</f>
        <v>6033</v>
      </c>
      <c r="K19" s="114">
        <f>SUM(K16:K18)</f>
        <v>7172</v>
      </c>
    </row>
    <row r="20" spans="1:11">
      <c r="G20" s="96"/>
      <c r="H20" s="96"/>
      <c r="I20" s="96"/>
      <c r="J20" s="96"/>
      <c r="K20" s="96"/>
    </row>
    <row r="21" spans="1:11" ht="15.75" thickBot="1">
      <c r="A21" t="s">
        <v>103</v>
      </c>
      <c r="B21" s="102" t="s">
        <v>226</v>
      </c>
      <c r="C21" s="102"/>
      <c r="D21" s="102"/>
      <c r="E21" s="102"/>
      <c r="F21" s="102"/>
      <c r="G21" s="115">
        <f>G13-G19</f>
        <v>1589</v>
      </c>
      <c r="H21" s="115">
        <f t="shared" ref="H21:K21" si="1">H13-H19</f>
        <v>1432</v>
      </c>
      <c r="I21" s="115">
        <f t="shared" si="1"/>
        <v>2437</v>
      </c>
      <c r="J21" s="115">
        <f t="shared" si="1"/>
        <v>2934</v>
      </c>
      <c r="K21" s="115">
        <f t="shared" si="1"/>
        <v>5729</v>
      </c>
    </row>
    <row r="22" spans="1:11">
      <c r="G22" s="96"/>
      <c r="H22" s="96"/>
      <c r="I22" s="96"/>
      <c r="J22" s="96"/>
      <c r="K22" s="96"/>
    </row>
    <row r="23" spans="1:11">
      <c r="B23" s="2" t="s">
        <v>227</v>
      </c>
      <c r="G23" s="96"/>
      <c r="H23" s="96"/>
      <c r="I23" s="96"/>
      <c r="J23" s="96"/>
      <c r="K23" s="96"/>
    </row>
    <row r="24" spans="1:11">
      <c r="B24" s="94" t="str">
        <f>'Raw FS'!B19</f>
        <v>Land</v>
      </c>
      <c r="C24" s="94"/>
      <c r="D24" s="94"/>
      <c r="E24" s="94"/>
      <c r="F24" s="94"/>
      <c r="G24" s="95">
        <f>'Raw FS'!J19</f>
        <v>586</v>
      </c>
      <c r="H24" s="95">
        <f>'Raw FS'!K19</f>
        <v>605</v>
      </c>
      <c r="I24" s="95">
        <f>'Raw FS'!L19</f>
        <v>640</v>
      </c>
      <c r="J24" s="95">
        <f>'Raw FS'!M19</f>
        <v>644</v>
      </c>
      <c r="K24" s="95">
        <f>'Raw FS'!N19</f>
        <v>644</v>
      </c>
    </row>
    <row r="25" spans="1:11">
      <c r="B25" s="94" t="str">
        <f>'Raw FS'!B20</f>
        <v>Building</v>
      </c>
      <c r="C25" s="94"/>
      <c r="D25" s="94"/>
      <c r="E25" s="94"/>
      <c r="F25" s="94"/>
      <c r="G25" s="95">
        <f>'Raw FS'!J20</f>
        <v>957</v>
      </c>
      <c r="H25" s="95">
        <f>'Raw FS'!K20</f>
        <v>2402</v>
      </c>
      <c r="I25" s="95">
        <f>'Raw FS'!L20</f>
        <v>2257</v>
      </c>
      <c r="J25" s="95">
        <f>'Raw FS'!M20</f>
        <v>2249</v>
      </c>
      <c r="K25" s="95">
        <f>'Raw FS'!N20</f>
        <v>2325</v>
      </c>
    </row>
    <row r="26" spans="1:11">
      <c r="B26" s="94" t="str">
        <f>'Raw FS'!B21</f>
        <v>Plant Machinery</v>
      </c>
      <c r="C26" s="94"/>
      <c r="D26" s="94"/>
      <c r="E26" s="94"/>
      <c r="F26" s="94"/>
      <c r="G26" s="95">
        <f>'Raw FS'!J21</f>
        <v>2157</v>
      </c>
      <c r="H26" s="95">
        <f>'Raw FS'!K21</f>
        <v>4006</v>
      </c>
      <c r="I26" s="95">
        <f>'Raw FS'!L21</f>
        <v>4208</v>
      </c>
      <c r="J26" s="95">
        <f>'Raw FS'!M21</f>
        <v>4340</v>
      </c>
      <c r="K26" s="95">
        <f>'Raw FS'!N21</f>
        <v>4531</v>
      </c>
    </row>
    <row r="27" spans="1:11">
      <c r="B27" s="94" t="str">
        <f>'Raw FS'!B22</f>
        <v>Equipments</v>
      </c>
      <c r="C27" s="94"/>
      <c r="D27" s="94"/>
      <c r="E27" s="94"/>
      <c r="F27" s="94"/>
      <c r="G27" s="95">
        <f>'Raw FS'!J22</f>
        <v>200</v>
      </c>
      <c r="H27" s="95">
        <f>'Raw FS'!K22</f>
        <v>221</v>
      </c>
      <c r="I27" s="95">
        <f>'Raw FS'!L22</f>
        <v>241</v>
      </c>
      <c r="J27" s="95">
        <f>'Raw FS'!M22</f>
        <v>243</v>
      </c>
      <c r="K27" s="95">
        <f>'Raw FS'!N22</f>
        <v>253</v>
      </c>
    </row>
    <row r="28" spans="1:11">
      <c r="B28" s="94" t="str">
        <f>'Raw FS'!B23</f>
        <v>Furniture n fittings</v>
      </c>
      <c r="C28" s="94"/>
      <c r="D28" s="94"/>
      <c r="E28" s="94"/>
      <c r="F28" s="94"/>
      <c r="G28" s="95">
        <f>'Raw FS'!J23</f>
        <v>72</v>
      </c>
      <c r="H28" s="95">
        <f>'Raw FS'!K23</f>
        <v>88</v>
      </c>
      <c r="I28" s="95">
        <f>'Raw FS'!L23</f>
        <v>94</v>
      </c>
      <c r="J28" s="95">
        <f>'Raw FS'!M23</f>
        <v>99</v>
      </c>
      <c r="K28" s="95">
        <f>'Raw FS'!N23</f>
        <v>113</v>
      </c>
    </row>
    <row r="29" spans="1:11">
      <c r="B29" s="94" t="str">
        <f>'Raw FS'!B24</f>
        <v>Vehicles</v>
      </c>
      <c r="C29" s="94"/>
      <c r="D29" s="94"/>
      <c r="E29" s="94"/>
      <c r="F29" s="94"/>
      <c r="G29" s="95">
        <f>'Raw FS'!J24</f>
        <v>27</v>
      </c>
      <c r="H29" s="95">
        <f>'Raw FS'!K24</f>
        <v>47</v>
      </c>
      <c r="I29" s="95">
        <f>'Raw FS'!L24</f>
        <v>43</v>
      </c>
      <c r="J29" s="95">
        <f>'Raw FS'!M24</f>
        <v>38</v>
      </c>
      <c r="K29" s="95">
        <f>'Raw FS'!N24</f>
        <v>32</v>
      </c>
    </row>
    <row r="30" spans="1:11">
      <c r="B30" s="94" t="str">
        <f>'Raw FS'!B25</f>
        <v>Intangible Assets</v>
      </c>
      <c r="C30" s="94"/>
      <c r="D30" s="94"/>
      <c r="E30" s="94"/>
      <c r="F30" s="94"/>
      <c r="G30" s="95">
        <f>'Raw FS'!J25</f>
        <v>468</v>
      </c>
      <c r="H30" s="95">
        <f>'Raw FS'!K25</f>
        <v>512</v>
      </c>
      <c r="I30" s="95">
        <f>'Raw FS'!L25</f>
        <v>505</v>
      </c>
      <c r="J30" s="95">
        <f>'Raw FS'!M25</f>
        <v>476</v>
      </c>
      <c r="K30" s="95">
        <f>'Raw FS'!N25</f>
        <v>411</v>
      </c>
    </row>
    <row r="31" spans="1:11">
      <c r="B31" s="94" t="str">
        <f>'Raw FS'!B26</f>
        <v>Other fixed assets</v>
      </c>
      <c r="C31" s="94"/>
      <c r="D31" s="94"/>
      <c r="E31" s="94"/>
      <c r="F31" s="94"/>
      <c r="G31" s="95">
        <f>'Raw FS'!J26</f>
        <v>238</v>
      </c>
      <c r="H31" s="95">
        <f>'Raw FS'!K26</f>
        <v>261</v>
      </c>
      <c r="I31" s="95">
        <f>'Raw FS'!L26</f>
        <v>293</v>
      </c>
      <c r="J31" s="95">
        <f>'Raw FS'!M26</f>
        <v>302</v>
      </c>
      <c r="K31" s="95">
        <f>'Raw FS'!N26</f>
        <v>294</v>
      </c>
    </row>
    <row r="32" spans="1:11" ht="5.25" customHeight="1">
      <c r="B32" s="94"/>
      <c r="C32" s="94"/>
      <c r="D32" s="94"/>
      <c r="E32" s="94"/>
      <c r="F32" s="94"/>
      <c r="G32" s="95"/>
      <c r="H32" s="95"/>
      <c r="I32" s="95"/>
      <c r="J32" s="95"/>
      <c r="K32" s="95"/>
    </row>
    <row r="33" spans="1:11">
      <c r="B33" s="98" t="s">
        <v>211</v>
      </c>
      <c r="C33" s="3"/>
      <c r="D33" s="3"/>
      <c r="E33" s="3"/>
      <c r="F33" s="3"/>
      <c r="G33" s="114">
        <f>SUM(G24:G32)</f>
        <v>4705</v>
      </c>
      <c r="H33" s="114">
        <f t="shared" ref="H33:K33" si="2">SUM(H24:H32)</f>
        <v>8142</v>
      </c>
      <c r="I33" s="114">
        <f t="shared" si="2"/>
        <v>8281</v>
      </c>
      <c r="J33" s="114">
        <f t="shared" si="2"/>
        <v>8391</v>
      </c>
      <c r="K33" s="114">
        <f t="shared" si="2"/>
        <v>8603</v>
      </c>
    </row>
    <row r="34" spans="1:11">
      <c r="B34" t="s">
        <v>212</v>
      </c>
      <c r="G34" s="96">
        <f>-'Raw FS'!J28</f>
        <v>-973</v>
      </c>
      <c r="H34" s="96">
        <f>-'Raw FS'!K28</f>
        <v>-1592</v>
      </c>
      <c r="I34" s="96">
        <f>-'Raw FS'!L28</f>
        <v>-2010</v>
      </c>
      <c r="J34" s="96">
        <f>-'Raw FS'!M28</f>
        <v>-2533</v>
      </c>
      <c r="K34" s="96">
        <f>-'Raw FS'!N28</f>
        <v>-3085</v>
      </c>
    </row>
    <row r="35" spans="1:11" ht="15.75" thickBot="1">
      <c r="A35" t="s">
        <v>103</v>
      </c>
      <c r="B35" s="102" t="s">
        <v>228</v>
      </c>
      <c r="C35" s="102"/>
      <c r="D35" s="102"/>
      <c r="E35" s="102"/>
      <c r="F35" s="102"/>
      <c r="G35" s="115">
        <f>SUM(G33:G34)</f>
        <v>3732</v>
      </c>
      <c r="H35" s="115">
        <f t="shared" ref="H35:K35" si="3">SUM(H33:H34)</f>
        <v>6550</v>
      </c>
      <c r="I35" s="115">
        <f t="shared" si="3"/>
        <v>6271</v>
      </c>
      <c r="J35" s="115">
        <f t="shared" si="3"/>
        <v>5858</v>
      </c>
      <c r="K35" s="115">
        <f t="shared" si="3"/>
        <v>5518</v>
      </c>
    </row>
    <row r="36" spans="1:11">
      <c r="G36" s="96"/>
      <c r="H36" s="96"/>
      <c r="I36" s="96"/>
      <c r="J36" s="96"/>
      <c r="K36" s="96"/>
    </row>
    <row r="37" spans="1:11">
      <c r="A37" t="s">
        <v>103</v>
      </c>
      <c r="B37" s="2" t="s">
        <v>229</v>
      </c>
      <c r="C37" s="2"/>
      <c r="D37" s="2"/>
      <c r="E37" s="2"/>
      <c r="F37" s="2"/>
      <c r="G37" s="97">
        <f>G35+G21</f>
        <v>5321</v>
      </c>
      <c r="H37" s="97">
        <f t="shared" ref="H37:K37" si="4">H35+H21</f>
        <v>7982</v>
      </c>
      <c r="I37" s="97">
        <f t="shared" si="4"/>
        <v>8708</v>
      </c>
      <c r="J37" s="97">
        <f t="shared" si="4"/>
        <v>8792</v>
      </c>
      <c r="K37" s="97">
        <f t="shared" si="4"/>
        <v>11247</v>
      </c>
    </row>
    <row r="38" spans="1:11">
      <c r="B38" s="2" t="s">
        <v>230</v>
      </c>
      <c r="C38" s="2"/>
      <c r="D38" s="2"/>
      <c r="E38" s="2"/>
      <c r="F38" s="2"/>
      <c r="G38" s="97">
        <f>(HistoricalFS!H27+HistoricalFS!H21)</f>
        <v>1420.8200000000015</v>
      </c>
      <c r="H38" s="97">
        <f>(HistoricalFS!I27+HistoricalFS!I21)</f>
        <v>1753.9000000000005</v>
      </c>
      <c r="I38" s="97">
        <f>(HistoricalFS!J27+HistoricalFS!J21)</f>
        <v>1330.6699999999985</v>
      </c>
      <c r="J38" s="97">
        <f>(HistoricalFS!K27+HistoricalFS!K21)</f>
        <v>2004.2700000000013</v>
      </c>
      <c r="K38" s="97">
        <f>(HistoricalFS!L27+HistoricalFS!L21)</f>
        <v>2998.1599999999971</v>
      </c>
    </row>
    <row r="40" spans="1:11" ht="15.75" thickBot="1">
      <c r="A40" t="s">
        <v>103</v>
      </c>
      <c r="B40" s="102" t="s">
        <v>221</v>
      </c>
      <c r="C40" s="103"/>
      <c r="D40" s="103"/>
      <c r="E40" s="103"/>
      <c r="F40" s="103"/>
      <c r="G40" s="104">
        <f>G38/G37</f>
        <v>0.26702123660966015</v>
      </c>
      <c r="H40" s="104">
        <f t="shared" ref="H40:K40" si="5">H38/H37</f>
        <v>0.21973189676772745</v>
      </c>
      <c r="I40" s="104">
        <f t="shared" si="5"/>
        <v>0.15281005971520423</v>
      </c>
      <c r="J40" s="104">
        <f t="shared" si="5"/>
        <v>0.22796519563239323</v>
      </c>
      <c r="K40" s="104">
        <f t="shared" si="5"/>
        <v>0.26657419756379452</v>
      </c>
    </row>
    <row r="43" spans="1:11">
      <c r="A43" t="s">
        <v>103</v>
      </c>
      <c r="B43" s="53" t="s">
        <v>231</v>
      </c>
      <c r="C43" s="54"/>
      <c r="D43" s="54"/>
      <c r="E43" s="54"/>
      <c r="F43" s="54"/>
      <c r="G43" s="90">
        <f>'Raw FS'!J$2</f>
        <v>43160</v>
      </c>
      <c r="H43" s="90">
        <f>'Raw FS'!K$2</f>
        <v>43525</v>
      </c>
      <c r="I43" s="90">
        <f>'Raw FS'!L$2</f>
        <v>43891</v>
      </c>
      <c r="J43" s="90">
        <f>'Raw FS'!M$2</f>
        <v>44256</v>
      </c>
      <c r="K43" s="90">
        <f>'Raw FS'!N$2</f>
        <v>44621</v>
      </c>
    </row>
    <row r="45" spans="1:11">
      <c r="B45" s="94" t="s">
        <v>232</v>
      </c>
      <c r="C45" s="94"/>
      <c r="D45" s="94"/>
      <c r="E45" s="94"/>
      <c r="F45" s="94"/>
      <c r="G45" s="95">
        <f>-SUM('Raw FS'!J54:J55)</f>
        <v>1409</v>
      </c>
      <c r="H45" s="95">
        <f>-SUM('Raw FS'!K54:K55)</f>
        <v>1134</v>
      </c>
      <c r="I45" s="95">
        <f>-SUM('Raw FS'!L54:L55)</f>
        <v>367</v>
      </c>
      <c r="J45" s="95">
        <f>-SUM('Raw FS'!M54:M55)</f>
        <v>254</v>
      </c>
      <c r="K45" s="95">
        <f>-SUM('Raw FS'!N54:N55)</f>
        <v>498</v>
      </c>
    </row>
    <row r="46" spans="1:11">
      <c r="B46" s="94" t="s">
        <v>257</v>
      </c>
      <c r="C46" s="94"/>
      <c r="D46" s="94"/>
      <c r="E46" s="94"/>
      <c r="F46" s="94"/>
      <c r="G46" s="95"/>
      <c r="H46" s="95">
        <f>H21-G21</f>
        <v>-157</v>
      </c>
      <c r="I46" s="95">
        <f t="shared" ref="I46:K46" si="6">I21-H21</f>
        <v>1005</v>
      </c>
      <c r="J46" s="95">
        <f t="shared" si="6"/>
        <v>497</v>
      </c>
      <c r="K46" s="95">
        <f t="shared" si="6"/>
        <v>2795</v>
      </c>
    </row>
    <row r="47" spans="1:11">
      <c r="B47" s="94"/>
      <c r="C47" s="94"/>
      <c r="D47" s="94"/>
      <c r="E47" s="94"/>
      <c r="F47" s="94"/>
      <c r="G47" s="95"/>
      <c r="H47" s="95"/>
      <c r="I47" s="95"/>
      <c r="J47" s="95"/>
      <c r="K47" s="95"/>
    </row>
    <row r="48" spans="1:11">
      <c r="B48" s="94" t="s">
        <v>230</v>
      </c>
      <c r="C48" s="94"/>
      <c r="D48" s="94"/>
      <c r="E48" s="94"/>
      <c r="F48" s="94"/>
      <c r="G48" s="95">
        <f>G38</f>
        <v>1420.8200000000015</v>
      </c>
      <c r="H48" s="95">
        <f t="shared" ref="H48:K48" si="7">H38</f>
        <v>1753.9000000000005</v>
      </c>
      <c r="I48" s="95">
        <f t="shared" si="7"/>
        <v>1330.6699999999985</v>
      </c>
      <c r="J48" s="95">
        <f t="shared" si="7"/>
        <v>2004.2700000000013</v>
      </c>
      <c r="K48" s="95">
        <f t="shared" si="7"/>
        <v>2998.1599999999971</v>
      </c>
    </row>
    <row r="49" spans="1:13">
      <c r="B49" s="94" t="s">
        <v>258</v>
      </c>
      <c r="C49" s="94"/>
      <c r="D49" s="94"/>
      <c r="E49" s="94"/>
      <c r="F49" s="94"/>
      <c r="G49" s="116">
        <v>0.25</v>
      </c>
      <c r="H49" s="116">
        <v>0.25</v>
      </c>
      <c r="I49" s="116">
        <v>0.25</v>
      </c>
      <c r="J49" s="116">
        <v>0.25</v>
      </c>
      <c r="K49" s="116">
        <v>0.25</v>
      </c>
    </row>
    <row r="50" spans="1:13">
      <c r="B50" s="94" t="s">
        <v>260</v>
      </c>
      <c r="C50" s="94"/>
      <c r="D50" s="94"/>
      <c r="E50" s="94"/>
      <c r="F50" s="94"/>
      <c r="G50" s="117">
        <f>G48*(1-G49)</f>
        <v>1065.6150000000011</v>
      </c>
      <c r="H50" s="117">
        <f t="shared" ref="H50:K50" si="8">H48*(1-H49)</f>
        <v>1315.4250000000004</v>
      </c>
      <c r="I50" s="117">
        <f t="shared" si="8"/>
        <v>998.00249999999892</v>
      </c>
      <c r="J50" s="117">
        <f t="shared" si="8"/>
        <v>1503.202500000001</v>
      </c>
      <c r="K50" s="117">
        <f t="shared" si="8"/>
        <v>2248.6199999999981</v>
      </c>
    </row>
    <row r="51" spans="1:13">
      <c r="B51" s="94"/>
      <c r="C51" s="94"/>
      <c r="D51" s="94"/>
      <c r="E51" s="94"/>
      <c r="F51" s="94"/>
      <c r="G51" s="95"/>
      <c r="H51" s="95"/>
      <c r="I51" s="95"/>
      <c r="J51" s="95"/>
      <c r="K51" s="95"/>
    </row>
    <row r="52" spans="1:13">
      <c r="B52" s="94" t="s">
        <v>259</v>
      </c>
      <c r="C52" s="94"/>
      <c r="D52" s="94"/>
      <c r="E52" s="94"/>
      <c r="F52" s="94"/>
      <c r="G52" s="95"/>
      <c r="H52" s="95">
        <f>SUM(H45:H46)</f>
        <v>977</v>
      </c>
      <c r="I52" s="95">
        <f t="shared" ref="I52:K52" si="9">SUM(I45:I46)</f>
        <v>1372</v>
      </c>
      <c r="J52" s="95">
        <f t="shared" si="9"/>
        <v>751</v>
      </c>
      <c r="K52" s="95">
        <f t="shared" si="9"/>
        <v>3293</v>
      </c>
    </row>
    <row r="53" spans="1:13" ht="3.75" customHeight="1">
      <c r="H53" s="89"/>
      <c r="I53" s="89"/>
      <c r="J53" s="89"/>
      <c r="K53" s="89"/>
    </row>
    <row r="54" spans="1:13" ht="15.75" thickBot="1">
      <c r="B54" s="102" t="s">
        <v>261</v>
      </c>
      <c r="C54" s="102"/>
      <c r="D54" s="102"/>
      <c r="E54" s="102"/>
      <c r="F54" s="102"/>
      <c r="G54" s="102"/>
      <c r="H54" s="104">
        <f>H52/H50</f>
        <v>0.74272573502860273</v>
      </c>
      <c r="I54" s="104">
        <f t="shared" ref="I54:K54" si="10">I52/I50</f>
        <v>1.3747460552453541</v>
      </c>
      <c r="J54" s="104">
        <f t="shared" si="10"/>
        <v>0.49960002062263698</v>
      </c>
      <c r="K54" s="104">
        <f t="shared" si="10"/>
        <v>1.464453753857923</v>
      </c>
    </row>
    <row r="55" spans="1:13">
      <c r="H55" s="14"/>
      <c r="I55" s="14"/>
      <c r="J55" s="14"/>
      <c r="K55" s="14"/>
    </row>
    <row r="56" spans="1:13">
      <c r="J56" s="62" t="s">
        <v>262</v>
      </c>
      <c r="K56" s="63">
        <f>AVERAGE(H54:K54)</f>
        <v>1.020381391188629</v>
      </c>
    </row>
    <row r="57" spans="1:13">
      <c r="J57" s="62" t="s">
        <v>263</v>
      </c>
      <c r="K57" s="63">
        <f>MEDIAN(H54:K54)</f>
        <v>1.0587358951369783</v>
      </c>
    </row>
    <row r="59" spans="1:13">
      <c r="A59" t="s">
        <v>103</v>
      </c>
      <c r="B59" s="53" t="s">
        <v>264</v>
      </c>
      <c r="C59" s="54"/>
      <c r="D59" s="54"/>
      <c r="E59" s="54"/>
      <c r="F59" s="54"/>
      <c r="G59" s="90">
        <f>'Raw FS'!J$2</f>
        <v>43160</v>
      </c>
      <c r="H59" s="90">
        <f>'Raw FS'!K$2</f>
        <v>43525</v>
      </c>
      <c r="I59" s="90">
        <f>'Raw FS'!L$2</f>
        <v>43891</v>
      </c>
      <c r="J59" s="90">
        <f>'Raw FS'!M$2</f>
        <v>44256</v>
      </c>
      <c r="K59" s="90">
        <f>'Raw FS'!N$2</f>
        <v>44621</v>
      </c>
    </row>
    <row r="61" spans="1:13">
      <c r="B61" s="94" t="s">
        <v>261</v>
      </c>
      <c r="C61" s="94"/>
      <c r="D61" s="94"/>
      <c r="E61" s="94"/>
      <c r="F61" s="94"/>
      <c r="G61" s="94"/>
      <c r="H61" s="118">
        <f>H54</f>
        <v>0.74272573502860273</v>
      </c>
      <c r="I61" s="118">
        <f t="shared" ref="I61:K61" si="11">I54</f>
        <v>1.3747460552453541</v>
      </c>
      <c r="J61" s="118">
        <f t="shared" si="11"/>
        <v>0.49960002062263698</v>
      </c>
      <c r="K61" s="118">
        <f t="shared" si="11"/>
        <v>1.464453753857923</v>
      </c>
    </row>
    <row r="62" spans="1:13">
      <c r="B62" s="94" t="s">
        <v>221</v>
      </c>
      <c r="C62" s="94"/>
      <c r="D62" s="94"/>
      <c r="E62" s="94"/>
      <c r="F62" s="94"/>
      <c r="G62" s="94"/>
      <c r="H62" s="118">
        <f>H40</f>
        <v>0.21973189676772745</v>
      </c>
      <c r="I62" s="118">
        <f t="shared" ref="I62:K62" si="12">I40</f>
        <v>0.15281005971520423</v>
      </c>
      <c r="J62" s="118">
        <f t="shared" si="12"/>
        <v>0.22796519563239323</v>
      </c>
      <c r="K62" s="118">
        <f t="shared" si="12"/>
        <v>0.26657419756379452</v>
      </c>
    </row>
    <row r="63" spans="1:13" ht="4.5" customHeight="1"/>
    <row r="64" spans="1:13" ht="15.75" thickBot="1">
      <c r="B64" s="102" t="s">
        <v>265</v>
      </c>
      <c r="C64" s="102"/>
      <c r="D64" s="102"/>
      <c r="E64" s="102"/>
      <c r="F64" s="102"/>
      <c r="G64" s="102"/>
      <c r="H64" s="119">
        <f>H61*H62</f>
        <v>0.16320053453603942</v>
      </c>
      <c r="I64" s="119">
        <f t="shared" ref="I64:K64" si="13">I61*I62</f>
        <v>0.210075026795284</v>
      </c>
      <c r="J64" s="119">
        <f>J61*J62</f>
        <v>0.11389141643918713</v>
      </c>
      <c r="K64" s="119">
        <f t="shared" si="13"/>
        <v>0.39038558430396247</v>
      </c>
      <c r="M64" s="113"/>
    </row>
    <row r="66" spans="10:11">
      <c r="J66" s="62" t="s">
        <v>262</v>
      </c>
      <c r="K66" s="63">
        <f>AVERAGE(H64:K64)</f>
        <v>0.21938814051861827</v>
      </c>
    </row>
    <row r="67" spans="10:11">
      <c r="J67" s="62" t="s">
        <v>263</v>
      </c>
      <c r="K67" s="63">
        <f>MEDIAN(H64:K64)</f>
        <v>0.18663778066566172</v>
      </c>
    </row>
  </sheetData>
  <pageMargins left="0.7" right="0.7" top="0.75" bottom="0.75" header="0.3" footer="0.3"/>
  <ignoredErrors>
    <ignoredError sqref="G45:K45"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5"/>
  <sheetViews>
    <sheetView showGridLines="0" zoomScale="90" zoomScaleNormal="90" workbookViewId="0">
      <pane ySplit="4" topLeftCell="A21" activePane="bottomLeft" state="frozen"/>
      <selection pane="bottomLeft" activeCell="H32" sqref="H32"/>
    </sheetView>
  </sheetViews>
  <sheetFormatPr defaultRowHeight="15"/>
  <cols>
    <col min="1" max="1" width="1.85546875" customWidth="1"/>
    <col min="4" max="4" width="18.5703125" customWidth="1"/>
    <col min="5" max="5" width="11.42578125" bestFit="1" customWidth="1"/>
    <col min="6" max="6" width="10.140625" bestFit="1" customWidth="1"/>
    <col min="7" max="7" width="12" bestFit="1" customWidth="1"/>
    <col min="8" max="10" width="10.140625" bestFit="1" customWidth="1"/>
    <col min="11" max="11" width="10.5703125" bestFit="1" customWidth="1"/>
  </cols>
  <sheetData>
    <row r="1" spans="2:11">
      <c r="B1" s="1"/>
      <c r="C1" s="1"/>
      <c r="D1" s="1"/>
      <c r="E1" s="1"/>
      <c r="F1" s="1"/>
      <c r="G1" s="1"/>
      <c r="H1" s="1"/>
      <c r="I1" s="1"/>
      <c r="J1" s="1"/>
      <c r="K1" s="1"/>
    </row>
    <row r="2" spans="2:11">
      <c r="B2" s="1"/>
      <c r="C2" s="1"/>
      <c r="D2" s="1"/>
      <c r="E2" s="1"/>
      <c r="F2" s="1"/>
      <c r="G2" s="1"/>
      <c r="H2" s="1"/>
      <c r="I2" s="1"/>
      <c r="J2" s="1"/>
      <c r="K2" s="1"/>
    </row>
    <row r="3" spans="2:11">
      <c r="B3" s="1"/>
      <c r="C3" s="1"/>
      <c r="D3" s="1"/>
      <c r="E3" s="1"/>
      <c r="F3" s="1"/>
      <c r="G3" s="1"/>
      <c r="H3" s="1"/>
      <c r="I3" s="1"/>
      <c r="J3" s="1"/>
      <c r="K3" s="1"/>
    </row>
    <row r="4" spans="2:11">
      <c r="B4" s="1"/>
      <c r="C4" s="1"/>
      <c r="D4" s="1"/>
      <c r="E4" s="1"/>
      <c r="F4" s="1"/>
      <c r="G4" s="1"/>
      <c r="H4" s="1"/>
      <c r="I4" s="1"/>
      <c r="J4" s="1"/>
      <c r="K4" s="1"/>
    </row>
    <row r="5" spans="2:11">
      <c r="F5">
        <v>0</v>
      </c>
      <c r="G5">
        <v>0.5</v>
      </c>
      <c r="H5">
        <v>1.5</v>
      </c>
      <c r="I5">
        <v>2.5</v>
      </c>
      <c r="J5">
        <v>3.5</v>
      </c>
      <c r="K5">
        <v>4.5</v>
      </c>
    </row>
    <row r="6" spans="2:11">
      <c r="B6" s="53" t="s">
        <v>275</v>
      </c>
      <c r="C6" s="54"/>
      <c r="D6" s="54"/>
      <c r="E6" s="54"/>
      <c r="F6" s="90">
        <f>'Raw FS'!N2</f>
        <v>44621</v>
      </c>
      <c r="G6" s="90">
        <f>F6+365</f>
        <v>44986</v>
      </c>
      <c r="H6" s="90">
        <f t="shared" ref="H6:K6" si="0">G6+365</f>
        <v>45351</v>
      </c>
      <c r="I6" s="90">
        <f t="shared" si="0"/>
        <v>45716</v>
      </c>
      <c r="J6" s="90">
        <f t="shared" si="0"/>
        <v>46081</v>
      </c>
      <c r="K6" s="90">
        <f t="shared" si="0"/>
        <v>46446</v>
      </c>
    </row>
    <row r="8" spans="2:11">
      <c r="B8" t="s">
        <v>230</v>
      </c>
      <c r="F8" s="121">
        <f>'Data Sheet'!K34-'Data Sheet'!K26</f>
        <v>3127.67</v>
      </c>
      <c r="G8" s="121">
        <f>F8*(1+$E$22)</f>
        <v>3776.661525</v>
      </c>
      <c r="H8" s="121">
        <f t="shared" ref="H8:K8" si="1">G8*(1+$E$22)</f>
        <v>4560.3187914375003</v>
      </c>
      <c r="I8" s="121">
        <f t="shared" si="1"/>
        <v>5506.5849406607813</v>
      </c>
      <c r="J8" s="121">
        <f t="shared" si="1"/>
        <v>6649.2013158478931</v>
      </c>
      <c r="K8" s="121">
        <f t="shared" si="1"/>
        <v>8028.9105888863314</v>
      </c>
    </row>
    <row r="10" spans="2:11">
      <c r="B10" t="s">
        <v>31</v>
      </c>
      <c r="F10" s="16">
        <v>0.25</v>
      </c>
      <c r="G10" s="16">
        <f>F10</f>
        <v>0.25</v>
      </c>
      <c r="H10" s="16">
        <f t="shared" ref="H10:K10" si="2">G10</f>
        <v>0.25</v>
      </c>
      <c r="I10" s="16">
        <f t="shared" si="2"/>
        <v>0.25</v>
      </c>
      <c r="J10" s="16">
        <f t="shared" si="2"/>
        <v>0.25</v>
      </c>
      <c r="K10" s="16">
        <f t="shared" si="2"/>
        <v>0.25</v>
      </c>
    </row>
    <row r="12" spans="2:11">
      <c r="B12" t="s">
        <v>266</v>
      </c>
      <c r="F12" s="121">
        <f>F8*(1-F10)</f>
        <v>2345.7525000000001</v>
      </c>
      <c r="G12" s="121">
        <f t="shared" ref="G12:K12" si="3">G8*(1-G10)</f>
        <v>2832.4961437500001</v>
      </c>
      <c r="H12" s="121">
        <f t="shared" si="3"/>
        <v>3420.239093578125</v>
      </c>
      <c r="I12" s="121">
        <f t="shared" si="3"/>
        <v>4129.938705495586</v>
      </c>
      <c r="J12" s="121">
        <f t="shared" si="3"/>
        <v>4986.9009868859193</v>
      </c>
      <c r="K12" s="121">
        <f t="shared" si="3"/>
        <v>6021.6829416647488</v>
      </c>
    </row>
    <row r="14" spans="2:11">
      <c r="B14" t="s">
        <v>267</v>
      </c>
      <c r="F14" s="16">
        <v>0.4914</v>
      </c>
      <c r="G14" s="16">
        <f>F14</f>
        <v>0.4914</v>
      </c>
      <c r="H14" s="16">
        <f t="shared" ref="H14:K14" si="4">G14</f>
        <v>0.4914</v>
      </c>
      <c r="I14" s="16">
        <f t="shared" si="4"/>
        <v>0.4914</v>
      </c>
      <c r="J14" s="16">
        <f t="shared" si="4"/>
        <v>0.4914</v>
      </c>
      <c r="K14" s="16">
        <f t="shared" si="4"/>
        <v>0.4914</v>
      </c>
    </row>
    <row r="16" spans="2:11" ht="15.75" thickBot="1">
      <c r="B16" s="102" t="s">
        <v>268</v>
      </c>
      <c r="C16" s="102"/>
      <c r="D16" s="102"/>
      <c r="E16" s="102"/>
      <c r="F16" s="123">
        <f>F12*(1-F14)</f>
        <v>1193.0497214999998</v>
      </c>
      <c r="G16" s="123">
        <f t="shared" ref="G16:K16" si="5">G12*(1-G14)</f>
        <v>1440.6075387112498</v>
      </c>
      <c r="H16" s="123">
        <f t="shared" si="5"/>
        <v>1739.5336029938342</v>
      </c>
      <c r="I16" s="123">
        <f t="shared" si="5"/>
        <v>2100.4868256150548</v>
      </c>
      <c r="J16" s="123">
        <f t="shared" si="5"/>
        <v>2536.3378419301785</v>
      </c>
      <c r="K16" s="123">
        <f t="shared" si="5"/>
        <v>3062.627944130691</v>
      </c>
    </row>
    <row r="18" spans="2:15">
      <c r="B18" t="s">
        <v>276</v>
      </c>
      <c r="F18" s="9">
        <f>1/(1+$E$29)^F5</f>
        <v>1</v>
      </c>
      <c r="G18" s="9">
        <f>1/(1+$E$29)^G5</f>
        <v>0.9127156045446092</v>
      </c>
      <c r="H18" s="9">
        <f t="shared" ref="H18:K18" si="6">1/(1+$E$29)^H5</f>
        <v>0.76033752880337668</v>
      </c>
      <c r="I18" s="9">
        <f t="shared" si="6"/>
        <v>0.63339900712585029</v>
      </c>
      <c r="J18" s="9">
        <f t="shared" si="6"/>
        <v>0.52765290023157829</v>
      </c>
      <c r="K18" s="9">
        <f t="shared" si="6"/>
        <v>0.43956112969952466</v>
      </c>
    </row>
    <row r="20" spans="2:15" ht="15.75" thickBot="1">
      <c r="B20" s="102" t="s">
        <v>277</v>
      </c>
      <c r="C20" s="102"/>
      <c r="D20" s="102"/>
      <c r="E20" s="102"/>
      <c r="F20" s="123">
        <f>F18*F16</f>
        <v>1193.0497214999998</v>
      </c>
      <c r="G20" s="123">
        <f t="shared" ref="G20:K20" si="7">G18*G16</f>
        <v>1314.8649806063599</v>
      </c>
      <c r="H20" s="123">
        <f t="shared" si="7"/>
        <v>1322.6326809707659</v>
      </c>
      <c r="I20" s="123">
        <f t="shared" si="7"/>
        <v>1330.4462698255047</v>
      </c>
      <c r="J20" s="123">
        <f t="shared" si="7"/>
        <v>1338.3060182615611</v>
      </c>
      <c r="K20" s="123">
        <f t="shared" si="7"/>
        <v>1346.2121989714192</v>
      </c>
    </row>
    <row r="22" spans="2:15">
      <c r="B22" s="49" t="s">
        <v>269</v>
      </c>
      <c r="C22" s="49"/>
      <c r="D22" s="124"/>
      <c r="E22" s="124">
        <v>0.20749999999999999</v>
      </c>
    </row>
    <row r="23" spans="2:15">
      <c r="B23" s="49" t="s">
        <v>270</v>
      </c>
      <c r="C23" s="49"/>
      <c r="D23" s="124"/>
      <c r="E23" s="124">
        <v>5.3800000000000001E-2</v>
      </c>
    </row>
    <row r="26" spans="2:15">
      <c r="B26" s="53" t="s">
        <v>271</v>
      </c>
      <c r="C26" s="54"/>
      <c r="D26" s="54"/>
      <c r="E26" s="54"/>
      <c r="G26" s="53" t="s">
        <v>286</v>
      </c>
      <c r="H26" s="54"/>
      <c r="I26" s="54"/>
      <c r="J26" s="54"/>
      <c r="K26" s="54"/>
    </row>
    <row r="27" spans="2:15">
      <c r="G27" s="129">
        <f>E45</f>
        <v>274.32860313589254</v>
      </c>
      <c r="H27" s="128">
        <v>0.18</v>
      </c>
      <c r="I27" s="128">
        <v>0.20039999999999999</v>
      </c>
      <c r="J27" s="128">
        <v>0.22</v>
      </c>
      <c r="K27" s="128">
        <v>0.24</v>
      </c>
      <c r="L27" s="127"/>
      <c r="M27" s="16"/>
      <c r="N27" s="127"/>
      <c r="O27" s="127"/>
    </row>
    <row r="28" spans="2:15">
      <c r="B28" t="s">
        <v>272</v>
      </c>
      <c r="E28" s="121">
        <f>K16*(1+E22)</f>
        <v>3698.1232425378093</v>
      </c>
      <c r="G28" s="130">
        <v>0.03</v>
      </c>
      <c r="H28" s="37">
        <f t="dataTable" ref="H28:K32" dt2D="1" dtr="1" r1="E29" r2="E30"/>
        <v>288.38439010971587</v>
      </c>
      <c r="I28" s="37">
        <v>250.51413042973979</v>
      </c>
      <c r="J28" s="37">
        <v>222.0624250252302</v>
      </c>
      <c r="K28" s="37">
        <v>198.73197802760788</v>
      </c>
    </row>
    <row r="29" spans="2:15">
      <c r="B29" t="s">
        <v>100</v>
      </c>
      <c r="E29" s="16">
        <f>WACC!J47</f>
        <v>0.20040846330582401</v>
      </c>
      <c r="G29" s="130">
        <v>0.04</v>
      </c>
      <c r="H29" s="37">
        <v>301.25080271313607</v>
      </c>
      <c r="I29" s="37">
        <v>259.66589643000958</v>
      </c>
      <c r="J29" s="37">
        <v>228.86229264431054</v>
      </c>
      <c r="K29" s="37">
        <v>203.87832339864457</v>
      </c>
    </row>
    <row r="30" spans="2:15">
      <c r="B30" t="s">
        <v>273</v>
      </c>
      <c r="E30" s="16">
        <f>E23</f>
        <v>5.3800000000000001E-2</v>
      </c>
      <c r="G30" s="130">
        <v>5.3800000000000001E-2</v>
      </c>
      <c r="H30" s="37">
        <v>322.35498186454646</v>
      </c>
      <c r="I30" s="131">
        <v>274.34567868441223</v>
      </c>
      <c r="J30" s="37">
        <v>239.58988163181269</v>
      </c>
      <c r="K30" s="37">
        <v>211.88804890093473</v>
      </c>
    </row>
    <row r="31" spans="2:15">
      <c r="G31" s="130">
        <v>0.06</v>
      </c>
      <c r="H31" s="37">
        <v>333.41683422168666</v>
      </c>
      <c r="I31" s="37">
        <v>281.88043954177544</v>
      </c>
      <c r="J31" s="37">
        <v>245.0119782396263</v>
      </c>
      <c r="K31" s="37">
        <v>215.88646259773014</v>
      </c>
    </row>
    <row r="32" spans="2:15" ht="15.75" thickBot="1">
      <c r="B32" s="102" t="s">
        <v>274</v>
      </c>
      <c r="C32" s="102"/>
      <c r="D32" s="102"/>
      <c r="E32" s="102">
        <f>E28/(E29-E30)</f>
        <v>25224.486766657912</v>
      </c>
      <c r="G32" s="130">
        <v>7.0000000000000007E-2</v>
      </c>
      <c r="H32" s="37">
        <v>353.88612699985521</v>
      </c>
      <c r="I32" s="37">
        <v>295.54306498321432</v>
      </c>
      <c r="J32" s="37">
        <v>254.70178959681576</v>
      </c>
      <c r="K32" s="37">
        <v>222.95007389130987</v>
      </c>
    </row>
    <row r="33" spans="2:10">
      <c r="J33" s="127"/>
    </row>
    <row r="35" spans="2:10">
      <c r="B35" s="53" t="s">
        <v>278</v>
      </c>
      <c r="C35" s="54"/>
      <c r="D35" s="54"/>
      <c r="E35" s="54"/>
    </row>
    <row r="37" spans="2:10">
      <c r="B37" t="s">
        <v>277</v>
      </c>
      <c r="E37" s="121">
        <f>SUM(G20:K20)</f>
        <v>6652.46214863561</v>
      </c>
    </row>
    <row r="38" spans="2:10">
      <c r="B38" t="s">
        <v>279</v>
      </c>
      <c r="E38" s="125">
        <f>E32*K18</f>
        <v>11087.703899242862</v>
      </c>
    </row>
    <row r="39" spans="2:10">
      <c r="B39" s="2" t="s">
        <v>280</v>
      </c>
      <c r="C39" s="2"/>
      <c r="D39" s="2"/>
      <c r="E39" s="122">
        <f>SUM(E37:E38)</f>
        <v>17740.166047878472</v>
      </c>
    </row>
    <row r="41" spans="2:10">
      <c r="B41" t="s">
        <v>281</v>
      </c>
      <c r="E41">
        <f>'Raw FS'!N37</f>
        <v>864</v>
      </c>
    </row>
    <row r="42" spans="2:10">
      <c r="B42" t="s">
        <v>282</v>
      </c>
      <c r="E42">
        <f>SUM('Raw FS'!N7:N8)</f>
        <v>776</v>
      </c>
    </row>
    <row r="43" spans="2:10">
      <c r="B43" s="2" t="s">
        <v>283</v>
      </c>
      <c r="C43" s="2"/>
      <c r="D43" s="2"/>
      <c r="E43" s="122">
        <f>E39+E41-E42</f>
        <v>17828.166047878472</v>
      </c>
    </row>
    <row r="44" spans="2:10">
      <c r="B44" t="s">
        <v>284</v>
      </c>
      <c r="E44" s="121">
        <f>'Data Sheet'!B6</f>
        <v>64.988360105661457</v>
      </c>
    </row>
    <row r="45" spans="2:10">
      <c r="B45" t="s">
        <v>285</v>
      </c>
      <c r="E45" s="125">
        <f>E43/E44</f>
        <v>274.32860313589254</v>
      </c>
    </row>
  </sheetData>
  <pageMargins left="0.7" right="0.7" top="0.75" bottom="0.75" header="0.3" footer="0.3"/>
  <ignoredErrors>
    <ignoredError sqref="E42"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40"/>
  <sheetViews>
    <sheetView showGridLines="0" zoomScale="90" zoomScaleNormal="90" workbookViewId="0">
      <pane ySplit="4" topLeftCell="A5" activePane="bottomLeft" state="frozen"/>
      <selection activeCell="M12" sqref="M12"/>
      <selection pane="bottomLeft" activeCell="I18" sqref="I18"/>
    </sheetView>
  </sheetViews>
  <sheetFormatPr defaultRowHeight="15"/>
  <cols>
    <col min="1" max="1" width="1.85546875" customWidth="1"/>
    <col min="2" max="2" width="16.140625" customWidth="1"/>
    <col min="3" max="3" width="13" customWidth="1"/>
    <col min="5" max="5" width="13.85546875" customWidth="1"/>
    <col min="6" max="8" width="11" customWidth="1"/>
    <col min="10" max="10" width="1.85546875" customWidth="1"/>
    <col min="13" max="13" width="11.5703125" bestFit="1" customWidth="1"/>
    <col min="14" max="14" width="1.85546875" customWidth="1"/>
    <col min="15" max="15" width="12.28515625" bestFit="1" customWidth="1"/>
    <col min="16" max="17" width="12.42578125" bestFit="1" customWidth="1"/>
  </cols>
  <sheetData>
    <row r="1" spans="2:17">
      <c r="B1" s="1"/>
      <c r="C1" s="1"/>
      <c r="D1" s="1"/>
      <c r="E1" s="1"/>
      <c r="F1" s="1"/>
      <c r="G1" s="1"/>
      <c r="H1" s="1"/>
      <c r="I1" s="1"/>
      <c r="J1" s="1"/>
      <c r="K1" s="1"/>
      <c r="L1" s="1"/>
      <c r="M1" s="1"/>
      <c r="N1" s="1"/>
      <c r="O1" s="1"/>
      <c r="P1" s="1"/>
      <c r="Q1" s="1"/>
    </row>
    <row r="2" spans="2:17">
      <c r="B2" s="1"/>
      <c r="C2" s="1"/>
      <c r="D2" s="1"/>
      <c r="E2" s="1"/>
      <c r="F2" s="1"/>
      <c r="G2" s="1"/>
      <c r="H2" s="1"/>
      <c r="I2" s="1"/>
      <c r="J2" s="1"/>
      <c r="K2" s="1"/>
      <c r="L2" s="1"/>
      <c r="M2" s="1"/>
      <c r="N2" s="1"/>
      <c r="O2" s="1"/>
      <c r="P2" s="1"/>
      <c r="Q2" s="1"/>
    </row>
    <row r="3" spans="2:17">
      <c r="B3" s="1"/>
      <c r="C3" s="1"/>
      <c r="D3" s="1"/>
      <c r="E3" s="1"/>
      <c r="F3" s="1"/>
      <c r="G3" s="1"/>
      <c r="H3" s="1"/>
      <c r="I3" s="1"/>
      <c r="J3" s="1"/>
      <c r="K3" s="1"/>
      <c r="L3" s="1"/>
      <c r="M3" s="1"/>
      <c r="N3" s="1"/>
      <c r="O3" s="1"/>
      <c r="P3" s="1"/>
      <c r="Q3" s="1"/>
    </row>
    <row r="4" spans="2:17">
      <c r="B4" s="1"/>
      <c r="C4" s="1"/>
      <c r="D4" s="1"/>
      <c r="E4" s="1"/>
      <c r="F4" s="1"/>
      <c r="G4" s="1"/>
      <c r="H4" s="1"/>
      <c r="I4" s="1"/>
      <c r="J4" s="1"/>
      <c r="K4" s="1"/>
      <c r="L4" s="1"/>
      <c r="M4" s="1"/>
      <c r="N4" s="1"/>
      <c r="O4" s="1"/>
      <c r="P4" s="1"/>
      <c r="Q4" s="1"/>
    </row>
    <row r="6" spans="2:17">
      <c r="B6" s="77" t="s">
        <v>287</v>
      </c>
    </row>
    <row r="7" spans="2:17" ht="15.75">
      <c r="B7" s="132" t="s">
        <v>288</v>
      </c>
      <c r="C7" s="133"/>
      <c r="D7" s="134"/>
      <c r="E7" s="133"/>
      <c r="F7" s="133"/>
      <c r="G7" s="133"/>
      <c r="H7" s="133"/>
      <c r="I7" s="133"/>
      <c r="J7" s="133"/>
      <c r="K7" s="133"/>
    </row>
    <row r="8" spans="2:17" ht="4.5" customHeight="1"/>
    <row r="9" spans="2:17">
      <c r="B9" s="53"/>
      <c r="C9" s="53"/>
      <c r="D9" s="182" t="s">
        <v>289</v>
      </c>
      <c r="E9" s="182"/>
      <c r="F9" s="182"/>
      <c r="G9" s="182"/>
      <c r="H9" s="182"/>
      <c r="I9" s="182"/>
      <c r="J9" s="53"/>
      <c r="K9" s="182" t="s">
        <v>290</v>
      </c>
      <c r="L9" s="182"/>
      <c r="M9" s="182"/>
      <c r="N9" s="53"/>
      <c r="O9" s="182" t="s">
        <v>291</v>
      </c>
      <c r="P9" s="182"/>
      <c r="Q9" s="182"/>
    </row>
    <row r="10" spans="2:17" ht="33.75" customHeight="1">
      <c r="B10" s="135" t="s">
        <v>292</v>
      </c>
      <c r="C10" s="135" t="s">
        <v>293</v>
      </c>
      <c r="D10" s="136" t="s">
        <v>294</v>
      </c>
      <c r="E10" s="136" t="s">
        <v>295</v>
      </c>
      <c r="F10" s="136" t="s">
        <v>296</v>
      </c>
      <c r="G10" s="136" t="s">
        <v>297</v>
      </c>
      <c r="H10" s="136" t="s">
        <v>298</v>
      </c>
      <c r="I10" s="136"/>
      <c r="J10" s="137"/>
      <c r="K10" s="137" t="s">
        <v>299</v>
      </c>
      <c r="L10" s="137" t="s">
        <v>114</v>
      </c>
      <c r="M10" s="137" t="s">
        <v>300</v>
      </c>
      <c r="N10" s="137"/>
      <c r="O10" s="137" t="s">
        <v>301</v>
      </c>
      <c r="P10" s="137" t="s">
        <v>302</v>
      </c>
      <c r="Q10" s="137" t="s">
        <v>303</v>
      </c>
    </row>
    <row r="11" spans="2:17" s="9" customFormat="1" ht="4.5" customHeight="1">
      <c r="B11" s="138"/>
      <c r="C11" s="138"/>
      <c r="D11" s="139"/>
      <c r="E11" s="139"/>
      <c r="F11" s="139"/>
      <c r="G11" s="139"/>
      <c r="H11" s="139"/>
      <c r="I11" s="139"/>
      <c r="J11" s="140"/>
      <c r="K11" s="140"/>
      <c r="L11" s="140"/>
      <c r="M11" s="140"/>
      <c r="N11" s="140"/>
      <c r="O11" s="140"/>
      <c r="P11" s="140"/>
      <c r="Q11" s="140"/>
    </row>
    <row r="12" spans="2:17" s="9" customFormat="1">
      <c r="B12" s="141" t="str">
        <f>'Relative Data'!C5</f>
        <v>Cipla</v>
      </c>
      <c r="C12" s="142"/>
      <c r="D12" s="143">
        <f>'Relative Data'!D5</f>
        <v>893.35</v>
      </c>
      <c r="E12" s="144">
        <f>'Relative Data'!E5</f>
        <v>80.72</v>
      </c>
      <c r="F12" s="145">
        <f>E12*D12</f>
        <v>72111.212</v>
      </c>
      <c r="G12" s="143">
        <f>'Relative Data'!I5</f>
        <v>-860.81999999999994</v>
      </c>
      <c r="H12" s="145">
        <f>+F12+G12</f>
        <v>71250.391999999993</v>
      </c>
      <c r="I12" s="143"/>
      <c r="J12" s="146"/>
      <c r="K12" s="146">
        <f>'Relative Data'!K5</f>
        <v>22274.15</v>
      </c>
      <c r="L12" s="146">
        <f>'Relative Data'!L5</f>
        <v>3786.6055000000006</v>
      </c>
      <c r="M12" s="146">
        <f>'Relative Data'!M5</f>
        <v>2682.08</v>
      </c>
      <c r="N12" s="147"/>
      <c r="O12" s="148">
        <f>$H12/K12</f>
        <v>3.1987928607825658</v>
      </c>
      <c r="P12" s="148">
        <f t="shared" ref="P12:P21" si="0">$H12/L12</f>
        <v>18.816428592838619</v>
      </c>
      <c r="Q12" s="148">
        <f>F12/M12</f>
        <v>26.886301676310925</v>
      </c>
    </row>
    <row r="13" spans="2:17">
      <c r="B13" s="149" t="str">
        <f>'Relative Data'!C3</f>
        <v>Sun Pharma.Inds.</v>
      </c>
      <c r="C13" s="149"/>
      <c r="D13" s="150">
        <f>'Relative Data'!D3</f>
        <v>1012.1</v>
      </c>
      <c r="E13" s="151">
        <f>'Relative Data'!E3</f>
        <v>239.93</v>
      </c>
      <c r="F13" s="150">
        <f>E13*D13</f>
        <v>242833.15300000002</v>
      </c>
      <c r="G13" s="150">
        <f>'Relative Data'!I3</f>
        <v>-667.82000000000062</v>
      </c>
      <c r="H13" s="150">
        <f>+F13+G13</f>
        <v>242165.33300000001</v>
      </c>
      <c r="I13" s="150"/>
      <c r="J13" s="150"/>
      <c r="K13" s="150">
        <f>'Relative Data'!K3</f>
        <v>42401.77</v>
      </c>
      <c r="L13" s="150">
        <f>'Relative Data'!L3</f>
        <v>9328.3894</v>
      </c>
      <c r="M13" s="150">
        <f>'Relative Data'!M3</f>
        <v>4302.66</v>
      </c>
      <c r="N13" s="152"/>
      <c r="O13" s="153">
        <f t="shared" ref="O13:O21" si="1">$H13/K13</f>
        <v>5.7112081170196438</v>
      </c>
      <c r="P13" s="153">
        <f t="shared" si="0"/>
        <v>25.960036895543833</v>
      </c>
      <c r="Q13" s="153">
        <f t="shared" ref="Q13:Q21" si="2">F13/M13</f>
        <v>56.43791352326236</v>
      </c>
    </row>
    <row r="14" spans="2:17">
      <c r="B14" s="149" t="str">
        <f>'Relative Data'!C4</f>
        <v>Dr Reddy's Labs</v>
      </c>
      <c r="C14" s="149"/>
      <c r="D14" s="150">
        <f>'Relative Data'!D4</f>
        <v>4699.3999999999996</v>
      </c>
      <c r="E14" s="151">
        <f>'Relative Data'!E4</f>
        <v>16.649999999999999</v>
      </c>
      <c r="F14" s="150">
        <f t="shared" ref="F14:F21" si="3">E14*D14</f>
        <v>78245.00999999998</v>
      </c>
      <c r="G14" s="150">
        <f>'Relative Data'!I4</f>
        <v>-690.29999999999973</v>
      </c>
      <c r="H14" s="150">
        <f t="shared" ref="H14:H21" si="4">+F14+G14</f>
        <v>77554.709999999977</v>
      </c>
      <c r="I14" s="150"/>
      <c r="J14" s="150"/>
      <c r="K14" s="150">
        <f>'Relative Data'!K4</f>
        <v>23829.5</v>
      </c>
      <c r="L14" s="150">
        <f>'Relative Data'!L4</f>
        <v>5004.1949999999997</v>
      </c>
      <c r="M14" s="150">
        <f>'Relative Data'!M4</f>
        <v>3644.1</v>
      </c>
      <c r="N14" s="152"/>
      <c r="O14" s="153">
        <f t="shared" si="1"/>
        <v>3.2545672380872439</v>
      </c>
      <c r="P14" s="153">
        <f t="shared" si="0"/>
        <v>15.497939228986876</v>
      </c>
      <c r="Q14" s="153">
        <f t="shared" si="2"/>
        <v>21.471696715238327</v>
      </c>
    </row>
    <row r="15" spans="2:17">
      <c r="B15" s="149" t="str">
        <f>'Relative Data'!C6</f>
        <v>Torrent Pharma.</v>
      </c>
      <c r="C15" s="149"/>
      <c r="D15" s="150">
        <f>'Relative Data'!D6</f>
        <v>1574.75</v>
      </c>
      <c r="E15" s="151">
        <f>'Relative Data'!E6</f>
        <v>33.840000000000003</v>
      </c>
      <c r="F15" s="150">
        <f t="shared" si="3"/>
        <v>53289.540000000008</v>
      </c>
      <c r="G15" s="150">
        <f>'Relative Data'!I6</f>
        <v>3679.59</v>
      </c>
      <c r="H15" s="150">
        <f t="shared" si="4"/>
        <v>56969.130000000005</v>
      </c>
      <c r="I15" s="150"/>
      <c r="J15" s="150"/>
      <c r="K15" s="150">
        <f>'Relative Data'!K6</f>
        <v>9260</v>
      </c>
      <c r="L15" s="150">
        <f>'Relative Data'!L6</f>
        <v>2129.8000000000002</v>
      </c>
      <c r="M15" s="150">
        <f>'Relative Data'!M6</f>
        <v>831</v>
      </c>
      <c r="N15" s="152"/>
      <c r="O15" s="153">
        <f t="shared" si="1"/>
        <v>6.1521738660907133</v>
      </c>
      <c r="P15" s="153">
        <f t="shared" si="0"/>
        <v>26.748582026481358</v>
      </c>
      <c r="Q15" s="153">
        <f t="shared" si="2"/>
        <v>64.127003610108318</v>
      </c>
    </row>
    <row r="16" spans="2:17">
      <c r="B16" s="149" t="str">
        <f>'Relative Data'!C7</f>
        <v>Zydus Lifesci.</v>
      </c>
      <c r="C16" s="149"/>
      <c r="D16" s="150">
        <f>'Relative Data'!D7</f>
        <v>494.15</v>
      </c>
      <c r="E16" s="151">
        <f>'Relative Data'!E7</f>
        <v>101.22</v>
      </c>
      <c r="F16" s="150">
        <f t="shared" si="3"/>
        <v>50017.862999999998</v>
      </c>
      <c r="G16" s="150">
        <f>'Relative Data'!I7</f>
        <v>1339.1</v>
      </c>
      <c r="H16" s="150">
        <f t="shared" si="4"/>
        <v>51356.962999999996</v>
      </c>
      <c r="I16" s="150"/>
      <c r="J16" s="150"/>
      <c r="K16" s="150">
        <f>'Relative Data'!K7</f>
        <v>16433.5</v>
      </c>
      <c r="L16" s="150">
        <f>'Relative Data'!L7</f>
        <v>2793.6950000000002</v>
      </c>
      <c r="M16" s="150">
        <f>'Relative Data'!M7</f>
        <v>2187</v>
      </c>
      <c r="N16" s="152"/>
      <c r="O16" s="153">
        <f t="shared" si="1"/>
        <v>3.1251384671555051</v>
      </c>
      <c r="P16" s="153">
        <f t="shared" si="0"/>
        <v>18.383167453855911</v>
      </c>
      <c r="Q16" s="153">
        <f t="shared" si="2"/>
        <v>22.870536351165981</v>
      </c>
    </row>
    <row r="17" spans="2:17">
      <c r="B17" s="149" t="str">
        <f>'Relative Data'!C8</f>
        <v>Alkem Lab</v>
      </c>
      <c r="C17" s="149"/>
      <c r="D17" s="150">
        <f>'Relative Data'!D8</f>
        <v>3405.65</v>
      </c>
      <c r="E17" s="151">
        <f>'Relative Data'!E8</f>
        <v>11.96</v>
      </c>
      <c r="F17" s="150">
        <f t="shared" si="3"/>
        <v>40731.574000000001</v>
      </c>
      <c r="G17" s="150">
        <f>'Relative Data'!I8</f>
        <v>-723.99</v>
      </c>
      <c r="H17" s="150">
        <f t="shared" si="4"/>
        <v>40007.584000000003</v>
      </c>
      <c r="I17" s="150"/>
      <c r="J17" s="150"/>
      <c r="K17" s="150">
        <f>'Relative Data'!K8</f>
        <v>11180.52</v>
      </c>
      <c r="L17" s="150">
        <f>'Relative Data'!L8</f>
        <v>1453.4676000000002</v>
      </c>
      <c r="M17" s="150">
        <f>'Relative Data'!M8</f>
        <v>1047.3399999999999</v>
      </c>
      <c r="N17" s="152"/>
      <c r="O17" s="153">
        <f t="shared" si="1"/>
        <v>3.5783294515818587</v>
      </c>
      <c r="P17" s="153">
        <f t="shared" si="0"/>
        <v>27.525611166014293</v>
      </c>
      <c r="Q17" s="153">
        <f t="shared" si="2"/>
        <v>38.89049783260451</v>
      </c>
    </row>
    <row r="18" spans="2:17">
      <c r="B18" s="149" t="str">
        <f>'Relative Data'!C9</f>
        <v>Aurobindo Pharma</v>
      </c>
      <c r="C18" s="149"/>
      <c r="D18" s="150">
        <f>'Relative Data'!D9</f>
        <v>535.1</v>
      </c>
      <c r="E18" s="151">
        <f>'Relative Data'!E9</f>
        <v>58.59</v>
      </c>
      <c r="F18" s="150">
        <f t="shared" si="3"/>
        <v>31351.509000000002</v>
      </c>
      <c r="G18" s="150">
        <f>'Relative Data'!I9</f>
        <v>311.19999999999982</v>
      </c>
      <c r="H18" s="150">
        <f t="shared" si="4"/>
        <v>31662.709000000003</v>
      </c>
      <c r="I18" s="150"/>
      <c r="J18" s="150"/>
      <c r="K18" s="150">
        <f>'Relative Data'!K9</f>
        <v>24191.79</v>
      </c>
      <c r="L18" s="150">
        <f>'Relative Data'!L9</f>
        <v>2661.0969</v>
      </c>
      <c r="M18" s="150">
        <f>'Relative Data'!M9</f>
        <v>1997.9</v>
      </c>
      <c r="N18" s="152"/>
      <c r="O18" s="153">
        <f t="shared" si="1"/>
        <v>1.3088204304022151</v>
      </c>
      <c r="P18" s="153">
        <f t="shared" si="0"/>
        <v>11.898367549111047</v>
      </c>
      <c r="Q18" s="153">
        <f t="shared" si="2"/>
        <v>15.692231342910056</v>
      </c>
    </row>
    <row r="19" spans="2:17">
      <c r="B19" s="149" t="str">
        <f>'Relative Data'!C10</f>
        <v>Biocon</v>
      </c>
      <c r="C19" s="149"/>
      <c r="D19" s="150">
        <f>'Relative Data'!D10</f>
        <v>215.8</v>
      </c>
      <c r="E19" s="151">
        <f>'Relative Data'!E10</f>
        <v>120.06</v>
      </c>
      <c r="F19" s="150">
        <f t="shared" si="3"/>
        <v>25908.948</v>
      </c>
      <c r="G19" s="150">
        <f>'Relative Data'!I10</f>
        <v>4111.8999999999996</v>
      </c>
      <c r="H19" s="150">
        <f t="shared" si="4"/>
        <v>30020.847999999998</v>
      </c>
      <c r="I19" s="150"/>
      <c r="J19" s="150"/>
      <c r="K19" s="150">
        <f>'Relative Data'!K10</f>
        <v>9809.1</v>
      </c>
      <c r="L19" s="150">
        <f>'Relative Data'!L10</f>
        <v>1275.183</v>
      </c>
      <c r="M19" s="150">
        <f>'Relative Data'!M10</f>
        <v>512.4</v>
      </c>
      <c r="N19" s="152"/>
      <c r="O19" s="153">
        <f t="shared" si="1"/>
        <v>3.0605099346525164</v>
      </c>
      <c r="P19" s="153">
        <f t="shared" si="0"/>
        <v>23.542384112711666</v>
      </c>
      <c r="Q19" s="153">
        <f t="shared" si="2"/>
        <v>50.563911007025766</v>
      </c>
    </row>
    <row r="20" spans="2:17">
      <c r="B20" s="149" t="str">
        <f>'Relative Data'!C11</f>
        <v>Syngene Intl.</v>
      </c>
      <c r="C20" s="149"/>
      <c r="D20" s="150">
        <f>'Relative Data'!D11</f>
        <v>604.65</v>
      </c>
      <c r="E20" s="151">
        <f>'Relative Data'!E11</f>
        <v>40.14</v>
      </c>
      <c r="F20" s="150">
        <f t="shared" si="3"/>
        <v>24270.650999999998</v>
      </c>
      <c r="G20" s="150">
        <f>'Relative Data'!I11</f>
        <v>493.9</v>
      </c>
      <c r="H20" s="150">
        <f t="shared" si="4"/>
        <v>24764.550999999999</v>
      </c>
      <c r="I20" s="150"/>
      <c r="J20" s="150"/>
      <c r="K20" s="150">
        <f>'Relative Data'!K11</f>
        <v>2957.9</v>
      </c>
      <c r="L20" s="150">
        <f>'Relative Data'!L11</f>
        <v>591.58000000000004</v>
      </c>
      <c r="M20" s="150">
        <f>'Relative Data'!M11</f>
        <v>431.2</v>
      </c>
      <c r="N20" s="152"/>
      <c r="O20" s="153">
        <f t="shared" si="1"/>
        <v>8.3723422022380731</v>
      </c>
      <c r="P20" s="153">
        <f t="shared" si="0"/>
        <v>41.861711011190366</v>
      </c>
      <c r="Q20" s="153">
        <f t="shared" si="2"/>
        <v>56.286296382189235</v>
      </c>
    </row>
    <row r="21" spans="2:17">
      <c r="B21" s="149" t="str">
        <f>'Relative Data'!C12</f>
        <v>Ipca Labs.</v>
      </c>
      <c r="C21" s="149"/>
      <c r="D21" s="150">
        <f>'Relative Data'!D12</f>
        <v>830.4</v>
      </c>
      <c r="E21" s="151">
        <f>'Relative Data'!E12</f>
        <v>25.37</v>
      </c>
      <c r="F21" s="150">
        <f t="shared" si="3"/>
        <v>21067.248</v>
      </c>
      <c r="G21" s="150">
        <f>'Relative Data'!I12</f>
        <v>93.040000000000077</v>
      </c>
      <c r="H21" s="150">
        <f t="shared" si="4"/>
        <v>21160.288</v>
      </c>
      <c r="I21" s="150"/>
      <c r="J21" s="150"/>
      <c r="K21" s="150">
        <f>'Relative Data'!K12</f>
        <v>6021.79</v>
      </c>
      <c r="L21" s="150">
        <f>'Relative Data'!L12</f>
        <v>782.83270000000005</v>
      </c>
      <c r="M21" s="150">
        <f>'Relative Data'!M12</f>
        <v>532.83000000000004</v>
      </c>
      <c r="N21" s="152"/>
      <c r="O21" s="153">
        <f t="shared" si="1"/>
        <v>3.5139531601068787</v>
      </c>
      <c r="P21" s="153">
        <f t="shared" si="0"/>
        <v>27.030408923899063</v>
      </c>
      <c r="Q21" s="153">
        <f t="shared" si="2"/>
        <v>39.538404369123356</v>
      </c>
    </row>
    <row r="22" spans="2:17" ht="6.75" customHeight="1"/>
    <row r="23" spans="2:17">
      <c r="B23" s="154" t="s">
        <v>304</v>
      </c>
      <c r="C23" s="154"/>
      <c r="D23" s="154"/>
      <c r="E23" s="154"/>
      <c r="F23" s="154"/>
      <c r="G23" s="154"/>
      <c r="H23" s="154"/>
      <c r="I23" s="154"/>
      <c r="J23" s="154"/>
      <c r="K23" s="154"/>
      <c r="L23" s="154"/>
      <c r="M23" s="154"/>
      <c r="N23" s="154"/>
      <c r="O23" s="155">
        <f>MAX(O12:O21)</f>
        <v>8.3723422022380731</v>
      </c>
      <c r="P23" s="155">
        <f t="shared" ref="P23:Q23" si="5">MAX(P12:P21)</f>
        <v>41.861711011190366</v>
      </c>
      <c r="Q23" s="155">
        <f t="shared" si="5"/>
        <v>64.127003610108318</v>
      </c>
    </row>
    <row r="24" spans="2:17">
      <c r="B24" s="154" t="s">
        <v>305</v>
      </c>
      <c r="C24" s="154"/>
      <c r="D24" s="154"/>
      <c r="E24" s="154"/>
      <c r="F24" s="154"/>
      <c r="G24" s="154"/>
      <c r="H24" s="154"/>
      <c r="I24" s="154"/>
      <c r="J24" s="154"/>
      <c r="K24" s="154"/>
      <c r="L24" s="154"/>
      <c r="M24" s="154"/>
      <c r="N24" s="154"/>
      <c r="O24" s="155">
        <f>QUARTILE(O12:O21,3)</f>
        <v>5.1779884506601981</v>
      </c>
      <c r="P24" s="155">
        <f t="shared" ref="P24:Q24" si="6">QUARTILE(P12:P21,3)</f>
        <v>26.959952199544638</v>
      </c>
      <c r="Q24" s="155">
        <f t="shared" si="6"/>
        <v>54.855700038398368</v>
      </c>
    </row>
    <row r="25" spans="2:17">
      <c r="B25" s="156" t="s">
        <v>7</v>
      </c>
      <c r="C25" s="156"/>
      <c r="D25" s="156"/>
      <c r="E25" s="156"/>
      <c r="F25" s="156"/>
      <c r="G25" s="156"/>
      <c r="H25" s="156"/>
      <c r="I25" s="156"/>
      <c r="J25" s="156"/>
      <c r="K25" s="156"/>
      <c r="L25" s="156"/>
      <c r="M25" s="156"/>
      <c r="N25" s="156"/>
      <c r="O25" s="157">
        <f>AVERAGE(O12:O21)</f>
        <v>4.1275835728117212</v>
      </c>
      <c r="P25" s="157">
        <f t="shared" ref="P25:Q25" si="7">AVERAGE(P12:P21)</f>
        <v>23.726463696063302</v>
      </c>
      <c r="Q25" s="157">
        <f t="shared" si="7"/>
        <v>39.276479280993883</v>
      </c>
    </row>
    <row r="26" spans="2:17">
      <c r="B26" s="156" t="s">
        <v>17</v>
      </c>
      <c r="C26" s="156"/>
      <c r="D26" s="156"/>
      <c r="E26" s="156"/>
      <c r="F26" s="156"/>
      <c r="G26" s="156"/>
      <c r="H26" s="156"/>
      <c r="I26" s="156"/>
      <c r="J26" s="156"/>
      <c r="K26" s="156"/>
      <c r="L26" s="156"/>
      <c r="M26" s="156"/>
      <c r="N26" s="156"/>
      <c r="O26" s="157">
        <f>MEDIAN(O12:O21)</f>
        <v>3.3842601990970613</v>
      </c>
      <c r="P26" s="157">
        <f t="shared" ref="P26:Q26" si="8">MEDIAN(P12:P21)</f>
        <v>24.751210504127748</v>
      </c>
      <c r="Q26" s="157">
        <f t="shared" si="8"/>
        <v>39.214451100863933</v>
      </c>
    </row>
    <row r="27" spans="2:17">
      <c r="B27" s="154" t="s">
        <v>306</v>
      </c>
      <c r="C27" s="154"/>
      <c r="D27" s="154"/>
      <c r="E27" s="154"/>
      <c r="F27" s="154"/>
      <c r="G27" s="154"/>
      <c r="H27" s="154"/>
      <c r="I27" s="154"/>
      <c r="J27" s="154"/>
      <c r="K27" s="154"/>
      <c r="L27" s="154"/>
      <c r="M27" s="154"/>
      <c r="N27" s="154"/>
      <c r="O27" s="155">
        <f>QUARTILE(O12:O21,1)</f>
        <v>3.1435520655622704</v>
      </c>
      <c r="P27" s="155">
        <f t="shared" ref="P27:Q27" si="9">QUARTILE(P12:P21,1)</f>
        <v>18.49148273860159</v>
      </c>
      <c r="Q27" s="155">
        <f t="shared" si="9"/>
        <v>23.874477682452216</v>
      </c>
    </row>
    <row r="28" spans="2:17">
      <c r="B28" s="154" t="s">
        <v>307</v>
      </c>
      <c r="C28" s="154"/>
      <c r="D28" s="154"/>
      <c r="E28" s="154"/>
      <c r="F28" s="154"/>
      <c r="G28" s="154"/>
      <c r="H28" s="154"/>
      <c r="I28" s="154"/>
      <c r="J28" s="154"/>
      <c r="K28" s="154"/>
      <c r="L28" s="154"/>
      <c r="M28" s="154"/>
      <c r="N28" s="154"/>
      <c r="O28" s="155">
        <f>MIN(O12:O21)</f>
        <v>1.3088204304022151</v>
      </c>
      <c r="P28" s="155">
        <f t="shared" ref="P28:Q28" si="10">MIN(P12:P21)</f>
        <v>11.898367549111047</v>
      </c>
      <c r="Q28" s="155">
        <f t="shared" si="10"/>
        <v>15.692231342910056</v>
      </c>
    </row>
    <row r="30" spans="2:17">
      <c r="B30" s="158" t="s">
        <v>308</v>
      </c>
      <c r="C30" s="54"/>
      <c r="D30" s="54"/>
      <c r="E30" s="54"/>
      <c r="F30" s="54"/>
      <c r="G30" s="54"/>
      <c r="H30" s="54"/>
      <c r="I30" s="54"/>
      <c r="J30" s="54"/>
      <c r="K30" s="54"/>
      <c r="L30" s="54"/>
      <c r="M30" s="54"/>
      <c r="N30" s="54"/>
      <c r="O30" s="137" t="s">
        <v>301</v>
      </c>
      <c r="P30" s="126" t="s">
        <v>302</v>
      </c>
      <c r="Q30" s="137" t="s">
        <v>303</v>
      </c>
    </row>
    <row r="31" spans="2:17" ht="3.75" customHeight="1"/>
    <row r="32" spans="2:17">
      <c r="B32" s="94" t="s">
        <v>309</v>
      </c>
      <c r="C32" s="94"/>
      <c r="D32" s="94"/>
      <c r="E32" s="94"/>
      <c r="F32" s="94"/>
      <c r="G32" s="94"/>
      <c r="H32" s="94"/>
      <c r="I32" s="94"/>
      <c r="J32" s="94"/>
      <c r="K32" s="94"/>
      <c r="L32" s="94"/>
      <c r="M32" s="94"/>
      <c r="N32" s="94"/>
      <c r="O32" s="159">
        <f>O$26*K12</f>
        <v>75381.519313717814</v>
      </c>
      <c r="P32" s="159">
        <f t="shared" ref="P32" si="11">P$26*L12</f>
        <v>93723.069826587918</v>
      </c>
      <c r="Q32" s="159">
        <f>+Q34+Q33</f>
        <v>104315.47500860512</v>
      </c>
    </row>
    <row r="33" spans="2:17">
      <c r="B33" s="94" t="s">
        <v>297</v>
      </c>
      <c r="C33" s="94"/>
      <c r="D33" s="94"/>
      <c r="E33" s="94"/>
      <c r="F33" s="94"/>
      <c r="G33" s="94"/>
      <c r="H33" s="94"/>
      <c r="I33" s="94"/>
      <c r="J33" s="94"/>
      <c r="K33" s="94"/>
      <c r="L33" s="94"/>
      <c r="M33" s="94"/>
      <c r="N33" s="94"/>
      <c r="O33" s="159">
        <f>$G$12</f>
        <v>-860.81999999999994</v>
      </c>
      <c r="P33" s="159">
        <f t="shared" ref="P33:Q33" si="12">$G$12</f>
        <v>-860.81999999999994</v>
      </c>
      <c r="Q33" s="159">
        <f t="shared" si="12"/>
        <v>-860.81999999999994</v>
      </c>
    </row>
    <row r="34" spans="2:17">
      <c r="B34" s="94" t="s">
        <v>310</v>
      </c>
      <c r="C34" s="94"/>
      <c r="D34" s="94"/>
      <c r="E34" s="94"/>
      <c r="F34" s="94"/>
      <c r="G34" s="94"/>
      <c r="H34" s="94"/>
      <c r="I34" s="94"/>
      <c r="J34" s="94"/>
      <c r="K34" s="94"/>
      <c r="L34" s="94"/>
      <c r="M34" s="94"/>
      <c r="N34" s="94"/>
      <c r="O34" s="159">
        <f>O32-O33</f>
        <v>76242.339313717821</v>
      </c>
      <c r="P34" s="159">
        <f t="shared" ref="P34" si="13">P32-P33</f>
        <v>94583.889826587925</v>
      </c>
      <c r="Q34" s="159">
        <f>Q26*M12</f>
        <v>105176.29500860513</v>
      </c>
    </row>
    <row r="35" spans="2:17">
      <c r="B35" s="94" t="s">
        <v>295</v>
      </c>
      <c r="C35" s="94"/>
      <c r="D35" s="94"/>
      <c r="E35" s="94"/>
      <c r="F35" s="94"/>
      <c r="G35" s="94"/>
      <c r="H35" s="94"/>
      <c r="I35" s="94"/>
      <c r="J35" s="94"/>
      <c r="K35" s="94"/>
      <c r="L35" s="94"/>
      <c r="M35" s="94"/>
      <c r="N35" s="94"/>
      <c r="O35" s="160">
        <f>$E$12</f>
        <v>80.72</v>
      </c>
      <c r="P35" s="160">
        <f t="shared" ref="P35:Q35" si="14">$E$12</f>
        <v>80.72</v>
      </c>
      <c r="Q35" s="160">
        <f t="shared" si="14"/>
        <v>80.72</v>
      </c>
    </row>
    <row r="36" spans="2:17" ht="5.25" customHeight="1">
      <c r="O36" s="9"/>
      <c r="P36" s="9"/>
      <c r="Q36" s="9"/>
    </row>
    <row r="37" spans="2:17">
      <c r="B37" s="161" t="s">
        <v>311</v>
      </c>
      <c r="C37" s="161"/>
      <c r="D37" s="161"/>
      <c r="E37" s="161"/>
      <c r="F37" s="161"/>
      <c r="G37" s="161"/>
      <c r="H37" s="161"/>
      <c r="I37" s="161"/>
      <c r="J37" s="161"/>
      <c r="K37" s="161"/>
      <c r="L37" s="161"/>
      <c r="M37" s="161"/>
      <c r="N37" s="161"/>
      <c r="O37" s="162">
        <f>O34/O35</f>
        <v>944.5284850559691</v>
      </c>
      <c r="P37" s="162">
        <f t="shared" ref="P37:Q37" si="15">P34/P35</f>
        <v>1171.7528472074816</v>
      </c>
      <c r="Q37" s="162">
        <f t="shared" si="15"/>
        <v>1302.9768955476354</v>
      </c>
    </row>
    <row r="38" spans="2:17" ht="3.75" customHeight="1">
      <c r="B38" s="2"/>
      <c r="C38" s="2"/>
      <c r="D38" s="2"/>
      <c r="E38" s="2"/>
      <c r="F38" s="2"/>
      <c r="G38" s="2"/>
      <c r="H38" s="2"/>
      <c r="I38" s="2"/>
      <c r="J38" s="2"/>
      <c r="K38" s="2"/>
      <c r="L38" s="2"/>
      <c r="M38" s="2"/>
      <c r="N38" s="2"/>
      <c r="O38" s="163"/>
      <c r="P38" s="163"/>
      <c r="Q38" s="163"/>
    </row>
    <row r="39" spans="2:17">
      <c r="B39" s="77" t="s">
        <v>312</v>
      </c>
    </row>
    <row r="40" spans="2:17">
      <c r="O40" t="str">
        <f>IF(O37&gt;$D$12,"Undervalued","Overvalued")</f>
        <v>Undervalued</v>
      </c>
      <c r="P40" t="str">
        <f t="shared" ref="P40:Q40" si="16">IF(P37&gt;$D$12,"Undervalued","Overvalued")</f>
        <v>Undervalued</v>
      </c>
      <c r="Q40" t="str">
        <f t="shared" si="16"/>
        <v>Undervalued</v>
      </c>
    </row>
  </sheetData>
  <mergeCells count="3">
    <mergeCell ref="D9:I9"/>
    <mergeCell ref="K9:M9"/>
    <mergeCell ref="O9:Q9"/>
  </mergeCells>
  <pageMargins left="0.7" right="0.7" top="0.75" bottom="0.75" header="0.3" footer="0.3"/>
  <pageSetup scale="73"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showGridLines="0" zoomScale="115" zoomScaleNormal="115" workbookViewId="0">
      <selection sqref="A1:XFD4"/>
    </sheetView>
  </sheetViews>
  <sheetFormatPr defaultRowHeight="15"/>
  <cols>
    <col min="1" max="1" width="1.85546875" style="165" customWidth="1"/>
  </cols>
  <sheetData>
    <row r="1" spans="2:17">
      <c r="B1" s="1"/>
      <c r="C1" s="1"/>
      <c r="D1" s="1"/>
      <c r="E1" s="1"/>
      <c r="F1" s="1"/>
      <c r="G1" s="1"/>
      <c r="H1" s="1"/>
      <c r="I1" s="1"/>
      <c r="J1" s="1"/>
      <c r="K1" s="1"/>
      <c r="L1" s="1"/>
      <c r="M1" s="1"/>
      <c r="N1" s="1"/>
      <c r="O1" s="1"/>
      <c r="P1" s="1"/>
      <c r="Q1" s="1"/>
    </row>
    <row r="2" spans="2:17">
      <c r="B2" s="1"/>
      <c r="C2" s="1"/>
      <c r="D2" s="1"/>
      <c r="E2" s="1"/>
      <c r="F2" s="1"/>
      <c r="G2" s="1"/>
      <c r="H2" s="1"/>
      <c r="I2" s="1"/>
      <c r="J2" s="1"/>
      <c r="K2" s="1"/>
      <c r="L2" s="1"/>
      <c r="M2" s="1"/>
      <c r="N2" s="1"/>
      <c r="O2" s="1"/>
      <c r="P2" s="1"/>
      <c r="Q2" s="1"/>
    </row>
    <row r="3" spans="2:17">
      <c r="B3" s="1"/>
      <c r="C3" s="1"/>
      <c r="D3" s="1"/>
      <c r="E3" s="1"/>
      <c r="F3" s="1"/>
      <c r="G3" s="1"/>
      <c r="H3" s="1"/>
      <c r="I3" s="1"/>
      <c r="J3" s="1"/>
      <c r="K3" s="1"/>
      <c r="L3" s="1"/>
      <c r="M3" s="1"/>
      <c r="N3" s="1"/>
      <c r="O3" s="1"/>
      <c r="P3" s="1"/>
      <c r="Q3" s="1"/>
    </row>
    <row r="4" spans="2:17">
      <c r="B4" s="1"/>
      <c r="C4" s="1"/>
      <c r="D4" s="1"/>
      <c r="E4" s="1"/>
      <c r="F4" s="1"/>
      <c r="G4" s="1"/>
      <c r="H4" s="1"/>
      <c r="I4" s="1"/>
      <c r="J4" s="1"/>
      <c r="K4" s="1"/>
      <c r="L4" s="1"/>
      <c r="M4" s="1"/>
      <c r="N4" s="1"/>
      <c r="O4" s="1"/>
      <c r="P4" s="1"/>
      <c r="Q4" s="1"/>
    </row>
    <row r="6" spans="2:17">
      <c r="L6" s="53" t="s">
        <v>356</v>
      </c>
      <c r="M6" s="1"/>
      <c r="N6" s="1"/>
      <c r="O6" s="1"/>
      <c r="P6" s="1"/>
      <c r="Q6" s="1"/>
    </row>
    <row r="7" spans="2:17">
      <c r="N7" s="166" t="s">
        <v>351</v>
      </c>
      <c r="O7" s="166" t="s">
        <v>307</v>
      </c>
      <c r="P7" s="166" t="s">
        <v>350</v>
      </c>
      <c r="Q7" s="166" t="s">
        <v>304</v>
      </c>
    </row>
    <row r="8" spans="2:17">
      <c r="L8" t="s">
        <v>349</v>
      </c>
      <c r="N8">
        <v>162.5</v>
      </c>
      <c r="O8">
        <v>162.5</v>
      </c>
      <c r="P8">
        <v>220</v>
      </c>
      <c r="Q8">
        <v>220</v>
      </c>
    </row>
    <row r="9" spans="2:17">
      <c r="L9" t="s">
        <v>353</v>
      </c>
      <c r="N9">
        <v>181.7</v>
      </c>
      <c r="O9">
        <v>181.7</v>
      </c>
      <c r="P9">
        <v>203.9</v>
      </c>
      <c r="Q9">
        <v>203.9</v>
      </c>
    </row>
    <row r="10" spans="2:17">
      <c r="L10" t="s">
        <v>352</v>
      </c>
      <c r="N10">
        <v>229.2</v>
      </c>
      <c r="O10">
        <v>229.2</v>
      </c>
      <c r="P10">
        <v>270.39999999999998</v>
      </c>
      <c r="Q10">
        <v>270.39999999999998</v>
      </c>
    </row>
    <row r="11" spans="2:17">
      <c r="L11" t="s">
        <v>354</v>
      </c>
      <c r="N11">
        <v>263.89999999999998</v>
      </c>
      <c r="O11">
        <v>263.89999999999998</v>
      </c>
      <c r="P11">
        <v>323.89999999999998</v>
      </c>
      <c r="Q11">
        <v>323.89999999999998</v>
      </c>
    </row>
    <row r="12" spans="2:17">
      <c r="L12" t="s">
        <v>355</v>
      </c>
      <c r="N12">
        <v>126</v>
      </c>
      <c r="O12">
        <v>126</v>
      </c>
      <c r="P12">
        <v>199</v>
      </c>
      <c r="Q12">
        <v>199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76"/>
  <sheetViews>
    <sheetView showGridLines="0" zoomScale="90" zoomScaleNormal="90" workbookViewId="0">
      <pane ySplit="3" topLeftCell="A4" activePane="bottomLeft" state="frozen"/>
      <selection activeCell="C4" sqref="C4"/>
      <selection pane="bottomLeft" activeCell="E55" sqref="E55"/>
    </sheetView>
  </sheetViews>
  <sheetFormatPr defaultRowHeight="15"/>
  <cols>
    <col min="1" max="1" width="1.85546875" customWidth="1"/>
    <col min="2" max="2" width="28.42578125" bestFit="1" customWidth="1"/>
    <col min="3" max="13" width="13" customWidth="1"/>
  </cols>
  <sheetData>
    <row r="2" spans="1:13">
      <c r="B2" s="181" t="str">
        <f>"Historical Financial Statement - "&amp;'Data Sheet'!B1</f>
        <v>Historical Financial Statement - AVENUE SUPERMARTS LTD</v>
      </c>
      <c r="C2" s="181"/>
      <c r="D2" s="181"/>
      <c r="E2" s="181"/>
      <c r="F2" s="181"/>
      <c r="G2" s="181"/>
      <c r="H2" s="181"/>
      <c r="I2" s="181"/>
      <c r="J2" s="181"/>
      <c r="K2" s="181"/>
      <c r="L2" s="181"/>
      <c r="M2" s="181"/>
    </row>
    <row r="3" spans="1:13">
      <c r="B3" s="53" t="s">
        <v>101</v>
      </c>
      <c r="C3" s="90">
        <f>'Data Sheet'!B16</f>
        <v>41729</v>
      </c>
      <c r="D3" s="90">
        <f>'Data Sheet'!C16</f>
        <v>42094</v>
      </c>
      <c r="E3" s="90">
        <f>'Data Sheet'!D16</f>
        <v>42460</v>
      </c>
      <c r="F3" s="90">
        <f>'Data Sheet'!E16</f>
        <v>42825</v>
      </c>
      <c r="G3" s="90">
        <f>'Data Sheet'!F16</f>
        <v>43190</v>
      </c>
      <c r="H3" s="90">
        <f>'Data Sheet'!G16</f>
        <v>43555</v>
      </c>
      <c r="I3" s="90">
        <f>'Data Sheet'!H16</f>
        <v>43921</v>
      </c>
      <c r="J3" s="90">
        <f>'Data Sheet'!I16</f>
        <v>44286</v>
      </c>
      <c r="K3" s="90">
        <f>'Data Sheet'!J16</f>
        <v>44651</v>
      </c>
      <c r="L3" s="90">
        <f>'Data Sheet'!K16</f>
        <v>45016</v>
      </c>
      <c r="M3" s="120" t="s">
        <v>102</v>
      </c>
    </row>
    <row r="4" spans="1:13">
      <c r="B4" s="64"/>
      <c r="C4" s="65"/>
      <c r="D4" s="65"/>
      <c r="E4" s="65"/>
      <c r="F4" s="65"/>
      <c r="G4" s="65"/>
      <c r="H4" s="65"/>
      <c r="I4" s="65"/>
      <c r="J4" s="65"/>
      <c r="K4" s="65"/>
      <c r="L4" s="65"/>
      <c r="M4" s="66"/>
    </row>
    <row r="5" spans="1:13">
      <c r="A5" t="s">
        <v>103</v>
      </c>
      <c r="B5" s="67" t="s">
        <v>104</v>
      </c>
      <c r="C5" s="7"/>
      <c r="D5" s="7"/>
      <c r="E5" s="7"/>
      <c r="F5" s="7"/>
      <c r="G5" s="7"/>
      <c r="H5" s="7"/>
      <c r="I5" s="7"/>
      <c r="J5" s="7"/>
      <c r="K5" s="7"/>
      <c r="L5" s="7"/>
      <c r="M5" s="7"/>
    </row>
    <row r="6" spans="1:13">
      <c r="B6" t="s">
        <v>105</v>
      </c>
      <c r="C6" s="68">
        <f>IFERROR('Data Sheet'!B17,0)</f>
        <v>4686.4799999999996</v>
      </c>
      <c r="D6" s="68">
        <f>IFERROR('Data Sheet'!C17,0)</f>
        <v>6439.43</v>
      </c>
      <c r="E6" s="68">
        <f>IFERROR('Data Sheet'!D17,0)</f>
        <v>8583.76</v>
      </c>
      <c r="F6" s="68">
        <f>IFERROR('Data Sheet'!E17,0)</f>
        <v>11897.7</v>
      </c>
      <c r="G6" s="68">
        <f>IFERROR('Data Sheet'!F17,0)</f>
        <v>15033.2</v>
      </c>
      <c r="H6" s="68">
        <f>IFERROR('Data Sheet'!G17,0)</f>
        <v>20004.52</v>
      </c>
      <c r="I6" s="68">
        <f>IFERROR('Data Sheet'!H17,0)</f>
        <v>24870.2</v>
      </c>
      <c r="J6" s="68">
        <f>IFERROR('Data Sheet'!I17,0)</f>
        <v>24143.06</v>
      </c>
      <c r="K6" s="68">
        <f>IFERROR('Data Sheet'!J17,0)</f>
        <v>30976.27</v>
      </c>
      <c r="L6" s="68">
        <f>IFERROR('Data Sheet'!K17,0)</f>
        <v>42839.56</v>
      </c>
      <c r="M6" s="68">
        <f>IFERROR(SUM('Data Sheet'!H42:K42),0)</f>
        <v>42839.56</v>
      </c>
    </row>
    <row r="7" spans="1:13">
      <c r="B7" s="69" t="s">
        <v>106</v>
      </c>
      <c r="C7" s="70" t="s">
        <v>107</v>
      </c>
      <c r="D7" s="71">
        <f>D6/C6-1</f>
        <v>0.37404405865382984</v>
      </c>
      <c r="E7" s="71">
        <f t="shared" ref="E7:M7" si="0">E6/D6-1</f>
        <v>0.33299997049428276</v>
      </c>
      <c r="F7" s="71">
        <f t="shared" si="0"/>
        <v>0.38607090598991589</v>
      </c>
      <c r="G7" s="71">
        <f t="shared" si="0"/>
        <v>0.26353833093791246</v>
      </c>
      <c r="H7" s="71">
        <f t="shared" si="0"/>
        <v>0.33068940744485542</v>
      </c>
      <c r="I7" s="71">
        <f t="shared" si="0"/>
        <v>0.24322903023916598</v>
      </c>
      <c r="J7" s="71">
        <f t="shared" si="0"/>
        <v>-2.9237400583831175E-2</v>
      </c>
      <c r="K7" s="71">
        <f t="shared" si="0"/>
        <v>0.28302998874210639</v>
      </c>
      <c r="L7" s="71">
        <f t="shared" si="0"/>
        <v>0.38297993915987938</v>
      </c>
      <c r="M7" s="71">
        <f t="shared" si="0"/>
        <v>0</v>
      </c>
    </row>
    <row r="9" spans="1:13">
      <c r="B9" t="s">
        <v>108</v>
      </c>
      <c r="C9" s="68">
        <f>IFERROR(SUM('Data Sheet'!B18,'Data Sheet'!B20:B22)-1*'Data Sheet'!B19,0)</f>
        <v>4240.6099999999997</v>
      </c>
      <c r="D9" s="68">
        <f>IFERROR(SUM('Data Sheet'!C18,'Data Sheet'!C20:C22)-1*'Data Sheet'!C19,0)</f>
        <v>5835.9300000000012</v>
      </c>
      <c r="E9" s="68">
        <f>IFERROR(SUM('Data Sheet'!D18,'Data Sheet'!D20:D22)-1*'Data Sheet'!D19,0)</f>
        <v>7773.1799999999994</v>
      </c>
      <c r="F9" s="68">
        <f>IFERROR(SUM('Data Sheet'!E18,'Data Sheet'!E20:E22)-1*'Data Sheet'!E19,0)</f>
        <v>10706.01</v>
      </c>
      <c r="G9" s="68">
        <f>IFERROR(SUM('Data Sheet'!F18,'Data Sheet'!F20:F22)-1*'Data Sheet'!F19,0)</f>
        <v>13413.76</v>
      </c>
      <c r="H9" s="68">
        <f>IFERROR(SUM('Data Sheet'!G18,'Data Sheet'!G20:G22)-1*'Data Sheet'!G19,0)</f>
        <v>18009.53</v>
      </c>
      <c r="I9" s="68">
        <f>IFERROR(SUM('Data Sheet'!H18,'Data Sheet'!H20:H22)-1*'Data Sheet'!H19,0)</f>
        <v>22394.27</v>
      </c>
      <c r="J9" s="68">
        <f>IFERROR(SUM('Data Sheet'!I18,'Data Sheet'!I20:I22)-1*'Data Sheet'!I19,0)</f>
        <v>22012.890000000003</v>
      </c>
      <c r="K9" s="68">
        <f>IFERROR(SUM('Data Sheet'!J18,'Data Sheet'!J20:J22)-1*'Data Sheet'!J19,0)</f>
        <v>28028.46</v>
      </c>
      <c r="L9" s="68">
        <f>IFERROR(SUM('Data Sheet'!K18,'Data Sheet'!K20:K22)-1*'Data Sheet'!K19,0)</f>
        <v>37130.86</v>
      </c>
      <c r="M9" s="68">
        <f>IFERROR(SUM('Data Sheet'!H43:K43),0)</f>
        <v>39202.53</v>
      </c>
    </row>
    <row r="10" spans="1:13">
      <c r="B10" s="69" t="s">
        <v>109</v>
      </c>
      <c r="C10" s="71">
        <f>C9/C6</f>
        <v>0.90486036428193439</v>
      </c>
      <c r="D10" s="71">
        <f t="shared" ref="D10:M10" si="1">D9/D6</f>
        <v>0.90628052482906107</v>
      </c>
      <c r="E10" s="71">
        <f t="shared" si="1"/>
        <v>0.90556818923175852</v>
      </c>
      <c r="F10" s="71">
        <f t="shared" si="1"/>
        <v>0.89983862427191807</v>
      </c>
      <c r="G10" s="71">
        <f t="shared" si="1"/>
        <v>0.89227576297794209</v>
      </c>
      <c r="H10" s="71">
        <f t="shared" si="1"/>
        <v>0.9002730382933456</v>
      </c>
      <c r="I10" s="71">
        <f t="shared" si="1"/>
        <v>0.90044591519167516</v>
      </c>
      <c r="J10" s="71">
        <f t="shared" si="1"/>
        <v>0.91176884785938495</v>
      </c>
      <c r="K10" s="71">
        <f t="shared" si="1"/>
        <v>0.90483650872103061</v>
      </c>
      <c r="L10" s="71">
        <f t="shared" si="1"/>
        <v>0.86674232881943702</v>
      </c>
      <c r="M10" s="71">
        <f t="shared" si="1"/>
        <v>0.91510113549252137</v>
      </c>
    </row>
    <row r="12" spans="1:13">
      <c r="B12" s="72" t="s">
        <v>110</v>
      </c>
      <c r="C12" s="73">
        <f>C6-C9</f>
        <v>445.86999999999989</v>
      </c>
      <c r="D12" s="73">
        <f t="shared" ref="D12:M12" si="2">D6-D9</f>
        <v>603.49999999999909</v>
      </c>
      <c r="E12" s="73">
        <f t="shared" si="2"/>
        <v>810.58000000000084</v>
      </c>
      <c r="F12" s="73">
        <f t="shared" si="2"/>
        <v>1191.6900000000005</v>
      </c>
      <c r="G12" s="73">
        <f t="shared" si="2"/>
        <v>1619.4400000000005</v>
      </c>
      <c r="H12" s="73">
        <f t="shared" si="2"/>
        <v>1994.9900000000016</v>
      </c>
      <c r="I12" s="73">
        <f t="shared" si="2"/>
        <v>2475.9300000000003</v>
      </c>
      <c r="J12" s="73">
        <f t="shared" si="2"/>
        <v>2130.1699999999983</v>
      </c>
      <c r="K12" s="73">
        <f t="shared" si="2"/>
        <v>2947.8100000000013</v>
      </c>
      <c r="L12" s="73">
        <f t="shared" si="2"/>
        <v>5708.6999999999971</v>
      </c>
      <c r="M12" s="73">
        <f t="shared" si="2"/>
        <v>3637.0299999999988</v>
      </c>
    </row>
    <row r="13" spans="1:13">
      <c r="B13" s="69" t="s">
        <v>111</v>
      </c>
      <c r="C13" s="71">
        <f>C12/C6</f>
        <v>9.5139635718065566E-2</v>
      </c>
      <c r="D13" s="71">
        <f t="shared" ref="D13:M13" si="3">D12/D6</f>
        <v>9.3719475170938898E-2</v>
      </c>
      <c r="E13" s="71">
        <f t="shared" si="3"/>
        <v>9.4431810768241517E-2</v>
      </c>
      <c r="F13" s="71">
        <f t="shared" si="3"/>
        <v>0.10016137572808194</v>
      </c>
      <c r="G13" s="71">
        <f t="shared" si="3"/>
        <v>0.10772423702205787</v>
      </c>
      <c r="H13" s="71">
        <f t="shared" si="3"/>
        <v>9.9726961706654377E-2</v>
      </c>
      <c r="I13" s="71">
        <f t="shared" si="3"/>
        <v>9.9554084808324825E-2</v>
      </c>
      <c r="J13" s="71">
        <f t="shared" si="3"/>
        <v>8.8231152140615068E-2</v>
      </c>
      <c r="K13" s="71">
        <f t="shared" si="3"/>
        <v>9.5163491278969392E-2</v>
      </c>
      <c r="L13" s="71">
        <f t="shared" si="3"/>
        <v>0.13325767118056295</v>
      </c>
      <c r="M13" s="71">
        <f t="shared" si="3"/>
        <v>8.4898864507478577E-2</v>
      </c>
    </row>
    <row r="15" spans="1:13">
      <c r="B15" t="s">
        <v>112</v>
      </c>
      <c r="C15" s="74">
        <f>IFERROR(SUM('Data Sheet'!B23:B24),0)</f>
        <v>104.59000000000003</v>
      </c>
      <c r="D15" s="74">
        <f>IFERROR(SUM('Data Sheet'!C23:C24),0)</f>
        <v>147.23999999999995</v>
      </c>
      <c r="E15" s="74">
        <f>IFERROR(SUM('Data Sheet'!D23:D24),0)</f>
        <v>146.12</v>
      </c>
      <c r="F15" s="74">
        <f>IFERROR(SUM('Data Sheet'!E23:E24),0)</f>
        <v>222.51</v>
      </c>
      <c r="G15" s="74">
        <f>IFERROR(SUM('Data Sheet'!F23:F24),0)</f>
        <v>266.58000000000004</v>
      </c>
      <c r="H15" s="74">
        <f>IFERROR(SUM('Data Sheet'!G23:G24),0)</f>
        <v>361.68</v>
      </c>
      <c r="I15" s="74">
        <f>IFERROR(SUM('Data Sheet'!H23:H24),0)</f>
        <v>347.62</v>
      </c>
      <c r="J15" s="74">
        <f>IFERROR(SUM('Data Sheet'!I23:I24),0)</f>
        <v>385.34</v>
      </c>
      <c r="K15" s="74">
        <f>IFERROR(SUM('Data Sheet'!J23:J24),0)</f>
        <v>445.46000000000004</v>
      </c>
      <c r="L15" s="74">
        <f>IFERROR(SUM('Data Sheet'!K23:K24),0)</f>
        <v>2071.67</v>
      </c>
      <c r="M15" s="74"/>
    </row>
    <row r="16" spans="1:13">
      <c r="B16" s="69" t="s">
        <v>113</v>
      </c>
      <c r="C16" s="71">
        <f>C15/C6</f>
        <v>2.2317389597309716E-2</v>
      </c>
      <c r="D16" s="71">
        <f t="shared" ref="D16:M16" si="4">D15/D6</f>
        <v>2.2865377836237051E-2</v>
      </c>
      <c r="E16" s="71">
        <f t="shared" si="4"/>
        <v>1.7022843136341184E-2</v>
      </c>
      <c r="F16" s="71">
        <f t="shared" si="4"/>
        <v>1.870193398724123E-2</v>
      </c>
      <c r="G16" s="71">
        <f t="shared" si="4"/>
        <v>1.7732751509991221E-2</v>
      </c>
      <c r="H16" s="71">
        <f t="shared" si="4"/>
        <v>1.8079913939449684E-2</v>
      </c>
      <c r="I16" s="71">
        <f t="shared" si="4"/>
        <v>1.3977370507675852E-2</v>
      </c>
      <c r="J16" s="71">
        <f t="shared" si="4"/>
        <v>1.5960694294757993E-2</v>
      </c>
      <c r="K16" s="71">
        <f t="shared" si="4"/>
        <v>1.438068560223681E-2</v>
      </c>
      <c r="L16" s="71">
        <f t="shared" si="4"/>
        <v>4.8358806673084412E-2</v>
      </c>
      <c r="M16" s="71">
        <f t="shared" si="4"/>
        <v>0</v>
      </c>
    </row>
    <row r="18" spans="2:13">
      <c r="B18" s="72" t="s">
        <v>114</v>
      </c>
      <c r="C18" s="73">
        <f t="shared" ref="C18:L18" si="5">C12-C15</f>
        <v>341.27999999999986</v>
      </c>
      <c r="D18" s="73">
        <f t="shared" si="5"/>
        <v>456.25999999999914</v>
      </c>
      <c r="E18" s="73">
        <f t="shared" si="5"/>
        <v>664.46000000000083</v>
      </c>
      <c r="F18" s="73">
        <f t="shared" si="5"/>
        <v>969.18000000000052</v>
      </c>
      <c r="G18" s="73">
        <f t="shared" si="5"/>
        <v>1352.8600000000006</v>
      </c>
      <c r="H18" s="73">
        <f t="shared" si="5"/>
        <v>1633.3100000000015</v>
      </c>
      <c r="I18" s="73">
        <f t="shared" si="5"/>
        <v>2128.3100000000004</v>
      </c>
      <c r="J18" s="73">
        <f t="shared" si="5"/>
        <v>1744.8299999999983</v>
      </c>
      <c r="K18" s="73">
        <f t="shared" si="5"/>
        <v>2502.3500000000013</v>
      </c>
      <c r="L18" s="73">
        <f t="shared" si="5"/>
        <v>3637.029999999997</v>
      </c>
      <c r="M18" s="73">
        <f>IFERROR(SUM('Data Sheet'!H51:K51),0)</f>
        <v>3766.5400000000004</v>
      </c>
    </row>
    <row r="19" spans="2:13">
      <c r="B19" s="69" t="s">
        <v>115</v>
      </c>
      <c r="C19" s="71">
        <f>C18/C6</f>
        <v>7.2822246120755857E-2</v>
      </c>
      <c r="D19" s="71">
        <f t="shared" ref="D19:M19" si="6">D18/D6</f>
        <v>7.0854097334701854E-2</v>
      </c>
      <c r="E19" s="71">
        <f t="shared" si="6"/>
        <v>7.7408967631900333E-2</v>
      </c>
      <c r="F19" s="71">
        <f t="shared" si="6"/>
        <v>8.1459441740840702E-2</v>
      </c>
      <c r="G19" s="71">
        <f t="shared" si="6"/>
        <v>8.9991485512066663E-2</v>
      </c>
      <c r="H19" s="71">
        <f t="shared" si="6"/>
        <v>8.1647047767204689E-2</v>
      </c>
      <c r="I19" s="71">
        <f t="shared" si="6"/>
        <v>8.5576714300648976E-2</v>
      </c>
      <c r="J19" s="71">
        <f t="shared" si="6"/>
        <v>7.2270457845857075E-2</v>
      </c>
      <c r="K19" s="71">
        <f t="shared" si="6"/>
        <v>8.0782805676732586E-2</v>
      </c>
      <c r="L19" s="71">
        <f t="shared" si="6"/>
        <v>8.4898864507478536E-2</v>
      </c>
      <c r="M19" s="71">
        <f t="shared" si="6"/>
        <v>8.7922004801169781E-2</v>
      </c>
    </row>
    <row r="21" spans="2:13">
      <c r="B21" t="s">
        <v>116</v>
      </c>
      <c r="C21" s="74">
        <f>IFERROR('Data Sheet'!B27,0)</f>
        <v>55.68</v>
      </c>
      <c r="D21" s="74">
        <f>IFERROR('Data Sheet'!C27,0)</f>
        <v>72.36</v>
      </c>
      <c r="E21" s="74">
        <f>IFERROR('Data Sheet'!D27,0)</f>
        <v>91.34</v>
      </c>
      <c r="F21" s="74">
        <f>IFERROR('Data Sheet'!E27,0)</f>
        <v>121.98</v>
      </c>
      <c r="G21" s="74">
        <f>IFERROR('Data Sheet'!F27,0)</f>
        <v>59.54</v>
      </c>
      <c r="H21" s="74">
        <f>IFERROR('Data Sheet'!G27,0)</f>
        <v>47.21</v>
      </c>
      <c r="I21" s="74">
        <f>IFERROR('Data Sheet'!H27,0)</f>
        <v>69.12</v>
      </c>
      <c r="J21" s="74">
        <f>IFERROR('Data Sheet'!I27,0)</f>
        <v>41.65</v>
      </c>
      <c r="K21" s="74">
        <f>IFERROR('Data Sheet'!J27,0)</f>
        <v>53.79</v>
      </c>
      <c r="L21" s="74">
        <f>IFERROR('Data Sheet'!K27,0)</f>
        <v>67.41</v>
      </c>
      <c r="M21" s="74">
        <f>IFERROR(SUM('Data Sheet'!H46:K46),0)</f>
        <v>67.41</v>
      </c>
    </row>
    <row r="22" spans="2:13">
      <c r="B22" s="69" t="s">
        <v>117</v>
      </c>
      <c r="C22" s="71">
        <f>C21/C6</f>
        <v>1.1880985302401803E-2</v>
      </c>
      <c r="D22" s="71">
        <f t="shared" ref="D22:M22" si="7">D21/D6</f>
        <v>1.1237019425632393E-2</v>
      </c>
      <c r="E22" s="71">
        <f t="shared" si="7"/>
        <v>1.0641024446163452E-2</v>
      </c>
      <c r="F22" s="71">
        <f t="shared" si="7"/>
        <v>1.0252401724703094E-2</v>
      </c>
      <c r="G22" s="71">
        <f t="shared" si="7"/>
        <v>3.9605672777585609E-3</v>
      </c>
      <c r="H22" s="71">
        <f t="shared" si="7"/>
        <v>2.3599666475376565E-3</v>
      </c>
      <c r="I22" s="71">
        <f t="shared" si="7"/>
        <v>2.7792297609186899E-3</v>
      </c>
      <c r="J22" s="71">
        <f t="shared" si="7"/>
        <v>1.7251334337900829E-3</v>
      </c>
      <c r="K22" s="71">
        <f t="shared" si="7"/>
        <v>1.7364905458274996E-3</v>
      </c>
      <c r="L22" s="71">
        <f t="shared" si="7"/>
        <v>1.5735455732972048E-3</v>
      </c>
      <c r="M22" s="71">
        <f t="shared" si="7"/>
        <v>1.5735455732972048E-3</v>
      </c>
    </row>
    <row r="24" spans="2:13">
      <c r="B24" t="s">
        <v>118</v>
      </c>
      <c r="C24" s="74">
        <f>IFERROR('Data Sheet'!B26,0)</f>
        <v>57.01</v>
      </c>
      <c r="D24" s="74">
        <f>IFERROR('Data Sheet'!C26,0)</f>
        <v>81.540000000000006</v>
      </c>
      <c r="E24" s="74">
        <f>IFERROR('Data Sheet'!D26,0)</f>
        <v>98.43</v>
      </c>
      <c r="F24" s="74">
        <f>IFERROR('Data Sheet'!E26,0)</f>
        <v>127.82</v>
      </c>
      <c r="G24" s="74">
        <f>IFERROR('Data Sheet'!F26,0)</f>
        <v>159</v>
      </c>
      <c r="H24" s="74">
        <f>IFERROR('Data Sheet'!G26,0)</f>
        <v>212.49</v>
      </c>
      <c r="I24" s="74">
        <f>IFERROR('Data Sheet'!H26,0)</f>
        <v>374.41</v>
      </c>
      <c r="J24" s="74">
        <f>IFERROR('Data Sheet'!I26,0)</f>
        <v>414.16</v>
      </c>
      <c r="K24" s="74">
        <f>IFERROR('Data Sheet'!J26,0)</f>
        <v>498.08</v>
      </c>
      <c r="L24" s="74">
        <f>IFERROR('Data Sheet'!K26,0)</f>
        <v>638.87</v>
      </c>
      <c r="M24" s="74">
        <f>IFERROR(SUM('Data Sheet'!H45:K45),0)</f>
        <v>638.87000000000012</v>
      </c>
    </row>
    <row r="25" spans="2:13">
      <c r="B25" s="69" t="s">
        <v>119</v>
      </c>
      <c r="C25" s="71">
        <f>C24/C6</f>
        <v>1.2164780389546099E-2</v>
      </c>
      <c r="D25" s="71">
        <f t="shared" ref="D25:M25" si="8">D24/D6</f>
        <v>1.26626114423171E-2</v>
      </c>
      <c r="E25" s="71">
        <f t="shared" si="8"/>
        <v>1.1467002805297445E-2</v>
      </c>
      <c r="F25" s="71">
        <f t="shared" si="8"/>
        <v>1.0743252897618866E-2</v>
      </c>
      <c r="G25" s="71">
        <f t="shared" si="8"/>
        <v>1.0576590479738178E-2</v>
      </c>
      <c r="H25" s="71">
        <f t="shared" si="8"/>
        <v>1.062209940553435E-2</v>
      </c>
      <c r="I25" s="71">
        <f t="shared" si="8"/>
        <v>1.5054563292615258E-2</v>
      </c>
      <c r="J25" s="71">
        <f t="shared" si="8"/>
        <v>1.7154412075354161E-2</v>
      </c>
      <c r="K25" s="71">
        <f t="shared" si="8"/>
        <v>1.6079405299605148E-2</v>
      </c>
      <c r="L25" s="71">
        <f t="shared" si="8"/>
        <v>1.4913085008342757E-2</v>
      </c>
      <c r="M25" s="71">
        <f t="shared" si="8"/>
        <v>1.491308500834276E-2</v>
      </c>
    </row>
    <row r="27" spans="2:13">
      <c r="B27" s="72" t="s">
        <v>120</v>
      </c>
      <c r="C27" s="73">
        <f>IFERROR(C18-SUM(C24,C21),0)</f>
        <v>228.58999999999986</v>
      </c>
      <c r="D27" s="73">
        <f t="shared" ref="D27:M27" si="9">IFERROR(D18-SUM(D24,D21),0)</f>
        <v>302.3599999999991</v>
      </c>
      <c r="E27" s="73">
        <f t="shared" si="9"/>
        <v>474.69000000000085</v>
      </c>
      <c r="F27" s="73">
        <f t="shared" si="9"/>
        <v>719.38000000000056</v>
      </c>
      <c r="G27" s="73">
        <f t="shared" si="9"/>
        <v>1134.3200000000006</v>
      </c>
      <c r="H27" s="73">
        <f t="shared" si="9"/>
        <v>1373.6100000000015</v>
      </c>
      <c r="I27" s="75">
        <f t="shared" si="9"/>
        <v>1684.7800000000004</v>
      </c>
      <c r="J27" s="75">
        <f t="shared" si="9"/>
        <v>1289.0199999999984</v>
      </c>
      <c r="K27" s="75">
        <f t="shared" si="9"/>
        <v>1950.4800000000014</v>
      </c>
      <c r="L27" s="75">
        <f t="shared" si="9"/>
        <v>2930.7499999999973</v>
      </c>
      <c r="M27" s="75">
        <f t="shared" si="9"/>
        <v>3060.26</v>
      </c>
    </row>
    <row r="28" spans="2:13">
      <c r="B28" s="69" t="s">
        <v>121</v>
      </c>
      <c r="C28" s="71">
        <f>C27/C6</f>
        <v>4.8776480428807951E-2</v>
      </c>
      <c r="D28" s="71">
        <f t="shared" ref="D28:M28" si="10">D27/D6</f>
        <v>4.6954466466752352E-2</v>
      </c>
      <c r="E28" s="71">
        <f t="shared" si="10"/>
        <v>5.5300940380439437E-2</v>
      </c>
      <c r="F28" s="71">
        <f t="shared" si="10"/>
        <v>6.0463787118518748E-2</v>
      </c>
      <c r="G28" s="71">
        <f t="shared" si="10"/>
        <v>7.5454327754569922E-2</v>
      </c>
      <c r="H28" s="71">
        <f t="shared" si="10"/>
        <v>6.8664981714132683E-2</v>
      </c>
      <c r="I28" s="71">
        <f t="shared" si="10"/>
        <v>6.7742921247115034E-2</v>
      </c>
      <c r="J28" s="71">
        <f t="shared" si="10"/>
        <v>5.3390912336712844E-2</v>
      </c>
      <c r="K28" s="71">
        <f t="shared" si="10"/>
        <v>6.2966909831299933E-2</v>
      </c>
      <c r="L28" s="71">
        <f t="shared" si="10"/>
        <v>6.8412233925838575E-2</v>
      </c>
      <c r="M28" s="71">
        <f t="shared" si="10"/>
        <v>7.1435374219529807E-2</v>
      </c>
    </row>
    <row r="30" spans="2:13">
      <c r="B30" t="s">
        <v>122</v>
      </c>
      <c r="C30" s="68">
        <f>IFERROR('Data Sheet'!B29,0)</f>
        <v>83.48</v>
      </c>
      <c r="D30" s="68">
        <f>IFERROR('Data Sheet'!C29,0)</f>
        <v>110.92</v>
      </c>
      <c r="E30" s="68">
        <f>IFERROR('Data Sheet'!D29,0)</f>
        <v>171.47</v>
      </c>
      <c r="F30" s="68">
        <f>IFERROR('Data Sheet'!E29,0)</f>
        <v>268.27999999999997</v>
      </c>
      <c r="G30" s="68">
        <f>IFERROR('Data Sheet'!F29,0)</f>
        <v>415.79</v>
      </c>
      <c r="H30" s="68">
        <f>IFERROR('Data Sheet'!G29,0)</f>
        <v>519.48</v>
      </c>
      <c r="I30" s="68">
        <f>IFERROR('Data Sheet'!H29,0)</f>
        <v>443.79</v>
      </c>
      <c r="J30" s="68">
        <f>IFERROR('Data Sheet'!I29,0)</f>
        <v>384.02</v>
      </c>
      <c r="K30" s="68">
        <f>IFERROR('Data Sheet'!J29,0)</f>
        <v>571.72</v>
      </c>
      <c r="L30" s="68">
        <f>IFERROR('Data Sheet'!K29,0)</f>
        <v>681.75</v>
      </c>
      <c r="M30" s="68">
        <f>IFERROR(SUM('Data Sheet'!H48:K48),0)</f>
        <v>681.75</v>
      </c>
    </row>
    <row r="31" spans="2:13">
      <c r="B31" s="69" t="s">
        <v>123</v>
      </c>
      <c r="C31" s="71">
        <f>C30/C27</f>
        <v>0.36519532787961001</v>
      </c>
      <c r="D31" s="71">
        <f t="shared" ref="D31:M31" si="11">D30/D27</f>
        <v>0.36684746659611167</v>
      </c>
      <c r="E31" s="71">
        <f t="shared" si="11"/>
        <v>0.36122522067033158</v>
      </c>
      <c r="F31" s="71">
        <f t="shared" si="11"/>
        <v>0.37293224721287743</v>
      </c>
      <c r="G31" s="71">
        <f t="shared" si="11"/>
        <v>0.36655441145355788</v>
      </c>
      <c r="H31" s="71">
        <f t="shared" si="11"/>
        <v>0.37818594797649946</v>
      </c>
      <c r="I31" s="71">
        <f t="shared" si="11"/>
        <v>0.26341124657225268</v>
      </c>
      <c r="J31" s="71">
        <f t="shared" si="11"/>
        <v>0.29791624645079245</v>
      </c>
      <c r="K31" s="71">
        <f t="shared" si="11"/>
        <v>0.29311759156720379</v>
      </c>
      <c r="L31" s="71">
        <f t="shared" si="11"/>
        <v>0.232619636611789</v>
      </c>
      <c r="M31" s="71">
        <f t="shared" si="11"/>
        <v>0.22277518903622567</v>
      </c>
    </row>
    <row r="33" spans="1:13">
      <c r="B33" s="72" t="s">
        <v>124</v>
      </c>
      <c r="C33" s="75">
        <f>IFERROR(C27-C30,0)</f>
        <v>145.10999999999984</v>
      </c>
      <c r="D33" s="75">
        <f t="shared" ref="D33:M33" si="12">IFERROR(D27-D30,0)</f>
        <v>191.43999999999909</v>
      </c>
      <c r="E33" s="75">
        <f t="shared" si="12"/>
        <v>303.22000000000082</v>
      </c>
      <c r="F33" s="75">
        <f t="shared" si="12"/>
        <v>451.10000000000059</v>
      </c>
      <c r="G33" s="75">
        <f t="shared" si="12"/>
        <v>718.53000000000065</v>
      </c>
      <c r="H33" s="75">
        <f t="shared" si="12"/>
        <v>854.13000000000147</v>
      </c>
      <c r="I33" s="75">
        <f t="shared" si="12"/>
        <v>1240.9900000000005</v>
      </c>
      <c r="J33" s="75">
        <f t="shared" si="12"/>
        <v>904.99999999999841</v>
      </c>
      <c r="K33" s="75">
        <f t="shared" si="12"/>
        <v>1378.7600000000014</v>
      </c>
      <c r="L33" s="75">
        <f t="shared" si="12"/>
        <v>2248.9999999999973</v>
      </c>
      <c r="M33" s="75">
        <f t="shared" si="12"/>
        <v>2378.5100000000002</v>
      </c>
    </row>
    <row r="34" spans="1:13">
      <c r="B34" s="69" t="s">
        <v>125</v>
      </c>
      <c r="C34" s="71">
        <f>C33/C6</f>
        <v>3.0963537665796046E-2</v>
      </c>
      <c r="D34" s="71">
        <f t="shared" ref="D34:M34" si="13">D33/D6</f>
        <v>2.9729339398052168E-2</v>
      </c>
      <c r="E34" s="71">
        <f t="shared" si="13"/>
        <v>3.5324845988238353E-2</v>
      </c>
      <c r="F34" s="71">
        <f t="shared" si="13"/>
        <v>3.7914891113408518E-2</v>
      </c>
      <c r="G34" s="71">
        <f t="shared" si="13"/>
        <v>4.7796211052869693E-2</v>
      </c>
      <c r="H34" s="71">
        <f t="shared" si="13"/>
        <v>4.2696850511784408E-2</v>
      </c>
      <c r="I34" s="71">
        <f t="shared" si="13"/>
        <v>4.9898673914966524E-2</v>
      </c>
      <c r="J34" s="71">
        <f t="shared" si="13"/>
        <v>3.7484892138776045E-2</v>
      </c>
      <c r="K34" s="71">
        <f t="shared" si="13"/>
        <v>4.4510200873120014E-2</v>
      </c>
      <c r="L34" s="71">
        <f t="shared" si="13"/>
        <v>5.2498204930209305E-2</v>
      </c>
      <c r="M34" s="71">
        <f t="shared" si="13"/>
        <v>5.5521345223900537E-2</v>
      </c>
    </row>
    <row r="36" spans="1:13">
      <c r="B36" t="s">
        <v>126</v>
      </c>
      <c r="C36">
        <f>IFERROR('Data Sheet'!B93,0)</f>
        <v>54.68</v>
      </c>
      <c r="D36">
        <f>IFERROR('Data Sheet'!C93,0)</f>
        <v>56.15</v>
      </c>
      <c r="E36">
        <f>IFERROR('Data Sheet'!D93,0)</f>
        <v>56.15</v>
      </c>
      <c r="F36">
        <f>IFERROR('Data Sheet'!E93,0)</f>
        <v>62.41</v>
      </c>
      <c r="G36">
        <f>IFERROR('Data Sheet'!F93,0)</f>
        <v>62.41</v>
      </c>
      <c r="H36">
        <f>IFERROR('Data Sheet'!G93,0)</f>
        <v>62.41</v>
      </c>
      <c r="I36">
        <f>IFERROR('Data Sheet'!H93,0)</f>
        <v>64.78</v>
      </c>
      <c r="J36">
        <f>IFERROR('Data Sheet'!I93,0)</f>
        <v>64.78</v>
      </c>
      <c r="K36">
        <f>IFERROR('Data Sheet'!J93,0)</f>
        <v>64.78</v>
      </c>
      <c r="L36">
        <f>IFERROR('Data Sheet'!K93,0)</f>
        <v>64.83</v>
      </c>
      <c r="M36">
        <f>L36</f>
        <v>64.83</v>
      </c>
    </row>
    <row r="37" spans="1:13">
      <c r="C37" s="74"/>
      <c r="D37" s="74"/>
      <c r="E37" s="74"/>
      <c r="F37" s="74"/>
      <c r="G37" s="74"/>
      <c r="H37" s="74"/>
      <c r="I37" s="74"/>
      <c r="J37" s="74"/>
      <c r="K37" s="74"/>
      <c r="L37" s="74"/>
      <c r="M37" s="74"/>
    </row>
    <row r="38" spans="1:13">
      <c r="B38" t="s">
        <v>127</v>
      </c>
      <c r="C38" s="74">
        <f>IFERROR(C33/C36,0)</f>
        <v>2.6538039502560324</v>
      </c>
      <c r="D38" s="74">
        <f t="shared" ref="D38:M38" si="14">IFERROR(D33/D36,0)</f>
        <v>3.4094390026713999</v>
      </c>
      <c r="E38" s="74">
        <f t="shared" si="14"/>
        <v>5.4001780943900419</v>
      </c>
      <c r="F38" s="74">
        <f t="shared" si="14"/>
        <v>7.2280083319980868</v>
      </c>
      <c r="G38" s="74">
        <f t="shared" si="14"/>
        <v>11.513058804678748</v>
      </c>
      <c r="H38" s="74">
        <f t="shared" si="14"/>
        <v>13.685787534049055</v>
      </c>
      <c r="I38" s="74">
        <f t="shared" si="14"/>
        <v>19.156992899042923</v>
      </c>
      <c r="J38" s="74">
        <f t="shared" si="14"/>
        <v>13.970361222599543</v>
      </c>
      <c r="K38" s="74">
        <f t="shared" si="14"/>
        <v>21.283729546156241</v>
      </c>
      <c r="L38" s="74">
        <f t="shared" si="14"/>
        <v>34.690729600493555</v>
      </c>
      <c r="M38" s="74">
        <f t="shared" si="14"/>
        <v>36.688415856856395</v>
      </c>
    </row>
    <row r="39" spans="1:13">
      <c r="B39" s="69" t="s">
        <v>128</v>
      </c>
      <c r="C39" s="71"/>
      <c r="D39" s="71">
        <f>IFERROR(D38/C38-1,0)</f>
        <v>0.28473657684565046</v>
      </c>
      <c r="E39" s="71">
        <f t="shared" ref="E39:M39" si="15">IFERROR(E38/D38-1,0)</f>
        <v>0.58389051399917613</v>
      </c>
      <c r="F39" s="71">
        <f t="shared" si="15"/>
        <v>0.33847591795294307</v>
      </c>
      <c r="G39" s="71">
        <f t="shared" si="15"/>
        <v>0.5928397251163815</v>
      </c>
      <c r="H39" s="71">
        <f t="shared" si="15"/>
        <v>0.18871863387750087</v>
      </c>
      <c r="I39" s="71">
        <f t="shared" si="15"/>
        <v>0.39977278263176164</v>
      </c>
      <c r="J39" s="71">
        <f t="shared" si="15"/>
        <v>-0.27074351928702245</v>
      </c>
      <c r="K39" s="71">
        <f t="shared" si="15"/>
        <v>0.52349171270718653</v>
      </c>
      <c r="L39" s="71">
        <f t="shared" si="15"/>
        <v>0.6299177982534816</v>
      </c>
      <c r="M39" s="71">
        <f t="shared" si="15"/>
        <v>5.7585593597155649E-2</v>
      </c>
    </row>
    <row r="41" spans="1:13">
      <c r="B41" t="s">
        <v>129</v>
      </c>
      <c r="C41" s="76">
        <f>IFERROR('Data Sheet'!B31/HistoricalFS!C36,0)</f>
        <v>0</v>
      </c>
      <c r="D41" s="76">
        <f>IFERROR('Data Sheet'!C31/HistoricalFS!D36,0)</f>
        <v>0</v>
      </c>
      <c r="E41" s="68">
        <f>IFERROR('Data Sheet'!D31/HistoricalFS!E36,0)</f>
        <v>0</v>
      </c>
      <c r="F41" s="68">
        <f>IFERROR('Data Sheet'!E31/HistoricalFS!F36,0)</f>
        <v>0</v>
      </c>
      <c r="G41" s="68">
        <f>IFERROR('Data Sheet'!F31/HistoricalFS!G36,0)</f>
        <v>0</v>
      </c>
      <c r="H41" s="68">
        <f>IFERROR('Data Sheet'!G31/HistoricalFS!H36,0)</f>
        <v>0</v>
      </c>
      <c r="I41" s="68">
        <f>IFERROR('Data Sheet'!H31/HistoricalFS!I36,0)</f>
        <v>0</v>
      </c>
      <c r="J41" s="68">
        <f>IFERROR('Data Sheet'!I31/HistoricalFS!J36,0)</f>
        <v>0</v>
      </c>
      <c r="K41" s="68">
        <f>IFERROR('Data Sheet'!J31/HistoricalFS!K36,0)</f>
        <v>0</v>
      </c>
      <c r="L41" s="68">
        <f>IFERROR('Data Sheet'!K31/HistoricalFS!L36,0)</f>
        <v>0</v>
      </c>
      <c r="M41" s="68">
        <f>IFERROR('Data Sheet'!L31/HistoricalFS!M36,0)</f>
        <v>0</v>
      </c>
    </row>
    <row r="42" spans="1:13">
      <c r="B42" s="69" t="s">
        <v>130</v>
      </c>
      <c r="C42" s="71">
        <f>IFERROR(C41/C38,0)</f>
        <v>0</v>
      </c>
      <c r="D42" s="71">
        <f t="shared" ref="D42:M42" si="16">IFERROR(D41/D38,0)</f>
        <v>0</v>
      </c>
      <c r="E42" s="71">
        <f t="shared" si="16"/>
        <v>0</v>
      </c>
      <c r="F42" s="71">
        <f t="shared" si="16"/>
        <v>0</v>
      </c>
      <c r="G42" s="71">
        <f t="shared" si="16"/>
        <v>0</v>
      </c>
      <c r="H42" s="71">
        <f t="shared" si="16"/>
        <v>0</v>
      </c>
      <c r="I42" s="71">
        <f t="shared" si="16"/>
        <v>0</v>
      </c>
      <c r="J42" s="71">
        <f t="shared" si="16"/>
        <v>0</v>
      </c>
      <c r="K42" s="71">
        <f t="shared" si="16"/>
        <v>0</v>
      </c>
      <c r="L42" s="71">
        <f t="shared" si="16"/>
        <v>0</v>
      </c>
      <c r="M42" s="71">
        <f t="shared" si="16"/>
        <v>0</v>
      </c>
    </row>
    <row r="44" spans="1:13">
      <c r="B44" t="s">
        <v>131</v>
      </c>
      <c r="C44" s="14">
        <f>IFERROR(IF(C38&gt;C41,1-C42,0),0)</f>
        <v>1</v>
      </c>
      <c r="D44" s="14">
        <f t="shared" ref="D44:M44" si="17">IFERROR(IF(D38&gt;D41,1-D42,0),0)</f>
        <v>1</v>
      </c>
      <c r="E44" s="14">
        <f t="shared" si="17"/>
        <v>1</v>
      </c>
      <c r="F44" s="14">
        <f t="shared" si="17"/>
        <v>1</v>
      </c>
      <c r="G44" s="14">
        <f t="shared" si="17"/>
        <v>1</v>
      </c>
      <c r="H44" s="14">
        <f t="shared" si="17"/>
        <v>1</v>
      </c>
      <c r="I44" s="14">
        <f t="shared" si="17"/>
        <v>1</v>
      </c>
      <c r="J44" s="14">
        <f t="shared" si="17"/>
        <v>1</v>
      </c>
      <c r="K44" s="14">
        <f t="shared" si="17"/>
        <v>1</v>
      </c>
      <c r="L44" s="14">
        <f t="shared" si="17"/>
        <v>1</v>
      </c>
      <c r="M44" s="14">
        <f t="shared" si="17"/>
        <v>1</v>
      </c>
    </row>
    <row r="46" spans="1:13">
      <c r="A46" t="s">
        <v>103</v>
      </c>
      <c r="B46" s="67" t="s">
        <v>132</v>
      </c>
      <c r="C46" s="7"/>
      <c r="D46" s="7"/>
      <c r="E46" s="7"/>
      <c r="F46" s="7"/>
      <c r="G46" s="7"/>
      <c r="H46" s="7"/>
      <c r="I46" s="7"/>
      <c r="J46" s="7"/>
      <c r="K46" s="7"/>
      <c r="L46" s="7"/>
      <c r="M46" s="7"/>
    </row>
    <row r="47" spans="1:13">
      <c r="B47" t="s">
        <v>133</v>
      </c>
      <c r="C47" s="68">
        <f>IFERROR('Data Sheet'!B57,0)</f>
        <v>546.75</v>
      </c>
      <c r="D47" s="68">
        <f>IFERROR('Data Sheet'!C57,0)</f>
        <v>561.54</v>
      </c>
      <c r="E47" s="68">
        <f>IFERROR('Data Sheet'!D57,0)</f>
        <v>561.54</v>
      </c>
      <c r="F47" s="68">
        <f>IFERROR('Data Sheet'!E57,0)</f>
        <v>624.08000000000004</v>
      </c>
      <c r="G47" s="68">
        <f>IFERROR('Data Sheet'!F57,0)</f>
        <v>624.08000000000004</v>
      </c>
      <c r="H47" s="68">
        <f>IFERROR('Data Sheet'!G57,0)</f>
        <v>624.08000000000004</v>
      </c>
      <c r="I47" s="68">
        <f>IFERROR('Data Sheet'!H57,0)</f>
        <v>647.77</v>
      </c>
      <c r="J47" s="68">
        <f>IFERROR('Data Sheet'!I57,0)</f>
        <v>647.77</v>
      </c>
      <c r="K47" s="68">
        <f>IFERROR('Data Sheet'!J57,0)</f>
        <v>647.77</v>
      </c>
      <c r="L47" s="68">
        <f>IFERROR('Data Sheet'!K57,0)</f>
        <v>648.26</v>
      </c>
    </row>
    <row r="48" spans="1:13">
      <c r="B48" t="s">
        <v>134</v>
      </c>
      <c r="C48" s="68">
        <f>IFERROR('Data Sheet'!B58,0)</f>
        <v>408.82</v>
      </c>
      <c r="D48" s="68">
        <f>IFERROR('Data Sheet'!C58,0)</f>
        <v>637.65</v>
      </c>
      <c r="E48" s="68">
        <f>IFERROR('Data Sheet'!D58,0)</f>
        <v>958.9</v>
      </c>
      <c r="F48" s="68">
        <f>IFERROR('Data Sheet'!E58,0)</f>
        <v>3217.7</v>
      </c>
      <c r="G48" s="68">
        <f>IFERROR('Data Sheet'!F58,0)</f>
        <v>4044.97</v>
      </c>
      <c r="H48" s="68">
        <f>IFERROR('Data Sheet'!G58,0)</f>
        <v>4963.37</v>
      </c>
      <c r="I48" s="68">
        <f>IFERROR('Data Sheet'!H58,0)</f>
        <v>10431.969999999999</v>
      </c>
      <c r="J48" s="68">
        <f>IFERROR('Data Sheet'!I58,0)</f>
        <v>11535.94</v>
      </c>
      <c r="K48" s="68">
        <f>IFERROR('Data Sheet'!J58,0)</f>
        <v>13029.87</v>
      </c>
      <c r="L48" s="68">
        <f>IFERROR('Data Sheet'!K58,0)</f>
        <v>15430.44</v>
      </c>
    </row>
    <row r="49" spans="2:13">
      <c r="B49" t="s">
        <v>135</v>
      </c>
      <c r="C49" s="68">
        <f>IFERROR('Data Sheet'!B59,0)</f>
        <v>640.82000000000005</v>
      </c>
      <c r="D49" s="68">
        <f>IFERROR('Data Sheet'!C59,0)</f>
        <v>904.26</v>
      </c>
      <c r="E49" s="68">
        <f>IFERROR('Data Sheet'!D59,0)</f>
        <v>1192.3399999999999</v>
      </c>
      <c r="F49" s="68">
        <f>IFERROR('Data Sheet'!E59,0)</f>
        <v>1497.32</v>
      </c>
      <c r="G49" s="68">
        <f>IFERROR('Data Sheet'!F59,0)</f>
        <v>439.25</v>
      </c>
      <c r="H49" s="68">
        <f>IFERROR('Data Sheet'!G59,0)</f>
        <v>700.15</v>
      </c>
      <c r="I49" s="68">
        <f>IFERROR('Data Sheet'!H59,0)</f>
        <v>333.19</v>
      </c>
      <c r="J49" s="68">
        <f>IFERROR('Data Sheet'!I59,0)</f>
        <v>392.71</v>
      </c>
      <c r="K49" s="68">
        <f>IFERROR('Data Sheet'!J59,0)</f>
        <v>646.94000000000005</v>
      </c>
      <c r="L49" s="68">
        <f>IFERROR('Data Sheet'!K59,0)</f>
        <v>642.98</v>
      </c>
    </row>
    <row r="50" spans="2:13">
      <c r="B50" t="s">
        <v>136</v>
      </c>
      <c r="C50" s="68">
        <f>IFERROR('Data Sheet'!B60,0)</f>
        <v>211.26</v>
      </c>
      <c r="D50" s="68">
        <f>IFERROR('Data Sheet'!C60,0)</f>
        <v>251.36</v>
      </c>
      <c r="E50" s="68">
        <f>IFERROR('Data Sheet'!D60,0)</f>
        <v>388.78</v>
      </c>
      <c r="F50" s="68">
        <f>IFERROR('Data Sheet'!E60,0)</f>
        <v>480.18</v>
      </c>
      <c r="G50" s="68">
        <f>IFERROR('Data Sheet'!F60,0)</f>
        <v>539.91999999999996</v>
      </c>
      <c r="H50" s="68">
        <f>IFERROR('Data Sheet'!G60,0)</f>
        <v>717.9</v>
      </c>
      <c r="I50" s="68">
        <f>IFERROR('Data Sheet'!H60,0)</f>
        <v>663.23</v>
      </c>
      <c r="J50" s="68">
        <f>IFERROR('Data Sheet'!I60,0)</f>
        <v>1078.6300000000001</v>
      </c>
      <c r="K50" s="68">
        <f>IFERROR('Data Sheet'!J60,0)</f>
        <v>1146.4000000000001</v>
      </c>
      <c r="L50" s="68">
        <f>IFERROR('Data Sheet'!K60,0)</f>
        <v>1384.61</v>
      </c>
    </row>
    <row r="51" spans="2:13">
      <c r="B51" s="72" t="s">
        <v>137</v>
      </c>
      <c r="C51" s="75">
        <f>IFERROR('Data Sheet'!B61,0)</f>
        <v>1807.65</v>
      </c>
      <c r="D51" s="75">
        <f>IFERROR('Data Sheet'!C61,0)</f>
        <v>2354.81</v>
      </c>
      <c r="E51" s="75">
        <f>IFERROR('Data Sheet'!D61,0)</f>
        <v>3101.56</v>
      </c>
      <c r="F51" s="75">
        <f>IFERROR('Data Sheet'!E61,0)</f>
        <v>5819.28</v>
      </c>
      <c r="G51" s="75">
        <f>IFERROR('Data Sheet'!F61,0)</f>
        <v>5648.22</v>
      </c>
      <c r="H51" s="75">
        <f>IFERROR('Data Sheet'!G61,0)</f>
        <v>7005.5</v>
      </c>
      <c r="I51" s="75">
        <f>IFERROR('Data Sheet'!H61,0)</f>
        <v>12076.16</v>
      </c>
      <c r="J51" s="75">
        <f>IFERROR('Data Sheet'!I61,0)</f>
        <v>13655.05</v>
      </c>
      <c r="K51" s="75">
        <f>IFERROR('Data Sheet'!J61,0)</f>
        <v>15470.98</v>
      </c>
      <c r="L51" s="75">
        <f>IFERROR('Data Sheet'!K61,0)</f>
        <v>18106.29</v>
      </c>
      <c r="M51" s="2"/>
    </row>
    <row r="53" spans="2:13">
      <c r="B53" t="s">
        <v>138</v>
      </c>
      <c r="C53" s="68">
        <f>IFERROR('Data Sheet'!B62,0)</f>
        <v>1171.69</v>
      </c>
      <c r="D53" s="68">
        <f>IFERROR('Data Sheet'!C62,0)</f>
        <v>1528.08</v>
      </c>
      <c r="E53" s="68">
        <f>IFERROR('Data Sheet'!D62,0)</f>
        <v>2093.52</v>
      </c>
      <c r="F53" s="68">
        <f>IFERROR('Data Sheet'!E62,0)</f>
        <v>2577.75</v>
      </c>
      <c r="G53" s="68">
        <f>IFERROR('Data Sheet'!F62,0)</f>
        <v>3399.97</v>
      </c>
      <c r="H53" s="68">
        <f>IFERROR('Data Sheet'!G62,0)</f>
        <v>4400.37</v>
      </c>
      <c r="I53" s="68">
        <f>IFERROR('Data Sheet'!H62,0)</f>
        <v>5948.03</v>
      </c>
      <c r="J53" s="68">
        <f>IFERROR('Data Sheet'!I62,0)</f>
        <v>7008.8</v>
      </c>
      <c r="K53" s="68">
        <f>IFERROR('Data Sheet'!J62,0)</f>
        <v>9260.02</v>
      </c>
      <c r="L53" s="68">
        <f>IFERROR('Data Sheet'!K62,0)</f>
        <v>11340.48</v>
      </c>
    </row>
    <row r="54" spans="2:13">
      <c r="B54" t="s">
        <v>139</v>
      </c>
      <c r="C54" s="68">
        <f>IFERROR('Data Sheet'!B63,0)</f>
        <v>88.78</v>
      </c>
      <c r="D54" s="68">
        <f>IFERROR('Data Sheet'!C63,0)</f>
        <v>98.12</v>
      </c>
      <c r="E54" s="68">
        <f>IFERROR('Data Sheet'!D63,0)</f>
        <v>81.69</v>
      </c>
      <c r="F54" s="68">
        <f>IFERROR('Data Sheet'!E63,0)</f>
        <v>152.88999999999999</v>
      </c>
      <c r="G54" s="68">
        <f>IFERROR('Data Sheet'!F63,0)</f>
        <v>147.07</v>
      </c>
      <c r="H54" s="68">
        <f>IFERROR('Data Sheet'!G63,0)</f>
        <v>376.84</v>
      </c>
      <c r="I54" s="68">
        <f>IFERROR('Data Sheet'!H63,0)</f>
        <v>364.4</v>
      </c>
      <c r="J54" s="68">
        <f>IFERROR('Data Sheet'!I63,0)</f>
        <v>1019.59</v>
      </c>
      <c r="K54" s="68">
        <f>IFERROR('Data Sheet'!J63,0)</f>
        <v>1129.3399999999999</v>
      </c>
      <c r="L54" s="68">
        <f>IFERROR('Data Sheet'!K63,0)</f>
        <v>829.16</v>
      </c>
    </row>
    <row r="55" spans="2:13">
      <c r="B55" t="s">
        <v>140</v>
      </c>
      <c r="C55" s="68">
        <f>IFERROR('Data Sheet'!B64,0)</f>
        <v>15.54</v>
      </c>
      <c r="D55" s="68">
        <f>IFERROR('Data Sheet'!C64,0)</f>
        <v>15.23</v>
      </c>
      <c r="E55" s="68">
        <f>IFERROR('Data Sheet'!D64,0)</f>
        <v>29.33</v>
      </c>
      <c r="F55" s="68">
        <f>IFERROR('Data Sheet'!E64,0)</f>
        <v>25.69</v>
      </c>
      <c r="G55" s="68">
        <f>IFERROR('Data Sheet'!F64,0)</f>
        <v>68.180000000000007</v>
      </c>
      <c r="H55" s="68">
        <f>IFERROR('Data Sheet'!G64,0)</f>
        <v>16.53</v>
      </c>
      <c r="I55" s="68">
        <f>IFERROR('Data Sheet'!H64,0)</f>
        <v>14.68</v>
      </c>
      <c r="J55" s="68">
        <f>IFERROR('Data Sheet'!I64,0)</f>
        <v>2.95</v>
      </c>
      <c r="K55" s="68">
        <f>IFERROR('Data Sheet'!J64,0)</f>
        <v>5.94</v>
      </c>
      <c r="L55" s="68">
        <f>IFERROR('Data Sheet'!K64,0)</f>
        <v>202.2</v>
      </c>
    </row>
    <row r="56" spans="2:13">
      <c r="B56" t="s">
        <v>141</v>
      </c>
      <c r="C56" s="68">
        <f>IFERROR('Data Sheet'!B65-SUM('Data Sheet'!B67:B69),0)</f>
        <v>88.360000000000014</v>
      </c>
      <c r="D56" s="68">
        <f>IFERROR('Data Sheet'!C65-SUM('Data Sheet'!C67:C69),0)</f>
        <v>128.65999999999997</v>
      </c>
      <c r="E56" s="68">
        <f>IFERROR('Data Sheet'!D65-SUM('Data Sheet'!D67:D69),0)</f>
        <v>181.80999999999995</v>
      </c>
      <c r="F56" s="68">
        <f>IFERROR('Data Sheet'!E65-SUM('Data Sheet'!E67:E69),0)</f>
        <v>209.75999999999976</v>
      </c>
      <c r="G56" s="68">
        <f>IFERROR('Data Sheet'!F65-SUM('Data Sheet'!F67:F69),0)</f>
        <v>275.84999999999991</v>
      </c>
      <c r="H56" s="68">
        <f>IFERROR('Data Sheet'!G65-SUM('Data Sheet'!G67:G69),0)</f>
        <v>319.6700000000003</v>
      </c>
      <c r="I56" s="68">
        <f>IFERROR('Data Sheet'!H65-SUM('Data Sheet'!H67:H69),0)</f>
        <v>3674.2200000000003</v>
      </c>
      <c r="J56" s="68">
        <f>IFERROR('Data Sheet'!I65-SUM('Data Sheet'!I67:I69),0)</f>
        <v>1886.27</v>
      </c>
      <c r="K56" s="68">
        <f>IFERROR('Data Sheet'!J65-SUM('Data Sheet'!J67:J69),0)</f>
        <v>1967.5500000000006</v>
      </c>
      <c r="L56" s="68">
        <f>IFERROR('Data Sheet'!K65-SUM('Data Sheet'!K67:K69),0)</f>
        <v>1020.4800000000005</v>
      </c>
    </row>
    <row r="57" spans="2:13">
      <c r="B57" s="72" t="s">
        <v>142</v>
      </c>
      <c r="C57" s="75">
        <f>SUM(C53:C56)</f>
        <v>1364.37</v>
      </c>
      <c r="D57" s="75">
        <f t="shared" ref="D57:L57" si="18">SUM(D53:D56)</f>
        <v>1770.0899999999997</v>
      </c>
      <c r="E57" s="75">
        <f t="shared" si="18"/>
        <v>2386.35</v>
      </c>
      <c r="F57" s="75">
        <f t="shared" si="18"/>
        <v>2966.0899999999997</v>
      </c>
      <c r="G57" s="75">
        <f t="shared" si="18"/>
        <v>3891.0699999999997</v>
      </c>
      <c r="H57" s="75">
        <f t="shared" si="18"/>
        <v>5113.41</v>
      </c>
      <c r="I57" s="75">
        <f t="shared" si="18"/>
        <v>10001.33</v>
      </c>
      <c r="J57" s="75">
        <f t="shared" si="18"/>
        <v>9917.61</v>
      </c>
      <c r="K57" s="75">
        <f t="shared" si="18"/>
        <v>12362.850000000002</v>
      </c>
      <c r="L57" s="75">
        <f t="shared" si="18"/>
        <v>13392.32</v>
      </c>
    </row>
    <row r="58" spans="2:13">
      <c r="B58" s="2"/>
    </row>
    <row r="59" spans="2:13">
      <c r="B59" t="s">
        <v>143</v>
      </c>
      <c r="C59" s="68">
        <f>IFERROR('Data Sheet'!B67,0)</f>
        <v>9.5399999999999991</v>
      </c>
      <c r="D59" s="68">
        <f>IFERROR('Data Sheet'!C67,0)</f>
        <v>7.07</v>
      </c>
      <c r="E59" s="68">
        <f>IFERROR('Data Sheet'!D67,0)</f>
        <v>8.42</v>
      </c>
      <c r="F59" s="68">
        <f>IFERROR('Data Sheet'!E67,0)</f>
        <v>21</v>
      </c>
      <c r="G59" s="68">
        <f>IFERROR('Data Sheet'!F67,0)</f>
        <v>33.520000000000003</v>
      </c>
      <c r="H59" s="68">
        <f>IFERROR('Data Sheet'!G67,0)</f>
        <v>64.37</v>
      </c>
      <c r="I59" s="68">
        <f>IFERROR('Data Sheet'!H67,0)</f>
        <v>19.55</v>
      </c>
      <c r="J59" s="68">
        <f>IFERROR('Data Sheet'!I67,0)</f>
        <v>43.58</v>
      </c>
      <c r="K59" s="68">
        <f>IFERROR('Data Sheet'!J67,0)</f>
        <v>66.89</v>
      </c>
      <c r="L59" s="68">
        <f>IFERROR('Data Sheet'!K67,0)</f>
        <v>62.16</v>
      </c>
    </row>
    <row r="60" spans="2:13">
      <c r="B60" t="s">
        <v>144</v>
      </c>
      <c r="C60" s="68">
        <f>IFERROR('Data Sheet'!B68,0)</f>
        <v>378.33</v>
      </c>
      <c r="D60" s="68">
        <f>IFERROR('Data Sheet'!C68,0)</f>
        <v>539.61</v>
      </c>
      <c r="E60" s="68">
        <f>IFERROR('Data Sheet'!D68,0)</f>
        <v>671.69</v>
      </c>
      <c r="F60" s="68">
        <f>IFERROR('Data Sheet'!E68,0)</f>
        <v>947.9</v>
      </c>
      <c r="G60" s="68">
        <f>IFERROR('Data Sheet'!F68,0)</f>
        <v>1163.45</v>
      </c>
      <c r="H60" s="68">
        <f>IFERROR('Data Sheet'!G68,0)</f>
        <v>1608.65</v>
      </c>
      <c r="I60" s="68">
        <f>IFERROR('Data Sheet'!H68,0)</f>
        <v>1947.4</v>
      </c>
      <c r="J60" s="68">
        <f>IFERROR('Data Sheet'!I68,0)</f>
        <v>2248.2800000000002</v>
      </c>
      <c r="K60" s="68">
        <f>IFERROR('Data Sheet'!J68,0)</f>
        <v>2742.66</v>
      </c>
      <c r="L60" s="68">
        <f>IFERROR('Data Sheet'!K68,0)</f>
        <v>3243.48</v>
      </c>
    </row>
    <row r="61" spans="2:13">
      <c r="B61" t="s">
        <v>145</v>
      </c>
      <c r="C61" s="68">
        <f>IFERROR('Data Sheet'!B69,0)</f>
        <v>55.41</v>
      </c>
      <c r="D61" s="68">
        <f>IFERROR('Data Sheet'!C69,0)</f>
        <v>38.04</v>
      </c>
      <c r="E61" s="68">
        <f>IFERROR('Data Sheet'!D69,0)</f>
        <v>35.1</v>
      </c>
      <c r="F61" s="68">
        <f>IFERROR('Data Sheet'!E69,0)</f>
        <v>1884.29</v>
      </c>
      <c r="G61" s="68">
        <f>IFERROR('Data Sheet'!F69,0)</f>
        <v>560.17999999999995</v>
      </c>
      <c r="H61" s="68">
        <f>IFERROR('Data Sheet'!G69,0)</f>
        <v>219.07</v>
      </c>
      <c r="I61" s="68">
        <f>IFERROR('Data Sheet'!H69,0)</f>
        <v>107.88</v>
      </c>
      <c r="J61" s="68">
        <f>IFERROR('Data Sheet'!I69,0)</f>
        <v>1445.58</v>
      </c>
      <c r="K61" s="68">
        <f>IFERROR('Data Sheet'!J69,0)</f>
        <v>298.58</v>
      </c>
      <c r="L61" s="68">
        <f>IFERROR('Data Sheet'!K69,0)</f>
        <v>1408.33</v>
      </c>
    </row>
    <row r="62" spans="2:13">
      <c r="B62" s="72" t="s">
        <v>146</v>
      </c>
      <c r="C62" s="75">
        <f>IFERROR(SUM(C59:C61),0)</f>
        <v>443.28</v>
      </c>
      <c r="D62" s="75">
        <f t="shared" ref="D62:L62" si="19">IFERROR(SUM(D59:D61),0)</f>
        <v>584.72</v>
      </c>
      <c r="E62" s="75">
        <f t="shared" si="19"/>
        <v>715.21</v>
      </c>
      <c r="F62" s="75">
        <f t="shared" si="19"/>
        <v>2853.19</v>
      </c>
      <c r="G62" s="75">
        <f t="shared" si="19"/>
        <v>1757.15</v>
      </c>
      <c r="H62" s="75">
        <f t="shared" si="19"/>
        <v>1892.09</v>
      </c>
      <c r="I62" s="75">
        <f t="shared" si="19"/>
        <v>2074.83</v>
      </c>
      <c r="J62" s="75">
        <f t="shared" si="19"/>
        <v>3737.44</v>
      </c>
      <c r="K62" s="75">
        <f t="shared" si="19"/>
        <v>3108.1299999999997</v>
      </c>
      <c r="L62" s="75">
        <f t="shared" si="19"/>
        <v>4713.9699999999993</v>
      </c>
    </row>
    <row r="64" spans="2:13">
      <c r="B64" s="72" t="s">
        <v>147</v>
      </c>
      <c r="C64" s="75">
        <f>IFERROR(C62+C57,0)</f>
        <v>1807.6499999999999</v>
      </c>
      <c r="D64" s="75">
        <f t="shared" ref="D64:L64" si="20">IFERROR(D62+D57,0)</f>
        <v>2354.8099999999995</v>
      </c>
      <c r="E64" s="75">
        <f t="shared" si="20"/>
        <v>3101.56</v>
      </c>
      <c r="F64" s="75">
        <f t="shared" si="20"/>
        <v>5819.28</v>
      </c>
      <c r="G64" s="75">
        <f t="shared" si="20"/>
        <v>5648.2199999999993</v>
      </c>
      <c r="H64" s="75">
        <f t="shared" si="20"/>
        <v>7005.5</v>
      </c>
      <c r="I64" s="75">
        <f t="shared" si="20"/>
        <v>12076.16</v>
      </c>
      <c r="J64" s="75">
        <f t="shared" si="20"/>
        <v>13655.050000000001</v>
      </c>
      <c r="K64" s="75">
        <f t="shared" si="20"/>
        <v>15470.980000000001</v>
      </c>
      <c r="L64" s="75">
        <f t="shared" si="20"/>
        <v>18106.29</v>
      </c>
    </row>
    <row r="66" spans="1:13">
      <c r="B66" s="77" t="s">
        <v>148</v>
      </c>
      <c r="C66" s="77" t="b">
        <f>C64=C51</f>
        <v>1</v>
      </c>
      <c r="D66" s="77" t="b">
        <f t="shared" ref="D66:L66" si="21">D64=D51</f>
        <v>1</v>
      </c>
      <c r="E66" s="77" t="b">
        <f t="shared" si="21"/>
        <v>1</v>
      </c>
      <c r="F66" s="77" t="b">
        <f t="shared" si="21"/>
        <v>1</v>
      </c>
      <c r="G66" s="77" t="b">
        <f t="shared" si="21"/>
        <v>1</v>
      </c>
      <c r="H66" s="77" t="b">
        <f t="shared" si="21"/>
        <v>1</v>
      </c>
      <c r="I66" s="77" t="b">
        <f t="shared" si="21"/>
        <v>1</v>
      </c>
      <c r="J66" s="77" t="b">
        <f t="shared" si="21"/>
        <v>1</v>
      </c>
      <c r="K66" s="77" t="b">
        <f t="shared" si="21"/>
        <v>1</v>
      </c>
      <c r="L66" s="77" t="b">
        <f t="shared" si="21"/>
        <v>1</v>
      </c>
    </row>
    <row r="68" spans="1:13">
      <c r="A68" t="s">
        <v>103</v>
      </c>
      <c r="B68" s="67" t="s">
        <v>149</v>
      </c>
      <c r="C68" s="7"/>
      <c r="D68" s="7"/>
      <c r="E68" s="7"/>
      <c r="F68" s="7"/>
      <c r="G68" s="7"/>
      <c r="H68" s="7"/>
      <c r="I68" s="7"/>
      <c r="J68" s="7"/>
      <c r="K68" s="7"/>
      <c r="L68" s="7"/>
      <c r="M68" s="7"/>
    </row>
    <row r="69" spans="1:13">
      <c r="B69" s="2"/>
    </row>
    <row r="70" spans="1:13">
      <c r="B70" t="s">
        <v>150</v>
      </c>
      <c r="C70" s="68">
        <f>'Data Sheet'!B82</f>
        <v>198.14</v>
      </c>
      <c r="D70" s="68">
        <f>'Data Sheet'!C82</f>
        <v>222.02</v>
      </c>
      <c r="E70" s="68">
        <f>'Data Sheet'!D82</f>
        <v>433.47</v>
      </c>
      <c r="F70" s="68">
        <f>'Data Sheet'!E82</f>
        <v>455.28</v>
      </c>
      <c r="G70" s="68">
        <f>'Data Sheet'!F82</f>
        <v>729.99</v>
      </c>
      <c r="H70" s="68">
        <f>'Data Sheet'!G82</f>
        <v>806.84</v>
      </c>
      <c r="I70" s="68">
        <f>'Data Sheet'!H82</f>
        <v>1280.1400000000001</v>
      </c>
      <c r="J70" s="68">
        <f>'Data Sheet'!I82</f>
        <v>1375.14</v>
      </c>
      <c r="K70" s="68">
        <f>'Data Sheet'!J82</f>
        <v>1372.35</v>
      </c>
      <c r="L70" s="68">
        <f>'Data Sheet'!K82</f>
        <v>2630.27</v>
      </c>
    </row>
    <row r="72" spans="1:13">
      <c r="B72" t="s">
        <v>151</v>
      </c>
      <c r="C72" s="68">
        <f>'Data Sheet'!B83</f>
        <v>-270.17</v>
      </c>
      <c r="D72" s="68">
        <f>'Data Sheet'!C83</f>
        <v>-473.88</v>
      </c>
      <c r="E72" s="68">
        <f>'Data Sheet'!D83</f>
        <v>-632.89</v>
      </c>
      <c r="F72" s="68">
        <f>'Data Sheet'!E83</f>
        <v>-2481.61</v>
      </c>
      <c r="G72" s="68">
        <f>'Data Sheet'!F83</f>
        <v>463.55</v>
      </c>
      <c r="H72" s="68">
        <f>'Data Sheet'!G83</f>
        <v>-958.37</v>
      </c>
      <c r="I72" s="68">
        <f>'Data Sheet'!H83</f>
        <v>-4656.5600000000004</v>
      </c>
      <c r="J72" s="68">
        <f>'Data Sheet'!I83</f>
        <v>-1110</v>
      </c>
      <c r="K72" s="68">
        <f>'Data Sheet'!J83</f>
        <v>-1289.49</v>
      </c>
      <c r="L72" s="68">
        <f>'Data Sheet'!K83</f>
        <v>-2313.1</v>
      </c>
    </row>
    <row r="74" spans="1:13">
      <c r="B74" t="s">
        <v>152</v>
      </c>
      <c r="C74" s="68">
        <f>'Data Sheet'!B84</f>
        <v>65.23</v>
      </c>
      <c r="D74" s="68">
        <f>'Data Sheet'!C84</f>
        <v>234.45</v>
      </c>
      <c r="E74" s="68">
        <f>'Data Sheet'!D84</f>
        <v>196.44</v>
      </c>
      <c r="F74" s="68">
        <f>'Data Sheet'!E84</f>
        <v>2025.26</v>
      </c>
      <c r="G74" s="68">
        <f>'Data Sheet'!F84</f>
        <v>-1159.06</v>
      </c>
      <c r="H74" s="68">
        <f>'Data Sheet'!G84</f>
        <v>208.98</v>
      </c>
      <c r="I74" s="68">
        <f>'Data Sheet'!H84</f>
        <v>3357.42</v>
      </c>
      <c r="J74" s="68">
        <f>'Data Sheet'!I84</f>
        <v>-179.5</v>
      </c>
      <c r="K74" s="68">
        <f>'Data Sheet'!J84</f>
        <v>-179.24</v>
      </c>
      <c r="L74" s="68">
        <f>'Data Sheet'!K84</f>
        <v>-205.14</v>
      </c>
    </row>
    <row r="76" spans="1:13">
      <c r="B76" s="2" t="s">
        <v>153</v>
      </c>
      <c r="C76" s="78">
        <f t="shared" ref="C76:L76" si="22">IFERROR(C70+C72+C74,0)</f>
        <v>-6.8000000000000256</v>
      </c>
      <c r="D76" s="78">
        <f t="shared" si="22"/>
        <v>-17.409999999999997</v>
      </c>
      <c r="E76" s="78">
        <f t="shared" si="22"/>
        <v>-2.9799999999999613</v>
      </c>
      <c r="F76" s="78">
        <f t="shared" si="22"/>
        <v>-1.0700000000001637</v>
      </c>
      <c r="G76" s="78">
        <f t="shared" si="22"/>
        <v>34.480000000000018</v>
      </c>
      <c r="H76" s="78">
        <f t="shared" si="22"/>
        <v>57.450000000000017</v>
      </c>
      <c r="I76" s="78">
        <f t="shared" si="22"/>
        <v>-19</v>
      </c>
      <c r="J76" s="78">
        <f t="shared" si="22"/>
        <v>85.6400000000001</v>
      </c>
      <c r="K76" s="78">
        <f t="shared" si="22"/>
        <v>-96.380000000000109</v>
      </c>
      <c r="L76" s="78">
        <f t="shared" si="22"/>
        <v>112.03000000000009</v>
      </c>
    </row>
  </sheetData>
  <mergeCells count="1">
    <mergeCell ref="B2:M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3"/>
  <sheetViews>
    <sheetView showGridLines="0" view="pageBreakPreview" zoomScale="140" zoomScaleNormal="89" zoomScaleSheetLayoutView="140" workbookViewId="0">
      <selection activeCell="B9" sqref="B9:I12"/>
    </sheetView>
  </sheetViews>
  <sheetFormatPr defaultRowHeight="15"/>
  <cols>
    <col min="1" max="1" width="1.85546875" customWidth="1"/>
    <col min="2" max="2" width="35.7109375" customWidth="1"/>
    <col min="3" max="3" width="10" bestFit="1" customWidth="1"/>
  </cols>
  <sheetData>
    <row r="1" spans="2:9" ht="10.5" customHeight="1">
      <c r="B1" s="169"/>
      <c r="C1" s="169"/>
      <c r="D1" s="169"/>
      <c r="E1" s="169"/>
      <c r="F1" s="169"/>
      <c r="G1" s="169"/>
      <c r="H1" s="169"/>
      <c r="I1" s="169"/>
    </row>
    <row r="3" spans="2:9" ht="26.25" customHeight="1">
      <c r="B3" s="167" t="str">
        <f>'Data Sheet'!B1</f>
        <v>AVENUE SUPERMARTS LTD</v>
      </c>
    </row>
    <row r="4" spans="2:9">
      <c r="B4" s="39" t="e">
        <f>CONCATENATE("  ","(",VLOOKUP(B3,#REF!,3,1)," | ","BSE Code: ",VLOOKUP(B3,#REF!,2,1),")")</f>
        <v>#REF!</v>
      </c>
    </row>
    <row r="5" spans="2:9" ht="21.75" customHeight="1">
      <c r="B5" s="175" t="str">
        <f>CONCATENATE("  ","INR "&amp;'Data Sheet'!B8)</f>
        <v xml:space="preserve">  INR 3501.75</v>
      </c>
    </row>
    <row r="6" spans="2:9">
      <c r="B6" s="39" t="s">
        <v>357</v>
      </c>
    </row>
    <row r="7" spans="2:9" ht="15" customHeight="1" thickBot="1">
      <c r="B7" s="168"/>
      <c r="C7" s="168"/>
      <c r="D7" s="168"/>
      <c r="E7" s="168"/>
      <c r="F7" s="168"/>
      <c r="G7" s="168"/>
      <c r="H7" s="168"/>
      <c r="I7" s="168"/>
    </row>
    <row r="8" spans="2:9" ht="18.75">
      <c r="B8" s="176" t="s">
        <v>358</v>
      </c>
    </row>
    <row r="9" spans="2:9">
      <c r="B9" s="183" t="s">
        <v>359</v>
      </c>
      <c r="C9" s="183"/>
      <c r="D9" s="183"/>
      <c r="E9" s="183"/>
      <c r="F9" s="183"/>
      <c r="G9" s="183"/>
      <c r="H9" s="183"/>
      <c r="I9" s="183"/>
    </row>
    <row r="10" spans="2:9">
      <c r="B10" s="183"/>
      <c r="C10" s="183"/>
      <c r="D10" s="183"/>
      <c r="E10" s="183"/>
      <c r="F10" s="183"/>
      <c r="G10" s="183"/>
      <c r="H10" s="183"/>
      <c r="I10" s="183"/>
    </row>
    <row r="11" spans="2:9">
      <c r="B11" s="183"/>
      <c r="C11" s="183"/>
      <c r="D11" s="183"/>
      <c r="E11" s="183"/>
      <c r="F11" s="183"/>
      <c r="G11" s="183"/>
      <c r="H11" s="183"/>
      <c r="I11" s="183"/>
    </row>
    <row r="12" spans="2:9" ht="44.25" customHeight="1">
      <c r="B12" s="183"/>
      <c r="C12" s="183"/>
      <c r="D12" s="183"/>
      <c r="E12" s="183"/>
      <c r="F12" s="183"/>
      <c r="G12" s="183"/>
      <c r="H12" s="183"/>
      <c r="I12" s="183"/>
    </row>
    <row r="13" spans="2:9" ht="4.5" customHeight="1">
      <c r="B13" s="165"/>
      <c r="C13" s="165"/>
      <c r="D13" s="165"/>
      <c r="E13" s="165"/>
      <c r="F13" s="165"/>
      <c r="G13" s="165"/>
      <c r="H13" s="165"/>
      <c r="I13" s="165"/>
    </row>
    <row r="14" spans="2:9" ht="21.75" customHeight="1">
      <c r="B14" s="176" t="s">
        <v>372</v>
      </c>
      <c r="C14" s="165"/>
      <c r="D14" s="165"/>
      <c r="E14" s="165"/>
      <c r="F14" s="165"/>
      <c r="G14" s="165"/>
      <c r="H14" s="165"/>
      <c r="I14" s="165"/>
    </row>
    <row r="15" spans="2:9" ht="6" customHeight="1">
      <c r="B15" s="165"/>
      <c r="C15" s="165"/>
      <c r="D15" s="165"/>
      <c r="E15" s="165"/>
      <c r="F15" s="165"/>
      <c r="G15" s="165"/>
      <c r="H15" s="165"/>
      <c r="I15" s="165"/>
    </row>
    <row r="16" spans="2:9">
      <c r="B16" s="165"/>
      <c r="C16" s="165"/>
      <c r="D16" s="165"/>
      <c r="E16" s="165"/>
      <c r="F16" s="165"/>
      <c r="G16" s="165"/>
      <c r="H16" s="165"/>
      <c r="I16" s="165"/>
    </row>
    <row r="53" spans="2:9" ht="28.5" customHeight="1"/>
    <row r="54" spans="2:9" ht="11.25" customHeight="1">
      <c r="B54" s="169"/>
      <c r="C54" s="169"/>
      <c r="D54" s="169"/>
      <c r="E54" s="169"/>
      <c r="F54" s="169"/>
      <c r="G54" s="169"/>
      <c r="H54" s="169"/>
      <c r="I54" s="169"/>
    </row>
    <row r="55" spans="2:9" ht="1.5" customHeight="1"/>
    <row r="56" spans="2:9" ht="11.25" customHeight="1">
      <c r="B56" s="169"/>
      <c r="C56" s="169"/>
      <c r="D56" s="169"/>
      <c r="E56" s="169"/>
      <c r="F56" s="169"/>
      <c r="G56" s="169"/>
      <c r="H56" s="169"/>
      <c r="I56" s="169"/>
    </row>
    <row r="60" spans="2:9" ht="15.75">
      <c r="B60" s="184" t="s">
        <v>360</v>
      </c>
      <c r="C60" s="184"/>
      <c r="D60" s="184"/>
      <c r="E60" s="184"/>
      <c r="F60" s="184"/>
      <c r="G60" s="184"/>
      <c r="H60" s="184"/>
      <c r="I60" s="184"/>
    </row>
    <row r="61" spans="2:9">
      <c r="C61" s="170">
        <f>HistoricalFS!F3</f>
        <v>42825</v>
      </c>
      <c r="D61" s="170">
        <f>HistoricalFS!G3</f>
        <v>43190</v>
      </c>
      <c r="E61" s="170">
        <f>HistoricalFS!H3</f>
        <v>43555</v>
      </c>
      <c r="F61" s="170">
        <f>HistoricalFS!I3</f>
        <v>43921</v>
      </c>
      <c r="G61" s="170">
        <f>HistoricalFS!J3</f>
        <v>44286</v>
      </c>
      <c r="H61" s="170">
        <f>HistoricalFS!K3</f>
        <v>44651</v>
      </c>
      <c r="I61" s="170">
        <f>HistoricalFS!L3</f>
        <v>45016</v>
      </c>
    </row>
    <row r="62" spans="2:9">
      <c r="B62" t="s">
        <v>124</v>
      </c>
      <c r="C62" s="37">
        <f>'Data Sheet'!E30</f>
        <v>478.75</v>
      </c>
      <c r="D62" s="37">
        <f>'Data Sheet'!F30</f>
        <v>806.26</v>
      </c>
      <c r="E62" s="37">
        <f>'Data Sheet'!G30</f>
        <v>902.54</v>
      </c>
      <c r="F62" s="37">
        <f>'Data Sheet'!H30</f>
        <v>1301.08</v>
      </c>
      <c r="G62" s="37">
        <f>'Data Sheet'!I30</f>
        <v>1099.49</v>
      </c>
      <c r="H62" s="37">
        <f>'Data Sheet'!J30</f>
        <v>1492.55</v>
      </c>
      <c r="I62" s="37">
        <f>'Data Sheet'!K30</f>
        <v>2378.5100000000002</v>
      </c>
    </row>
    <row r="63" spans="2:9">
      <c r="B63" t="s">
        <v>361</v>
      </c>
      <c r="C63" s="37">
        <f>(('Data Sheet'!E57+'Data Sheet'!E58)+('Data Sheet'!D57+'Data Sheet'!D58))/2</f>
        <v>2681.1099999999997</v>
      </c>
      <c r="D63" s="37">
        <f>(('Data Sheet'!F57+'Data Sheet'!F58)+('Data Sheet'!E57+'Data Sheet'!E58))/2</f>
        <v>4255.415</v>
      </c>
      <c r="E63" s="37">
        <f>(('Data Sheet'!G57+'Data Sheet'!G58)+('Data Sheet'!F57+'Data Sheet'!F58))/2</f>
        <v>5128.25</v>
      </c>
      <c r="F63" s="37">
        <f>(('Data Sheet'!H57+'Data Sheet'!H58)+('Data Sheet'!G57+'Data Sheet'!G58))/2</f>
        <v>8333.5949999999993</v>
      </c>
      <c r="G63" s="37">
        <f>(('Data Sheet'!I57+'Data Sheet'!I58)+('Data Sheet'!H57+'Data Sheet'!H58))/2</f>
        <v>11631.725</v>
      </c>
      <c r="H63" s="37">
        <f>(('Data Sheet'!J57+'Data Sheet'!J58)+('Data Sheet'!I57+'Data Sheet'!I58))/2</f>
        <v>12930.675000000001</v>
      </c>
      <c r="I63" s="37">
        <f>(('Data Sheet'!K57+'Data Sheet'!K58)+('Data Sheet'!J57+'Data Sheet'!J58))/2</f>
        <v>14878.170000000002</v>
      </c>
    </row>
    <row r="64" spans="2:9">
      <c r="B64" s="171" t="s">
        <v>362</v>
      </c>
      <c r="C64" s="172">
        <f>C62/C63</f>
        <v>0.17856410218155916</v>
      </c>
      <c r="D64" s="172">
        <f t="shared" ref="D64:I64" si="0">D62/D63</f>
        <v>0.18946683225960334</v>
      </c>
      <c r="E64" s="172">
        <f t="shared" si="0"/>
        <v>0.17599376005459952</v>
      </c>
      <c r="F64" s="172">
        <f t="shared" si="0"/>
        <v>0.15612469768449272</v>
      </c>
      <c r="G64" s="172">
        <f t="shared" si="0"/>
        <v>9.4525102682534182E-2</v>
      </c>
      <c r="H64" s="172">
        <f t="shared" si="0"/>
        <v>0.11542707553936665</v>
      </c>
      <c r="I64" s="172">
        <f t="shared" si="0"/>
        <v>0.15986576306091407</v>
      </c>
    </row>
    <row r="66" spans="2:9" ht="15.75">
      <c r="B66" s="184" t="s">
        <v>363</v>
      </c>
      <c r="C66" s="184"/>
      <c r="D66" s="184"/>
      <c r="E66" s="184"/>
      <c r="F66" s="184"/>
      <c r="G66" s="184"/>
      <c r="H66" s="184"/>
      <c r="I66" s="184"/>
    </row>
    <row r="67" spans="2:9">
      <c r="C67" s="170">
        <f>C61</f>
        <v>42825</v>
      </c>
      <c r="D67" s="170">
        <f t="shared" ref="D67:I67" si="1">D61</f>
        <v>43190</v>
      </c>
      <c r="E67" s="170">
        <f t="shared" si="1"/>
        <v>43555</v>
      </c>
      <c r="F67" s="170">
        <f t="shared" si="1"/>
        <v>43921</v>
      </c>
      <c r="G67" s="170">
        <f t="shared" si="1"/>
        <v>44286</v>
      </c>
      <c r="H67" s="170">
        <f t="shared" si="1"/>
        <v>44651</v>
      </c>
      <c r="I67" s="170">
        <f t="shared" si="1"/>
        <v>45016</v>
      </c>
    </row>
    <row r="68" spans="2:9">
      <c r="B68" t="str">
        <f>B62</f>
        <v>Net Profit</v>
      </c>
      <c r="C68" s="37">
        <f t="shared" ref="C68:I68" si="2">C62</f>
        <v>478.75</v>
      </c>
      <c r="D68" s="37">
        <f t="shared" si="2"/>
        <v>806.26</v>
      </c>
      <c r="E68" s="37">
        <f t="shared" si="2"/>
        <v>902.54</v>
      </c>
      <c r="F68" s="37">
        <f t="shared" si="2"/>
        <v>1301.08</v>
      </c>
      <c r="G68" s="37">
        <f t="shared" si="2"/>
        <v>1099.49</v>
      </c>
      <c r="H68" s="37">
        <f t="shared" si="2"/>
        <v>1492.55</v>
      </c>
      <c r="I68" s="37">
        <f t="shared" si="2"/>
        <v>2378.5100000000002</v>
      </c>
    </row>
    <row r="69" spans="2:9">
      <c r="B69" t="s">
        <v>299</v>
      </c>
      <c r="C69" s="37">
        <f>'Data Sheet'!E17</f>
        <v>11897.7</v>
      </c>
      <c r="D69" s="37">
        <f>'Data Sheet'!F17</f>
        <v>15033.2</v>
      </c>
      <c r="E69" s="37">
        <f>'Data Sheet'!G17</f>
        <v>20004.52</v>
      </c>
      <c r="F69" s="37">
        <f>'Data Sheet'!H17</f>
        <v>24870.2</v>
      </c>
      <c r="G69" s="37">
        <f>'Data Sheet'!I17</f>
        <v>24143.06</v>
      </c>
      <c r="H69" s="37">
        <f>'Data Sheet'!J17</f>
        <v>30976.27</v>
      </c>
      <c r="I69" s="37">
        <f>'Data Sheet'!K17</f>
        <v>42839.56</v>
      </c>
    </row>
    <row r="70" spans="2:9">
      <c r="B70" s="171" t="s">
        <v>364</v>
      </c>
      <c r="C70" s="172">
        <f t="shared" ref="C70:H70" si="3">C68/C69</f>
        <v>4.0238869697504558E-2</v>
      </c>
      <c r="D70" s="172">
        <f t="shared" si="3"/>
        <v>5.3631961259079902E-2</v>
      </c>
      <c r="E70" s="172">
        <f t="shared" si="3"/>
        <v>4.511680360238586E-2</v>
      </c>
      <c r="F70" s="172">
        <f t="shared" si="3"/>
        <v>5.2314818537848508E-2</v>
      </c>
      <c r="G70" s="172">
        <f t="shared" si="3"/>
        <v>4.5540623268135849E-2</v>
      </c>
      <c r="H70" s="172">
        <f t="shared" si="3"/>
        <v>4.8183658006596658E-2</v>
      </c>
      <c r="I70" s="172">
        <f>I68/I69</f>
        <v>5.5521345223900537E-2</v>
      </c>
    </row>
    <row r="72" spans="2:9">
      <c r="B72" t="s">
        <v>299</v>
      </c>
      <c r="C72" s="37">
        <f>C69</f>
        <v>11897.7</v>
      </c>
      <c r="D72" s="37">
        <f t="shared" ref="D72:I72" si="4">D69</f>
        <v>15033.2</v>
      </c>
      <c r="E72" s="37">
        <f t="shared" si="4"/>
        <v>20004.52</v>
      </c>
      <c r="F72" s="37">
        <f t="shared" si="4"/>
        <v>24870.2</v>
      </c>
      <c r="G72" s="37">
        <f t="shared" si="4"/>
        <v>24143.06</v>
      </c>
      <c r="H72" s="37">
        <f t="shared" si="4"/>
        <v>30976.27</v>
      </c>
      <c r="I72" s="37">
        <f t="shared" si="4"/>
        <v>42839.56</v>
      </c>
    </row>
    <row r="73" spans="2:9">
      <c r="B73" t="s">
        <v>365</v>
      </c>
      <c r="C73" s="37">
        <f>('Data Sheet'!E66+'Data Sheet'!D66)/2</f>
        <v>4460.42</v>
      </c>
      <c r="D73" s="37">
        <f>('Data Sheet'!F66+'Data Sheet'!E66)/2</f>
        <v>5733.75</v>
      </c>
      <c r="E73" s="37">
        <f>('Data Sheet'!G66+'Data Sheet'!F66)/2</f>
        <v>6326.8600000000006</v>
      </c>
      <c r="F73" s="37">
        <f>('Data Sheet'!H66+'Data Sheet'!G66)/2</f>
        <v>9540.83</v>
      </c>
      <c r="G73" s="37">
        <f>('Data Sheet'!I66+'Data Sheet'!H66)/2</f>
        <v>12865.605</v>
      </c>
      <c r="H73" s="37">
        <f>('Data Sheet'!J66+'Data Sheet'!I66)/2</f>
        <v>14563.014999999999</v>
      </c>
      <c r="I73" s="37">
        <f>('Data Sheet'!K66+'Data Sheet'!J66)/2</f>
        <v>16788.635000000002</v>
      </c>
    </row>
    <row r="74" spans="2:9">
      <c r="B74" s="171" t="s">
        <v>366</v>
      </c>
      <c r="C74" s="174">
        <f t="shared" ref="C74" si="5">C72/C73</f>
        <v>2.6673945502889862</v>
      </c>
      <c r="D74" s="174">
        <f t="shared" ref="D74" si="6">D72/D73</f>
        <v>2.6218792238936124</v>
      </c>
      <c r="E74" s="174">
        <f t="shared" ref="E74" si="7">E72/E73</f>
        <v>3.1618401545158261</v>
      </c>
      <c r="F74" s="174">
        <f t="shared" ref="F74" si="8">F72/F73</f>
        <v>2.6067124139094817</v>
      </c>
      <c r="G74" s="174">
        <f t="shared" ref="G74" si="9">G72/G73</f>
        <v>1.8765584673243119</v>
      </c>
      <c r="H74" s="174">
        <f t="shared" ref="H74" si="10">H72/H73</f>
        <v>2.1270506141757046</v>
      </c>
      <c r="I74" s="174">
        <f>I72/I73</f>
        <v>2.5517000041992688</v>
      </c>
    </row>
    <row r="76" spans="2:9">
      <c r="B76" t="str">
        <f>B73</f>
        <v>Average Total Asset</v>
      </c>
      <c r="C76" s="37">
        <f>C73</f>
        <v>4460.42</v>
      </c>
      <c r="D76" s="37">
        <f t="shared" ref="D76:I76" si="11">D73</f>
        <v>5733.75</v>
      </c>
      <c r="E76" s="37">
        <f t="shared" si="11"/>
        <v>6326.8600000000006</v>
      </c>
      <c r="F76" s="37">
        <f t="shared" si="11"/>
        <v>9540.83</v>
      </c>
      <c r="G76" s="37">
        <f t="shared" si="11"/>
        <v>12865.605</v>
      </c>
      <c r="H76" s="37">
        <f t="shared" si="11"/>
        <v>14563.014999999999</v>
      </c>
      <c r="I76" s="37">
        <f t="shared" si="11"/>
        <v>16788.635000000002</v>
      </c>
    </row>
    <row r="77" spans="2:9">
      <c r="B77" t="str">
        <f>B63</f>
        <v>Average Shareholder Equity</v>
      </c>
      <c r="C77" s="37">
        <f>C63</f>
        <v>2681.1099999999997</v>
      </c>
      <c r="D77" s="37">
        <f t="shared" ref="D77:I77" si="12">D63</f>
        <v>4255.415</v>
      </c>
      <c r="E77" s="37">
        <f t="shared" si="12"/>
        <v>5128.25</v>
      </c>
      <c r="F77" s="37">
        <f t="shared" si="12"/>
        <v>8333.5949999999993</v>
      </c>
      <c r="G77" s="37">
        <f t="shared" si="12"/>
        <v>11631.725</v>
      </c>
      <c r="H77" s="37">
        <f t="shared" si="12"/>
        <v>12930.675000000001</v>
      </c>
      <c r="I77" s="37">
        <f t="shared" si="12"/>
        <v>14878.170000000002</v>
      </c>
    </row>
    <row r="78" spans="2:9">
      <c r="B78" s="171" t="s">
        <v>367</v>
      </c>
      <c r="C78" s="173">
        <f t="shared" ref="C78" si="13">C76/C77</f>
        <v>1.6636467731648461</v>
      </c>
      <c r="D78" s="173">
        <f t="shared" ref="D78" si="14">D76/D77</f>
        <v>1.3474008997947322</v>
      </c>
      <c r="E78" s="173">
        <f t="shared" ref="E78" si="15">E76/E77</f>
        <v>1.2337269048895823</v>
      </c>
      <c r="F78" s="173">
        <f t="shared" ref="F78" si="16">F76/F77</f>
        <v>1.1448636512813499</v>
      </c>
      <c r="G78" s="173">
        <f t="shared" ref="G78" si="17">G76/G77</f>
        <v>1.1060788490099276</v>
      </c>
      <c r="H78" s="173">
        <f t="shared" ref="H78" si="18">H76/H77</f>
        <v>1.1262378027442494</v>
      </c>
      <c r="I78" s="173">
        <f>I76/I77</f>
        <v>1.128407257075299</v>
      </c>
    </row>
    <row r="80" spans="2:9">
      <c r="B80" s="171" t="s">
        <v>368</v>
      </c>
      <c r="C80" s="172">
        <f t="shared" ref="C80:H80" si="19">C78*C74*C70</f>
        <v>0.17856410218155913</v>
      </c>
      <c r="D80" s="172">
        <f t="shared" si="19"/>
        <v>0.18946683225960337</v>
      </c>
      <c r="E80" s="172">
        <f t="shared" si="19"/>
        <v>0.17599376005459952</v>
      </c>
      <c r="F80" s="172">
        <f t="shared" si="19"/>
        <v>0.15612469768449272</v>
      </c>
      <c r="G80" s="172">
        <f t="shared" si="19"/>
        <v>9.4525102682534196E-2</v>
      </c>
      <c r="H80" s="172">
        <f t="shared" si="19"/>
        <v>0.11542707553936662</v>
      </c>
      <c r="I80" s="172">
        <f>I78*I74*I70</f>
        <v>0.15986576306091407</v>
      </c>
    </row>
    <row r="82" spans="2:9" ht="15.75">
      <c r="B82" s="184" t="s">
        <v>369</v>
      </c>
      <c r="C82" s="184"/>
      <c r="D82" s="184"/>
      <c r="E82" s="184"/>
      <c r="F82" s="184"/>
      <c r="G82" s="184"/>
      <c r="H82" s="184"/>
      <c r="I82" s="184"/>
    </row>
    <row r="83" spans="2:9">
      <c r="C83" s="170">
        <f t="shared" ref="C83:H83" si="20">C67</f>
        <v>42825</v>
      </c>
      <c r="D83" s="170">
        <f t="shared" si="20"/>
        <v>43190</v>
      </c>
      <c r="E83" s="170">
        <f t="shared" si="20"/>
        <v>43555</v>
      </c>
      <c r="F83" s="170">
        <f t="shared" si="20"/>
        <v>43921</v>
      </c>
      <c r="G83" s="170">
        <f t="shared" si="20"/>
        <v>44286</v>
      </c>
      <c r="H83" s="170">
        <f t="shared" si="20"/>
        <v>44651</v>
      </c>
      <c r="I83" s="170">
        <f>I67</f>
        <v>45016</v>
      </c>
    </row>
    <row r="84" spans="2:9">
      <c r="B84" t="s">
        <v>124</v>
      </c>
      <c r="C84" s="37">
        <f t="shared" ref="C84:H84" si="21">C68</f>
        <v>478.75</v>
      </c>
      <c r="D84" s="37">
        <f t="shared" si="21"/>
        <v>806.26</v>
      </c>
      <c r="E84" s="37">
        <f t="shared" si="21"/>
        <v>902.54</v>
      </c>
      <c r="F84" s="37">
        <f t="shared" si="21"/>
        <v>1301.08</v>
      </c>
      <c r="G84" s="37">
        <f t="shared" si="21"/>
        <v>1099.49</v>
      </c>
      <c r="H84" s="37">
        <f t="shared" si="21"/>
        <v>1492.55</v>
      </c>
      <c r="I84" s="37">
        <f>I68</f>
        <v>2378.5100000000002</v>
      </c>
    </row>
    <row r="85" spans="2:9">
      <c r="B85" t="str">
        <f>B76</f>
        <v>Average Total Asset</v>
      </c>
      <c r="C85" s="37">
        <f t="shared" ref="C85:H85" si="22">C73</f>
        <v>4460.42</v>
      </c>
      <c r="D85" s="37">
        <f t="shared" si="22"/>
        <v>5733.75</v>
      </c>
      <c r="E85" s="37">
        <f t="shared" si="22"/>
        <v>6326.8600000000006</v>
      </c>
      <c r="F85" s="37">
        <f t="shared" si="22"/>
        <v>9540.83</v>
      </c>
      <c r="G85" s="37">
        <f t="shared" si="22"/>
        <v>12865.605</v>
      </c>
      <c r="H85" s="37">
        <f t="shared" si="22"/>
        <v>14563.014999999999</v>
      </c>
      <c r="I85" s="37">
        <f>I73</f>
        <v>16788.635000000002</v>
      </c>
    </row>
    <row r="86" spans="2:9">
      <c r="B86" s="171" t="s">
        <v>369</v>
      </c>
      <c r="C86" s="172">
        <f>C84/C85</f>
        <v>0.10733294174091229</v>
      </c>
      <c r="D86" s="172">
        <f t="shared" ref="D86" si="23">D84/D85</f>
        <v>0.1406165249618487</v>
      </c>
      <c r="E86" s="172">
        <f t="shared" ref="E86" si="24">E84/E85</f>
        <v>0.14265212127342788</v>
      </c>
      <c r="F86" s="172">
        <f t="shared" ref="F86" si="25">F84/F85</f>
        <v>0.13636968691403159</v>
      </c>
      <c r="G86" s="172">
        <f t="shared" ref="G86" si="26">G84/G85</f>
        <v>8.5459642201046904E-2</v>
      </c>
      <c r="H86" s="172">
        <f t="shared" ref="H86" si="27">H84/H85</f>
        <v>0.10248907935616354</v>
      </c>
      <c r="I86" s="172">
        <f t="shared" ref="I86" si="28">I84/I85</f>
        <v>0.14167381684097605</v>
      </c>
    </row>
    <row r="88" spans="2:9" ht="15.75">
      <c r="B88" s="184" t="s">
        <v>370</v>
      </c>
      <c r="C88" s="184"/>
      <c r="D88" s="184"/>
      <c r="E88" s="184"/>
      <c r="F88" s="184"/>
      <c r="G88" s="184"/>
      <c r="H88" s="184"/>
      <c r="I88" s="184"/>
    </row>
    <row r="89" spans="2:9">
      <c r="C89" s="170">
        <f>C83</f>
        <v>42825</v>
      </c>
      <c r="D89" s="170">
        <f t="shared" ref="D89:I89" si="29">D83</f>
        <v>43190</v>
      </c>
      <c r="E89" s="170">
        <f t="shared" si="29"/>
        <v>43555</v>
      </c>
      <c r="F89" s="170">
        <f t="shared" si="29"/>
        <v>43921</v>
      </c>
      <c r="G89" s="170">
        <f t="shared" si="29"/>
        <v>44286</v>
      </c>
      <c r="H89" s="170">
        <f t="shared" si="29"/>
        <v>44651</v>
      </c>
      <c r="I89" s="170">
        <f t="shared" si="29"/>
        <v>45016</v>
      </c>
    </row>
    <row r="90" spans="2:9">
      <c r="B90" t="str">
        <f>B84</f>
        <v>Net Profit</v>
      </c>
      <c r="C90" s="37">
        <f t="shared" ref="C90:H90" si="30">C84</f>
        <v>478.75</v>
      </c>
      <c r="D90" s="37">
        <f t="shared" si="30"/>
        <v>806.26</v>
      </c>
      <c r="E90" s="37">
        <f t="shared" si="30"/>
        <v>902.54</v>
      </c>
      <c r="F90" s="37">
        <f t="shared" si="30"/>
        <v>1301.08</v>
      </c>
      <c r="G90" s="37">
        <f t="shared" si="30"/>
        <v>1099.49</v>
      </c>
      <c r="H90" s="37">
        <f t="shared" si="30"/>
        <v>1492.55</v>
      </c>
      <c r="I90" s="37">
        <f>I84</f>
        <v>2378.5100000000002</v>
      </c>
    </row>
    <row r="91" spans="2:9">
      <c r="B91" t="s">
        <v>299</v>
      </c>
      <c r="C91" s="37">
        <f t="shared" ref="C91:H91" si="31">C72</f>
        <v>11897.7</v>
      </c>
      <c r="D91" s="37">
        <f t="shared" si="31"/>
        <v>15033.2</v>
      </c>
      <c r="E91" s="37">
        <f t="shared" si="31"/>
        <v>20004.52</v>
      </c>
      <c r="F91" s="37">
        <f t="shared" si="31"/>
        <v>24870.2</v>
      </c>
      <c r="G91" s="37">
        <f t="shared" si="31"/>
        <v>24143.06</v>
      </c>
      <c r="H91" s="37">
        <f t="shared" si="31"/>
        <v>30976.27</v>
      </c>
      <c r="I91" s="37">
        <f>I72</f>
        <v>42839.56</v>
      </c>
    </row>
    <row r="92" spans="2:9">
      <c r="B92" s="171" t="s">
        <v>364</v>
      </c>
      <c r="C92" s="172">
        <f t="shared" ref="C92" si="32">C90/C91</f>
        <v>4.0238869697504558E-2</v>
      </c>
      <c r="D92" s="172">
        <f t="shared" ref="D92" si="33">D90/D91</f>
        <v>5.3631961259079902E-2</v>
      </c>
      <c r="E92" s="172">
        <f t="shared" ref="E92" si="34">E90/E91</f>
        <v>4.511680360238586E-2</v>
      </c>
      <c r="F92" s="172">
        <f t="shared" ref="F92" si="35">F90/F91</f>
        <v>5.2314818537848508E-2</v>
      </c>
      <c r="G92" s="172">
        <f t="shared" ref="G92" si="36">G90/G91</f>
        <v>4.5540623268135849E-2</v>
      </c>
      <c r="H92" s="172">
        <f t="shared" ref="H92" si="37">H90/H91</f>
        <v>4.8183658006596658E-2</v>
      </c>
      <c r="I92" s="172">
        <f>I90/I91</f>
        <v>5.5521345223900537E-2</v>
      </c>
    </row>
    <row r="94" spans="2:9">
      <c r="B94" t="s">
        <v>299</v>
      </c>
      <c r="C94" s="37">
        <f t="shared" ref="C94:H94" si="38">C91</f>
        <v>11897.7</v>
      </c>
      <c r="D94" s="37">
        <f t="shared" si="38"/>
        <v>15033.2</v>
      </c>
      <c r="E94" s="37">
        <f t="shared" si="38"/>
        <v>20004.52</v>
      </c>
      <c r="F94" s="37">
        <f t="shared" si="38"/>
        <v>24870.2</v>
      </c>
      <c r="G94" s="37">
        <f t="shared" si="38"/>
        <v>24143.06</v>
      </c>
      <c r="H94" s="37">
        <f t="shared" si="38"/>
        <v>30976.27</v>
      </c>
      <c r="I94" s="37">
        <f>I91</f>
        <v>42839.56</v>
      </c>
    </row>
    <row r="95" spans="2:9">
      <c r="B95" t="s">
        <v>365</v>
      </c>
      <c r="C95" s="37">
        <f t="shared" ref="C95:H95" si="39">C85</f>
        <v>4460.42</v>
      </c>
      <c r="D95" s="37">
        <f t="shared" si="39"/>
        <v>5733.75</v>
      </c>
      <c r="E95" s="37">
        <f t="shared" si="39"/>
        <v>6326.8600000000006</v>
      </c>
      <c r="F95" s="37">
        <f t="shared" si="39"/>
        <v>9540.83</v>
      </c>
      <c r="G95" s="37">
        <f t="shared" si="39"/>
        <v>12865.605</v>
      </c>
      <c r="H95" s="37">
        <f t="shared" si="39"/>
        <v>14563.014999999999</v>
      </c>
      <c r="I95" s="37">
        <f>I85</f>
        <v>16788.635000000002</v>
      </c>
    </row>
    <row r="96" spans="2:9">
      <c r="B96" s="171" t="s">
        <v>366</v>
      </c>
      <c r="C96" s="174">
        <f t="shared" ref="C96" si="40">C94/C95</f>
        <v>2.6673945502889862</v>
      </c>
      <c r="D96" s="174">
        <f t="shared" ref="D96" si="41">D94/D95</f>
        <v>2.6218792238936124</v>
      </c>
      <c r="E96" s="174">
        <f t="shared" ref="E96" si="42">E94/E95</f>
        <v>3.1618401545158261</v>
      </c>
      <c r="F96" s="174">
        <f t="shared" ref="F96" si="43">F94/F95</f>
        <v>2.6067124139094817</v>
      </c>
      <c r="G96" s="174">
        <f t="shared" ref="G96" si="44">G94/G95</f>
        <v>1.8765584673243119</v>
      </c>
      <c r="H96" s="174">
        <f t="shared" ref="H96" si="45">H94/H95</f>
        <v>2.1270506141757046</v>
      </c>
      <c r="I96" s="174">
        <f>I94/I95</f>
        <v>2.5517000041992688</v>
      </c>
    </row>
    <row r="98" spans="2:9">
      <c r="B98" s="171" t="s">
        <v>371</v>
      </c>
      <c r="C98" s="172">
        <f>C96*C92</f>
        <v>0.10733294174091228</v>
      </c>
      <c r="D98" s="172">
        <f t="shared" ref="D98:I98" si="46">D96*D92</f>
        <v>0.1406165249618487</v>
      </c>
      <c r="E98" s="172">
        <f t="shared" si="46"/>
        <v>0.14265212127342788</v>
      </c>
      <c r="F98" s="172">
        <f t="shared" si="46"/>
        <v>0.13636968691403159</v>
      </c>
      <c r="G98" s="172">
        <f t="shared" si="46"/>
        <v>8.5459642201046904E-2</v>
      </c>
      <c r="H98" s="172">
        <f t="shared" si="46"/>
        <v>0.10248907935616353</v>
      </c>
      <c r="I98" s="172">
        <f t="shared" si="46"/>
        <v>0.14167381684097605</v>
      </c>
    </row>
    <row r="113" spans="2:9" ht="11.25" customHeight="1">
      <c r="B113" s="169"/>
      <c r="C113" s="169"/>
      <c r="D113" s="169"/>
      <c r="E113" s="169"/>
      <c r="F113" s="169"/>
      <c r="G113" s="169"/>
      <c r="H113" s="169"/>
      <c r="I113" s="169"/>
    </row>
  </sheetData>
  <mergeCells count="5">
    <mergeCell ref="B9:I12"/>
    <mergeCell ref="B60:I60"/>
    <mergeCell ref="B66:I66"/>
    <mergeCell ref="B82:I82"/>
    <mergeCell ref="B88:I88"/>
  </mergeCells>
  <pageMargins left="0.39370078740157483" right="0.23622047244094491" top="0.35433070866141736" bottom="0.23622047244094491" header="0.15748031496062992" footer="0"/>
  <pageSetup paperSize="9" scale="94" orientation="portrait" r:id="rId1"/>
  <headerFooter>
    <oddFooter>&amp;RPage &amp;P</oddFooter>
  </headerFooter>
  <rowBreaks count="1" manualBreakCount="1">
    <brk id="54"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5"/>
  <sheetViews>
    <sheetView showGridLines="0" zoomScale="89" zoomScaleNormal="89" zoomScaleSheetLayoutView="140" workbookViewId="0">
      <selection activeCell="F14" sqref="F14"/>
    </sheetView>
  </sheetViews>
  <sheetFormatPr defaultRowHeight="15"/>
  <cols>
    <col min="1" max="1" width="1.85546875" customWidth="1"/>
    <col min="2" max="2" width="35.7109375" customWidth="1"/>
    <col min="3" max="3" width="9.42578125" bestFit="1" customWidth="1"/>
    <col min="4" max="9" width="10.5703125" bestFit="1" customWidth="1"/>
  </cols>
  <sheetData>
    <row r="1" spans="2:9" ht="10.5" customHeight="1">
      <c r="B1" s="169"/>
      <c r="C1" s="169"/>
      <c r="D1" s="169"/>
      <c r="E1" s="169"/>
      <c r="F1" s="169"/>
      <c r="G1" s="169"/>
      <c r="H1" s="169"/>
      <c r="I1" s="169"/>
    </row>
    <row r="3" spans="2:9" ht="26.25" customHeight="1">
      <c r="B3" s="167" t="str">
        <f>'Data Sheet'!B1</f>
        <v>AVENUE SUPERMARTS LTD</v>
      </c>
    </row>
    <row r="4" spans="2:9">
      <c r="B4" s="39" t="e">
        <f>CONCATENATE("  ","(",VLOOKUP(B3,#REF!,3,1)," | ","BSE Code: ",VLOOKUP(B3,#REF!,2,1),")")</f>
        <v>#REF!</v>
      </c>
    </row>
    <row r="5" spans="2:9" ht="21.75" customHeight="1">
      <c r="B5" s="175" t="str">
        <f>CONCATENATE("  ","INR "&amp;'Data Sheet'!B8)</f>
        <v xml:space="preserve">  INR 3501.75</v>
      </c>
    </row>
    <row r="6" spans="2:9">
      <c r="B6" s="39" t="s">
        <v>357</v>
      </c>
    </row>
    <row r="7" spans="2:9" ht="15" customHeight="1" thickBot="1">
      <c r="B7" s="168"/>
      <c r="C7" s="168"/>
      <c r="D7" s="168"/>
      <c r="E7" s="168"/>
      <c r="F7" s="168"/>
      <c r="G7" s="168"/>
      <c r="H7" s="168"/>
      <c r="I7" s="168"/>
    </row>
    <row r="8" spans="2:9" ht="29.25" customHeight="1">
      <c r="B8" s="185" t="s">
        <v>373</v>
      </c>
      <c r="C8" s="186"/>
      <c r="D8" s="186"/>
      <c r="E8" s="186"/>
      <c r="F8" s="186"/>
      <c r="G8" s="186"/>
      <c r="H8" s="186"/>
      <c r="I8" s="186"/>
    </row>
    <row r="9" spans="2:9">
      <c r="B9" s="183" t="s">
        <v>359</v>
      </c>
      <c r="C9" s="183"/>
      <c r="D9" s="183"/>
      <c r="E9" s="183"/>
      <c r="F9" s="183"/>
      <c r="G9" s="183"/>
      <c r="H9" s="183"/>
      <c r="I9" s="183"/>
    </row>
    <row r="10" spans="2:9">
      <c r="B10" s="183"/>
      <c r="C10" s="183"/>
      <c r="D10" s="183"/>
      <c r="E10" s="183"/>
      <c r="F10" s="183"/>
      <c r="G10" s="183"/>
      <c r="H10" s="183"/>
      <c r="I10" s="183"/>
    </row>
    <row r="11" spans="2:9">
      <c r="B11" s="183"/>
      <c r="C11" s="183"/>
      <c r="D11" s="183"/>
      <c r="E11" s="183"/>
      <c r="F11" s="183"/>
      <c r="G11" s="183"/>
      <c r="H11" s="183"/>
      <c r="I11" s="183"/>
    </row>
    <row r="12" spans="2:9" ht="44.25" customHeight="1">
      <c r="B12" s="183"/>
      <c r="C12" s="183"/>
      <c r="D12" s="183"/>
      <c r="E12" s="183"/>
      <c r="F12" s="183"/>
      <c r="G12" s="183"/>
      <c r="H12" s="183"/>
      <c r="I12" s="183"/>
    </row>
    <row r="13" spans="2:9" ht="4.5" customHeight="1">
      <c r="B13" s="165"/>
      <c r="C13" s="165"/>
      <c r="D13" s="165"/>
      <c r="E13" s="165"/>
      <c r="F13" s="165"/>
      <c r="G13" s="165"/>
      <c r="H13" s="165"/>
      <c r="I13" s="165"/>
    </row>
    <row r="14" spans="2:9" ht="21.75" customHeight="1">
      <c r="B14" s="176" t="s">
        <v>372</v>
      </c>
      <c r="C14" s="165"/>
      <c r="D14" s="165"/>
      <c r="E14" s="165"/>
      <c r="F14" s="165"/>
      <c r="G14" s="165"/>
      <c r="H14" s="165"/>
      <c r="I14" s="165"/>
    </row>
    <row r="15" spans="2:9" ht="6" customHeight="1">
      <c r="B15" s="165"/>
      <c r="C15" s="165"/>
      <c r="D15" s="165"/>
      <c r="E15" s="165"/>
      <c r="F15" s="165"/>
      <c r="G15" s="165"/>
      <c r="H15" s="165"/>
      <c r="I15" s="165"/>
    </row>
    <row r="16" spans="2:9">
      <c r="B16" s="165"/>
      <c r="C16" s="165"/>
      <c r="D16" s="165"/>
      <c r="E16" s="165"/>
      <c r="F16" s="165"/>
      <c r="G16" s="165"/>
      <c r="H16" s="165"/>
      <c r="I16" s="165"/>
    </row>
    <row r="53" spans="2:9" ht="28.5" customHeight="1"/>
    <row r="54" spans="2:9" ht="11.25" customHeight="1">
      <c r="B54" s="169"/>
      <c r="C54" s="169"/>
      <c r="D54" s="169"/>
      <c r="E54" s="169"/>
      <c r="F54" s="169"/>
      <c r="G54" s="169"/>
      <c r="H54" s="169"/>
      <c r="I54" s="169"/>
    </row>
    <row r="55" spans="2:9" ht="1.5" customHeight="1"/>
    <row r="56" spans="2:9" ht="11.25" customHeight="1">
      <c r="B56" s="169"/>
      <c r="C56" s="169"/>
      <c r="D56" s="169"/>
      <c r="E56" s="169"/>
      <c r="F56" s="169"/>
      <c r="G56" s="169"/>
      <c r="H56" s="169"/>
      <c r="I56" s="169"/>
    </row>
    <row r="60" spans="2:9" ht="15.75">
      <c r="B60" s="184" t="s">
        <v>374</v>
      </c>
      <c r="C60" s="184"/>
      <c r="D60" s="184"/>
      <c r="E60" s="184"/>
      <c r="F60" s="184"/>
      <c r="G60" s="184"/>
      <c r="H60" s="184"/>
      <c r="I60" s="184"/>
    </row>
    <row r="61" spans="2:9">
      <c r="C61" s="170">
        <f>HistoricalFS!F3</f>
        <v>42825</v>
      </c>
      <c r="D61" s="170">
        <f>HistoricalFS!G3</f>
        <v>43190</v>
      </c>
      <c r="E61" s="170">
        <f>HistoricalFS!H3</f>
        <v>43555</v>
      </c>
      <c r="F61" s="170">
        <f>HistoricalFS!I3</f>
        <v>43921</v>
      </c>
      <c r="G61" s="170">
        <f>HistoricalFS!J3</f>
        <v>44286</v>
      </c>
      <c r="H61" s="170">
        <f>HistoricalFS!K3</f>
        <v>44651</v>
      </c>
      <c r="I61" s="170">
        <f>HistoricalFS!L3</f>
        <v>45016</v>
      </c>
    </row>
    <row r="62" spans="2:9">
      <c r="B62" t="s">
        <v>375</v>
      </c>
      <c r="C62" s="37">
        <f>'Data Sheet'!E65-'Data Sheet'!E60</f>
        <v>2582.77</v>
      </c>
      <c r="D62" s="37">
        <f>'Data Sheet'!F65-'Data Sheet'!F60</f>
        <v>1493.08</v>
      </c>
      <c r="E62" s="37">
        <f>'Data Sheet'!G65-'Data Sheet'!G60</f>
        <v>1493.8600000000001</v>
      </c>
      <c r="F62" s="37">
        <f>'Data Sheet'!H65-'Data Sheet'!H60</f>
        <v>5085.82</v>
      </c>
      <c r="G62" s="37">
        <f>'Data Sheet'!I65-'Data Sheet'!I60</f>
        <v>4545.08</v>
      </c>
      <c r="H62" s="37">
        <f>'Data Sheet'!J65-'Data Sheet'!J60</f>
        <v>3929.28</v>
      </c>
      <c r="I62" s="37">
        <f>'Data Sheet'!K65-'Data Sheet'!K60</f>
        <v>4349.84</v>
      </c>
    </row>
    <row r="63" spans="2:9">
      <c r="B63" t="s">
        <v>147</v>
      </c>
      <c r="C63" s="37">
        <f>'Data Sheet'!E61</f>
        <v>5819.28</v>
      </c>
      <c r="D63" s="37">
        <f>'Data Sheet'!F61</f>
        <v>5648.22</v>
      </c>
      <c r="E63" s="37">
        <f>'Data Sheet'!G61</f>
        <v>7005.5</v>
      </c>
      <c r="F63" s="37">
        <f>'Data Sheet'!H61</f>
        <v>12076.16</v>
      </c>
      <c r="G63" s="37">
        <f>'Data Sheet'!I61</f>
        <v>13655.05</v>
      </c>
      <c r="H63" s="37">
        <f>'Data Sheet'!J61</f>
        <v>15470.98</v>
      </c>
      <c r="I63" s="37">
        <f>'Data Sheet'!K61</f>
        <v>18106.29</v>
      </c>
    </row>
    <row r="64" spans="2:9">
      <c r="B64" s="171" t="s">
        <v>382</v>
      </c>
      <c r="C64" s="172">
        <f>C62/C63</f>
        <v>0.44382982087131057</v>
      </c>
      <c r="D64" s="172">
        <f t="shared" ref="D64:I64" si="0">D62/D63</f>
        <v>0.26434522734596028</v>
      </c>
      <c r="E64" s="172">
        <f t="shared" si="0"/>
        <v>0.2132410249090001</v>
      </c>
      <c r="F64" s="172">
        <f t="shared" si="0"/>
        <v>0.42114546345858284</v>
      </c>
      <c r="G64" s="172">
        <f t="shared" si="0"/>
        <v>0.33284975155711627</v>
      </c>
      <c r="H64" s="172">
        <f t="shared" si="0"/>
        <v>0.25397744680686035</v>
      </c>
      <c r="I64" s="172">
        <f t="shared" si="0"/>
        <v>0.24023916550546798</v>
      </c>
    </row>
    <row r="66" spans="2:9" ht="15.75">
      <c r="B66" s="184" t="s">
        <v>376</v>
      </c>
      <c r="C66" s="184"/>
      <c r="D66" s="184"/>
      <c r="E66" s="184"/>
      <c r="F66" s="184"/>
      <c r="G66" s="184"/>
      <c r="H66" s="184"/>
      <c r="I66" s="184"/>
    </row>
    <row r="67" spans="2:9">
      <c r="C67" s="170">
        <f>C61</f>
        <v>42825</v>
      </c>
      <c r="D67" s="170">
        <f t="shared" ref="D67:I67" si="1">D61</f>
        <v>43190</v>
      </c>
      <c r="E67" s="170">
        <f t="shared" si="1"/>
        <v>43555</v>
      </c>
      <c r="F67" s="170">
        <f t="shared" si="1"/>
        <v>43921</v>
      </c>
      <c r="G67" s="170">
        <f t="shared" si="1"/>
        <v>44286</v>
      </c>
      <c r="H67" s="170">
        <f t="shared" si="1"/>
        <v>44651</v>
      </c>
      <c r="I67" s="170">
        <f t="shared" si="1"/>
        <v>45016</v>
      </c>
    </row>
    <row r="68" spans="2:9">
      <c r="B68" t="s">
        <v>131</v>
      </c>
      <c r="C68" s="37">
        <f>HistoricalFS!F36*HistoricalFS!F38*HistoricalFS!F44</f>
        <v>451.10000000000059</v>
      </c>
      <c r="D68" s="37">
        <f>HistoricalFS!G36*HistoricalFS!G38*HistoricalFS!G44</f>
        <v>718.53000000000065</v>
      </c>
      <c r="E68" s="37">
        <f>HistoricalFS!H36*HistoricalFS!H38*HistoricalFS!H44</f>
        <v>854.13000000000147</v>
      </c>
      <c r="F68" s="37">
        <f>HistoricalFS!I36*HistoricalFS!I38*HistoricalFS!I44</f>
        <v>1240.9900000000005</v>
      </c>
      <c r="G68" s="37">
        <f>HistoricalFS!J36*HistoricalFS!J38*HistoricalFS!J44</f>
        <v>904.99999999999841</v>
      </c>
      <c r="H68" s="37">
        <f>HistoricalFS!K36*HistoricalFS!K38*HistoricalFS!K44</f>
        <v>1378.7600000000014</v>
      </c>
      <c r="I68" s="37">
        <f>HistoricalFS!L36*HistoricalFS!L38*HistoricalFS!L44</f>
        <v>2248.9999999999973</v>
      </c>
    </row>
    <row r="69" spans="2:9">
      <c r="B69" t="s">
        <v>147</v>
      </c>
      <c r="C69" s="37">
        <f>C$63</f>
        <v>5819.28</v>
      </c>
      <c r="D69" s="37">
        <f t="shared" ref="D69:I69" si="2">D$63</f>
        <v>5648.22</v>
      </c>
      <c r="E69" s="37">
        <f t="shared" si="2"/>
        <v>7005.5</v>
      </c>
      <c r="F69" s="37">
        <f t="shared" si="2"/>
        <v>12076.16</v>
      </c>
      <c r="G69" s="37">
        <f t="shared" si="2"/>
        <v>13655.05</v>
      </c>
      <c r="H69" s="37">
        <f t="shared" si="2"/>
        <v>15470.98</v>
      </c>
      <c r="I69" s="37">
        <f t="shared" si="2"/>
        <v>18106.29</v>
      </c>
    </row>
    <row r="70" spans="2:9">
      <c r="B70" s="171" t="s">
        <v>383</v>
      </c>
      <c r="C70" s="172">
        <f t="shared" ref="C70:H70" si="3">C68/C69</f>
        <v>7.7518180943347045E-2</v>
      </c>
      <c r="D70" s="172">
        <f t="shared" si="3"/>
        <v>0.12721352921805465</v>
      </c>
      <c r="E70" s="172">
        <f t="shared" si="3"/>
        <v>0.12192277496252965</v>
      </c>
      <c r="F70" s="172">
        <f t="shared" si="3"/>
        <v>0.10276362684826969</v>
      </c>
      <c r="G70" s="172">
        <f t="shared" si="3"/>
        <v>6.6275846664786905E-2</v>
      </c>
      <c r="H70" s="172">
        <f t="shared" si="3"/>
        <v>8.9119112040737011E-2</v>
      </c>
      <c r="I70" s="172">
        <f>I68/I69</f>
        <v>0.12421097861571848</v>
      </c>
    </row>
    <row r="72" spans="2:9" ht="15.75">
      <c r="B72" s="184" t="s">
        <v>377</v>
      </c>
      <c r="C72" s="184"/>
      <c r="D72" s="184"/>
      <c r="E72" s="184"/>
      <c r="F72" s="184"/>
      <c r="G72" s="184"/>
      <c r="H72" s="184"/>
      <c r="I72" s="184"/>
    </row>
    <row r="73" spans="2:9">
      <c r="B73" t="s">
        <v>230</v>
      </c>
      <c r="C73" s="37">
        <f>HistoricalFS!F18-HistoricalFS!F24</f>
        <v>841.36000000000058</v>
      </c>
      <c r="D73" s="37">
        <f>HistoricalFS!G18-HistoricalFS!G24</f>
        <v>1193.8600000000006</v>
      </c>
      <c r="E73" s="37">
        <f>HistoricalFS!H18-HistoricalFS!H24</f>
        <v>1420.8200000000015</v>
      </c>
      <c r="F73" s="37">
        <f>HistoricalFS!I18-HistoricalFS!I24</f>
        <v>1753.9000000000003</v>
      </c>
      <c r="G73" s="37">
        <f>HistoricalFS!J18-HistoricalFS!J24</f>
        <v>1330.6699999999983</v>
      </c>
      <c r="H73" s="37">
        <f>HistoricalFS!K18-HistoricalFS!K24</f>
        <v>2004.2700000000013</v>
      </c>
      <c r="I73" s="37">
        <f>HistoricalFS!L18-HistoricalFS!L24</f>
        <v>2998.1599999999971</v>
      </c>
    </row>
    <row r="74" spans="2:9">
      <c r="B74" t="s">
        <v>147</v>
      </c>
      <c r="C74" s="37">
        <f>C$63</f>
        <v>5819.28</v>
      </c>
      <c r="D74" s="37">
        <f t="shared" ref="D74:I74" si="4">D$63</f>
        <v>5648.22</v>
      </c>
      <c r="E74" s="37">
        <f t="shared" si="4"/>
        <v>7005.5</v>
      </c>
      <c r="F74" s="37">
        <f t="shared" si="4"/>
        <v>12076.16</v>
      </c>
      <c r="G74" s="37">
        <f t="shared" si="4"/>
        <v>13655.05</v>
      </c>
      <c r="H74" s="37">
        <f t="shared" si="4"/>
        <v>15470.98</v>
      </c>
      <c r="I74" s="37">
        <f t="shared" si="4"/>
        <v>18106.29</v>
      </c>
    </row>
    <row r="75" spans="2:9">
      <c r="B75" s="171" t="s">
        <v>384</v>
      </c>
      <c r="C75" s="172">
        <f t="shared" ref="C75:H75" si="5">C73/C74</f>
        <v>0.14458146024937804</v>
      </c>
      <c r="D75" s="172">
        <f t="shared" si="5"/>
        <v>0.21136924553222086</v>
      </c>
      <c r="E75" s="172">
        <f t="shared" si="5"/>
        <v>0.20281493112554444</v>
      </c>
      <c r="F75" s="172">
        <f t="shared" si="5"/>
        <v>0.14523656526577988</v>
      </c>
      <c r="G75" s="172">
        <f t="shared" si="5"/>
        <v>9.7448929150753621E-2</v>
      </c>
      <c r="H75" s="172">
        <f t="shared" si="5"/>
        <v>0.12955029351728212</v>
      </c>
      <c r="I75" s="172">
        <f>I73/I74</f>
        <v>0.16558665524522123</v>
      </c>
    </row>
    <row r="77" spans="2:9" ht="15.75">
      <c r="B77" s="184" t="s">
        <v>378</v>
      </c>
      <c r="C77" s="184"/>
      <c r="D77" s="184"/>
      <c r="E77" s="184"/>
      <c r="F77" s="184"/>
      <c r="G77" s="184"/>
      <c r="H77" s="184"/>
      <c r="I77" s="184"/>
    </row>
    <row r="78" spans="2:9">
      <c r="B78" t="s">
        <v>314</v>
      </c>
      <c r="C78" s="37">
        <f>('Data Sheet'!E70*'Data Sheet'!E90)/10000000</f>
        <v>39807.228939510002</v>
      </c>
      <c r="D78" s="37">
        <f>('Data Sheet'!F70*'Data Sheet'!F90)/10000000</f>
        <v>82678.712705279991</v>
      </c>
      <c r="E78" s="37">
        <f>('Data Sheet'!G70*'Data Sheet'!G90)/10000000</f>
        <v>91809.068735459994</v>
      </c>
      <c r="F78" s="37">
        <f>('Data Sheet'!H70*'Data Sheet'!H90)/10000000</f>
        <v>141700.71365625001</v>
      </c>
      <c r="G78" s="37">
        <f>('Data Sheet'!I70*'Data Sheet'!I90)/10000000</f>
        <v>185202.02303035499</v>
      </c>
      <c r="H78" s="37">
        <f>('Data Sheet'!J70*'Data Sheet'!J90)/10000000</f>
        <v>259326.88092148502</v>
      </c>
      <c r="I78" s="37">
        <f>('Data Sheet'!K70*'Data Sheet'!K90)/10000000</f>
        <v>220311.41128255503</v>
      </c>
    </row>
    <row r="79" spans="2:9">
      <c r="B79" t="s">
        <v>379</v>
      </c>
      <c r="C79" s="37">
        <f>'Data Sheet'!E59</f>
        <v>1497.32</v>
      </c>
      <c r="D79" s="37">
        <f>'Data Sheet'!F59</f>
        <v>439.25</v>
      </c>
      <c r="E79" s="37">
        <f>'Data Sheet'!G59</f>
        <v>700.15</v>
      </c>
      <c r="F79" s="37">
        <f>'Data Sheet'!H59</f>
        <v>333.19</v>
      </c>
      <c r="G79" s="37">
        <f>'Data Sheet'!I59</f>
        <v>392.71</v>
      </c>
      <c r="H79" s="37">
        <f>'Data Sheet'!J59</f>
        <v>646.94000000000005</v>
      </c>
      <c r="I79" s="37">
        <f>'Data Sheet'!K59</f>
        <v>642.98</v>
      </c>
    </row>
    <row r="80" spans="2:9">
      <c r="B80" s="171" t="s">
        <v>385</v>
      </c>
      <c r="C80" s="172">
        <f t="shared" ref="C80:H80" si="6">C78/C79</f>
        <v>26.585652325160957</v>
      </c>
      <c r="D80" s="172">
        <f t="shared" si="6"/>
        <v>188.22700672801363</v>
      </c>
      <c r="E80" s="172">
        <f t="shared" si="6"/>
        <v>131.12771368343925</v>
      </c>
      <c r="F80" s="172">
        <f t="shared" si="6"/>
        <v>425.28501352456561</v>
      </c>
      <c r="G80" s="172">
        <f t="shared" si="6"/>
        <v>471.59996697398844</v>
      </c>
      <c r="H80" s="172">
        <f t="shared" si="6"/>
        <v>400.85151779374439</v>
      </c>
      <c r="I80" s="172">
        <f>I78/I79</f>
        <v>342.6411572405907</v>
      </c>
    </row>
    <row r="82" spans="2:9" ht="15.75">
      <c r="B82" s="184" t="s">
        <v>380</v>
      </c>
      <c r="C82" s="184"/>
      <c r="D82" s="184"/>
      <c r="E82" s="184"/>
      <c r="F82" s="184"/>
      <c r="G82" s="184"/>
      <c r="H82" s="184"/>
      <c r="I82" s="184"/>
    </row>
    <row r="83" spans="2:9">
      <c r="C83" s="170">
        <f t="shared" ref="C83:I83" si="7">C67</f>
        <v>42825</v>
      </c>
      <c r="D83" s="170">
        <f t="shared" si="7"/>
        <v>43190</v>
      </c>
      <c r="E83" s="170">
        <f t="shared" si="7"/>
        <v>43555</v>
      </c>
      <c r="F83" s="170">
        <f t="shared" si="7"/>
        <v>43921</v>
      </c>
      <c r="G83" s="170">
        <f t="shared" si="7"/>
        <v>44286</v>
      </c>
      <c r="H83" s="170">
        <f t="shared" si="7"/>
        <v>44651</v>
      </c>
      <c r="I83" s="170">
        <f t="shared" si="7"/>
        <v>45016</v>
      </c>
    </row>
    <row r="84" spans="2:9">
      <c r="B84" t="s">
        <v>381</v>
      </c>
      <c r="C84" s="37">
        <f>'Data Sheet'!E17</f>
        <v>11897.7</v>
      </c>
      <c r="D84" s="37">
        <f>'Data Sheet'!F17</f>
        <v>15033.2</v>
      </c>
      <c r="E84" s="37">
        <f>'Data Sheet'!G17</f>
        <v>20004.52</v>
      </c>
      <c r="F84" s="37">
        <f>'Data Sheet'!H17</f>
        <v>24870.2</v>
      </c>
      <c r="G84" s="37">
        <f>'Data Sheet'!I17</f>
        <v>24143.06</v>
      </c>
      <c r="H84" s="37">
        <f>'Data Sheet'!J17</f>
        <v>30976.27</v>
      </c>
      <c r="I84" s="37">
        <f>'Data Sheet'!K17</f>
        <v>42839.56</v>
      </c>
    </row>
    <row r="85" spans="2:9">
      <c r="B85" t="s">
        <v>147</v>
      </c>
      <c r="C85" s="37">
        <f>C74</f>
        <v>5819.28</v>
      </c>
      <c r="D85" s="37">
        <f t="shared" ref="D85:I85" si="8">D74</f>
        <v>5648.22</v>
      </c>
      <c r="E85" s="37">
        <f t="shared" si="8"/>
        <v>7005.5</v>
      </c>
      <c r="F85" s="37">
        <f t="shared" si="8"/>
        <v>12076.16</v>
      </c>
      <c r="G85" s="37">
        <f t="shared" si="8"/>
        <v>13655.05</v>
      </c>
      <c r="H85" s="37">
        <f t="shared" si="8"/>
        <v>15470.98</v>
      </c>
      <c r="I85" s="37">
        <f t="shared" si="8"/>
        <v>18106.29</v>
      </c>
    </row>
    <row r="86" spans="2:9">
      <c r="B86" s="171" t="s">
        <v>386</v>
      </c>
      <c r="C86" s="172">
        <f>C84/C85</f>
        <v>2.0445312822204813</v>
      </c>
      <c r="D86" s="172">
        <f t="shared" ref="D86:I86" si="9">D84/D85</f>
        <v>2.6615818788928194</v>
      </c>
      <c r="E86" s="172">
        <f t="shared" si="9"/>
        <v>2.8555449289843695</v>
      </c>
      <c r="F86" s="172">
        <f t="shared" si="9"/>
        <v>2.0594460490752029</v>
      </c>
      <c r="G86" s="172">
        <f t="shared" si="9"/>
        <v>1.768068223843926</v>
      </c>
      <c r="H86" s="172">
        <f t="shared" si="9"/>
        <v>2.0022177004947328</v>
      </c>
      <c r="I86" s="172">
        <f t="shared" si="9"/>
        <v>2.3660043001630924</v>
      </c>
    </row>
    <row r="88" spans="2:9" ht="15.75">
      <c r="B88" s="184" t="s">
        <v>387</v>
      </c>
      <c r="C88" s="184"/>
      <c r="D88" s="184"/>
      <c r="E88" s="184"/>
      <c r="F88" s="184"/>
      <c r="G88" s="184"/>
      <c r="H88" s="184"/>
      <c r="I88" s="184"/>
    </row>
    <row r="89" spans="2:9">
      <c r="C89" s="170">
        <f>C83</f>
        <v>42825</v>
      </c>
      <c r="D89" s="170">
        <f t="shared" ref="D89:I89" si="10">D83</f>
        <v>43190</v>
      </c>
      <c r="E89" s="170">
        <f t="shared" si="10"/>
        <v>43555</v>
      </c>
      <c r="F89" s="170">
        <f t="shared" si="10"/>
        <v>43921</v>
      </c>
      <c r="G89" s="170">
        <f t="shared" si="10"/>
        <v>44286</v>
      </c>
      <c r="H89" s="170">
        <f t="shared" si="10"/>
        <v>44651</v>
      </c>
      <c r="I89" s="170">
        <f t="shared" si="10"/>
        <v>45016</v>
      </c>
    </row>
    <row r="90" spans="2:9">
      <c r="B90" s="171" t="s">
        <v>388</v>
      </c>
      <c r="C90" s="177">
        <f>(C64*1.2)+(C70*1.4)+(C75*3.3)+(C80*0.6)*(C86*1)</f>
        <v>33.731358759406753</v>
      </c>
      <c r="D90" s="177">
        <f t="shared" ref="D90:I90" si="11">(D64*1.2)+(D70*1.4)+(D75*3.3)+(D80*0.6)*(D86*1)</f>
        <v>301.78178585928748</v>
      </c>
      <c r="E90" s="177">
        <f t="shared" si="11"/>
        <v>225.76051710238823</v>
      </c>
      <c r="F90" s="177">
        <f t="shared" si="11"/>
        <v>526.63944879955147</v>
      </c>
      <c r="G90" s="177">
        <f t="shared" si="11"/>
        <v>501.10633693692904</v>
      </c>
      <c r="H90" s="177">
        <f t="shared" si="11"/>
        <v>482.41225817972088</v>
      </c>
      <c r="I90" s="177">
        <f t="shared" si="11"/>
        <v>487.42288919743532</v>
      </c>
    </row>
    <row r="91" spans="2:9" s="179" customFormat="1">
      <c r="B91" s="178" t="s">
        <v>389</v>
      </c>
      <c r="C91" s="180" t="str">
        <f>IF(C90&lt;1.81," Distressed",IF(C90&gt;3,"Strong","Grey Zone"))</f>
        <v>Strong</v>
      </c>
      <c r="D91" s="180" t="str">
        <f t="shared" ref="D91:I91" si="12">IF(D90&lt;1.81," Distressed",IF(D90&gt;3,"Strong","Grey Zone"))</f>
        <v>Strong</v>
      </c>
      <c r="E91" s="180" t="str">
        <f t="shared" si="12"/>
        <v>Strong</v>
      </c>
      <c r="F91" s="180" t="str">
        <f t="shared" si="12"/>
        <v>Strong</v>
      </c>
      <c r="G91" s="180" t="str">
        <f t="shared" si="12"/>
        <v>Strong</v>
      </c>
      <c r="H91" s="180" t="str">
        <f t="shared" si="12"/>
        <v>Strong</v>
      </c>
      <c r="I91" s="180" t="str">
        <f t="shared" si="12"/>
        <v>Strong</v>
      </c>
    </row>
    <row r="95" spans="2:9" ht="11.25" customHeight="1">
      <c r="B95" s="169"/>
      <c r="C95" s="169"/>
      <c r="D95" s="169"/>
      <c r="E95" s="169"/>
      <c r="F95" s="169"/>
      <c r="G95" s="169"/>
      <c r="H95" s="169"/>
      <c r="I95" s="169"/>
    </row>
  </sheetData>
  <mergeCells count="8">
    <mergeCell ref="B8:I8"/>
    <mergeCell ref="B72:I72"/>
    <mergeCell ref="B77:I77"/>
    <mergeCell ref="B9:I12"/>
    <mergeCell ref="B60:I60"/>
    <mergeCell ref="B66:I66"/>
    <mergeCell ref="B82:I82"/>
    <mergeCell ref="B88:I88"/>
  </mergeCells>
  <pageMargins left="0.39370078740157483" right="0.23622047244094491" top="0.35433070866141736" bottom="0.23622047244094491" header="0.15748031496062992" footer="0"/>
  <pageSetup paperSize="9" scale="88" orientation="portrait" r:id="rId1"/>
  <headerFooter>
    <oddFooter>&amp;RPage &amp;P</oddFooter>
  </headerFooter>
  <rowBreaks count="1" manualBreakCount="1">
    <brk id="54"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8"/>
  <sheetViews>
    <sheetView workbookViewId="0">
      <selection activeCell="L21" sqref="L21"/>
    </sheetView>
  </sheetViews>
  <sheetFormatPr defaultRowHeight="15"/>
  <cols>
    <col min="2" max="2" width="5.7109375" bestFit="1" customWidth="1"/>
    <col min="3" max="3" width="17.85546875" bestFit="1" customWidth="1"/>
    <col min="4" max="4" width="8.28515625" bestFit="1" customWidth="1"/>
    <col min="5" max="5" width="16.5703125" bestFit="1" customWidth="1"/>
    <col min="6" max="6" width="16.5703125" customWidth="1"/>
    <col min="7" max="7" width="10.7109375" bestFit="1" customWidth="1"/>
    <col min="8" max="8" width="14.5703125" bestFit="1" customWidth="1"/>
    <col min="9" max="10" width="14.5703125" customWidth="1"/>
    <col min="11" max="11" width="11" bestFit="1" customWidth="1"/>
    <col min="12" max="12" width="14.85546875" customWidth="1"/>
    <col min="13" max="13" width="13.28515625" bestFit="1" customWidth="1"/>
  </cols>
  <sheetData>
    <row r="2" spans="2:13">
      <c r="B2" t="s">
        <v>42</v>
      </c>
      <c r="C2" t="s">
        <v>3</v>
      </c>
      <c r="D2" t="s">
        <v>43</v>
      </c>
      <c r="E2" t="s">
        <v>313</v>
      </c>
      <c r="F2" t="s">
        <v>314</v>
      </c>
      <c r="G2" t="s">
        <v>44</v>
      </c>
      <c r="H2" t="s">
        <v>315</v>
      </c>
      <c r="J2" t="s">
        <v>316</v>
      </c>
      <c r="K2" t="s">
        <v>317</v>
      </c>
      <c r="L2" t="s">
        <v>114</v>
      </c>
      <c r="M2" t="s">
        <v>318</v>
      </c>
    </row>
    <row r="3" spans="2:13">
      <c r="B3">
        <v>1</v>
      </c>
      <c r="C3" t="s">
        <v>319</v>
      </c>
      <c r="D3" s="9">
        <v>1012.1</v>
      </c>
      <c r="E3" s="9">
        <v>239.93</v>
      </c>
      <c r="F3" s="9">
        <f>E3*D3</f>
        <v>242833.15300000002</v>
      </c>
      <c r="G3" s="9">
        <v>4365.53</v>
      </c>
      <c r="H3" s="9">
        <v>5033.3500000000004</v>
      </c>
      <c r="I3" s="9">
        <f>G3-H3</f>
        <v>-667.82000000000062</v>
      </c>
      <c r="J3" s="9">
        <f>+F3+G3-H3</f>
        <v>242165.33300000001</v>
      </c>
      <c r="K3" s="9">
        <v>42401.77</v>
      </c>
      <c r="L3" s="164">
        <v>9328.3894</v>
      </c>
      <c r="M3" s="9">
        <v>4302.66</v>
      </c>
    </row>
    <row r="4" spans="2:13">
      <c r="B4">
        <v>2</v>
      </c>
      <c r="C4" t="s">
        <v>320</v>
      </c>
      <c r="D4" s="9">
        <v>4699.3999999999996</v>
      </c>
      <c r="E4" s="9">
        <v>16.649999999999999</v>
      </c>
      <c r="F4" s="9">
        <f t="shared" ref="F4:F38" si="0">E4*D4</f>
        <v>78245.00999999998</v>
      </c>
      <c r="G4" s="9">
        <v>1728.9</v>
      </c>
      <c r="H4" s="9">
        <v>2419.1999999999998</v>
      </c>
      <c r="I4" s="9">
        <f t="shared" ref="I4:I12" si="1">G4-H4</f>
        <v>-690.29999999999973</v>
      </c>
      <c r="J4" s="9">
        <f t="shared" ref="J4:J38" si="2">+F4+G4-H4</f>
        <v>77554.709999999977</v>
      </c>
      <c r="K4" s="9">
        <v>23829.5</v>
      </c>
      <c r="L4" s="164">
        <v>5004.1949999999997</v>
      </c>
      <c r="M4" s="9">
        <v>3644.1</v>
      </c>
    </row>
    <row r="5" spans="2:13">
      <c r="B5">
        <v>3</v>
      </c>
      <c r="C5" t="s">
        <v>321</v>
      </c>
      <c r="D5" s="9">
        <v>893.35</v>
      </c>
      <c r="E5" s="9">
        <v>80.72</v>
      </c>
      <c r="F5" s="9">
        <f t="shared" si="0"/>
        <v>72111.212</v>
      </c>
      <c r="G5" s="9">
        <v>1067.6600000000001</v>
      </c>
      <c r="H5" s="9">
        <v>1928.48</v>
      </c>
      <c r="I5" s="9">
        <f t="shared" si="1"/>
        <v>-860.81999999999994</v>
      </c>
      <c r="J5" s="9">
        <f t="shared" si="2"/>
        <v>71250.392000000007</v>
      </c>
      <c r="K5" s="9">
        <v>22274.15</v>
      </c>
      <c r="L5" s="164">
        <v>3786.6055000000006</v>
      </c>
      <c r="M5" s="9">
        <v>2682.08</v>
      </c>
    </row>
    <row r="6" spans="2:13">
      <c r="B6">
        <v>4</v>
      </c>
      <c r="C6" t="s">
        <v>322</v>
      </c>
      <c r="D6" s="9">
        <v>1574.75</v>
      </c>
      <c r="E6" s="9">
        <v>33.840000000000003</v>
      </c>
      <c r="F6" s="9">
        <f t="shared" si="0"/>
        <v>53289.540000000008</v>
      </c>
      <c r="G6" s="9">
        <v>4083</v>
      </c>
      <c r="H6" s="9">
        <v>403.41</v>
      </c>
      <c r="I6" s="9">
        <f t="shared" si="1"/>
        <v>3679.59</v>
      </c>
      <c r="J6" s="9">
        <f t="shared" si="2"/>
        <v>56969.130000000005</v>
      </c>
      <c r="K6" s="9">
        <v>9260</v>
      </c>
      <c r="L6" s="164">
        <v>2129.8000000000002</v>
      </c>
      <c r="M6" s="9">
        <v>831</v>
      </c>
    </row>
    <row r="7" spans="2:13">
      <c r="B7">
        <v>5</v>
      </c>
      <c r="C7" t="s">
        <v>323</v>
      </c>
      <c r="D7" s="9">
        <v>494.15</v>
      </c>
      <c r="E7" s="9">
        <v>101.22</v>
      </c>
      <c r="F7" s="9">
        <f t="shared" si="0"/>
        <v>50017.862999999998</v>
      </c>
      <c r="G7" s="9">
        <v>2446</v>
      </c>
      <c r="H7" s="9">
        <v>1106.9000000000001</v>
      </c>
      <c r="I7" s="9">
        <f t="shared" si="1"/>
        <v>1339.1</v>
      </c>
      <c r="J7" s="9">
        <f t="shared" si="2"/>
        <v>51356.962999999996</v>
      </c>
      <c r="K7" s="9">
        <v>16433.5</v>
      </c>
      <c r="L7" s="164">
        <v>2793.6950000000002</v>
      </c>
      <c r="M7" s="9">
        <v>2187</v>
      </c>
    </row>
    <row r="8" spans="2:13">
      <c r="B8">
        <v>6</v>
      </c>
      <c r="C8" t="s">
        <v>324</v>
      </c>
      <c r="D8" s="9">
        <v>3405.65</v>
      </c>
      <c r="E8" s="9">
        <v>11.96</v>
      </c>
      <c r="F8" s="9">
        <f t="shared" si="0"/>
        <v>40731.574000000001</v>
      </c>
      <c r="G8" s="9">
        <v>1854.59</v>
      </c>
      <c r="H8" s="9">
        <v>2578.58</v>
      </c>
      <c r="I8" s="9">
        <f t="shared" si="1"/>
        <v>-723.99</v>
      </c>
      <c r="J8" s="9">
        <f t="shared" si="2"/>
        <v>40007.583999999995</v>
      </c>
      <c r="K8" s="9">
        <v>11180.52</v>
      </c>
      <c r="L8" s="164">
        <v>1453.4676000000002</v>
      </c>
      <c r="M8" s="9">
        <v>1047.3399999999999</v>
      </c>
    </row>
    <row r="9" spans="2:13">
      <c r="B9">
        <v>7</v>
      </c>
      <c r="C9" t="s">
        <v>325</v>
      </c>
      <c r="D9" s="9">
        <v>535.1</v>
      </c>
      <c r="E9" s="9">
        <v>58.59</v>
      </c>
      <c r="F9" s="9">
        <f t="shared" si="0"/>
        <v>31351.509000000002</v>
      </c>
      <c r="G9" s="9">
        <v>4501.21</v>
      </c>
      <c r="H9" s="9">
        <v>4190.01</v>
      </c>
      <c r="I9" s="9">
        <f t="shared" si="1"/>
        <v>311.19999999999982</v>
      </c>
      <c r="J9" s="9">
        <f t="shared" si="2"/>
        <v>31662.709000000003</v>
      </c>
      <c r="K9" s="9">
        <v>24191.79</v>
      </c>
      <c r="L9" s="164">
        <v>2661.0969</v>
      </c>
      <c r="M9" s="9">
        <v>1997.9</v>
      </c>
    </row>
    <row r="10" spans="2:13">
      <c r="B10">
        <v>8</v>
      </c>
      <c r="C10" t="s">
        <v>326</v>
      </c>
      <c r="D10" s="9">
        <v>215.8</v>
      </c>
      <c r="E10" s="9">
        <v>120.06</v>
      </c>
      <c r="F10" s="9">
        <f t="shared" si="0"/>
        <v>25908.948</v>
      </c>
      <c r="G10" s="9">
        <v>5859.4</v>
      </c>
      <c r="H10" s="9">
        <v>1747.5</v>
      </c>
      <c r="I10" s="9">
        <f t="shared" si="1"/>
        <v>4111.8999999999996</v>
      </c>
      <c r="J10" s="9">
        <f t="shared" si="2"/>
        <v>30020.847999999998</v>
      </c>
      <c r="K10" s="9">
        <v>9809.1</v>
      </c>
      <c r="L10" s="164">
        <v>1275.183</v>
      </c>
      <c r="M10" s="9">
        <v>512.4</v>
      </c>
    </row>
    <row r="11" spans="2:13">
      <c r="B11">
        <v>9</v>
      </c>
      <c r="C11" t="s">
        <v>327</v>
      </c>
      <c r="D11" s="9">
        <v>604.65</v>
      </c>
      <c r="E11" s="9">
        <v>40.14</v>
      </c>
      <c r="F11" s="9">
        <f t="shared" si="0"/>
        <v>24270.650999999998</v>
      </c>
      <c r="G11" s="9">
        <v>1009</v>
      </c>
      <c r="H11" s="9">
        <v>515.1</v>
      </c>
      <c r="I11" s="9">
        <f t="shared" si="1"/>
        <v>493.9</v>
      </c>
      <c r="J11" s="9">
        <f t="shared" si="2"/>
        <v>24764.550999999999</v>
      </c>
      <c r="K11" s="9">
        <v>2957.9</v>
      </c>
      <c r="L11" s="164">
        <v>591.58000000000004</v>
      </c>
      <c r="M11" s="9">
        <v>431.2</v>
      </c>
    </row>
    <row r="12" spans="2:13">
      <c r="B12">
        <v>10</v>
      </c>
      <c r="C12" t="s">
        <v>328</v>
      </c>
      <c r="D12" s="9">
        <v>830.4</v>
      </c>
      <c r="E12" s="9">
        <v>25.37</v>
      </c>
      <c r="F12" s="9">
        <f t="shared" si="0"/>
        <v>21067.248</v>
      </c>
      <c r="G12" s="9">
        <v>733.7</v>
      </c>
      <c r="H12" s="9">
        <v>640.66</v>
      </c>
      <c r="I12" s="9">
        <f t="shared" si="1"/>
        <v>93.040000000000077</v>
      </c>
      <c r="J12" s="9">
        <f t="shared" si="2"/>
        <v>21160.288</v>
      </c>
      <c r="K12" s="9">
        <v>6021.79</v>
      </c>
      <c r="L12" s="164">
        <v>782.83270000000005</v>
      </c>
      <c r="M12" s="9">
        <v>532.83000000000004</v>
      </c>
    </row>
    <row r="13" spans="2:13">
      <c r="D13" s="9"/>
      <c r="E13" s="9"/>
      <c r="F13" s="9"/>
      <c r="G13" s="9"/>
      <c r="H13" s="9"/>
      <c r="I13" s="9"/>
      <c r="J13" s="9"/>
      <c r="K13" s="9"/>
      <c r="L13" s="164"/>
      <c r="M13" s="9"/>
    </row>
    <row r="14" spans="2:13">
      <c r="D14" s="9"/>
      <c r="E14" s="9"/>
      <c r="F14" s="9"/>
      <c r="G14" s="9"/>
      <c r="H14" s="9"/>
      <c r="I14" s="9"/>
      <c r="J14" s="9"/>
      <c r="K14" s="9"/>
      <c r="L14" s="164"/>
      <c r="M14" s="9"/>
    </row>
    <row r="15" spans="2:13">
      <c r="D15" s="9"/>
      <c r="E15" s="9"/>
      <c r="F15" s="9"/>
      <c r="G15" s="9"/>
      <c r="H15" s="9"/>
      <c r="I15" s="9"/>
      <c r="J15" s="9"/>
      <c r="K15" s="9"/>
      <c r="L15" s="164"/>
      <c r="M15" s="9"/>
    </row>
    <row r="16" spans="2:13">
      <c r="D16" s="9"/>
      <c r="E16" s="9"/>
      <c r="F16" s="9"/>
      <c r="G16" s="9"/>
      <c r="H16" s="9"/>
      <c r="I16" s="9"/>
      <c r="J16" s="9"/>
      <c r="K16" s="9"/>
      <c r="L16" s="164"/>
      <c r="M16" s="9"/>
    </row>
    <row r="17" spans="2:13">
      <c r="D17" s="9"/>
      <c r="E17" s="9"/>
      <c r="F17" s="9"/>
      <c r="G17" s="9"/>
      <c r="H17" s="9"/>
      <c r="I17" s="9"/>
      <c r="J17" s="9"/>
      <c r="K17" s="9"/>
      <c r="L17" s="164"/>
      <c r="M17" s="9"/>
    </row>
    <row r="18" spans="2:13">
      <c r="D18" s="9"/>
      <c r="E18" s="9"/>
      <c r="F18" s="9"/>
      <c r="G18" s="9"/>
      <c r="H18" s="9"/>
      <c r="I18" s="9"/>
      <c r="J18" s="9"/>
      <c r="K18" s="9"/>
      <c r="L18" s="164"/>
      <c r="M18" s="9"/>
    </row>
    <row r="19" spans="2:13">
      <c r="B19">
        <v>11</v>
      </c>
      <c r="C19" t="s">
        <v>329</v>
      </c>
      <c r="D19" s="9">
        <v>2029.6</v>
      </c>
      <c r="E19" s="9">
        <v>7.74</v>
      </c>
      <c r="F19" s="9">
        <f t="shared" si="0"/>
        <v>15709.103999999999</v>
      </c>
      <c r="G19" s="9">
        <v>357.4</v>
      </c>
      <c r="H19" s="9">
        <v>58.53</v>
      </c>
      <c r="I19" s="9"/>
      <c r="J19" s="9">
        <f t="shared" si="2"/>
        <v>16007.973999999998</v>
      </c>
      <c r="K19" s="9">
        <v>3011.55</v>
      </c>
      <c r="L19" s="164">
        <v>572.19450000000006</v>
      </c>
      <c r="M19" s="9">
        <v>407.35</v>
      </c>
    </row>
    <row r="20" spans="2:13">
      <c r="B20">
        <v>12</v>
      </c>
      <c r="C20" t="s">
        <v>330</v>
      </c>
      <c r="D20" s="9">
        <v>482.1</v>
      </c>
      <c r="E20" s="9">
        <v>28.22</v>
      </c>
      <c r="F20" s="9">
        <f t="shared" si="0"/>
        <v>13604.862000000001</v>
      </c>
      <c r="G20" s="9">
        <v>4239.59</v>
      </c>
      <c r="H20" s="9">
        <v>1411.52</v>
      </c>
      <c r="I20" s="9"/>
      <c r="J20" s="9">
        <f t="shared" si="2"/>
        <v>16432.932000000001</v>
      </c>
      <c r="K20" s="9">
        <v>12635.55</v>
      </c>
      <c r="L20" s="164">
        <v>2021.6879999999999</v>
      </c>
      <c r="M20" s="9">
        <v>953.11</v>
      </c>
    </row>
    <row r="21" spans="2:13">
      <c r="B21">
        <v>13</v>
      </c>
      <c r="C21" t="s">
        <v>331</v>
      </c>
      <c r="D21" s="9">
        <v>470.2</v>
      </c>
      <c r="E21" s="9">
        <v>25.46</v>
      </c>
      <c r="F21" s="9">
        <f t="shared" si="0"/>
        <v>11971.291999999999</v>
      </c>
      <c r="G21" s="9">
        <v>91.48</v>
      </c>
      <c r="H21" s="9">
        <v>47.31</v>
      </c>
      <c r="I21" s="9"/>
      <c r="J21" s="9">
        <f t="shared" si="2"/>
        <v>12015.462</v>
      </c>
      <c r="K21" s="9">
        <v>1334.82</v>
      </c>
      <c r="L21" s="164">
        <v>560.62439999999992</v>
      </c>
      <c r="M21" s="9">
        <v>378.99</v>
      </c>
    </row>
    <row r="22" spans="2:13">
      <c r="B22">
        <v>14</v>
      </c>
      <c r="C22" t="s">
        <v>332</v>
      </c>
      <c r="D22" s="9">
        <v>578.20000000000005</v>
      </c>
      <c r="E22" s="9">
        <v>18.260000000000002</v>
      </c>
      <c r="F22" s="9">
        <f t="shared" si="0"/>
        <v>10557.932000000003</v>
      </c>
      <c r="G22" s="9">
        <v>85.6</v>
      </c>
      <c r="H22" s="9">
        <v>206.1</v>
      </c>
      <c r="I22" s="9"/>
      <c r="J22" s="9">
        <f t="shared" si="2"/>
        <v>10437.432000000003</v>
      </c>
      <c r="K22" s="9">
        <v>2406</v>
      </c>
      <c r="L22" s="164">
        <v>505.26</v>
      </c>
      <c r="M22" s="9">
        <v>389</v>
      </c>
    </row>
    <row r="23" spans="2:13">
      <c r="B23">
        <v>15</v>
      </c>
      <c r="C23" t="s">
        <v>333</v>
      </c>
      <c r="D23" s="9">
        <v>508.5</v>
      </c>
      <c r="E23" s="9">
        <v>19.66</v>
      </c>
      <c r="F23" s="9">
        <f t="shared" si="0"/>
        <v>9997.11</v>
      </c>
      <c r="G23" s="9">
        <v>770.64</v>
      </c>
      <c r="H23" s="9">
        <v>69.430000000000007</v>
      </c>
      <c r="I23" s="9"/>
      <c r="J23" s="9">
        <f t="shared" si="2"/>
        <v>10698.32</v>
      </c>
      <c r="K23" s="9">
        <v>5661.91</v>
      </c>
      <c r="L23" s="164">
        <v>339.71459999999996</v>
      </c>
      <c r="M23" s="9">
        <v>219.78</v>
      </c>
    </row>
    <row r="24" spans="2:13">
      <c r="B24">
        <v>16</v>
      </c>
      <c r="C24" t="s">
        <v>334</v>
      </c>
      <c r="D24" s="9">
        <v>70</v>
      </c>
      <c r="E24" s="9">
        <v>119.33</v>
      </c>
      <c r="F24" s="9">
        <f t="shared" si="0"/>
        <v>8353.1</v>
      </c>
      <c r="G24" s="9">
        <v>5016.34</v>
      </c>
      <c r="H24" s="9">
        <v>328.99</v>
      </c>
      <c r="I24" s="9"/>
      <c r="J24" s="9">
        <f t="shared" si="2"/>
        <v>13040.45</v>
      </c>
      <c r="K24" s="9">
        <v>6559.1</v>
      </c>
      <c r="L24" s="164">
        <v>721.50100000000009</v>
      </c>
      <c r="M24" s="9">
        <v>375.96</v>
      </c>
    </row>
    <row r="25" spans="2:13">
      <c r="B25">
        <v>17</v>
      </c>
      <c r="C25" t="s">
        <v>335</v>
      </c>
      <c r="D25" s="9">
        <v>406.1</v>
      </c>
      <c r="E25" s="9">
        <v>12.25</v>
      </c>
      <c r="F25" s="9">
        <f t="shared" si="0"/>
        <v>4974.7250000000004</v>
      </c>
      <c r="G25" s="9">
        <v>7.45</v>
      </c>
      <c r="H25" s="9">
        <v>512.16</v>
      </c>
      <c r="I25" s="9"/>
      <c r="J25" s="9">
        <f t="shared" si="2"/>
        <v>4470.0150000000003</v>
      </c>
      <c r="K25" s="9">
        <v>2053.96</v>
      </c>
      <c r="L25" s="164">
        <v>575.10880000000009</v>
      </c>
      <c r="M25" s="9">
        <v>419.5</v>
      </c>
    </row>
    <row r="26" spans="2:13">
      <c r="B26">
        <v>18</v>
      </c>
      <c r="C26" t="s">
        <v>336</v>
      </c>
      <c r="D26" s="9">
        <v>265.14999999999998</v>
      </c>
      <c r="E26" s="9">
        <v>16.59</v>
      </c>
      <c r="F26" s="9">
        <f t="shared" si="0"/>
        <v>4398.8384999999998</v>
      </c>
      <c r="G26" s="9">
        <v>32.409999999999997</v>
      </c>
      <c r="H26" s="9">
        <v>38.659999999999997</v>
      </c>
      <c r="I26" s="9"/>
      <c r="J26" s="9">
        <f t="shared" si="2"/>
        <v>4392.5884999999998</v>
      </c>
      <c r="K26" s="9">
        <v>1690</v>
      </c>
      <c r="L26" s="164">
        <v>236.60000000000002</v>
      </c>
      <c r="M26" s="9">
        <v>173.55</v>
      </c>
    </row>
    <row r="27" spans="2:13">
      <c r="B27">
        <v>19</v>
      </c>
      <c r="C27" t="s">
        <v>337</v>
      </c>
      <c r="D27" s="9">
        <v>331.15</v>
      </c>
      <c r="E27" s="9">
        <v>9.2200000000000006</v>
      </c>
      <c r="F27" s="9">
        <f t="shared" si="0"/>
        <v>3053.203</v>
      </c>
      <c r="G27" s="9">
        <v>298.60000000000002</v>
      </c>
      <c r="H27" s="9">
        <v>19.21</v>
      </c>
      <c r="I27" s="9"/>
      <c r="J27" s="9">
        <f t="shared" si="2"/>
        <v>3332.5929999999998</v>
      </c>
      <c r="K27" s="9">
        <v>1648.11</v>
      </c>
      <c r="L27" s="164">
        <v>230.7354</v>
      </c>
      <c r="M27" s="9">
        <v>156.35</v>
      </c>
    </row>
    <row r="28" spans="2:13">
      <c r="B28">
        <v>20</v>
      </c>
      <c r="C28" t="s">
        <v>338</v>
      </c>
      <c r="D28" s="9">
        <v>303.64999999999998</v>
      </c>
      <c r="E28" s="9">
        <v>9.0299999999999994</v>
      </c>
      <c r="F28" s="9">
        <f t="shared" si="0"/>
        <v>2741.9594999999995</v>
      </c>
      <c r="G28" s="9">
        <v>3115.85</v>
      </c>
      <c r="H28" s="9">
        <v>187.35</v>
      </c>
      <c r="I28" s="9"/>
      <c r="J28" s="9">
        <f t="shared" si="2"/>
        <v>5670.459499999999</v>
      </c>
      <c r="K28" s="9">
        <v>3568.04</v>
      </c>
      <c r="L28" s="164">
        <v>-71.360799999999998</v>
      </c>
      <c r="M28" s="9">
        <v>-169.57</v>
      </c>
    </row>
    <row r="29" spans="2:13">
      <c r="B29">
        <v>21</v>
      </c>
      <c r="C29" t="s">
        <v>339</v>
      </c>
      <c r="D29" s="9">
        <v>287.5</v>
      </c>
      <c r="E29" s="9">
        <v>9.06</v>
      </c>
      <c r="F29" s="9">
        <f t="shared" si="0"/>
        <v>2604.75</v>
      </c>
      <c r="G29" s="9">
        <v>338.28</v>
      </c>
      <c r="H29" s="9">
        <v>83.27</v>
      </c>
      <c r="I29" s="9"/>
      <c r="J29" s="9">
        <f t="shared" si="2"/>
        <v>2859.7599999999998</v>
      </c>
      <c r="K29" s="9">
        <v>1199.94</v>
      </c>
      <c r="L29" s="164">
        <v>167.99160000000003</v>
      </c>
      <c r="M29" s="9">
        <v>122.25</v>
      </c>
    </row>
    <row r="30" spans="2:13">
      <c r="B30">
        <v>22</v>
      </c>
      <c r="C30" t="s">
        <v>340</v>
      </c>
      <c r="D30" s="9">
        <v>340.45</v>
      </c>
      <c r="E30" s="9">
        <v>7.04</v>
      </c>
      <c r="F30" s="9">
        <f t="shared" si="0"/>
        <v>2396.768</v>
      </c>
      <c r="G30" s="9">
        <v>310.23</v>
      </c>
      <c r="H30" s="9">
        <v>114.1</v>
      </c>
      <c r="I30" s="9"/>
      <c r="J30" s="9">
        <f t="shared" si="2"/>
        <v>2592.8980000000001</v>
      </c>
      <c r="K30" s="9">
        <v>1310.88</v>
      </c>
      <c r="L30" s="164">
        <v>-52.435200000000009</v>
      </c>
      <c r="M30" s="9">
        <v>-86.5</v>
      </c>
    </row>
    <row r="31" spans="2:13">
      <c r="B31">
        <v>23</v>
      </c>
      <c r="C31" t="s">
        <v>341</v>
      </c>
      <c r="D31" s="9">
        <v>160.9</v>
      </c>
      <c r="E31" s="9">
        <v>14.41</v>
      </c>
      <c r="F31" s="9">
        <f t="shared" si="0"/>
        <v>2318.569</v>
      </c>
      <c r="G31" s="9">
        <v>2171</v>
      </c>
      <c r="H31" s="9">
        <v>406</v>
      </c>
      <c r="I31" s="9"/>
      <c r="J31" s="9">
        <f t="shared" si="2"/>
        <v>4083.5689999999995</v>
      </c>
      <c r="K31" s="9">
        <v>2628</v>
      </c>
      <c r="L31" s="164">
        <v>-78.84</v>
      </c>
      <c r="M31" s="9">
        <v>-695</v>
      </c>
    </row>
    <row r="32" spans="2:13">
      <c r="B32">
        <v>24</v>
      </c>
      <c r="C32" t="s">
        <v>342</v>
      </c>
      <c r="D32" s="9">
        <v>133.94999999999999</v>
      </c>
      <c r="E32" s="9">
        <v>15.68</v>
      </c>
      <c r="F32" s="9">
        <f t="shared" si="0"/>
        <v>2100.3359999999998</v>
      </c>
      <c r="G32" s="9">
        <v>2038.27</v>
      </c>
      <c r="H32" s="9">
        <v>172.09</v>
      </c>
      <c r="I32" s="9"/>
      <c r="J32" s="9">
        <f t="shared" si="2"/>
        <v>3966.5159999999996</v>
      </c>
      <c r="K32" s="9">
        <v>2363.35</v>
      </c>
      <c r="L32" s="164">
        <v>47.266999999999996</v>
      </c>
      <c r="M32" s="9">
        <v>-3.7</v>
      </c>
    </row>
    <row r="33" spans="2:13">
      <c r="B33">
        <v>25</v>
      </c>
      <c r="C33" t="s">
        <v>343</v>
      </c>
      <c r="D33" s="9">
        <v>321.8</v>
      </c>
      <c r="E33" s="9">
        <v>5.87</v>
      </c>
      <c r="F33" s="9">
        <f t="shared" si="0"/>
        <v>1888.9660000000001</v>
      </c>
      <c r="G33" s="9">
        <v>87.98</v>
      </c>
      <c r="H33" s="9">
        <v>137.88</v>
      </c>
      <c r="I33" s="9"/>
      <c r="J33" s="9">
        <f t="shared" si="2"/>
        <v>1839.0660000000003</v>
      </c>
      <c r="K33" s="9">
        <v>2202.39</v>
      </c>
      <c r="L33" s="164">
        <v>154.16730000000001</v>
      </c>
      <c r="M33" s="9">
        <v>102.46</v>
      </c>
    </row>
    <row r="34" spans="2:13">
      <c r="B34">
        <v>26</v>
      </c>
      <c r="C34" t="s">
        <v>344</v>
      </c>
      <c r="D34" s="9">
        <v>188.05</v>
      </c>
      <c r="E34" s="9">
        <v>9.69</v>
      </c>
      <c r="F34" s="9">
        <f t="shared" si="0"/>
        <v>1822.2045000000001</v>
      </c>
      <c r="G34" s="9">
        <v>185.45</v>
      </c>
      <c r="H34" s="9">
        <v>26.57</v>
      </c>
      <c r="I34" s="9"/>
      <c r="J34" s="9">
        <f t="shared" si="2"/>
        <v>1981.0845000000002</v>
      </c>
      <c r="K34" s="9">
        <v>679.78</v>
      </c>
      <c r="L34" s="164">
        <v>115.5626</v>
      </c>
      <c r="M34" s="9">
        <v>81.86</v>
      </c>
    </row>
    <row r="35" spans="2:13">
      <c r="B35">
        <v>27</v>
      </c>
      <c r="C35" t="s">
        <v>345</v>
      </c>
      <c r="D35" s="9">
        <v>206.2</v>
      </c>
      <c r="E35" s="9">
        <v>8.0500000000000007</v>
      </c>
      <c r="F35" s="9">
        <f t="shared" si="0"/>
        <v>1659.91</v>
      </c>
      <c r="G35" s="9">
        <v>36.42</v>
      </c>
      <c r="H35" s="9">
        <v>227.91</v>
      </c>
      <c r="I35" s="9"/>
      <c r="J35" s="9">
        <f t="shared" si="2"/>
        <v>1468.42</v>
      </c>
      <c r="K35" s="9">
        <v>499.94</v>
      </c>
      <c r="L35" s="164">
        <v>149.982</v>
      </c>
      <c r="M35" s="9">
        <v>97.84</v>
      </c>
    </row>
    <row r="36" spans="2:13">
      <c r="B36">
        <v>28</v>
      </c>
      <c r="C36" t="s">
        <v>346</v>
      </c>
      <c r="D36" s="9">
        <v>27</v>
      </c>
      <c r="E36" s="9">
        <v>51.12</v>
      </c>
      <c r="F36" s="9">
        <f t="shared" si="0"/>
        <v>1380.24</v>
      </c>
      <c r="G36" s="9">
        <v>22.81</v>
      </c>
      <c r="H36" s="9">
        <v>45.97</v>
      </c>
      <c r="I36" s="9"/>
      <c r="J36" s="9">
        <f t="shared" si="2"/>
        <v>1357.08</v>
      </c>
      <c r="K36" s="9">
        <v>1422.13</v>
      </c>
      <c r="L36" s="164">
        <v>56.885200000000005</v>
      </c>
      <c r="M36" s="9">
        <v>42.75</v>
      </c>
    </row>
    <row r="37" spans="2:13">
      <c r="B37">
        <v>29</v>
      </c>
      <c r="C37" t="s">
        <v>347</v>
      </c>
      <c r="D37" s="9">
        <v>747.4</v>
      </c>
      <c r="E37" s="9">
        <v>1.65</v>
      </c>
      <c r="F37" s="9">
        <f t="shared" si="0"/>
        <v>1233.2099999999998</v>
      </c>
      <c r="G37" s="9">
        <v>0.43</v>
      </c>
      <c r="H37" s="9">
        <v>70.260000000000005</v>
      </c>
      <c r="I37" s="9"/>
      <c r="J37" s="9">
        <f t="shared" si="2"/>
        <v>1163.3799999999999</v>
      </c>
      <c r="K37" s="9">
        <v>498.12</v>
      </c>
      <c r="L37" s="164">
        <v>89.661599999999993</v>
      </c>
      <c r="M37" s="9">
        <v>64.81</v>
      </c>
    </row>
    <row r="38" spans="2:13">
      <c r="B38">
        <v>30</v>
      </c>
      <c r="C38" t="s">
        <v>348</v>
      </c>
      <c r="D38" s="9">
        <v>338.65</v>
      </c>
      <c r="E38" s="9">
        <v>3.6</v>
      </c>
      <c r="F38" s="9">
        <f t="shared" si="0"/>
        <v>1219.1399999999999</v>
      </c>
      <c r="G38" s="9">
        <v>973.16</v>
      </c>
      <c r="H38" s="9">
        <v>47.25</v>
      </c>
      <c r="I38" s="9"/>
      <c r="J38" s="9">
        <f t="shared" si="2"/>
        <v>2145.0499999999997</v>
      </c>
      <c r="K38" s="9">
        <v>1424.01</v>
      </c>
      <c r="L38" s="164">
        <v>14.2401</v>
      </c>
      <c r="M38" s="9">
        <v>-24.19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
  <sheetViews>
    <sheetView workbookViewId="0">
      <pane xSplit="1" ySplit="1" topLeftCell="B2" activePane="bottomRight" state="frozen"/>
      <selection activeCell="C4" sqref="C4"/>
      <selection pane="topRight" activeCell="C4" sqref="C4"/>
      <selection pane="bottomLeft" activeCell="C4" sqref="C4"/>
      <selection pane="bottomRight" activeCell="B10" sqref="B10"/>
    </sheetView>
  </sheetViews>
  <sheetFormatPr defaultColWidth="10.42578125" defaultRowHeight="12.75"/>
  <cols>
    <col min="1" max="1" width="26.7109375" style="80" bestFit="1" customWidth="1"/>
    <col min="2" max="11" width="11.42578125" style="80" bestFit="1" customWidth="1"/>
    <col min="12" max="16384" width="10.42578125" style="80"/>
  </cols>
  <sheetData>
    <row r="1" spans="1:11" s="79" customFormat="1">
      <c r="A1" s="79" t="s">
        <v>154</v>
      </c>
      <c r="B1" s="79" t="s">
        <v>155</v>
      </c>
      <c r="E1" s="187" t="str">
        <f>IF(B2&lt;&gt;B3, "A NEW VERSION OF THE WORKSHEET IS AVAILABLE", "")</f>
        <v/>
      </c>
      <c r="F1" s="187"/>
      <c r="G1" s="187"/>
      <c r="H1" s="187"/>
      <c r="I1" s="187"/>
      <c r="J1" s="187"/>
      <c r="K1" s="187"/>
    </row>
    <row r="2" spans="1:11">
      <c r="A2" s="79" t="s">
        <v>156</v>
      </c>
      <c r="B2" s="80">
        <v>2.1</v>
      </c>
      <c r="E2" s="188" t="s">
        <v>157</v>
      </c>
      <c r="F2" s="188"/>
      <c r="G2" s="188"/>
      <c r="H2" s="188"/>
      <c r="I2" s="188"/>
      <c r="J2" s="188"/>
      <c r="K2" s="188"/>
    </row>
    <row r="3" spans="1:11">
      <c r="A3" s="79" t="s">
        <v>158</v>
      </c>
      <c r="B3" s="80">
        <v>2.1</v>
      </c>
    </row>
    <row r="4" spans="1:11">
      <c r="A4" s="79"/>
    </row>
    <row r="5" spans="1:11">
      <c r="A5" s="79" t="s">
        <v>159</v>
      </c>
    </row>
    <row r="6" spans="1:11">
      <c r="A6" s="80" t="s">
        <v>160</v>
      </c>
      <c r="B6" s="80">
        <f>IF(B9&gt;0, B9/B8, 0)</f>
        <v>64.988360105661457</v>
      </c>
    </row>
    <row r="7" spans="1:11">
      <c r="A7" s="80" t="s">
        <v>161</v>
      </c>
      <c r="B7" s="81">
        <v>10</v>
      </c>
    </row>
    <row r="8" spans="1:11">
      <c r="A8" s="80" t="s">
        <v>162</v>
      </c>
      <c r="B8" s="81">
        <v>3501.75</v>
      </c>
    </row>
    <row r="9" spans="1:11">
      <c r="A9" s="80" t="s">
        <v>19</v>
      </c>
      <c r="B9" s="81">
        <v>227572.99</v>
      </c>
    </row>
    <row r="15" spans="1:11">
      <c r="A15" s="79" t="s">
        <v>163</v>
      </c>
      <c r="B15" s="80">
        <f>B26+B34</f>
        <v>414.55</v>
      </c>
      <c r="K15" s="80">
        <f>K17-K18-K20-K21-K22-K23-K19</f>
        <v>4707.0599999999986</v>
      </c>
    </row>
    <row r="16" spans="1:11" s="84" customFormat="1">
      <c r="A16" s="82" t="s">
        <v>164</v>
      </c>
      <c r="B16" s="83">
        <v>41729</v>
      </c>
      <c r="C16" s="83">
        <v>42094</v>
      </c>
      <c r="D16" s="83">
        <v>42460</v>
      </c>
      <c r="E16" s="83">
        <v>42825</v>
      </c>
      <c r="F16" s="83">
        <v>43190</v>
      </c>
      <c r="G16" s="83">
        <v>43555</v>
      </c>
      <c r="H16" s="83">
        <v>43921</v>
      </c>
      <c r="I16" s="83">
        <v>44286</v>
      </c>
      <c r="J16" s="83">
        <v>44651</v>
      </c>
      <c r="K16" s="83">
        <v>45016</v>
      </c>
    </row>
    <row r="17" spans="1:11">
      <c r="A17" s="80" t="s">
        <v>105</v>
      </c>
      <c r="B17" s="81">
        <v>4686.4799999999996</v>
      </c>
      <c r="C17" s="81">
        <v>6439.43</v>
      </c>
      <c r="D17" s="81">
        <v>8583.76</v>
      </c>
      <c r="E17" s="81">
        <v>11897.7</v>
      </c>
      <c r="F17" s="81">
        <v>15033.2</v>
      </c>
      <c r="G17" s="81">
        <v>20004.52</v>
      </c>
      <c r="H17" s="81">
        <v>24870.2</v>
      </c>
      <c r="I17" s="81">
        <v>24143.06</v>
      </c>
      <c r="J17" s="81">
        <v>30976.27</v>
      </c>
      <c r="K17" s="81">
        <v>42839.56</v>
      </c>
    </row>
    <row r="18" spans="1:11" ht="15">
      <c r="A18" s="80" t="s">
        <v>165</v>
      </c>
      <c r="B18" s="85">
        <v>4086.53</v>
      </c>
      <c r="C18" s="85">
        <v>5648.47</v>
      </c>
      <c r="D18" s="85">
        <v>7435.62</v>
      </c>
      <c r="E18" s="85">
        <v>10357.25</v>
      </c>
      <c r="F18" s="85">
        <v>12846.95</v>
      </c>
      <c r="G18" s="85">
        <v>17445.490000000002</v>
      </c>
      <c r="H18" s="85">
        <v>21441.68</v>
      </c>
      <c r="I18" s="85">
        <v>20855.560000000001</v>
      </c>
      <c r="J18" s="85">
        <v>26891.77</v>
      </c>
      <c r="K18" s="85">
        <v>36884.71</v>
      </c>
    </row>
    <row r="19" spans="1:11" ht="15">
      <c r="A19" s="80" t="s">
        <v>166</v>
      </c>
      <c r="B19" s="85">
        <v>102.1</v>
      </c>
      <c r="C19" s="85">
        <v>161.28</v>
      </c>
      <c r="D19" s="85">
        <v>132.08000000000001</v>
      </c>
      <c r="E19" s="85">
        <v>276.22000000000003</v>
      </c>
      <c r="F19" s="85">
        <v>211.31</v>
      </c>
      <c r="G19" s="85">
        <v>444.65</v>
      </c>
      <c r="H19" s="85">
        <v>338.75</v>
      </c>
      <c r="I19" s="85">
        <v>300.88</v>
      </c>
      <c r="J19" s="85">
        <v>494.38</v>
      </c>
      <c r="K19" s="85">
        <v>500.82</v>
      </c>
    </row>
    <row r="20" spans="1:11">
      <c r="A20" s="80" t="s">
        <v>167</v>
      </c>
      <c r="B20" s="81">
        <v>45.31</v>
      </c>
      <c r="C20" s="81">
        <v>59.33</v>
      </c>
      <c r="D20" s="81">
        <v>79.239999999999995</v>
      </c>
      <c r="E20" s="81">
        <v>99.41</v>
      </c>
      <c r="F20" s="81">
        <v>121.26</v>
      </c>
      <c r="G20" s="81">
        <v>152.80000000000001</v>
      </c>
      <c r="H20" s="81">
        <v>188.24</v>
      </c>
      <c r="I20" s="81">
        <v>174.2</v>
      </c>
      <c r="J20" s="81">
        <v>207.86</v>
      </c>
      <c r="K20" s="81"/>
    </row>
    <row r="21" spans="1:11">
      <c r="A21" s="80" t="s">
        <v>168</v>
      </c>
      <c r="B21" s="81">
        <v>123.53</v>
      </c>
      <c r="C21" s="81">
        <v>155.35</v>
      </c>
      <c r="D21" s="81">
        <v>241.36</v>
      </c>
      <c r="E21" s="81">
        <v>332.9</v>
      </c>
      <c r="F21" s="81">
        <v>373.72</v>
      </c>
      <c r="G21" s="81">
        <v>499.72</v>
      </c>
      <c r="H21" s="81">
        <v>645.96</v>
      </c>
      <c r="I21" s="81">
        <v>746.43</v>
      </c>
      <c r="J21" s="81">
        <v>805.85</v>
      </c>
      <c r="K21" s="81"/>
    </row>
    <row r="22" spans="1:11">
      <c r="A22" s="80" t="s">
        <v>169</v>
      </c>
      <c r="B22" s="81">
        <v>87.34</v>
      </c>
      <c r="C22" s="81">
        <v>134.06</v>
      </c>
      <c r="D22" s="81">
        <v>149.04</v>
      </c>
      <c r="E22" s="81">
        <v>192.67</v>
      </c>
      <c r="F22" s="81">
        <v>283.14</v>
      </c>
      <c r="G22" s="81">
        <v>356.17</v>
      </c>
      <c r="H22" s="81">
        <v>457.14</v>
      </c>
      <c r="I22" s="81">
        <v>537.58000000000004</v>
      </c>
      <c r="J22" s="81">
        <v>617.36</v>
      </c>
      <c r="K22" s="81">
        <v>746.97</v>
      </c>
    </row>
    <row r="23" spans="1:11">
      <c r="A23" s="80" t="s">
        <v>170</v>
      </c>
      <c r="B23" s="81">
        <v>420.11</v>
      </c>
      <c r="C23" s="81">
        <v>582.79999999999995</v>
      </c>
      <c r="D23" s="81">
        <v>647.37</v>
      </c>
      <c r="E23" s="81">
        <v>71.239999999999995</v>
      </c>
      <c r="F23" s="81">
        <v>96</v>
      </c>
      <c r="G23" s="81">
        <v>135.84</v>
      </c>
      <c r="H23" s="81">
        <v>119.23</v>
      </c>
      <c r="I23" s="81">
        <v>108.69</v>
      </c>
      <c r="J23" s="81">
        <v>143.41</v>
      </c>
      <c r="K23" s="81"/>
    </row>
    <row r="24" spans="1:11">
      <c r="A24" s="80" t="s">
        <v>171</v>
      </c>
      <c r="B24" s="81">
        <v>-315.52</v>
      </c>
      <c r="C24" s="81">
        <v>-435.56</v>
      </c>
      <c r="D24" s="81">
        <v>-501.25</v>
      </c>
      <c r="E24" s="81">
        <v>151.27000000000001</v>
      </c>
      <c r="F24" s="81">
        <v>170.58</v>
      </c>
      <c r="G24" s="81">
        <v>225.84</v>
      </c>
      <c r="H24" s="81">
        <v>228.39</v>
      </c>
      <c r="I24" s="81">
        <v>276.64999999999998</v>
      </c>
      <c r="J24" s="81">
        <v>302.05</v>
      </c>
      <c r="K24" s="81">
        <v>2071.67</v>
      </c>
    </row>
    <row r="25" spans="1:11">
      <c r="A25" s="80" t="s">
        <v>172</v>
      </c>
      <c r="B25" s="81">
        <v>16.27</v>
      </c>
      <c r="C25" s="81">
        <v>20.27</v>
      </c>
      <c r="D25" s="81">
        <v>17.02</v>
      </c>
      <c r="E25" s="81">
        <v>27.7</v>
      </c>
      <c r="F25" s="81">
        <v>87.75</v>
      </c>
      <c r="G25" s="81">
        <v>48.33</v>
      </c>
      <c r="H25" s="81">
        <v>59.99</v>
      </c>
      <c r="I25" s="81">
        <v>194.43</v>
      </c>
      <c r="J25" s="81">
        <v>113.64</v>
      </c>
      <c r="K25" s="81">
        <v>129.34</v>
      </c>
    </row>
    <row r="26" spans="1:11">
      <c r="A26" s="80" t="s">
        <v>118</v>
      </c>
      <c r="B26" s="81">
        <v>57.01</v>
      </c>
      <c r="C26" s="81">
        <v>81.540000000000006</v>
      </c>
      <c r="D26" s="81">
        <v>98.43</v>
      </c>
      <c r="E26" s="81">
        <v>127.82</v>
      </c>
      <c r="F26" s="81">
        <v>159</v>
      </c>
      <c r="G26" s="81">
        <v>212.49</v>
      </c>
      <c r="H26" s="81">
        <v>374.41</v>
      </c>
      <c r="I26" s="81">
        <v>414.16</v>
      </c>
      <c r="J26" s="81">
        <v>498.08</v>
      </c>
      <c r="K26" s="81">
        <v>638.87</v>
      </c>
    </row>
    <row r="27" spans="1:11" ht="15">
      <c r="A27" s="80" t="s">
        <v>116</v>
      </c>
      <c r="B27" s="81">
        <v>55.68</v>
      </c>
      <c r="C27" s="81">
        <v>72.36</v>
      </c>
      <c r="D27" s="81">
        <v>91.34</v>
      </c>
      <c r="E27" s="81">
        <v>121.98</v>
      </c>
      <c r="F27" s="81">
        <v>59.54</v>
      </c>
      <c r="G27" s="81">
        <v>47.21</v>
      </c>
      <c r="H27" s="81">
        <v>69.12</v>
      </c>
      <c r="I27" s="81">
        <v>41.65</v>
      </c>
      <c r="J27" s="85">
        <v>53.79</v>
      </c>
      <c r="K27" s="85">
        <v>67.41</v>
      </c>
    </row>
    <row r="28" spans="1:11">
      <c r="A28" s="80" t="s">
        <v>173</v>
      </c>
      <c r="B28" s="81">
        <v>244.86</v>
      </c>
      <c r="C28" s="81">
        <v>322.63</v>
      </c>
      <c r="D28" s="81">
        <v>491.71</v>
      </c>
      <c r="E28" s="81">
        <v>747.08</v>
      </c>
      <c r="F28" s="81">
        <v>1222.07</v>
      </c>
      <c r="G28" s="81">
        <v>1421.94</v>
      </c>
      <c r="H28" s="81">
        <v>1744.77</v>
      </c>
      <c r="I28" s="81">
        <v>1483.45</v>
      </c>
      <c r="J28" s="81">
        <v>2064.12</v>
      </c>
      <c r="K28" s="81">
        <v>3060.09</v>
      </c>
    </row>
    <row r="29" spans="1:11">
      <c r="A29" s="80" t="s">
        <v>122</v>
      </c>
      <c r="B29" s="81">
        <v>83.48</v>
      </c>
      <c r="C29" s="81">
        <v>110.92</v>
      </c>
      <c r="D29" s="81">
        <v>171.47</v>
      </c>
      <c r="E29" s="81">
        <v>268.27999999999997</v>
      </c>
      <c r="F29" s="81">
        <v>415.79</v>
      </c>
      <c r="G29" s="81">
        <v>519.48</v>
      </c>
      <c r="H29" s="81">
        <v>443.79</v>
      </c>
      <c r="I29" s="81">
        <v>384.02</v>
      </c>
      <c r="J29" s="81">
        <v>571.72</v>
      </c>
      <c r="K29" s="81">
        <v>681.75</v>
      </c>
    </row>
    <row r="30" spans="1:11">
      <c r="A30" s="80" t="s">
        <v>174</v>
      </c>
      <c r="B30" s="81">
        <v>161.37</v>
      </c>
      <c r="C30" s="81">
        <v>211.67</v>
      </c>
      <c r="D30" s="81">
        <v>320.24</v>
      </c>
      <c r="E30" s="81">
        <v>478.75</v>
      </c>
      <c r="F30" s="81">
        <v>806.26</v>
      </c>
      <c r="G30" s="81">
        <v>902.54</v>
      </c>
      <c r="H30" s="81">
        <v>1301.08</v>
      </c>
      <c r="I30" s="81">
        <v>1099.49</v>
      </c>
      <c r="J30" s="81">
        <v>1492.55</v>
      </c>
      <c r="K30" s="81">
        <v>2378.5100000000002</v>
      </c>
    </row>
    <row r="31" spans="1:11">
      <c r="A31" s="80" t="s">
        <v>175</v>
      </c>
      <c r="B31" s="81"/>
      <c r="C31" s="81"/>
      <c r="D31" s="81"/>
      <c r="E31" s="81"/>
      <c r="F31" s="81"/>
      <c r="G31" s="81"/>
      <c r="H31" s="81"/>
      <c r="I31" s="81"/>
      <c r="J31" s="81"/>
      <c r="K31" s="81"/>
    </row>
    <row r="32" spans="1:11">
      <c r="A32" s="80" t="s">
        <v>123</v>
      </c>
      <c r="B32" s="86">
        <f>B29/B28</f>
        <v>0.3409295107408315</v>
      </c>
      <c r="C32" s="86">
        <f t="shared" ref="C32:K32" si="0">C29/C28</f>
        <v>0.34379939869200016</v>
      </c>
      <c r="D32" s="86">
        <f t="shared" si="0"/>
        <v>0.34872180756950238</v>
      </c>
      <c r="E32" s="86">
        <f t="shared" si="0"/>
        <v>0.35910478128179041</v>
      </c>
      <c r="F32" s="86">
        <f t="shared" si="0"/>
        <v>0.3402341928040129</v>
      </c>
      <c r="G32" s="86">
        <f t="shared" si="0"/>
        <v>0.36533187054306088</v>
      </c>
      <c r="H32" s="86">
        <f t="shared" si="0"/>
        <v>0.25435444213277397</v>
      </c>
      <c r="I32" s="86">
        <f t="shared" si="0"/>
        <v>0.25886952711584482</v>
      </c>
      <c r="J32" s="86">
        <f t="shared" si="0"/>
        <v>0.27698002054144144</v>
      </c>
      <c r="K32" s="86">
        <f t="shared" si="0"/>
        <v>0.22278756507161554</v>
      </c>
    </row>
    <row r="34" spans="1:11">
      <c r="A34" s="80" t="s">
        <v>114</v>
      </c>
      <c r="B34" s="80">
        <f>+B30+B29+B27+B26</f>
        <v>357.54</v>
      </c>
      <c r="C34" s="80">
        <f t="shared" ref="C34:K34" si="1">+C30+C29+C27+C26</f>
        <v>476.49</v>
      </c>
      <c r="D34" s="80">
        <f t="shared" si="1"/>
        <v>681.48</v>
      </c>
      <c r="E34" s="80">
        <f t="shared" si="1"/>
        <v>996.82999999999993</v>
      </c>
      <c r="F34" s="80">
        <f t="shared" si="1"/>
        <v>1440.59</v>
      </c>
      <c r="G34" s="80">
        <f t="shared" si="1"/>
        <v>1681.72</v>
      </c>
      <c r="H34" s="80">
        <f t="shared" si="1"/>
        <v>2188.3999999999996</v>
      </c>
      <c r="I34" s="80">
        <f t="shared" si="1"/>
        <v>1939.3200000000002</v>
      </c>
      <c r="J34" s="80">
        <f t="shared" si="1"/>
        <v>2616.14</v>
      </c>
      <c r="K34" s="80">
        <f t="shared" si="1"/>
        <v>3766.54</v>
      </c>
    </row>
    <row r="40" spans="1:11">
      <c r="A40" s="79" t="s">
        <v>176</v>
      </c>
    </row>
    <row r="41" spans="1:11" s="84" customFormat="1">
      <c r="A41" s="82" t="s">
        <v>164</v>
      </c>
      <c r="B41" s="83">
        <v>44196</v>
      </c>
      <c r="C41" s="83">
        <v>44286</v>
      </c>
      <c r="D41" s="83">
        <v>44377</v>
      </c>
      <c r="E41" s="83">
        <v>44469</v>
      </c>
      <c r="F41" s="83">
        <v>44561</v>
      </c>
      <c r="G41" s="83">
        <v>44651</v>
      </c>
      <c r="H41" s="83">
        <v>44742</v>
      </c>
      <c r="I41" s="83">
        <v>44834</v>
      </c>
      <c r="J41" s="83">
        <v>44926</v>
      </c>
      <c r="K41" s="83">
        <v>45016</v>
      </c>
    </row>
    <row r="42" spans="1:11">
      <c r="A42" s="80" t="s">
        <v>105</v>
      </c>
      <c r="B42" s="81">
        <v>7542</v>
      </c>
      <c r="C42" s="81">
        <v>7411.68</v>
      </c>
      <c r="D42" s="81">
        <v>5183.12</v>
      </c>
      <c r="E42" s="81">
        <v>7788.94</v>
      </c>
      <c r="F42" s="81">
        <v>9217.76</v>
      </c>
      <c r="G42" s="81">
        <v>8786.4500000000007</v>
      </c>
      <c r="H42" s="81">
        <v>10038.07</v>
      </c>
      <c r="I42" s="81">
        <v>10638.33</v>
      </c>
      <c r="J42" s="81">
        <v>11569.05</v>
      </c>
      <c r="K42" s="81">
        <v>10594.11</v>
      </c>
    </row>
    <row r="43" spans="1:11">
      <c r="A43" s="80" t="s">
        <v>177</v>
      </c>
      <c r="B43" s="81">
        <v>6852.88</v>
      </c>
      <c r="C43" s="81">
        <v>6799.02</v>
      </c>
      <c r="D43" s="81">
        <v>4958.9399999999996</v>
      </c>
      <c r="E43" s="81">
        <v>7120.36</v>
      </c>
      <c r="F43" s="81">
        <v>8351.2999999999993</v>
      </c>
      <c r="G43" s="81">
        <v>8047.17</v>
      </c>
      <c r="H43" s="81">
        <v>9029.83</v>
      </c>
      <c r="I43" s="81">
        <v>9746.31</v>
      </c>
      <c r="J43" s="81">
        <v>10603.79</v>
      </c>
      <c r="K43" s="81">
        <v>9822.6</v>
      </c>
    </row>
    <row r="44" spans="1:11">
      <c r="A44" s="80" t="s">
        <v>172</v>
      </c>
      <c r="B44" s="81">
        <v>45.32</v>
      </c>
      <c r="C44" s="81">
        <v>48.12</v>
      </c>
      <c r="D44" s="81">
        <v>31.46</v>
      </c>
      <c r="E44" s="81">
        <v>27.5</v>
      </c>
      <c r="F44" s="81">
        <v>25.96</v>
      </c>
      <c r="G44" s="81">
        <v>32.57</v>
      </c>
      <c r="H44" s="81">
        <v>29.14</v>
      </c>
      <c r="I44" s="81">
        <v>35.57</v>
      </c>
      <c r="J44" s="81">
        <v>31.56</v>
      </c>
      <c r="K44" s="81">
        <v>33.07</v>
      </c>
    </row>
    <row r="45" spans="1:11">
      <c r="A45" s="80" t="s">
        <v>118</v>
      </c>
      <c r="B45" s="81">
        <v>113.7</v>
      </c>
      <c r="C45" s="81">
        <v>104.96</v>
      </c>
      <c r="D45" s="81">
        <v>107.44</v>
      </c>
      <c r="E45" s="81">
        <v>116.01</v>
      </c>
      <c r="F45" s="81">
        <v>128.30000000000001</v>
      </c>
      <c r="G45" s="81">
        <v>146.33000000000001</v>
      </c>
      <c r="H45" s="81">
        <v>144.74</v>
      </c>
      <c r="I45" s="81">
        <v>161.96</v>
      </c>
      <c r="J45" s="81">
        <v>168.09</v>
      </c>
      <c r="K45" s="81">
        <v>164.08</v>
      </c>
    </row>
    <row r="46" spans="1:11" ht="15">
      <c r="A46" s="80" t="s">
        <v>116</v>
      </c>
      <c r="B46" s="85">
        <v>11.3</v>
      </c>
      <c r="C46" s="85">
        <v>12.26</v>
      </c>
      <c r="D46" s="85">
        <v>10.84</v>
      </c>
      <c r="E46" s="85">
        <v>12.37</v>
      </c>
      <c r="F46" s="85">
        <v>13.95</v>
      </c>
      <c r="G46" s="85">
        <v>16.63</v>
      </c>
      <c r="H46" s="85">
        <v>17.22</v>
      </c>
      <c r="I46" s="85">
        <v>17.68</v>
      </c>
      <c r="J46" s="85">
        <v>16.98</v>
      </c>
      <c r="K46" s="85">
        <v>15.53</v>
      </c>
    </row>
    <row r="47" spans="1:11">
      <c r="A47" s="80" t="s">
        <v>173</v>
      </c>
      <c r="B47" s="81">
        <v>609.44000000000005</v>
      </c>
      <c r="C47" s="81">
        <v>543.55999999999995</v>
      </c>
      <c r="D47" s="81">
        <v>137.36000000000001</v>
      </c>
      <c r="E47" s="81">
        <v>567.70000000000005</v>
      </c>
      <c r="F47" s="81">
        <v>750.17</v>
      </c>
      <c r="G47" s="81">
        <v>608.89</v>
      </c>
      <c r="H47" s="81">
        <v>875.42</v>
      </c>
      <c r="I47" s="81">
        <v>747.95</v>
      </c>
      <c r="J47" s="81">
        <v>811.75</v>
      </c>
      <c r="K47" s="81">
        <v>624.97</v>
      </c>
    </row>
    <row r="48" spans="1:11">
      <c r="A48" s="80" t="s">
        <v>122</v>
      </c>
      <c r="B48" s="81">
        <v>162.49</v>
      </c>
      <c r="C48" s="81">
        <v>129.69</v>
      </c>
      <c r="D48" s="81">
        <v>42</v>
      </c>
      <c r="E48" s="81">
        <v>149.94</v>
      </c>
      <c r="F48" s="81">
        <v>197.64</v>
      </c>
      <c r="G48" s="81">
        <v>182.14</v>
      </c>
      <c r="H48" s="81">
        <v>232.53</v>
      </c>
      <c r="I48" s="81">
        <v>62.24</v>
      </c>
      <c r="J48" s="81">
        <v>222.11</v>
      </c>
      <c r="K48" s="81">
        <v>164.87</v>
      </c>
    </row>
    <row r="49" spans="1:11">
      <c r="A49" s="80" t="s">
        <v>174</v>
      </c>
      <c r="B49" s="81">
        <v>446.97</v>
      </c>
      <c r="C49" s="81">
        <v>413.88</v>
      </c>
      <c r="D49" s="81">
        <v>95.37</v>
      </c>
      <c r="E49" s="81">
        <v>417.79</v>
      </c>
      <c r="F49" s="81">
        <v>552.55999999999995</v>
      </c>
      <c r="G49" s="81">
        <v>426.83</v>
      </c>
      <c r="H49" s="81">
        <v>642.92999999999995</v>
      </c>
      <c r="I49" s="81">
        <v>685.77</v>
      </c>
      <c r="J49" s="81">
        <v>589.67999999999995</v>
      </c>
      <c r="K49" s="81">
        <v>460.13</v>
      </c>
    </row>
    <row r="50" spans="1:11">
      <c r="A50" s="80" t="s">
        <v>178</v>
      </c>
      <c r="B50" s="81">
        <v>689.12</v>
      </c>
      <c r="C50" s="81">
        <v>612.66</v>
      </c>
      <c r="D50" s="81">
        <v>224.18</v>
      </c>
      <c r="E50" s="81">
        <v>668.58</v>
      </c>
      <c r="F50" s="81">
        <v>866.46</v>
      </c>
      <c r="G50" s="81">
        <v>739.28</v>
      </c>
      <c r="H50" s="81">
        <v>1008.24</v>
      </c>
      <c r="I50" s="81">
        <v>892.02</v>
      </c>
      <c r="J50" s="81">
        <v>965.26</v>
      </c>
      <c r="K50" s="81">
        <v>771.51</v>
      </c>
    </row>
    <row r="51" spans="1:11">
      <c r="A51" s="80" t="s">
        <v>114</v>
      </c>
      <c r="B51" s="80">
        <f>B49+B48+B46+B45</f>
        <v>734.46</v>
      </c>
      <c r="C51" s="80">
        <f t="shared" ref="C51:K51" si="2">C49+C48+C46+C45</f>
        <v>660.79</v>
      </c>
      <c r="D51" s="80">
        <f t="shared" si="2"/>
        <v>255.65</v>
      </c>
      <c r="E51" s="80">
        <f t="shared" si="2"/>
        <v>696.11</v>
      </c>
      <c r="F51" s="80">
        <f t="shared" si="2"/>
        <v>892.45</v>
      </c>
      <c r="G51" s="80">
        <f t="shared" si="2"/>
        <v>771.93000000000006</v>
      </c>
      <c r="H51" s="80">
        <f t="shared" si="2"/>
        <v>1037.42</v>
      </c>
      <c r="I51" s="80">
        <f t="shared" si="2"/>
        <v>927.65</v>
      </c>
      <c r="J51" s="80">
        <f t="shared" si="2"/>
        <v>996.86</v>
      </c>
      <c r="K51" s="80">
        <f t="shared" si="2"/>
        <v>804.61</v>
      </c>
    </row>
    <row r="55" spans="1:11">
      <c r="A55" s="79" t="s">
        <v>179</v>
      </c>
    </row>
    <row r="56" spans="1:11" s="84" customFormat="1">
      <c r="A56" s="82" t="s">
        <v>164</v>
      </c>
      <c r="B56" s="83">
        <v>41729</v>
      </c>
      <c r="C56" s="83">
        <v>42094</v>
      </c>
      <c r="D56" s="83">
        <v>42460</v>
      </c>
      <c r="E56" s="83">
        <v>42825</v>
      </c>
      <c r="F56" s="83">
        <v>43190</v>
      </c>
      <c r="G56" s="83">
        <v>43555</v>
      </c>
      <c r="H56" s="83">
        <v>43921</v>
      </c>
      <c r="I56" s="83">
        <v>44286</v>
      </c>
      <c r="J56" s="83">
        <v>44651</v>
      </c>
      <c r="K56" s="83">
        <v>45016</v>
      </c>
    </row>
    <row r="57" spans="1:11">
      <c r="A57" s="80" t="s">
        <v>133</v>
      </c>
      <c r="B57" s="81">
        <v>546.75</v>
      </c>
      <c r="C57" s="81">
        <v>561.54</v>
      </c>
      <c r="D57" s="81">
        <v>561.54</v>
      </c>
      <c r="E57" s="81">
        <v>624.08000000000004</v>
      </c>
      <c r="F57" s="81">
        <v>624.08000000000004</v>
      </c>
      <c r="G57" s="81">
        <v>624.08000000000004</v>
      </c>
      <c r="H57" s="81">
        <v>647.77</v>
      </c>
      <c r="I57" s="81">
        <v>647.77</v>
      </c>
      <c r="J57" s="81">
        <v>647.77</v>
      </c>
      <c r="K57" s="81">
        <v>648.26</v>
      </c>
    </row>
    <row r="58" spans="1:11">
      <c r="A58" s="80" t="s">
        <v>134</v>
      </c>
      <c r="B58" s="81">
        <v>408.82</v>
      </c>
      <c r="C58" s="81">
        <v>637.65</v>
      </c>
      <c r="D58" s="81">
        <v>958.9</v>
      </c>
      <c r="E58" s="81">
        <v>3217.7</v>
      </c>
      <c r="F58" s="81">
        <v>4044.97</v>
      </c>
      <c r="G58" s="81">
        <v>4963.37</v>
      </c>
      <c r="H58" s="81">
        <v>10431.969999999999</v>
      </c>
      <c r="I58" s="81">
        <v>11535.94</v>
      </c>
      <c r="J58" s="81">
        <v>13029.87</v>
      </c>
      <c r="K58" s="81">
        <v>15430.44</v>
      </c>
    </row>
    <row r="59" spans="1:11" ht="15">
      <c r="A59" s="80" t="s">
        <v>135</v>
      </c>
      <c r="B59" s="85">
        <v>640.82000000000005</v>
      </c>
      <c r="C59" s="85">
        <v>904.26</v>
      </c>
      <c r="D59" s="85">
        <v>1192.3399999999999</v>
      </c>
      <c r="E59" s="85">
        <v>1497.32</v>
      </c>
      <c r="F59" s="85">
        <v>439.25</v>
      </c>
      <c r="G59" s="85">
        <v>700.15</v>
      </c>
      <c r="H59" s="85">
        <v>333.19</v>
      </c>
      <c r="I59" s="85">
        <v>392.71</v>
      </c>
      <c r="J59" s="85">
        <v>646.94000000000005</v>
      </c>
      <c r="K59" s="85">
        <v>642.98</v>
      </c>
    </row>
    <row r="60" spans="1:11">
      <c r="A60" s="80" t="s">
        <v>136</v>
      </c>
      <c r="B60" s="81">
        <v>211.26</v>
      </c>
      <c r="C60" s="81">
        <v>251.36</v>
      </c>
      <c r="D60" s="81">
        <v>388.78</v>
      </c>
      <c r="E60" s="81">
        <v>480.18</v>
      </c>
      <c r="F60" s="81">
        <v>539.91999999999996</v>
      </c>
      <c r="G60" s="81">
        <v>717.9</v>
      </c>
      <c r="H60" s="81">
        <v>663.23</v>
      </c>
      <c r="I60" s="81">
        <v>1078.6300000000001</v>
      </c>
      <c r="J60" s="81">
        <v>1146.4000000000001</v>
      </c>
      <c r="K60" s="81">
        <v>1384.61</v>
      </c>
    </row>
    <row r="61" spans="1:11" s="79" customFormat="1">
      <c r="A61" s="79" t="s">
        <v>69</v>
      </c>
      <c r="B61" s="81">
        <v>1807.65</v>
      </c>
      <c r="C61" s="81">
        <v>2354.81</v>
      </c>
      <c r="D61" s="81">
        <v>3101.56</v>
      </c>
      <c r="E61" s="81">
        <v>5819.28</v>
      </c>
      <c r="F61" s="81">
        <v>5648.22</v>
      </c>
      <c r="G61" s="81">
        <v>7005.5</v>
      </c>
      <c r="H61" s="81">
        <v>12076.16</v>
      </c>
      <c r="I61" s="81">
        <v>13655.05</v>
      </c>
      <c r="J61" s="81">
        <v>15470.98</v>
      </c>
      <c r="K61" s="81">
        <v>18106.29</v>
      </c>
    </row>
    <row r="62" spans="1:11">
      <c r="A62" s="80" t="s">
        <v>180</v>
      </c>
      <c r="B62" s="81">
        <v>1171.69</v>
      </c>
      <c r="C62" s="81">
        <v>1528.08</v>
      </c>
      <c r="D62" s="81">
        <v>2093.52</v>
      </c>
      <c r="E62" s="81">
        <v>2577.75</v>
      </c>
      <c r="F62" s="81">
        <v>3399.97</v>
      </c>
      <c r="G62" s="81">
        <v>4400.37</v>
      </c>
      <c r="H62" s="81">
        <v>5948.03</v>
      </c>
      <c r="I62" s="81">
        <v>7008.8</v>
      </c>
      <c r="J62" s="81">
        <v>9260.02</v>
      </c>
      <c r="K62" s="81">
        <v>11340.48</v>
      </c>
    </row>
    <row r="63" spans="1:11">
      <c r="A63" s="80" t="s">
        <v>139</v>
      </c>
      <c r="B63" s="81">
        <v>88.78</v>
      </c>
      <c r="C63" s="81">
        <v>98.12</v>
      </c>
      <c r="D63" s="81">
        <v>81.69</v>
      </c>
      <c r="E63" s="81">
        <v>152.88999999999999</v>
      </c>
      <c r="F63" s="81">
        <v>147.07</v>
      </c>
      <c r="G63" s="81">
        <v>376.84</v>
      </c>
      <c r="H63" s="81">
        <v>364.4</v>
      </c>
      <c r="I63" s="81">
        <v>1019.59</v>
      </c>
      <c r="J63" s="81">
        <v>1129.3399999999999</v>
      </c>
      <c r="K63" s="81">
        <v>829.16</v>
      </c>
    </row>
    <row r="64" spans="1:11" ht="15">
      <c r="A64" s="80" t="s">
        <v>140</v>
      </c>
      <c r="B64" s="81">
        <v>15.54</v>
      </c>
      <c r="C64" s="85">
        <v>15.23</v>
      </c>
      <c r="D64" s="81">
        <v>29.33</v>
      </c>
      <c r="E64" s="81">
        <v>25.69</v>
      </c>
      <c r="F64" s="81">
        <v>68.180000000000007</v>
      </c>
      <c r="G64" s="81">
        <v>16.53</v>
      </c>
      <c r="H64" s="81">
        <v>14.68</v>
      </c>
      <c r="I64" s="81">
        <v>2.95</v>
      </c>
      <c r="J64" s="81">
        <v>5.94</v>
      </c>
      <c r="K64" s="81">
        <v>202.2</v>
      </c>
    </row>
    <row r="65" spans="1:11">
      <c r="A65" s="80" t="s">
        <v>141</v>
      </c>
      <c r="B65" s="81">
        <v>531.64</v>
      </c>
      <c r="C65" s="81">
        <v>713.38</v>
      </c>
      <c r="D65" s="81">
        <v>897.02</v>
      </c>
      <c r="E65" s="81">
        <v>3062.95</v>
      </c>
      <c r="F65" s="81">
        <v>2033</v>
      </c>
      <c r="G65" s="81">
        <v>2211.7600000000002</v>
      </c>
      <c r="H65" s="81">
        <v>5749.05</v>
      </c>
      <c r="I65" s="81">
        <v>5623.71</v>
      </c>
      <c r="J65" s="81">
        <v>5075.68</v>
      </c>
      <c r="K65" s="81">
        <v>5734.45</v>
      </c>
    </row>
    <row r="66" spans="1:11" s="79" customFormat="1">
      <c r="A66" s="79" t="s">
        <v>69</v>
      </c>
      <c r="B66" s="81">
        <v>1807.65</v>
      </c>
      <c r="C66" s="81">
        <v>2354.81</v>
      </c>
      <c r="D66" s="81">
        <v>3101.56</v>
      </c>
      <c r="E66" s="81">
        <v>5819.28</v>
      </c>
      <c r="F66" s="81">
        <v>5648.22</v>
      </c>
      <c r="G66" s="81">
        <v>7005.5</v>
      </c>
      <c r="H66" s="81">
        <v>12076.16</v>
      </c>
      <c r="I66" s="81">
        <v>13655.05</v>
      </c>
      <c r="J66" s="81">
        <v>15470.98</v>
      </c>
      <c r="K66" s="81">
        <v>18106.29</v>
      </c>
    </row>
    <row r="67" spans="1:11">
      <c r="A67" s="80" t="s">
        <v>143</v>
      </c>
      <c r="B67" s="81">
        <v>9.5399999999999991</v>
      </c>
      <c r="C67" s="81">
        <v>7.07</v>
      </c>
      <c r="D67" s="81">
        <v>8.42</v>
      </c>
      <c r="E67" s="81">
        <v>21</v>
      </c>
      <c r="F67" s="81">
        <v>33.520000000000003</v>
      </c>
      <c r="G67" s="81">
        <v>64.37</v>
      </c>
      <c r="H67" s="81">
        <v>19.55</v>
      </c>
      <c r="I67" s="81">
        <v>43.58</v>
      </c>
      <c r="J67" s="81">
        <v>66.89</v>
      </c>
      <c r="K67" s="81">
        <v>62.16</v>
      </c>
    </row>
    <row r="68" spans="1:11" ht="15">
      <c r="A68" s="80" t="s">
        <v>144</v>
      </c>
      <c r="B68" s="85">
        <v>378.33</v>
      </c>
      <c r="C68" s="85">
        <v>539.61</v>
      </c>
      <c r="D68" s="85">
        <v>671.69</v>
      </c>
      <c r="E68" s="85">
        <v>947.9</v>
      </c>
      <c r="F68" s="85">
        <v>1163.45</v>
      </c>
      <c r="G68" s="85">
        <v>1608.65</v>
      </c>
      <c r="H68" s="85">
        <v>1947.4</v>
      </c>
      <c r="I68" s="85">
        <v>2248.2800000000002</v>
      </c>
      <c r="J68" s="85">
        <v>2742.66</v>
      </c>
      <c r="K68" s="85">
        <v>3243.48</v>
      </c>
    </row>
    <row r="69" spans="1:11">
      <c r="A69" s="80" t="s">
        <v>145</v>
      </c>
      <c r="B69" s="81">
        <v>55.41</v>
      </c>
      <c r="C69" s="81">
        <v>38.04</v>
      </c>
      <c r="D69" s="81">
        <v>35.1</v>
      </c>
      <c r="E69" s="81">
        <v>1884.29</v>
      </c>
      <c r="F69" s="81">
        <v>560.17999999999995</v>
      </c>
      <c r="G69" s="81">
        <v>219.07</v>
      </c>
      <c r="H69" s="81">
        <v>107.88</v>
      </c>
      <c r="I69" s="81">
        <v>1445.58</v>
      </c>
      <c r="J69" s="81">
        <v>298.58</v>
      </c>
      <c r="K69" s="81">
        <v>1408.33</v>
      </c>
    </row>
    <row r="70" spans="1:11">
      <c r="A70" s="80" t="s">
        <v>181</v>
      </c>
      <c r="B70" s="81">
        <v>546752880</v>
      </c>
      <c r="C70" s="81">
        <v>561542680</v>
      </c>
      <c r="D70" s="81">
        <v>561542680</v>
      </c>
      <c r="E70" s="81">
        <v>624084486</v>
      </c>
      <c r="F70" s="81">
        <v>624084486</v>
      </c>
      <c r="G70" s="81">
        <v>624084486</v>
      </c>
      <c r="H70" s="81">
        <v>647774691</v>
      </c>
      <c r="I70" s="81">
        <v>647774691</v>
      </c>
      <c r="J70" s="81">
        <v>647774691</v>
      </c>
      <c r="K70" s="81">
        <v>647774691</v>
      </c>
    </row>
    <row r="71" spans="1:11" ht="16.5">
      <c r="A71" s="80" t="s">
        <v>182</v>
      </c>
      <c r="B71" s="87"/>
      <c r="C71" s="87"/>
      <c r="G71" s="87"/>
      <c r="H71" s="87"/>
    </row>
    <row r="72" spans="1:11">
      <c r="A72" s="80" t="s">
        <v>183</v>
      </c>
      <c r="B72" s="81">
        <v>10</v>
      </c>
      <c r="C72" s="81">
        <v>10</v>
      </c>
      <c r="D72" s="81">
        <v>10</v>
      </c>
      <c r="E72" s="81">
        <v>10</v>
      </c>
      <c r="F72" s="81">
        <v>10</v>
      </c>
      <c r="G72" s="81">
        <v>10</v>
      </c>
      <c r="H72" s="81">
        <v>10</v>
      </c>
      <c r="I72" s="81">
        <v>10</v>
      </c>
      <c r="J72" s="81">
        <v>10</v>
      </c>
      <c r="K72" s="81">
        <v>10</v>
      </c>
    </row>
    <row r="73" spans="1:11">
      <c r="H73" s="80">
        <f>H62-G62+H45</f>
        <v>1692.3999999999999</v>
      </c>
      <c r="I73" s="80">
        <f t="shared" ref="I73:K73" si="3">I62-H62+I45</f>
        <v>1222.7300000000005</v>
      </c>
      <c r="J73" s="80">
        <f t="shared" si="3"/>
        <v>2419.3100000000004</v>
      </c>
      <c r="K73" s="80">
        <f t="shared" si="3"/>
        <v>2244.5399999999991</v>
      </c>
    </row>
    <row r="80" spans="1:11">
      <c r="A80" s="79" t="s">
        <v>184</v>
      </c>
    </row>
    <row r="81" spans="1:12" s="84" customFormat="1">
      <c r="A81" s="82" t="s">
        <v>164</v>
      </c>
      <c r="B81" s="83">
        <v>41729</v>
      </c>
      <c r="C81" s="83">
        <v>42094</v>
      </c>
      <c r="D81" s="83">
        <v>42460</v>
      </c>
      <c r="E81" s="83">
        <v>42825</v>
      </c>
      <c r="F81" s="83">
        <v>43190</v>
      </c>
      <c r="G81" s="83">
        <v>43555</v>
      </c>
      <c r="H81" s="83">
        <v>43921</v>
      </c>
      <c r="I81" s="83">
        <v>44286</v>
      </c>
      <c r="J81" s="83">
        <v>44651</v>
      </c>
      <c r="K81" s="83">
        <v>45016</v>
      </c>
      <c r="L81" s="83"/>
    </row>
    <row r="82" spans="1:12" s="79" customFormat="1">
      <c r="A82" s="80" t="s">
        <v>185</v>
      </c>
      <c r="B82" s="81">
        <v>198.14</v>
      </c>
      <c r="C82" s="81">
        <v>222.02</v>
      </c>
      <c r="D82" s="81">
        <v>433.47</v>
      </c>
      <c r="E82" s="81">
        <v>455.28</v>
      </c>
      <c r="F82" s="81">
        <v>729.99</v>
      </c>
      <c r="G82" s="81">
        <v>806.84</v>
      </c>
      <c r="H82" s="81">
        <v>1280.1400000000001</v>
      </c>
      <c r="I82" s="81">
        <v>1375.14</v>
      </c>
      <c r="J82" s="81">
        <v>1372.35</v>
      </c>
      <c r="K82" s="81">
        <v>2630.27</v>
      </c>
    </row>
    <row r="83" spans="1:12">
      <c r="A83" s="80" t="s">
        <v>186</v>
      </c>
      <c r="B83" s="81">
        <v>-270.17</v>
      </c>
      <c r="C83" s="81">
        <v>-473.88</v>
      </c>
      <c r="D83" s="81">
        <v>-632.89</v>
      </c>
      <c r="E83" s="81">
        <v>-2481.61</v>
      </c>
      <c r="F83" s="81">
        <v>463.55</v>
      </c>
      <c r="G83" s="81">
        <v>-958.37</v>
      </c>
      <c r="H83" s="81">
        <v>-4656.5600000000004</v>
      </c>
      <c r="I83" s="81">
        <v>-1110</v>
      </c>
      <c r="J83" s="81">
        <v>-1289.49</v>
      </c>
      <c r="K83" s="81">
        <v>-2313.1</v>
      </c>
    </row>
    <row r="84" spans="1:12">
      <c r="A84" s="80" t="s">
        <v>187</v>
      </c>
      <c r="B84" s="81">
        <v>65.23</v>
      </c>
      <c r="C84" s="81">
        <v>234.45</v>
      </c>
      <c r="D84" s="81">
        <v>196.44</v>
      </c>
      <c r="E84" s="81">
        <v>2025.26</v>
      </c>
      <c r="F84" s="81">
        <v>-1159.06</v>
      </c>
      <c r="G84" s="81">
        <v>208.98</v>
      </c>
      <c r="H84" s="81">
        <v>3357.42</v>
      </c>
      <c r="I84" s="81">
        <v>-179.5</v>
      </c>
      <c r="J84" s="81">
        <v>-179.24</v>
      </c>
      <c r="K84" s="81">
        <v>-205.14</v>
      </c>
    </row>
    <row r="85" spans="1:12" s="79" customFormat="1">
      <c r="A85" s="80" t="s">
        <v>153</v>
      </c>
      <c r="B85" s="81">
        <v>-6.8</v>
      </c>
      <c r="C85" s="81">
        <v>-17.41</v>
      </c>
      <c r="D85" s="81">
        <v>-2.98</v>
      </c>
      <c r="E85" s="81">
        <v>-1.07</v>
      </c>
      <c r="F85" s="81">
        <v>34.479999999999997</v>
      </c>
      <c r="G85" s="81">
        <v>57.45</v>
      </c>
      <c r="H85" s="81">
        <v>-19</v>
      </c>
      <c r="I85" s="81">
        <v>85.64</v>
      </c>
      <c r="J85" s="81">
        <v>-96.38</v>
      </c>
      <c r="K85" s="81">
        <v>112.03</v>
      </c>
    </row>
    <row r="90" spans="1:12" s="79" customFormat="1">
      <c r="A90" s="79" t="s">
        <v>188</v>
      </c>
      <c r="B90" s="81"/>
      <c r="C90" s="81"/>
      <c r="D90" s="81"/>
      <c r="E90" s="81">
        <v>637.85</v>
      </c>
      <c r="F90" s="81">
        <v>1324.8</v>
      </c>
      <c r="G90" s="81">
        <v>1471.1</v>
      </c>
      <c r="H90" s="81">
        <v>2187.5</v>
      </c>
      <c r="I90" s="81">
        <v>2859.05</v>
      </c>
      <c r="J90" s="81">
        <v>4003.35</v>
      </c>
      <c r="K90" s="81">
        <v>3401.05</v>
      </c>
    </row>
    <row r="92" spans="1:12" s="79" customFormat="1">
      <c r="A92" s="79" t="s">
        <v>189</v>
      </c>
    </row>
    <row r="93" spans="1:12">
      <c r="A93" s="80" t="s">
        <v>190</v>
      </c>
      <c r="B93" s="88">
        <v>54.68</v>
      </c>
      <c r="C93" s="88">
        <v>56.15</v>
      </c>
      <c r="D93" s="88">
        <v>56.15</v>
      </c>
      <c r="E93" s="88">
        <v>62.41</v>
      </c>
      <c r="F93" s="88">
        <v>62.41</v>
      </c>
      <c r="G93" s="88">
        <v>62.41</v>
      </c>
      <c r="H93" s="88">
        <v>64.78</v>
      </c>
      <c r="I93" s="88">
        <v>64.78</v>
      </c>
      <c r="J93" s="88">
        <v>64.78</v>
      </c>
      <c r="K93" s="88">
        <v>64.83</v>
      </c>
    </row>
  </sheetData>
  <mergeCells count="2">
    <mergeCell ref="E1:K1"/>
    <mergeCell ref="E2:K2"/>
  </mergeCells>
  <conditionalFormatting sqref="E1:K1">
    <cfRule type="cellIs" dxfId="0" priority="1" operator="notEqual">
      <formula>""</formula>
    </cfRule>
  </conditionalFormatting>
  <hyperlinks>
    <hyperlink ref="E1:K1" r:id="rId1" display="https://www.screener.in/excel/"/>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70"/>
  <sheetViews>
    <sheetView showGridLines="0" tabSelected="1" topLeftCell="A2" workbookViewId="0">
      <pane ySplit="1" topLeftCell="A3" activePane="bottomLeft" state="frozen"/>
      <selection activeCell="A2" sqref="A2"/>
      <selection pane="bottomLeft" activeCell="C73" sqref="C2:D73"/>
    </sheetView>
  </sheetViews>
  <sheetFormatPr defaultRowHeight="15"/>
  <cols>
    <col min="1" max="1" width="1.85546875" customWidth="1"/>
    <col min="2" max="2" width="35.42578125" bestFit="1" customWidth="1"/>
  </cols>
  <sheetData>
    <row r="2" spans="2:14">
      <c r="B2" s="53" t="s">
        <v>220</v>
      </c>
      <c r="C2" s="90">
        <v>40603</v>
      </c>
      <c r="D2" s="90">
        <v>40969</v>
      </c>
      <c r="E2" s="90">
        <v>41334</v>
      </c>
      <c r="F2" s="90">
        <v>41699</v>
      </c>
      <c r="G2" s="90">
        <v>42064</v>
      </c>
      <c r="H2" s="90">
        <v>42430</v>
      </c>
      <c r="I2" s="90">
        <v>42795</v>
      </c>
      <c r="J2" s="90">
        <v>43160</v>
      </c>
      <c r="K2" s="90">
        <v>43525</v>
      </c>
      <c r="L2" s="90">
        <v>43891</v>
      </c>
      <c r="M2" s="90">
        <v>44256</v>
      </c>
      <c r="N2" s="90">
        <v>44621</v>
      </c>
    </row>
    <row r="3" spans="2:14">
      <c r="B3" s="64"/>
      <c r="C3" s="65"/>
      <c r="D3" s="65"/>
      <c r="E3" s="65"/>
      <c r="F3" s="65"/>
      <c r="G3" s="65"/>
      <c r="H3" s="65"/>
      <c r="I3" s="65"/>
      <c r="J3" s="65"/>
      <c r="K3" s="65"/>
      <c r="L3" s="65"/>
      <c r="M3" s="65"/>
      <c r="N3" s="65"/>
    </row>
    <row r="4" spans="2:14">
      <c r="B4" s="2" t="s">
        <v>191</v>
      </c>
      <c r="C4" s="95">
        <v>96</v>
      </c>
      <c r="D4" s="95">
        <v>96</v>
      </c>
      <c r="E4" s="95">
        <v>96</v>
      </c>
      <c r="F4" s="95">
        <v>96</v>
      </c>
      <c r="G4" s="95">
        <v>96</v>
      </c>
      <c r="H4" s="95">
        <v>96</v>
      </c>
      <c r="I4" s="95">
        <v>96</v>
      </c>
      <c r="J4" s="95">
        <v>96</v>
      </c>
      <c r="K4" s="95">
        <v>96</v>
      </c>
      <c r="L4" s="95">
        <v>96</v>
      </c>
      <c r="M4" s="95">
        <v>96</v>
      </c>
      <c r="N4" s="95">
        <v>96</v>
      </c>
    </row>
    <row r="5" spans="2:14">
      <c r="B5" s="2" t="s">
        <v>134</v>
      </c>
      <c r="C5" s="95">
        <v>2092</v>
      </c>
      <c r="D5" s="95">
        <v>2653</v>
      </c>
      <c r="E5" s="95">
        <v>3288</v>
      </c>
      <c r="F5" s="95">
        <v>3943</v>
      </c>
      <c r="G5" s="95">
        <v>4646</v>
      </c>
      <c r="H5" s="95">
        <v>6429</v>
      </c>
      <c r="I5" s="95">
        <v>7508</v>
      </c>
      <c r="J5" s="95">
        <v>8314</v>
      </c>
      <c r="K5" s="95">
        <v>9375</v>
      </c>
      <c r="L5" s="95">
        <v>10034</v>
      </c>
      <c r="M5" s="95">
        <v>12710</v>
      </c>
      <c r="N5" s="95">
        <v>13716</v>
      </c>
    </row>
    <row r="6" spans="2:14">
      <c r="B6" s="2" t="s">
        <v>192</v>
      </c>
      <c r="C6" s="95"/>
      <c r="D6" s="95"/>
      <c r="E6" s="95"/>
      <c r="F6" s="95"/>
      <c r="G6" s="95"/>
      <c r="H6" s="95"/>
      <c r="I6" s="95"/>
      <c r="J6" s="95"/>
      <c r="K6" s="95"/>
      <c r="L6" s="95"/>
      <c r="M6" s="95"/>
      <c r="N6" s="95"/>
    </row>
    <row r="7" spans="2:14">
      <c r="B7" t="s">
        <v>193</v>
      </c>
      <c r="C7" s="95">
        <v>58</v>
      </c>
      <c r="D7" s="95">
        <v>55</v>
      </c>
      <c r="E7" s="95">
        <v>47</v>
      </c>
      <c r="F7" s="95">
        <v>41</v>
      </c>
      <c r="G7" s="95">
        <v>78</v>
      </c>
      <c r="H7" s="95">
        <v>73</v>
      </c>
      <c r="I7" s="95">
        <v>41</v>
      </c>
      <c r="J7" s="95">
        <v>28</v>
      </c>
      <c r="K7" s="95">
        <v>19</v>
      </c>
      <c r="L7" s="95">
        <v>19</v>
      </c>
      <c r="M7" s="95">
        <v>15</v>
      </c>
      <c r="N7" s="95">
        <v>45</v>
      </c>
    </row>
    <row r="8" spans="2:14">
      <c r="B8" t="s">
        <v>194</v>
      </c>
      <c r="C8" s="95">
        <v>171</v>
      </c>
      <c r="D8" s="95">
        <v>280</v>
      </c>
      <c r="E8" s="95">
        <v>190</v>
      </c>
      <c r="F8" s="95">
        <v>199</v>
      </c>
      <c r="G8" s="95">
        <v>332</v>
      </c>
      <c r="H8" s="95">
        <v>231</v>
      </c>
      <c r="I8" s="95">
        <v>504</v>
      </c>
      <c r="J8" s="95">
        <v>492</v>
      </c>
      <c r="K8" s="95">
        <v>597</v>
      </c>
      <c r="L8" s="95">
        <v>321</v>
      </c>
      <c r="M8" s="95">
        <v>334</v>
      </c>
      <c r="N8" s="95">
        <v>731</v>
      </c>
    </row>
    <row r="9" spans="2:14">
      <c r="B9" t="s">
        <v>195</v>
      </c>
      <c r="C9" s="95">
        <v>0</v>
      </c>
      <c r="D9" s="95">
        <v>0</v>
      </c>
      <c r="E9" s="95">
        <v>0</v>
      </c>
      <c r="F9" s="95">
        <v>0</v>
      </c>
      <c r="G9" s="95">
        <v>0</v>
      </c>
      <c r="H9" s="95">
        <v>0</v>
      </c>
      <c r="I9" s="95">
        <v>0</v>
      </c>
      <c r="J9" s="95">
        <v>0</v>
      </c>
      <c r="K9" s="95">
        <v>693</v>
      </c>
      <c r="L9" s="95">
        <v>764</v>
      </c>
      <c r="M9" s="95">
        <v>745</v>
      </c>
      <c r="N9" s="95">
        <v>811</v>
      </c>
    </row>
    <row r="10" spans="2:14">
      <c r="B10" t="s">
        <v>196</v>
      </c>
      <c r="C10" s="95">
        <v>4</v>
      </c>
      <c r="D10" s="95">
        <v>6</v>
      </c>
      <c r="E10" s="95">
        <v>14</v>
      </c>
      <c r="F10" s="95">
        <v>9</v>
      </c>
      <c r="G10" s="95">
        <v>8</v>
      </c>
      <c r="H10" s="95">
        <v>20</v>
      </c>
      <c r="I10" s="95">
        <v>15</v>
      </c>
      <c r="J10" s="95">
        <v>13</v>
      </c>
      <c r="K10" s="95">
        <v>11</v>
      </c>
      <c r="L10" s="95">
        <v>15</v>
      </c>
      <c r="M10" s="95">
        <v>0</v>
      </c>
      <c r="N10" s="95">
        <v>0</v>
      </c>
    </row>
    <row r="11" spans="2:14">
      <c r="B11" s="2" t="s">
        <v>197</v>
      </c>
      <c r="C11" s="95"/>
      <c r="D11" s="95"/>
      <c r="E11" s="95"/>
      <c r="F11" s="95"/>
      <c r="G11" s="95"/>
      <c r="H11" s="95"/>
      <c r="I11" s="95"/>
      <c r="J11" s="95"/>
      <c r="K11" s="95"/>
      <c r="L11" s="95"/>
      <c r="M11" s="95"/>
      <c r="N11" s="95"/>
    </row>
    <row r="12" spans="2:14">
      <c r="B12" t="s">
        <v>198</v>
      </c>
      <c r="C12" s="95">
        <v>110</v>
      </c>
      <c r="D12" s="95">
        <v>137</v>
      </c>
      <c r="E12" s="95">
        <v>161</v>
      </c>
      <c r="F12" s="95">
        <v>246</v>
      </c>
      <c r="G12" s="95">
        <v>264</v>
      </c>
      <c r="H12" s="95">
        <v>384</v>
      </c>
      <c r="I12" s="95">
        <v>375</v>
      </c>
      <c r="J12" s="95">
        <v>328</v>
      </c>
      <c r="K12" s="95">
        <v>361</v>
      </c>
      <c r="L12" s="95">
        <v>404</v>
      </c>
      <c r="M12" s="95">
        <v>423</v>
      </c>
      <c r="N12" s="95">
        <v>388</v>
      </c>
    </row>
    <row r="13" spans="2:14">
      <c r="B13" t="s">
        <v>199</v>
      </c>
      <c r="C13" s="95">
        <v>1087</v>
      </c>
      <c r="D13" s="95">
        <v>1333</v>
      </c>
      <c r="E13" s="95">
        <v>1442</v>
      </c>
      <c r="F13" s="95">
        <v>1746</v>
      </c>
      <c r="G13" s="95">
        <v>1549</v>
      </c>
      <c r="H13" s="95">
        <v>1565</v>
      </c>
      <c r="I13" s="95">
        <v>1923</v>
      </c>
      <c r="J13" s="95">
        <v>2160</v>
      </c>
      <c r="K13" s="95">
        <v>2394</v>
      </c>
      <c r="L13" s="95">
        <v>2137</v>
      </c>
      <c r="M13" s="95">
        <v>3379</v>
      </c>
      <c r="N13" s="95">
        <v>4164</v>
      </c>
    </row>
    <row r="14" spans="2:14">
      <c r="B14" t="s">
        <v>200</v>
      </c>
      <c r="C14" s="95">
        <v>0</v>
      </c>
      <c r="D14" s="95">
        <v>0</v>
      </c>
      <c r="E14" s="95">
        <v>0</v>
      </c>
      <c r="F14" s="95">
        <v>0</v>
      </c>
      <c r="G14" s="95">
        <v>5</v>
      </c>
      <c r="H14" s="95">
        <v>12</v>
      </c>
      <c r="I14" s="95">
        <v>17</v>
      </c>
      <c r="J14" s="95">
        <v>16</v>
      </c>
      <c r="K14" s="95">
        <v>13</v>
      </c>
      <c r="L14" s="95">
        <v>29</v>
      </c>
      <c r="M14" s="95">
        <v>41</v>
      </c>
      <c r="N14" s="95">
        <v>76</v>
      </c>
    </row>
    <row r="15" spans="2:14">
      <c r="B15" t="s">
        <v>201</v>
      </c>
      <c r="C15" s="96">
        <v>992</v>
      </c>
      <c r="D15" s="96">
        <v>1153</v>
      </c>
      <c r="E15" s="96">
        <v>1547</v>
      </c>
      <c r="F15" s="96">
        <v>1795</v>
      </c>
      <c r="G15" s="96">
        <v>1937</v>
      </c>
      <c r="H15" s="96">
        <v>1750</v>
      </c>
      <c r="I15" s="96">
        <v>1925</v>
      </c>
      <c r="J15" s="96">
        <v>2316</v>
      </c>
      <c r="K15" s="96">
        <v>2690</v>
      </c>
      <c r="L15" s="96">
        <v>2320</v>
      </c>
      <c r="M15" s="96">
        <v>2613</v>
      </c>
      <c r="N15" s="96">
        <v>2932</v>
      </c>
    </row>
    <row r="16" spans="2:14">
      <c r="B16" s="93" t="s">
        <v>137</v>
      </c>
      <c r="C16" s="93">
        <v>4611</v>
      </c>
      <c r="D16" s="93">
        <v>5712</v>
      </c>
      <c r="E16" s="93">
        <v>6784</v>
      </c>
      <c r="F16" s="93">
        <v>8075</v>
      </c>
      <c r="G16" s="93">
        <v>8914</v>
      </c>
      <c r="H16" s="93">
        <v>10559</v>
      </c>
      <c r="I16" s="93">
        <v>12405</v>
      </c>
      <c r="J16" s="93">
        <v>13763</v>
      </c>
      <c r="K16" s="93">
        <v>16249</v>
      </c>
      <c r="L16" s="93">
        <v>16138</v>
      </c>
      <c r="M16" s="93">
        <v>20355</v>
      </c>
      <c r="N16" s="93">
        <v>22958</v>
      </c>
    </row>
    <row r="17" spans="2:14">
      <c r="C17" s="89"/>
      <c r="D17" s="89"/>
      <c r="E17" s="89"/>
      <c r="F17" s="89"/>
      <c r="G17" s="89"/>
      <c r="H17" s="89"/>
      <c r="I17" s="89"/>
      <c r="J17" s="89"/>
      <c r="K17" s="89"/>
      <c r="L17" s="89"/>
      <c r="M17" s="89"/>
      <c r="N17" s="89"/>
    </row>
    <row r="18" spans="2:14">
      <c r="B18" s="2" t="s">
        <v>202</v>
      </c>
      <c r="C18" s="89"/>
      <c r="D18" s="89"/>
      <c r="E18" s="89"/>
      <c r="F18" s="89"/>
      <c r="G18" s="89"/>
      <c r="H18" s="89"/>
      <c r="I18" s="89"/>
      <c r="J18" s="89"/>
      <c r="K18" s="89"/>
      <c r="L18" s="89"/>
      <c r="M18" s="89"/>
      <c r="N18" s="89"/>
    </row>
    <row r="19" spans="2:14">
      <c r="B19" t="s">
        <v>203</v>
      </c>
      <c r="C19" s="95">
        <v>220</v>
      </c>
      <c r="D19" s="95">
        <v>225</v>
      </c>
      <c r="E19" s="95">
        <v>238</v>
      </c>
      <c r="F19" s="95">
        <v>247</v>
      </c>
      <c r="G19" s="95">
        <v>251</v>
      </c>
      <c r="H19" s="95">
        <v>429</v>
      </c>
      <c r="I19" s="95">
        <v>408</v>
      </c>
      <c r="J19" s="95">
        <v>586</v>
      </c>
      <c r="K19" s="95">
        <v>605</v>
      </c>
      <c r="L19" s="95">
        <v>640</v>
      </c>
      <c r="M19" s="95">
        <v>644</v>
      </c>
      <c r="N19" s="95">
        <v>644</v>
      </c>
    </row>
    <row r="20" spans="2:14">
      <c r="B20" t="s">
        <v>204</v>
      </c>
      <c r="C20" s="95">
        <v>553</v>
      </c>
      <c r="D20" s="95">
        <v>573</v>
      </c>
      <c r="E20" s="95">
        <v>874</v>
      </c>
      <c r="F20" s="95">
        <v>931</v>
      </c>
      <c r="G20" s="95">
        <v>962</v>
      </c>
      <c r="H20" s="95">
        <v>923</v>
      </c>
      <c r="I20" s="95">
        <v>931</v>
      </c>
      <c r="J20" s="95">
        <v>957</v>
      </c>
      <c r="K20" s="95">
        <v>2402</v>
      </c>
      <c r="L20" s="95">
        <v>2257</v>
      </c>
      <c r="M20" s="95">
        <v>2249</v>
      </c>
      <c r="N20" s="95">
        <v>2325</v>
      </c>
    </row>
    <row r="21" spans="2:14">
      <c r="B21" t="s">
        <v>205</v>
      </c>
      <c r="C21" s="95">
        <v>1011</v>
      </c>
      <c r="D21" s="95">
        <v>1070</v>
      </c>
      <c r="E21" s="95">
        <v>1956</v>
      </c>
      <c r="F21" s="95">
        <v>2054</v>
      </c>
      <c r="G21" s="95">
        <v>2132</v>
      </c>
      <c r="H21" s="95">
        <v>1793</v>
      </c>
      <c r="I21" s="95">
        <v>1980</v>
      </c>
      <c r="J21" s="95">
        <v>2157</v>
      </c>
      <c r="K21" s="95">
        <v>4006</v>
      </c>
      <c r="L21" s="95">
        <v>4208</v>
      </c>
      <c r="M21" s="95">
        <v>4340</v>
      </c>
      <c r="N21" s="95">
        <v>4531</v>
      </c>
    </row>
    <row r="22" spans="2:14">
      <c r="B22" t="s">
        <v>206</v>
      </c>
      <c r="C22" s="95">
        <v>66</v>
      </c>
      <c r="D22" s="95">
        <v>79</v>
      </c>
      <c r="E22" s="95">
        <v>137</v>
      </c>
      <c r="F22" s="95">
        <v>155</v>
      </c>
      <c r="G22" s="95">
        <v>171</v>
      </c>
      <c r="H22" s="95">
        <v>97</v>
      </c>
      <c r="I22" s="95">
        <v>119</v>
      </c>
      <c r="J22" s="95">
        <v>200</v>
      </c>
      <c r="K22" s="95">
        <v>221</v>
      </c>
      <c r="L22" s="95">
        <v>241</v>
      </c>
      <c r="M22" s="95">
        <v>243</v>
      </c>
      <c r="N22" s="95">
        <v>253</v>
      </c>
    </row>
    <row r="23" spans="2:14">
      <c r="B23" t="s">
        <v>207</v>
      </c>
      <c r="C23" s="95">
        <v>45</v>
      </c>
      <c r="D23" s="95">
        <v>50</v>
      </c>
      <c r="E23" s="95">
        <v>57</v>
      </c>
      <c r="F23" s="95">
        <v>71</v>
      </c>
      <c r="G23" s="95">
        <v>83</v>
      </c>
      <c r="H23" s="95">
        <v>49</v>
      </c>
      <c r="I23" s="95">
        <v>59</v>
      </c>
      <c r="J23" s="95">
        <v>72</v>
      </c>
      <c r="K23" s="95">
        <v>88</v>
      </c>
      <c r="L23" s="95">
        <v>94</v>
      </c>
      <c r="M23" s="95">
        <v>99</v>
      </c>
      <c r="N23" s="95">
        <v>113</v>
      </c>
    </row>
    <row r="24" spans="2:14">
      <c r="B24" t="s">
        <v>208</v>
      </c>
      <c r="C24" s="95">
        <v>9</v>
      </c>
      <c r="D24" s="95">
        <v>11</v>
      </c>
      <c r="E24" s="95">
        <v>11</v>
      </c>
      <c r="F24" s="95">
        <v>14</v>
      </c>
      <c r="G24" s="95">
        <v>18</v>
      </c>
      <c r="H24" s="95">
        <v>11</v>
      </c>
      <c r="I24" s="95">
        <v>14</v>
      </c>
      <c r="J24" s="95">
        <v>27</v>
      </c>
      <c r="K24" s="95">
        <v>47</v>
      </c>
      <c r="L24" s="95">
        <v>43</v>
      </c>
      <c r="M24" s="95">
        <v>38</v>
      </c>
      <c r="N24" s="95">
        <v>32</v>
      </c>
    </row>
    <row r="25" spans="2:14">
      <c r="B25" t="s">
        <v>209</v>
      </c>
      <c r="C25" s="95">
        <v>59</v>
      </c>
      <c r="D25" s="95">
        <v>53</v>
      </c>
      <c r="E25" s="95">
        <v>57</v>
      </c>
      <c r="F25" s="95">
        <v>203</v>
      </c>
      <c r="G25" s="95">
        <v>351</v>
      </c>
      <c r="H25" s="95">
        <v>339</v>
      </c>
      <c r="I25" s="95">
        <v>276</v>
      </c>
      <c r="J25" s="95">
        <v>468</v>
      </c>
      <c r="K25" s="95">
        <v>512</v>
      </c>
      <c r="L25" s="95">
        <v>505</v>
      </c>
      <c r="M25" s="95">
        <v>476</v>
      </c>
      <c r="N25" s="95">
        <v>411</v>
      </c>
    </row>
    <row r="26" spans="2:14">
      <c r="B26" t="s">
        <v>210</v>
      </c>
      <c r="C26" s="95">
        <v>62</v>
      </c>
      <c r="D26" s="95">
        <v>84</v>
      </c>
      <c r="E26" s="95">
        <v>99</v>
      </c>
      <c r="F26" s="95">
        <v>128</v>
      </c>
      <c r="G26" s="95">
        <v>145</v>
      </c>
      <c r="H26" s="95">
        <v>103</v>
      </c>
      <c r="I26" s="95">
        <v>128</v>
      </c>
      <c r="J26" s="95">
        <v>238</v>
      </c>
      <c r="K26" s="95">
        <v>261</v>
      </c>
      <c r="L26" s="95">
        <v>293</v>
      </c>
      <c r="M26" s="95">
        <v>302</v>
      </c>
      <c r="N26" s="95">
        <v>294</v>
      </c>
    </row>
    <row r="27" spans="2:14">
      <c r="B27" s="2" t="s">
        <v>211</v>
      </c>
      <c r="C27" s="97">
        <v>2025</v>
      </c>
      <c r="D27" s="97">
        <v>2146</v>
      </c>
      <c r="E27" s="97">
        <v>3429</v>
      </c>
      <c r="F27" s="97">
        <v>3804</v>
      </c>
      <c r="G27" s="97">
        <v>4112</v>
      </c>
      <c r="H27" s="97">
        <v>3744</v>
      </c>
      <c r="I27" s="97">
        <v>3914</v>
      </c>
      <c r="J27" s="97">
        <v>4705</v>
      </c>
      <c r="K27" s="97">
        <v>8141</v>
      </c>
      <c r="L27" s="97">
        <v>8282</v>
      </c>
      <c r="M27" s="97">
        <v>8392</v>
      </c>
      <c r="N27" s="97">
        <v>8604</v>
      </c>
    </row>
    <row r="28" spans="2:14">
      <c r="B28" s="2" t="s">
        <v>212</v>
      </c>
      <c r="C28" s="96">
        <v>704</v>
      </c>
      <c r="D28" s="96">
        <v>834</v>
      </c>
      <c r="E28" s="96">
        <v>979</v>
      </c>
      <c r="F28" s="96">
        <v>1223</v>
      </c>
      <c r="G28" s="96">
        <v>1438</v>
      </c>
      <c r="H28" s="96">
        <v>275</v>
      </c>
      <c r="I28" s="96">
        <v>610</v>
      </c>
      <c r="J28" s="96">
        <v>973</v>
      </c>
      <c r="K28" s="96">
        <v>1592</v>
      </c>
      <c r="L28" s="96">
        <v>2010</v>
      </c>
      <c r="M28" s="96">
        <v>2533</v>
      </c>
      <c r="N28" s="96">
        <v>3085</v>
      </c>
    </row>
    <row r="29" spans="2:14">
      <c r="B29" s="98" t="s">
        <v>180</v>
      </c>
      <c r="C29" s="99">
        <f>C27-C28</f>
        <v>1321</v>
      </c>
      <c r="D29" s="99">
        <f t="shared" ref="D29:N29" si="0">D27-D28</f>
        <v>1312</v>
      </c>
      <c r="E29" s="99">
        <f t="shared" si="0"/>
        <v>2450</v>
      </c>
      <c r="F29" s="99">
        <f t="shared" si="0"/>
        <v>2581</v>
      </c>
      <c r="G29" s="99">
        <f t="shared" si="0"/>
        <v>2674</v>
      </c>
      <c r="H29" s="99">
        <f t="shared" si="0"/>
        <v>3469</v>
      </c>
      <c r="I29" s="99">
        <f t="shared" si="0"/>
        <v>3304</v>
      </c>
      <c r="J29" s="99">
        <f t="shared" si="0"/>
        <v>3732</v>
      </c>
      <c r="K29" s="99">
        <f t="shared" si="0"/>
        <v>6549</v>
      </c>
      <c r="L29" s="99">
        <f t="shared" si="0"/>
        <v>6272</v>
      </c>
      <c r="M29" s="99">
        <f t="shared" si="0"/>
        <v>5859</v>
      </c>
      <c r="N29" s="99">
        <f t="shared" si="0"/>
        <v>5519</v>
      </c>
    </row>
    <row r="30" spans="2:14">
      <c r="B30" s="2"/>
      <c r="C30" s="96"/>
      <c r="D30" s="96"/>
      <c r="E30" s="96"/>
      <c r="F30" s="96"/>
      <c r="G30" s="96"/>
      <c r="H30" s="96"/>
      <c r="I30" s="96"/>
      <c r="J30" s="96"/>
      <c r="K30" s="96"/>
      <c r="L30" s="96"/>
      <c r="M30" s="96"/>
      <c r="N30" s="96"/>
    </row>
    <row r="31" spans="2:14">
      <c r="B31" s="2" t="s">
        <v>213</v>
      </c>
      <c r="C31" s="95">
        <v>43</v>
      </c>
      <c r="D31" s="95">
        <v>617</v>
      </c>
      <c r="E31" s="95">
        <v>59</v>
      </c>
      <c r="F31" s="95">
        <v>72</v>
      </c>
      <c r="G31" s="95">
        <v>196</v>
      </c>
      <c r="H31" s="95">
        <v>107</v>
      </c>
      <c r="I31" s="95">
        <v>258</v>
      </c>
      <c r="J31" s="95">
        <v>1405</v>
      </c>
      <c r="K31" s="95">
        <v>210</v>
      </c>
      <c r="L31" s="95">
        <v>140</v>
      </c>
      <c r="M31" s="95">
        <v>183</v>
      </c>
      <c r="N31" s="95">
        <v>426</v>
      </c>
    </row>
    <row r="32" spans="2:14">
      <c r="B32" s="2" t="s">
        <v>140</v>
      </c>
      <c r="C32" s="95">
        <v>429</v>
      </c>
      <c r="D32" s="95">
        <v>355</v>
      </c>
      <c r="E32" s="95">
        <v>296</v>
      </c>
      <c r="F32" s="95">
        <v>1424</v>
      </c>
      <c r="G32" s="95">
        <v>1588</v>
      </c>
      <c r="H32" s="95">
        <v>2712</v>
      </c>
      <c r="I32" s="95">
        <v>2652</v>
      </c>
      <c r="J32" s="95">
        <v>2141</v>
      </c>
      <c r="K32" s="95">
        <v>2569</v>
      </c>
      <c r="L32" s="95">
        <v>2019</v>
      </c>
      <c r="M32" s="95">
        <v>4737</v>
      </c>
      <c r="N32" s="95">
        <v>3248</v>
      </c>
    </row>
    <row r="33" spans="2:14">
      <c r="B33" s="2"/>
      <c r="C33" s="96"/>
      <c r="D33" s="96"/>
      <c r="E33" s="96"/>
      <c r="F33" s="96"/>
      <c r="G33" s="96"/>
      <c r="H33" s="96"/>
      <c r="I33" s="96"/>
      <c r="J33" s="96"/>
      <c r="K33" s="96"/>
      <c r="L33" s="96"/>
      <c r="M33" s="96"/>
      <c r="N33" s="96"/>
    </row>
    <row r="34" spans="2:14">
      <c r="B34" s="2" t="s">
        <v>214</v>
      </c>
      <c r="C34" s="96"/>
      <c r="D34" s="96"/>
      <c r="E34" s="96"/>
      <c r="F34" s="96"/>
      <c r="G34" s="96"/>
      <c r="H34" s="96"/>
      <c r="I34" s="96"/>
      <c r="J34" s="96"/>
      <c r="K34" s="96"/>
      <c r="L34" s="96"/>
      <c r="M34" s="96"/>
      <c r="N34" s="96"/>
    </row>
    <row r="35" spans="2:14">
      <c r="B35" t="s">
        <v>215</v>
      </c>
      <c r="C35" s="95">
        <v>1305</v>
      </c>
      <c r="D35" s="95">
        <v>1599</v>
      </c>
      <c r="E35" s="95">
        <v>1830</v>
      </c>
      <c r="F35" s="95">
        <v>2070</v>
      </c>
      <c r="G35" s="95">
        <v>2259</v>
      </c>
      <c r="H35" s="95">
        <v>1998</v>
      </c>
      <c r="I35" s="95">
        <v>2627</v>
      </c>
      <c r="J35" s="95">
        <v>2658</v>
      </c>
      <c r="K35" s="95">
        <v>3150</v>
      </c>
      <c r="L35" s="95">
        <v>3390</v>
      </c>
      <c r="M35" s="95">
        <v>3799</v>
      </c>
      <c r="N35" s="95">
        <v>6153</v>
      </c>
    </row>
    <row r="36" spans="2:14">
      <c r="B36" t="s">
        <v>216</v>
      </c>
      <c r="C36" s="95">
        <v>573</v>
      </c>
      <c r="D36" s="95">
        <v>781</v>
      </c>
      <c r="E36" s="95">
        <v>981</v>
      </c>
      <c r="F36" s="95">
        <v>1110</v>
      </c>
      <c r="G36" s="95">
        <v>1182</v>
      </c>
      <c r="H36" s="95">
        <v>1187</v>
      </c>
      <c r="I36" s="95">
        <v>1447</v>
      </c>
      <c r="J36" s="95">
        <v>1731</v>
      </c>
      <c r="K36" s="95">
        <v>1907</v>
      </c>
      <c r="L36" s="95">
        <v>1795</v>
      </c>
      <c r="M36" s="95">
        <v>2602</v>
      </c>
      <c r="N36" s="95">
        <v>3871</v>
      </c>
    </row>
    <row r="37" spans="2:14">
      <c r="B37" t="s">
        <v>217</v>
      </c>
      <c r="C37" s="95">
        <v>626</v>
      </c>
      <c r="D37" s="95">
        <v>624</v>
      </c>
      <c r="E37" s="95">
        <v>737</v>
      </c>
      <c r="F37" s="95">
        <v>229</v>
      </c>
      <c r="G37" s="95">
        <v>204</v>
      </c>
      <c r="H37" s="95">
        <v>424</v>
      </c>
      <c r="I37" s="95">
        <v>801</v>
      </c>
      <c r="J37" s="95">
        <v>405</v>
      </c>
      <c r="K37" s="95">
        <v>445</v>
      </c>
      <c r="L37" s="95">
        <v>783</v>
      </c>
      <c r="M37" s="95">
        <v>611</v>
      </c>
      <c r="N37" s="95">
        <v>864</v>
      </c>
    </row>
    <row r="38" spans="2:14">
      <c r="B38" t="s">
        <v>218</v>
      </c>
      <c r="C38" s="95">
        <v>229</v>
      </c>
      <c r="D38" s="95">
        <v>249</v>
      </c>
      <c r="E38" s="95">
        <v>353</v>
      </c>
      <c r="F38" s="95">
        <v>496</v>
      </c>
      <c r="G38" s="95">
        <v>574</v>
      </c>
      <c r="H38" s="95">
        <v>606</v>
      </c>
      <c r="I38" s="95">
        <v>807</v>
      </c>
      <c r="J38" s="95">
        <v>1141</v>
      </c>
      <c r="K38" s="95">
        <v>1058</v>
      </c>
      <c r="L38" s="95">
        <v>1177</v>
      </c>
      <c r="M38" s="95">
        <v>1846</v>
      </c>
      <c r="N38" s="95">
        <v>2216</v>
      </c>
    </row>
    <row r="39" spans="2:14">
      <c r="B39" t="s">
        <v>219</v>
      </c>
      <c r="C39" s="100">
        <v>94</v>
      </c>
      <c r="D39" s="100">
        <v>186</v>
      </c>
      <c r="E39" s="100">
        <v>87</v>
      </c>
      <c r="F39" s="100">
        <v>113</v>
      </c>
      <c r="G39" s="100">
        <v>252</v>
      </c>
      <c r="H39" s="100">
        <v>109</v>
      </c>
      <c r="I39" s="100">
        <v>510</v>
      </c>
      <c r="J39" s="100">
        <v>551</v>
      </c>
      <c r="K39" s="100">
        <v>414</v>
      </c>
      <c r="L39" s="100">
        <v>561</v>
      </c>
      <c r="M39" s="100">
        <v>720</v>
      </c>
      <c r="N39" s="100">
        <v>661</v>
      </c>
    </row>
    <row r="40" spans="2:14">
      <c r="B40" s="93" t="s">
        <v>147</v>
      </c>
      <c r="C40" s="101">
        <v>4611</v>
      </c>
      <c r="D40" s="101">
        <v>5712</v>
      </c>
      <c r="E40" s="101">
        <v>6784</v>
      </c>
      <c r="F40" s="101">
        <v>8075</v>
      </c>
      <c r="G40" s="101">
        <v>8914</v>
      </c>
      <c r="H40" s="101">
        <v>10559</v>
      </c>
      <c r="I40" s="101">
        <v>12405</v>
      </c>
      <c r="J40" s="101">
        <v>13763</v>
      </c>
      <c r="K40" s="101">
        <v>16249</v>
      </c>
      <c r="L40" s="101">
        <v>16138</v>
      </c>
      <c r="M40" s="101">
        <v>20355</v>
      </c>
      <c r="N40" s="101">
        <v>22958</v>
      </c>
    </row>
    <row r="43" spans="2:14">
      <c r="B43" s="92"/>
      <c r="C43" s="92"/>
      <c r="D43" s="92"/>
      <c r="E43" s="92"/>
      <c r="F43" s="92"/>
      <c r="G43" s="92"/>
      <c r="H43" s="92"/>
      <c r="I43" s="92"/>
      <c r="J43" s="92"/>
      <c r="K43" s="92"/>
      <c r="L43" s="92"/>
      <c r="M43" s="92"/>
      <c r="N43" s="91"/>
    </row>
    <row r="44" spans="2:14">
      <c r="B44" s="112" t="s">
        <v>233</v>
      </c>
      <c r="C44" s="106">
        <v>762</v>
      </c>
      <c r="D44" s="106">
        <v>710</v>
      </c>
      <c r="E44" s="107">
        <v>1187</v>
      </c>
      <c r="F44" s="107">
        <v>1402</v>
      </c>
      <c r="G44" s="107">
        <v>1188</v>
      </c>
      <c r="H44" s="107">
        <v>2243</v>
      </c>
      <c r="I44" s="107">
        <v>1527</v>
      </c>
      <c r="J44" s="107">
        <v>2113</v>
      </c>
      <c r="K44" s="107">
        <v>2470</v>
      </c>
      <c r="L44" s="107">
        <v>3038</v>
      </c>
      <c r="M44" s="107">
        <v>3683</v>
      </c>
      <c r="N44" s="106">
        <v>986</v>
      </c>
    </row>
    <row r="45" spans="2:14">
      <c r="B45" s="108" t="s">
        <v>234</v>
      </c>
      <c r="C45" s="107">
        <v>1331</v>
      </c>
      <c r="D45" s="107">
        <v>1539</v>
      </c>
      <c r="E45" s="107">
        <v>1784</v>
      </c>
      <c r="F45" s="107">
        <v>2051</v>
      </c>
      <c r="G45" s="107">
        <v>2271</v>
      </c>
      <c r="H45" s="107">
        <v>2848</v>
      </c>
      <c r="I45" s="107">
        <v>3056</v>
      </c>
      <c r="J45" s="107">
        <v>3274</v>
      </c>
      <c r="K45" s="107">
        <v>3861</v>
      </c>
      <c r="L45" s="107">
        <v>4380</v>
      </c>
      <c r="M45" s="107">
        <v>4970</v>
      </c>
      <c r="N45" s="107">
        <v>4957</v>
      </c>
    </row>
    <row r="46" spans="2:14">
      <c r="B46" s="109" t="s">
        <v>143</v>
      </c>
      <c r="C46" s="110">
        <v>-82</v>
      </c>
      <c r="D46" s="110">
        <v>-305</v>
      </c>
      <c r="E46" s="110">
        <v>-299</v>
      </c>
      <c r="F46" s="110">
        <v>-254</v>
      </c>
      <c r="G46" s="110">
        <v>-155</v>
      </c>
      <c r="H46" s="110">
        <v>-146</v>
      </c>
      <c r="I46" s="110">
        <v>-475</v>
      </c>
      <c r="J46" s="110">
        <v>-483</v>
      </c>
      <c r="K46" s="110">
        <v>-205</v>
      </c>
      <c r="L46" s="110">
        <v>160</v>
      </c>
      <c r="M46" s="110">
        <v>-849</v>
      </c>
      <c r="N46" s="111">
        <v>-1326</v>
      </c>
    </row>
    <row r="47" spans="2:14">
      <c r="B47" s="109" t="s">
        <v>144</v>
      </c>
      <c r="C47" s="110">
        <v>-350</v>
      </c>
      <c r="D47" s="110">
        <v>-293</v>
      </c>
      <c r="E47" s="110">
        <v>-247</v>
      </c>
      <c r="F47" s="110">
        <v>-231</v>
      </c>
      <c r="G47" s="110">
        <v>-144</v>
      </c>
      <c r="H47" s="110">
        <v>202</v>
      </c>
      <c r="I47" s="110">
        <v>-629</v>
      </c>
      <c r="J47" s="110">
        <v>-39</v>
      </c>
      <c r="K47" s="110">
        <v>-492</v>
      </c>
      <c r="L47" s="110">
        <v>-251</v>
      </c>
      <c r="M47" s="110">
        <v>-409</v>
      </c>
      <c r="N47" s="111">
        <v>-2354</v>
      </c>
    </row>
    <row r="48" spans="2:14">
      <c r="B48" s="109" t="s">
        <v>235</v>
      </c>
      <c r="C48" s="110">
        <v>255</v>
      </c>
      <c r="D48" s="110">
        <v>188</v>
      </c>
      <c r="E48" s="110">
        <v>388</v>
      </c>
      <c r="F48" s="110">
        <v>317</v>
      </c>
      <c r="G48" s="110">
        <v>-151</v>
      </c>
      <c r="H48" s="110">
        <v>142</v>
      </c>
      <c r="I48" s="110">
        <v>501</v>
      </c>
      <c r="J48" s="110">
        <v>442</v>
      </c>
      <c r="K48" s="110">
        <v>287</v>
      </c>
      <c r="L48" s="110">
        <v>-241</v>
      </c>
      <c r="M48" s="111">
        <v>1143</v>
      </c>
      <c r="N48" s="110">
        <v>644</v>
      </c>
    </row>
    <row r="49" spans="2:14">
      <c r="B49" s="109" t="s">
        <v>236</v>
      </c>
      <c r="C49" s="110">
        <v>0</v>
      </c>
      <c r="D49" s="110">
        <v>0</v>
      </c>
      <c r="E49" s="110">
        <v>0</v>
      </c>
      <c r="F49" s="110">
        <v>0</v>
      </c>
      <c r="G49" s="110">
        <v>0</v>
      </c>
      <c r="H49" s="110">
        <v>0</v>
      </c>
      <c r="I49" s="110">
        <v>0</v>
      </c>
      <c r="J49" s="110">
        <v>0</v>
      </c>
      <c r="K49" s="110">
        <v>0</v>
      </c>
      <c r="L49" s="110">
        <v>0</v>
      </c>
      <c r="M49" s="110">
        <v>-92</v>
      </c>
      <c r="N49" s="110">
        <v>242</v>
      </c>
    </row>
    <row r="50" spans="2:14">
      <c r="B50" s="108" t="s">
        <v>237</v>
      </c>
      <c r="C50" s="106">
        <v>-176</v>
      </c>
      <c r="D50" s="106">
        <v>-410</v>
      </c>
      <c r="E50" s="106">
        <v>-159</v>
      </c>
      <c r="F50" s="106">
        <v>-168</v>
      </c>
      <c r="G50" s="106">
        <v>-450</v>
      </c>
      <c r="H50" s="106">
        <v>198</v>
      </c>
      <c r="I50" s="106">
        <v>-603</v>
      </c>
      <c r="J50" s="106">
        <v>-80</v>
      </c>
      <c r="K50" s="106">
        <v>-410</v>
      </c>
      <c r="L50" s="106">
        <v>-331</v>
      </c>
      <c r="M50" s="106">
        <v>-206</v>
      </c>
      <c r="N50" s="107">
        <v>-2795</v>
      </c>
    </row>
    <row r="51" spans="2:14">
      <c r="B51" s="109" t="s">
        <v>238</v>
      </c>
      <c r="C51" s="110">
        <v>-392</v>
      </c>
      <c r="D51" s="110">
        <v>-430</v>
      </c>
      <c r="E51" s="110">
        <v>-438</v>
      </c>
      <c r="F51" s="110">
        <v>-480</v>
      </c>
      <c r="G51" s="110">
        <v>-633</v>
      </c>
      <c r="H51" s="110">
        <v>-802</v>
      </c>
      <c r="I51" s="110">
        <v>-925</v>
      </c>
      <c r="J51" s="111">
        <v>-1081</v>
      </c>
      <c r="K51" s="110">
        <v>-982</v>
      </c>
      <c r="L51" s="111">
        <v>-1011</v>
      </c>
      <c r="M51" s="111">
        <v>-1080</v>
      </c>
      <c r="N51" s="111">
        <v>-1176</v>
      </c>
    </row>
    <row r="52" spans="2:14">
      <c r="B52" s="109" t="s">
        <v>239</v>
      </c>
      <c r="C52" s="110">
        <v>0</v>
      </c>
      <c r="D52" s="110">
        <v>10</v>
      </c>
      <c r="E52" s="110">
        <v>0</v>
      </c>
      <c r="F52" s="110">
        <v>0</v>
      </c>
      <c r="G52" s="110">
        <v>0</v>
      </c>
      <c r="H52" s="110">
        <v>0</v>
      </c>
      <c r="I52" s="110">
        <v>0</v>
      </c>
      <c r="J52" s="110">
        <v>0</v>
      </c>
      <c r="K52" s="110">
        <v>0</v>
      </c>
      <c r="L52" s="110">
        <v>0</v>
      </c>
      <c r="M52" s="110">
        <v>0</v>
      </c>
      <c r="N52" s="110">
        <v>0</v>
      </c>
    </row>
    <row r="53" spans="2:14">
      <c r="B53" s="105" t="s">
        <v>240</v>
      </c>
      <c r="C53" s="106">
        <v>-439</v>
      </c>
      <c r="D53" s="106">
        <v>-386</v>
      </c>
      <c r="E53" s="106">
        <v>-463</v>
      </c>
      <c r="F53" s="106">
        <v>-586</v>
      </c>
      <c r="G53" s="106">
        <v>-465</v>
      </c>
      <c r="H53" s="106">
        <v>-866</v>
      </c>
      <c r="I53" s="106">
        <v>-681</v>
      </c>
      <c r="J53" s="107">
        <v>-1556</v>
      </c>
      <c r="K53" s="106">
        <v>-918</v>
      </c>
      <c r="L53" s="106">
        <v>-518</v>
      </c>
      <c r="M53" s="106">
        <v>-541</v>
      </c>
      <c r="N53" s="106">
        <v>-317</v>
      </c>
    </row>
    <row r="54" spans="2:14">
      <c r="B54" s="109" t="s">
        <v>241</v>
      </c>
      <c r="C54" s="110">
        <v>-156</v>
      </c>
      <c r="D54" s="110">
        <v>-546</v>
      </c>
      <c r="E54" s="110">
        <v>-644</v>
      </c>
      <c r="F54" s="110">
        <v>-251</v>
      </c>
      <c r="G54" s="110">
        <v>-454</v>
      </c>
      <c r="H54" s="110">
        <v>-817</v>
      </c>
      <c r="I54" s="110">
        <v>-684</v>
      </c>
      <c r="J54" s="111">
        <v>-1426</v>
      </c>
      <c r="K54" s="111">
        <v>-1151</v>
      </c>
      <c r="L54" s="110">
        <v>-404</v>
      </c>
      <c r="M54" s="110">
        <v>-282</v>
      </c>
      <c r="N54" s="110">
        <v>-538</v>
      </c>
    </row>
    <row r="55" spans="2:14">
      <c r="B55" s="109" t="s">
        <v>242</v>
      </c>
      <c r="C55" s="110">
        <v>6</v>
      </c>
      <c r="D55" s="110">
        <v>6</v>
      </c>
      <c r="E55" s="110">
        <v>7</v>
      </c>
      <c r="F55" s="110">
        <v>16</v>
      </c>
      <c r="G55" s="110">
        <v>16</v>
      </c>
      <c r="H55" s="110">
        <v>15</v>
      </c>
      <c r="I55" s="110">
        <v>17</v>
      </c>
      <c r="J55" s="110">
        <v>17</v>
      </c>
      <c r="K55" s="110">
        <v>17</v>
      </c>
      <c r="L55" s="110">
        <v>37</v>
      </c>
      <c r="M55" s="110">
        <v>28</v>
      </c>
      <c r="N55" s="110">
        <v>40</v>
      </c>
    </row>
    <row r="56" spans="2:14">
      <c r="B56" s="109" t="s">
        <v>243</v>
      </c>
      <c r="C56" s="110">
        <v>-336</v>
      </c>
      <c r="D56" s="110">
        <v>-290</v>
      </c>
      <c r="E56" s="110">
        <v>-247</v>
      </c>
      <c r="F56" s="110">
        <v>-872</v>
      </c>
      <c r="G56" s="110">
        <v>-243</v>
      </c>
      <c r="H56" s="110">
        <v>-282</v>
      </c>
      <c r="I56" s="110">
        <v>-153</v>
      </c>
      <c r="J56" s="110">
        <v>-320</v>
      </c>
      <c r="K56" s="110">
        <v>-573</v>
      </c>
      <c r="L56" s="110">
        <v>-25</v>
      </c>
      <c r="M56" s="110">
        <v>-140</v>
      </c>
      <c r="N56" s="110">
        <v>0</v>
      </c>
    </row>
    <row r="57" spans="2:14">
      <c r="B57" s="109" t="s">
        <v>244</v>
      </c>
      <c r="C57" s="110">
        <v>0</v>
      </c>
      <c r="D57" s="110">
        <v>398</v>
      </c>
      <c r="E57" s="110">
        <v>330</v>
      </c>
      <c r="F57" s="110">
        <v>463</v>
      </c>
      <c r="G57" s="110">
        <v>278</v>
      </c>
      <c r="H57" s="110">
        <v>205</v>
      </c>
      <c r="I57" s="110">
        <v>357</v>
      </c>
      <c r="J57" s="110">
        <v>362</v>
      </c>
      <c r="K57" s="110">
        <v>733</v>
      </c>
      <c r="L57" s="110">
        <v>134</v>
      </c>
      <c r="M57" s="110">
        <v>272</v>
      </c>
      <c r="N57" s="110">
        <v>207</v>
      </c>
    </row>
    <row r="58" spans="2:14">
      <c r="B58" s="109" t="s">
        <v>245</v>
      </c>
      <c r="C58" s="110">
        <v>10</v>
      </c>
      <c r="D58" s="110">
        <v>6</v>
      </c>
      <c r="E58" s="110">
        <v>11</v>
      </c>
      <c r="F58" s="110">
        <v>14</v>
      </c>
      <c r="G58" s="110">
        <v>11</v>
      </c>
      <c r="H58" s="110">
        <v>15</v>
      </c>
      <c r="I58" s="110">
        <v>32</v>
      </c>
      <c r="J58" s="110">
        <v>39</v>
      </c>
      <c r="K58" s="110">
        <v>40</v>
      </c>
      <c r="L58" s="110">
        <v>65</v>
      </c>
      <c r="M58" s="110">
        <v>73</v>
      </c>
      <c r="N58" s="110">
        <v>77</v>
      </c>
    </row>
    <row r="59" spans="2:14">
      <c r="B59" s="109" t="s">
        <v>246</v>
      </c>
      <c r="C59" s="110">
        <v>35</v>
      </c>
      <c r="D59" s="110">
        <v>42</v>
      </c>
      <c r="E59" s="110">
        <v>33</v>
      </c>
      <c r="F59" s="110">
        <v>65</v>
      </c>
      <c r="G59" s="110">
        <v>71</v>
      </c>
      <c r="H59" s="110">
        <v>69</v>
      </c>
      <c r="I59" s="110">
        <v>74</v>
      </c>
      <c r="J59" s="110">
        <v>38</v>
      </c>
      <c r="K59" s="110">
        <v>40</v>
      </c>
      <c r="L59" s="110">
        <v>27</v>
      </c>
      <c r="M59" s="110">
        <v>8</v>
      </c>
      <c r="N59" s="110">
        <v>15</v>
      </c>
    </row>
    <row r="60" spans="2:14">
      <c r="B60" s="109" t="s">
        <v>247</v>
      </c>
      <c r="C60" s="110">
        <v>0</v>
      </c>
      <c r="D60" s="110">
        <v>0</v>
      </c>
      <c r="E60" s="110">
        <v>0</v>
      </c>
      <c r="F60" s="110">
        <v>0</v>
      </c>
      <c r="G60" s="110">
        <v>0</v>
      </c>
      <c r="H60" s="110">
        <v>0</v>
      </c>
      <c r="I60" s="110">
        <v>0</v>
      </c>
      <c r="J60" s="110">
        <v>141</v>
      </c>
      <c r="K60" s="110">
        <v>0</v>
      </c>
      <c r="L60" s="110">
        <v>0</v>
      </c>
      <c r="M60" s="110">
        <v>0</v>
      </c>
      <c r="N60" s="110">
        <v>0</v>
      </c>
    </row>
    <row r="61" spans="2:14">
      <c r="B61" s="109" t="s">
        <v>248</v>
      </c>
      <c r="C61" s="110">
        <v>0</v>
      </c>
      <c r="D61" s="110">
        <v>0</v>
      </c>
      <c r="E61" s="110">
        <v>0</v>
      </c>
      <c r="F61" s="110">
        <v>0</v>
      </c>
      <c r="G61" s="110">
        <v>0</v>
      </c>
      <c r="H61" s="110">
        <v>0</v>
      </c>
      <c r="I61" s="110">
        <v>0</v>
      </c>
      <c r="J61" s="110">
        <v>-525</v>
      </c>
      <c r="K61" s="110">
        <v>0</v>
      </c>
      <c r="L61" s="110">
        <v>0</v>
      </c>
      <c r="M61" s="110">
        <v>0</v>
      </c>
      <c r="N61" s="110">
        <v>0</v>
      </c>
    </row>
    <row r="62" spans="2:14">
      <c r="B62" s="109" t="s">
        <v>249</v>
      </c>
      <c r="C62" s="110">
        <v>2</v>
      </c>
      <c r="D62" s="110">
        <v>-1</v>
      </c>
      <c r="E62" s="110">
        <v>46</v>
      </c>
      <c r="F62" s="110">
        <v>-21</v>
      </c>
      <c r="G62" s="110">
        <v>-144</v>
      </c>
      <c r="H62" s="110">
        <v>-70</v>
      </c>
      <c r="I62" s="110">
        <v>-324</v>
      </c>
      <c r="J62" s="110">
        <v>118</v>
      </c>
      <c r="K62" s="110">
        <v>-24</v>
      </c>
      <c r="L62" s="110">
        <v>-353</v>
      </c>
      <c r="M62" s="110">
        <v>-500</v>
      </c>
      <c r="N62" s="110">
        <v>-118</v>
      </c>
    </row>
    <row r="63" spans="2:14">
      <c r="B63" s="105" t="s">
        <v>250</v>
      </c>
      <c r="C63" s="106">
        <v>-334</v>
      </c>
      <c r="D63" s="106">
        <v>-327</v>
      </c>
      <c r="E63" s="106">
        <v>-601</v>
      </c>
      <c r="F63" s="106">
        <v>-626</v>
      </c>
      <c r="G63" s="106">
        <v>-576</v>
      </c>
      <c r="H63" s="106">
        <v>-849</v>
      </c>
      <c r="I63" s="106">
        <v>-756</v>
      </c>
      <c r="J63" s="107">
        <v>-1379</v>
      </c>
      <c r="K63" s="107">
        <v>-1117</v>
      </c>
      <c r="L63" s="107">
        <v>-2871</v>
      </c>
      <c r="M63" s="106">
        <v>-650</v>
      </c>
      <c r="N63" s="107">
        <v>-1808</v>
      </c>
    </row>
    <row r="64" spans="2:14">
      <c r="B64" s="109" t="s">
        <v>251</v>
      </c>
      <c r="C64" s="110">
        <v>12</v>
      </c>
      <c r="D64" s="110">
        <v>109</v>
      </c>
      <c r="E64" s="110">
        <v>33</v>
      </c>
      <c r="F64" s="110">
        <v>44</v>
      </c>
      <c r="G64" s="110">
        <v>239</v>
      </c>
      <c r="H64" s="110">
        <v>8</v>
      </c>
      <c r="I64" s="110">
        <v>271</v>
      </c>
      <c r="J64" s="110">
        <v>10</v>
      </c>
      <c r="K64" s="110">
        <v>243</v>
      </c>
      <c r="L64" s="110">
        <v>18</v>
      </c>
      <c r="M64" s="110">
        <v>155</v>
      </c>
      <c r="N64" s="110">
        <v>418</v>
      </c>
    </row>
    <row r="65" spans="2:14">
      <c r="B65" s="109" t="s">
        <v>252</v>
      </c>
      <c r="C65" s="110">
        <v>-6</v>
      </c>
      <c r="D65" s="110">
        <v>-12</v>
      </c>
      <c r="E65" s="110">
        <v>-135</v>
      </c>
      <c r="F65" s="110">
        <v>-81</v>
      </c>
      <c r="G65" s="110">
        <v>-86</v>
      </c>
      <c r="H65" s="110">
        <v>-119</v>
      </c>
      <c r="I65" s="110">
        <v>-58</v>
      </c>
      <c r="J65" s="110">
        <v>-54</v>
      </c>
      <c r="K65" s="110">
        <v>-26</v>
      </c>
      <c r="L65" s="110">
        <v>-279</v>
      </c>
      <c r="M65" s="110">
        <v>-14</v>
      </c>
      <c r="N65" s="110">
        <v>-8</v>
      </c>
    </row>
    <row r="66" spans="2:14">
      <c r="B66" s="109" t="s">
        <v>253</v>
      </c>
      <c r="C66" s="110">
        <v>-23</v>
      </c>
      <c r="D66" s="110">
        <v>-40</v>
      </c>
      <c r="E66" s="110">
        <v>-37</v>
      </c>
      <c r="F66" s="110">
        <v>-42</v>
      </c>
      <c r="G66" s="110">
        <v>-35</v>
      </c>
      <c r="H66" s="110">
        <v>-40</v>
      </c>
      <c r="I66" s="110">
        <v>-36</v>
      </c>
      <c r="J66" s="110">
        <v>-35</v>
      </c>
      <c r="K66" s="110">
        <v>-106</v>
      </c>
      <c r="L66" s="110">
        <v>-101</v>
      </c>
      <c r="M66" s="110">
        <v>-89</v>
      </c>
      <c r="N66" s="110">
        <v>-94</v>
      </c>
    </row>
    <row r="67" spans="2:14">
      <c r="B67" s="109" t="s">
        <v>254</v>
      </c>
      <c r="C67" s="110">
        <v>-317</v>
      </c>
      <c r="D67" s="110">
        <v>-383</v>
      </c>
      <c r="E67" s="110">
        <v>-462</v>
      </c>
      <c r="F67" s="110">
        <v>-547</v>
      </c>
      <c r="G67" s="110">
        <v>-695</v>
      </c>
      <c r="H67" s="110">
        <v>-764</v>
      </c>
      <c r="I67" s="110">
        <v>-947</v>
      </c>
      <c r="J67" s="111">
        <v>-1218</v>
      </c>
      <c r="K67" s="111">
        <v>-1049</v>
      </c>
      <c r="L67" s="111">
        <v>-2121</v>
      </c>
      <c r="M67" s="110">
        <v>-499</v>
      </c>
      <c r="N67" s="111">
        <v>-1763</v>
      </c>
    </row>
    <row r="68" spans="2:14">
      <c r="B68" s="109" t="s">
        <v>255</v>
      </c>
      <c r="C68" s="110">
        <v>0</v>
      </c>
      <c r="D68" s="110">
        <v>0</v>
      </c>
      <c r="E68" s="110">
        <v>0</v>
      </c>
      <c r="F68" s="110">
        <v>0</v>
      </c>
      <c r="G68" s="110">
        <v>0</v>
      </c>
      <c r="H68" s="110">
        <v>0</v>
      </c>
      <c r="I68" s="110">
        <v>0</v>
      </c>
      <c r="J68" s="110">
        <v>0</v>
      </c>
      <c r="K68" s="110">
        <v>-180</v>
      </c>
      <c r="L68" s="110">
        <v>-179</v>
      </c>
      <c r="M68" s="110">
        <v>-203</v>
      </c>
      <c r="N68" s="110">
        <v>-221</v>
      </c>
    </row>
    <row r="69" spans="2:14">
      <c r="B69" s="109" t="s">
        <v>256</v>
      </c>
      <c r="C69" s="110">
        <v>0</v>
      </c>
      <c r="D69" s="110">
        <v>0</v>
      </c>
      <c r="E69" s="110">
        <v>0</v>
      </c>
      <c r="F69" s="110">
        <v>0</v>
      </c>
      <c r="G69" s="110">
        <v>0</v>
      </c>
      <c r="H69" s="110">
        <v>66</v>
      </c>
      <c r="I69" s="110">
        <v>13</v>
      </c>
      <c r="J69" s="110">
        <v>-82</v>
      </c>
      <c r="K69" s="110">
        <v>0</v>
      </c>
      <c r="L69" s="110">
        <v>-209</v>
      </c>
      <c r="M69" s="110">
        <v>0</v>
      </c>
      <c r="N69" s="110">
        <v>-140</v>
      </c>
    </row>
    <row r="70" spans="2:14">
      <c r="B70" s="105" t="s">
        <v>153</v>
      </c>
      <c r="C70" s="106">
        <v>-11</v>
      </c>
      <c r="D70" s="106">
        <v>-2</v>
      </c>
      <c r="E70" s="106">
        <v>123</v>
      </c>
      <c r="F70" s="106">
        <v>190</v>
      </c>
      <c r="G70" s="106">
        <v>147</v>
      </c>
      <c r="H70" s="106">
        <v>528</v>
      </c>
      <c r="I70" s="106">
        <v>90</v>
      </c>
      <c r="J70" s="106">
        <v>-822</v>
      </c>
      <c r="K70" s="106">
        <v>434</v>
      </c>
      <c r="L70" s="106">
        <v>-351</v>
      </c>
      <c r="M70" s="107">
        <v>2492</v>
      </c>
      <c r="N70" s="107">
        <v>-1138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WACC</vt:lpstr>
      <vt:lpstr>Beta - Regression</vt:lpstr>
      <vt:lpstr>Beta - Comps</vt:lpstr>
      <vt:lpstr>Rm</vt:lpstr>
      <vt:lpstr>Intrisic Growth</vt:lpstr>
      <vt:lpstr>DCF</vt:lpstr>
      <vt:lpstr>Comps_Val</vt:lpstr>
      <vt:lpstr>Football Field</vt:lpstr>
      <vt:lpstr>HistoricalFS</vt:lpstr>
      <vt:lpstr>Dupont Analysis</vt:lpstr>
      <vt:lpstr>Altman Z Score</vt:lpstr>
      <vt:lpstr>Relative Data</vt:lpstr>
      <vt:lpstr>Data Sheet</vt:lpstr>
      <vt:lpstr>Raw FS</vt:lpstr>
      <vt:lpstr>'Altman Z Score'!Print_Area</vt:lpstr>
      <vt:lpstr>Comps_Val!Print_Area</vt:lpstr>
      <vt:lpstr>'Dupont Analysis'!Print_Area</vt:lpstr>
      <vt:lpstr>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Valuation School</dc:creator>
  <cp:lastModifiedBy>ACER</cp:lastModifiedBy>
  <cp:lastPrinted>2023-05-28T06:45:54Z</cp:lastPrinted>
  <dcterms:created xsi:type="dcterms:W3CDTF">2023-02-06T14:53:36Z</dcterms:created>
  <dcterms:modified xsi:type="dcterms:W3CDTF">2024-11-08T21:10:01Z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{1EE99B22-FCBF-4602-91E6-C0830BFCF47D}</vt:lpwstr>
  </property>
</Properties>
</file>