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1.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6.xml" ContentType="application/vnd.openxmlformats-officedocument.drawing+xml"/>
  <Override PartName="/xl/comments2.xml" ContentType="application/vnd.openxmlformats-officedocument.spreadsheetml.comments+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7.xml" ContentType="application/vnd.openxmlformats-officedocument.drawing+xml"/>
  <Override PartName="/xl/charts/chart30.xml" ContentType="application/vnd.openxmlformats-officedocument.drawingml.chart+xml"/>
  <Override PartName="/xl/charts/style27.xml" ContentType="application/vnd.ms-office.chartstyle+xml"/>
  <Override PartName="/xl/charts/colors27.xml" ContentType="application/vnd.ms-office.chartcolorstyle+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35.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8.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3.xml" ContentType="application/vnd.openxmlformats-officedocument.spreadsheetml.comments+xml"/>
  <Override PartName="/xl/drawings/drawing9.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comments4.xml" ContentType="application/vnd.openxmlformats-officedocument.spreadsheetml.comments+xml"/>
  <Override PartName="/xl/drawings/drawing10.xml" ContentType="application/vnd.openxmlformats-officedocument.drawing+xml"/>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yman\Box Sync\USU\Thesis\GAMS\GAMSCode\"/>
    </mc:Choice>
  </mc:AlternateContent>
  <bookViews>
    <workbookView xWindow="0" yWindow="0" windowWidth="4140" windowHeight="1320" tabRatio="893" firstSheet="5" activeTab="19"/>
  </bookViews>
  <sheets>
    <sheet name="Intro" sheetId="1" r:id="rId1"/>
    <sheet name="Copyright &amp; License" sheetId="122" r:id="rId2"/>
    <sheet name="BearRiverNetwork" sheetId="123" r:id="rId3"/>
    <sheet name="SubInd" sheetId="2" r:id="rId4"/>
    <sheet name="FishSpp" sheetId="22" r:id="rId5"/>
    <sheet name="VegSpp" sheetId="23" r:id="rId6"/>
    <sheet name="Month" sheetId="24" r:id="rId7"/>
    <sheet name="Nodes" sheetId="10" r:id="rId8"/>
    <sheet name="NodesNotDemand" sheetId="109" r:id="rId9"/>
    <sheet name="NodeNotHeadwater" sheetId="121" r:id="rId10"/>
    <sheet name="MassBalanceNodes" sheetId="152" r:id="rId11"/>
    <sheet name="Reservoirs" sheetId="25" r:id="rId12"/>
    <sheet name="Wetlands" sheetId="26" r:id="rId13"/>
    <sheet name="Demand" sheetId="27" r:id="rId14"/>
    <sheet name="R_indx" sheetId="55" r:id="rId15"/>
    <sheet name="sf_indx" sheetId="57" r:id="rId16"/>
    <sheet name="wf_indx" sheetId="58" r:id="rId17"/>
    <sheet name="wsi_indx" sheetId="59" r:id="rId18"/>
    <sheet name="EnvSite" sheetId="28" r:id="rId19"/>
    <sheet name="Connect" sheetId="11" r:id="rId20"/>
    <sheet name="Diversions" sheetId="29" r:id="rId21"/>
    <sheet name="ReturnFlow" sheetId="30" r:id="rId22"/>
    <sheet name="WetlandsSites" sheetId="102" r:id="rId23"/>
    <sheet name="LinktoReservoir" sheetId="105" r:id="rId24"/>
    <sheet name="LinkOutReservoir" sheetId="110" r:id="rId25"/>
    <sheet name="rsiIndex" sheetId="111" r:id="rId26"/>
    <sheet name="rsiEQ" sheetId="112" r:id="rId27"/>
    <sheet name="fciIndex" sheetId="113" r:id="rId28"/>
    <sheet name="fciEQ" sheetId="114" r:id="rId29"/>
    <sheet name="wp" sheetId="7" r:id="rId30"/>
    <sheet name="Length" sheetId="15" r:id="rId31"/>
    <sheet name="aw" sheetId="32" r:id="rId32"/>
    <sheet name="lss" sheetId="8" r:id="rId33"/>
    <sheet name="LinkName" sheetId="119" r:id="rId34"/>
    <sheet name="evap" sheetId="33" r:id="rId35"/>
    <sheet name="linkEvap" sheetId="157" r:id="rId36"/>
    <sheet name="evap_WEAP" sheetId="155" r:id="rId37"/>
    <sheet name="ResElevVol" sheetId="53" r:id="rId38"/>
    <sheet name="Cons" sheetId="51" r:id="rId39"/>
    <sheet name="inactive" sheetId="40" r:id="rId40"/>
    <sheet name="capacity" sheetId="42" r:id="rId41"/>
    <sheet name="InStor" sheetId="106" r:id="rId42"/>
    <sheet name="demandReq" sheetId="43" r:id="rId43"/>
    <sheet name="demandReq_Sc" sheetId="141" r:id="rId44"/>
    <sheet name="Instream" sheetId="52" r:id="rId45"/>
    <sheet name="divCap" sheetId="44" r:id="rId46"/>
    <sheet name="StageFlow" sheetId="16" r:id="rId47"/>
    <sheet name="WidthFlow" sheetId="38" r:id="rId48"/>
    <sheet name="Revegetate" sheetId="118" r:id="rId49"/>
    <sheet name="NaturalGrowth" sheetId="164" r:id="rId50"/>
    <sheet name="MaxVegCover" sheetId="143" r:id="rId51"/>
    <sheet name="SimLinks" sheetId="149" r:id="rId52"/>
    <sheet name="Connect_Sim" sheetId="150" r:id="rId53"/>
    <sheet name="Qmax" sheetId="125" r:id="rId54"/>
    <sheet name="Qmin" sheetId="144" r:id="rId55"/>
    <sheet name="QSim" sheetId="147" r:id="rId56"/>
    <sheet name="QSimulation_NHD" sheetId="131" r:id="rId57"/>
    <sheet name="HeadFlow" sheetId="115" r:id="rId58"/>
    <sheet name="HeadFlow_Climate1" sheetId="134" r:id="rId59"/>
    <sheet name="HeadFlow_Climate2" sheetId="139" r:id="rId60"/>
    <sheet name="RiversHeadFlow" sheetId="117" r:id="rId61"/>
    <sheet name="RiversHeadFlow-2005" sheetId="160" r:id="rId62"/>
    <sheet name="RiversHeadFlow-2006" sheetId="161" r:id="rId63"/>
    <sheet name="RiversHeadFlow-2011" sheetId="162" r:id="rId64"/>
    <sheet name="RiversHeadFlow-2003" sheetId="163" r:id="rId65"/>
    <sheet name="weights" sheetId="3" r:id="rId66"/>
    <sheet name="Budget" sheetId="39" r:id="rId67"/>
    <sheet name="InitD" sheetId="107" r:id="rId68"/>
    <sheet name="InitC" sheetId="108" r:id="rId69"/>
    <sheet name="UnitCost" sheetId="46" r:id="rId70"/>
    <sheet name="Runs" sheetId="153" r:id="rId71"/>
    <sheet name="DemandRuns" sheetId="154" r:id="rId72"/>
    <sheet name="Qrun" sheetId="158" r:id="rId73"/>
    <sheet name="QRunValues" sheetId="159" r:id="rId74"/>
    <sheet name="EvaporationCurve" sheetId="120" r:id="rId75"/>
    <sheet name="WSI curves-Mm3" sheetId="126" r:id="rId76"/>
    <sheet name="Stage-Flow" sheetId="127" r:id="rId77"/>
    <sheet name="Stage-Flow-Width" sheetId="156" r:id="rId78"/>
    <sheet name="RSI curves" sheetId="128" r:id="rId79"/>
    <sheet name="RSI curves-Stage" sheetId="145" r:id="rId80"/>
    <sheet name="h curves" sheetId="129" r:id="rId81"/>
  </sheets>
  <externalReferences>
    <externalReference r:id="rId82"/>
    <externalReference r:id="rId83"/>
    <externalReference r:id="rId84"/>
    <externalReference r:id="rId85"/>
  </externalReferences>
  <calcPr calcId="162913"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1" l="1"/>
  <c r="N28" i="156" l="1"/>
  <c r="N30" i="156"/>
  <c r="N27" i="156"/>
  <c r="N22" i="156"/>
  <c r="N23" i="156"/>
  <c r="N24" i="156"/>
  <c r="N26" i="156"/>
  <c r="N21" i="156"/>
  <c r="N14" i="156"/>
  <c r="N15" i="156"/>
  <c r="N16" i="156"/>
  <c r="N17" i="156"/>
  <c r="N18" i="156"/>
  <c r="N19" i="156"/>
  <c r="N13" i="156"/>
  <c r="J28" i="156"/>
  <c r="J30" i="156"/>
  <c r="J27" i="156"/>
  <c r="J22" i="156"/>
  <c r="J23" i="156"/>
  <c r="J24" i="156"/>
  <c r="J26" i="156"/>
  <c r="J21" i="156"/>
  <c r="J14" i="156"/>
  <c r="J15" i="156"/>
  <c r="J16" i="156"/>
  <c r="J17" i="156"/>
  <c r="J18" i="156"/>
  <c r="J19" i="156"/>
  <c r="J13" i="156"/>
  <c r="I13" i="156"/>
  <c r="Q15" i="156" l="1"/>
  <c r="Q16" i="156"/>
  <c r="Q19" i="156"/>
  <c r="Q21" i="156"/>
  <c r="Q22" i="156"/>
  <c r="Q23" i="156"/>
  <c r="Q24" i="156"/>
  <c r="Q26" i="156"/>
  <c r="Q27" i="156"/>
  <c r="Q28" i="156"/>
  <c r="Q30" i="156"/>
  <c r="Q14" i="156"/>
  <c r="R7" i="156" l="1"/>
  <c r="S7" i="156"/>
  <c r="Q7" i="156"/>
  <c r="S5" i="156" l="1"/>
  <c r="S9" i="156" s="1"/>
  <c r="P14" i="156" l="1"/>
  <c r="P15" i="156"/>
  <c r="P16" i="156"/>
  <c r="P19" i="156"/>
  <c r="R5" i="156"/>
  <c r="R9" i="156" l="1"/>
  <c r="P22" i="156" s="1"/>
  <c r="P25" i="156"/>
  <c r="P26" i="156"/>
  <c r="P24" i="156"/>
  <c r="Q5" i="156"/>
  <c r="Q9" i="156" s="1"/>
  <c r="P23" i="156" l="1"/>
  <c r="P21" i="156"/>
  <c r="P28" i="156"/>
  <c r="P30" i="156"/>
  <c r="P27" i="156"/>
  <c r="L20" i="156"/>
  <c r="L25" i="156"/>
  <c r="L29" i="156"/>
  <c r="L30" i="156"/>
  <c r="G14" i="156"/>
  <c r="G15" i="156"/>
  <c r="G16" i="156"/>
  <c r="G17" i="156"/>
  <c r="G18" i="156"/>
  <c r="G19" i="156"/>
  <c r="G21" i="156"/>
  <c r="G22" i="156"/>
  <c r="G23" i="156"/>
  <c r="G24" i="156"/>
  <c r="G26" i="156"/>
  <c r="G27" i="156"/>
  <c r="I27" i="156" s="1"/>
  <c r="O27" i="156" s="1"/>
  <c r="G28" i="156"/>
  <c r="I28" i="156" s="1"/>
  <c r="O28" i="156" s="1"/>
  <c r="G30" i="156"/>
  <c r="I30" i="156" s="1"/>
  <c r="O30" i="156" s="1"/>
  <c r="G13" i="156"/>
  <c r="L24" i="156" l="1"/>
  <c r="I24" i="156"/>
  <c r="O24" i="156" s="1"/>
  <c r="L19" i="156"/>
  <c r="I19" i="156"/>
  <c r="O19" i="156" s="1"/>
  <c r="L15" i="156"/>
  <c r="I15" i="156"/>
  <c r="O15" i="156" s="1"/>
  <c r="L22" i="156"/>
  <c r="I22" i="156"/>
  <c r="O22" i="156" s="1"/>
  <c r="L17" i="156"/>
  <c r="I17" i="156"/>
  <c r="O17" i="156" s="1"/>
  <c r="L13" i="156"/>
  <c r="O13" i="156"/>
  <c r="L26" i="156"/>
  <c r="I26" i="156"/>
  <c r="O26" i="156" s="1"/>
  <c r="L21" i="156"/>
  <c r="I21" i="156"/>
  <c r="O21" i="156" s="1"/>
  <c r="L16" i="156"/>
  <c r="I16" i="156"/>
  <c r="O16" i="156" s="1"/>
  <c r="L23" i="156"/>
  <c r="I23" i="156"/>
  <c r="O23" i="156" s="1"/>
  <c r="L18" i="156"/>
  <c r="I18" i="156"/>
  <c r="O18" i="156" s="1"/>
  <c r="L14" i="156"/>
  <c r="I14" i="156"/>
  <c r="O14" i="156" s="1"/>
  <c r="L28" i="156"/>
  <c r="L27" i="156"/>
  <c r="H30" i="156"/>
  <c r="M14" i="156"/>
  <c r="M15" i="156"/>
  <c r="M17" i="156"/>
  <c r="M18" i="156"/>
  <c r="M21" i="156"/>
  <c r="M24" i="156"/>
  <c r="M27" i="156"/>
  <c r="M28" i="156"/>
  <c r="M30" i="156"/>
  <c r="M13" i="156"/>
  <c r="K14" i="156"/>
  <c r="K15" i="156"/>
  <c r="K16" i="156"/>
  <c r="K17" i="156"/>
  <c r="K18" i="156"/>
  <c r="K19" i="156"/>
  <c r="K20" i="156"/>
  <c r="K21" i="156"/>
  <c r="K22" i="156"/>
  <c r="K23" i="156"/>
  <c r="K24" i="156"/>
  <c r="K26" i="156"/>
  <c r="K27" i="156"/>
  <c r="K28" i="156"/>
  <c r="K30" i="156"/>
  <c r="K13" i="156"/>
  <c r="H22" i="156"/>
  <c r="M22" i="156" s="1"/>
  <c r="H20" i="156"/>
  <c r="M20" i="156" s="1"/>
  <c r="H19" i="156" l="1"/>
  <c r="M19" i="156" s="1"/>
  <c r="H16" i="156"/>
  <c r="M16" i="156" s="1"/>
  <c r="H26" i="156"/>
  <c r="M26" i="156" s="1"/>
  <c r="H23" i="156"/>
  <c r="M23" i="156" s="1"/>
  <c r="E10" i="147" l="1"/>
  <c r="F10" i="147"/>
  <c r="G10" i="147"/>
  <c r="H10" i="147"/>
  <c r="I10" i="147"/>
  <c r="J10" i="147"/>
  <c r="K10" i="147"/>
  <c r="L10" i="147"/>
  <c r="M10" i="147"/>
  <c r="N10" i="147"/>
  <c r="O10" i="147"/>
  <c r="D10" i="147"/>
  <c r="E3" i="147" l="1"/>
  <c r="F3" i="147"/>
  <c r="G3" i="147"/>
  <c r="H3" i="147"/>
  <c r="I3" i="147"/>
  <c r="J3" i="147"/>
  <c r="K3" i="147"/>
  <c r="L3" i="147"/>
  <c r="M3" i="147"/>
  <c r="N3" i="147"/>
  <c r="O3" i="147"/>
  <c r="D3" i="147"/>
  <c r="E2" i="147" l="1"/>
  <c r="F2" i="147"/>
  <c r="G2" i="147"/>
  <c r="H2" i="147"/>
  <c r="I2" i="147"/>
  <c r="J2" i="147"/>
  <c r="K2" i="147"/>
  <c r="L2" i="147"/>
  <c r="M2" i="147"/>
  <c r="N2" i="147"/>
  <c r="O2" i="147"/>
  <c r="D2" i="147"/>
  <c r="E4" i="147"/>
  <c r="F4" i="147"/>
  <c r="G4" i="147"/>
  <c r="H4" i="147"/>
  <c r="I4" i="147"/>
  <c r="J4" i="147"/>
  <c r="K4" i="147"/>
  <c r="L4" i="147"/>
  <c r="M4" i="147"/>
  <c r="N4" i="147"/>
  <c r="O4" i="147"/>
  <c r="D4" i="147"/>
  <c r="E5" i="147"/>
  <c r="F5" i="147"/>
  <c r="G5" i="147"/>
  <c r="H5" i="147"/>
  <c r="I5" i="147"/>
  <c r="J5" i="147"/>
  <c r="K5" i="147"/>
  <c r="L5" i="147"/>
  <c r="M5" i="147"/>
  <c r="N5" i="147"/>
  <c r="O5" i="147"/>
  <c r="D5" i="147"/>
  <c r="E6" i="147"/>
  <c r="F6" i="147"/>
  <c r="G6" i="147"/>
  <c r="H6" i="147"/>
  <c r="I6" i="147"/>
  <c r="J6" i="147"/>
  <c r="K6" i="147"/>
  <c r="L6" i="147"/>
  <c r="M6" i="147"/>
  <c r="N6" i="147"/>
  <c r="O6" i="147"/>
  <c r="D6" i="147"/>
  <c r="F7" i="147"/>
  <c r="G7" i="147"/>
  <c r="H7" i="147"/>
  <c r="I7" i="147"/>
  <c r="J7" i="147"/>
  <c r="K7" i="147"/>
  <c r="L7" i="147"/>
  <c r="M7" i="147"/>
  <c r="N7" i="147"/>
  <c r="O7" i="147"/>
  <c r="E7" i="147"/>
  <c r="D7" i="147"/>
  <c r="D122" i="120" l="1"/>
  <c r="D123" i="120"/>
  <c r="D124" i="120"/>
  <c r="D125" i="120"/>
  <c r="D126" i="120"/>
  <c r="D127" i="120"/>
  <c r="D128" i="120"/>
  <c r="D129" i="120"/>
  <c r="D130" i="120"/>
  <c r="D131" i="120"/>
  <c r="D132" i="120"/>
  <c r="D133" i="120"/>
  <c r="D134" i="120"/>
  <c r="D135" i="120"/>
  <c r="D136" i="120"/>
  <c r="C136" i="120"/>
  <c r="B136" i="120"/>
  <c r="C135" i="120"/>
  <c r="B135" i="120"/>
  <c r="C134" i="120"/>
  <c r="B134" i="120"/>
  <c r="G133" i="120"/>
  <c r="C133" i="120"/>
  <c r="B133" i="120"/>
  <c r="G132" i="120"/>
  <c r="C132" i="120"/>
  <c r="B132" i="120"/>
  <c r="G131" i="120"/>
  <c r="C131" i="120"/>
  <c r="B131" i="120"/>
  <c r="G130" i="120"/>
  <c r="C130" i="120"/>
  <c r="B130" i="120"/>
  <c r="G129" i="120"/>
  <c r="C129" i="120"/>
  <c r="B129" i="120"/>
  <c r="G128" i="120"/>
  <c r="C128" i="120"/>
  <c r="B128" i="120"/>
  <c r="G127" i="120"/>
  <c r="C127" i="120"/>
  <c r="B127" i="120"/>
  <c r="G126" i="120"/>
  <c r="C126" i="120"/>
  <c r="B126" i="120"/>
  <c r="G125" i="120"/>
  <c r="C125" i="120"/>
  <c r="B125" i="120"/>
  <c r="G124" i="120"/>
  <c r="C124" i="120"/>
  <c r="B124" i="120"/>
  <c r="G123" i="120"/>
  <c r="C123" i="120"/>
  <c r="B123" i="120"/>
  <c r="G122" i="120"/>
  <c r="C122" i="120"/>
  <c r="B122" i="120"/>
  <c r="E135" i="120" l="1"/>
  <c r="E132" i="120"/>
  <c r="E127" i="120"/>
  <c r="E122" i="120"/>
  <c r="E136" i="120"/>
  <c r="E123" i="120"/>
  <c r="E128" i="120"/>
  <c r="E133" i="120"/>
  <c r="E130" i="120"/>
  <c r="E129" i="120"/>
  <c r="E131" i="120"/>
  <c r="E125" i="120"/>
  <c r="E134" i="120"/>
  <c r="E126" i="120"/>
  <c r="E124" i="120"/>
  <c r="F113" i="145"/>
  <c r="F112" i="145"/>
  <c r="F111" i="145"/>
  <c r="F110" i="145"/>
  <c r="F109" i="145"/>
  <c r="F108" i="145"/>
  <c r="F107" i="145"/>
  <c r="F106" i="145"/>
  <c r="F105" i="145"/>
  <c r="F104" i="145"/>
  <c r="F103" i="145"/>
  <c r="F102" i="145"/>
  <c r="F101" i="145"/>
  <c r="F100" i="145"/>
  <c r="F99" i="145"/>
  <c r="F98" i="145"/>
  <c r="F97" i="145"/>
  <c r="F96" i="145"/>
  <c r="F95" i="145"/>
  <c r="F94" i="145"/>
  <c r="F93" i="145"/>
  <c r="F92" i="145"/>
  <c r="F91" i="145"/>
  <c r="F90" i="145"/>
  <c r="F89" i="145"/>
  <c r="F88" i="145"/>
  <c r="F87" i="145"/>
  <c r="F86" i="145"/>
  <c r="F85" i="145"/>
  <c r="Z84" i="145"/>
  <c r="F84" i="145"/>
  <c r="Z83" i="145"/>
  <c r="F83" i="145"/>
  <c r="Z82" i="145"/>
  <c r="F82" i="145"/>
  <c r="Z81" i="145"/>
  <c r="F81" i="145"/>
  <c r="Z80" i="145"/>
  <c r="F80" i="145"/>
  <c r="Z79" i="145"/>
  <c r="F79" i="145"/>
  <c r="Z78" i="145"/>
  <c r="F78" i="145"/>
  <c r="Z77" i="145"/>
  <c r="F77" i="145"/>
  <c r="AO76" i="145"/>
  <c r="Z76" i="145"/>
  <c r="F76" i="145"/>
  <c r="AO75" i="145"/>
  <c r="Z75" i="145"/>
  <c r="F75" i="145"/>
  <c r="AO74" i="145"/>
  <c r="Z74" i="145"/>
  <c r="F74" i="145"/>
  <c r="AO73" i="145"/>
  <c r="Z73" i="145"/>
  <c r="F73" i="145"/>
  <c r="AO72" i="145"/>
  <c r="Z72" i="145"/>
  <c r="F72" i="145"/>
  <c r="AO71" i="145"/>
  <c r="Z71" i="145"/>
  <c r="F71" i="145"/>
  <c r="AO70" i="145"/>
  <c r="Z70" i="145"/>
  <c r="F70" i="145"/>
  <c r="AO69" i="145"/>
  <c r="Z69" i="145"/>
  <c r="F69" i="145"/>
  <c r="AO68" i="145"/>
  <c r="Z68" i="145"/>
  <c r="F68" i="145"/>
  <c r="AO67" i="145"/>
  <c r="Z67" i="145"/>
  <c r="F67" i="145"/>
  <c r="AO66" i="145"/>
  <c r="Z66" i="145"/>
  <c r="F66" i="145"/>
  <c r="AO65" i="145"/>
  <c r="Z65" i="145"/>
  <c r="F65" i="145"/>
  <c r="AO64" i="145"/>
  <c r="Z64" i="145"/>
  <c r="F64" i="145"/>
  <c r="AO63" i="145"/>
  <c r="Z63" i="145"/>
  <c r="F63" i="145"/>
  <c r="AO62" i="145"/>
  <c r="Z62" i="145"/>
  <c r="F62" i="145"/>
  <c r="AO61" i="145"/>
  <c r="Z61" i="145"/>
  <c r="F61" i="145"/>
  <c r="AO60" i="145"/>
  <c r="Z60" i="145"/>
  <c r="F60" i="145"/>
  <c r="AT59" i="145"/>
  <c r="AO59" i="145"/>
  <c r="Z59" i="145"/>
  <c r="F59" i="145"/>
  <c r="AO58" i="145"/>
  <c r="AE58" i="145"/>
  <c r="Z58" i="145"/>
  <c r="F58" i="145"/>
  <c r="AO57" i="145"/>
  <c r="Z57" i="145"/>
  <c r="F57" i="145"/>
  <c r="AO56" i="145"/>
  <c r="Z56" i="145"/>
  <c r="F56" i="145"/>
  <c r="AO55" i="145"/>
  <c r="Z55" i="145"/>
  <c r="K55" i="145"/>
  <c r="F55" i="145"/>
  <c r="AO54" i="145"/>
  <c r="Z54" i="145"/>
  <c r="F54" i="145"/>
  <c r="AO53" i="145"/>
  <c r="Z53" i="145"/>
  <c r="F53" i="145"/>
  <c r="AO52" i="145"/>
  <c r="Z52" i="145"/>
  <c r="F52" i="145"/>
  <c r="AO51" i="145"/>
  <c r="Z51" i="145"/>
  <c r="F51" i="145"/>
  <c r="AO50" i="145"/>
  <c r="Z50" i="145"/>
  <c r="F50" i="145"/>
  <c r="AO49" i="145"/>
  <c r="Z49" i="145"/>
  <c r="F49" i="145"/>
  <c r="AO48" i="145"/>
  <c r="Z48" i="145"/>
  <c r="F48" i="145"/>
  <c r="AO47" i="145"/>
  <c r="Z47" i="145"/>
  <c r="F47" i="145"/>
  <c r="AO46" i="145"/>
  <c r="Z46" i="145"/>
  <c r="F46" i="145"/>
  <c r="AO45" i="145"/>
  <c r="Z45" i="145"/>
  <c r="F45" i="145"/>
  <c r="AO44" i="145"/>
  <c r="Z44" i="145"/>
  <c r="F44" i="145"/>
  <c r="AO43" i="145"/>
  <c r="Z43" i="145"/>
  <c r="F43" i="145"/>
  <c r="AO42" i="145"/>
  <c r="Z42" i="145"/>
  <c r="F42" i="145"/>
  <c r="AO41" i="145"/>
  <c r="Z41" i="145"/>
  <c r="F41" i="145"/>
  <c r="AO40" i="145"/>
  <c r="Z40" i="145"/>
  <c r="F40" i="145"/>
  <c r="AO39" i="145"/>
  <c r="Z39" i="145"/>
  <c r="F39" i="145"/>
  <c r="AO38" i="145"/>
  <c r="Z38" i="145"/>
  <c r="F38" i="145"/>
  <c r="AO37" i="145"/>
  <c r="Z37" i="145"/>
  <c r="F37" i="145"/>
  <c r="Z36" i="145"/>
  <c r="F36" i="145"/>
  <c r="F35" i="145"/>
  <c r="AP63" i="145"/>
  <c r="J67" i="145"/>
  <c r="AP70" i="145"/>
  <c r="G46" i="145"/>
  <c r="AP44" i="145"/>
  <c r="AA40" i="145"/>
  <c r="AP42" i="145"/>
  <c r="G111" i="145"/>
  <c r="AP76" i="145"/>
  <c r="G102" i="145"/>
  <c r="G93" i="145"/>
  <c r="AP40" i="145"/>
  <c r="G78" i="145"/>
  <c r="G76" i="145"/>
  <c r="AA53" i="145"/>
  <c r="G84" i="145"/>
  <c r="AA73" i="145"/>
  <c r="AA37" i="145"/>
  <c r="AA76" i="145"/>
  <c r="AA60" i="145"/>
  <c r="AP50" i="145"/>
  <c r="G43" i="145"/>
  <c r="G87" i="145"/>
  <c r="AA38" i="145"/>
  <c r="AA46" i="145"/>
  <c r="AP61" i="145"/>
  <c r="AA82" i="145"/>
  <c r="G99" i="145"/>
  <c r="G90" i="145"/>
  <c r="AA47" i="145"/>
  <c r="AP60" i="145"/>
  <c r="AW36" i="145"/>
  <c r="AA71" i="145"/>
  <c r="AP68" i="145"/>
  <c r="G72" i="145"/>
  <c r="AP71" i="145"/>
  <c r="AA54" i="145"/>
  <c r="AA51" i="145"/>
  <c r="AP38" i="145"/>
  <c r="G98" i="145"/>
  <c r="G62" i="145"/>
  <c r="AA70" i="145"/>
  <c r="AP65" i="145"/>
  <c r="AA84" i="145"/>
  <c r="G104" i="145"/>
  <c r="AA59" i="145"/>
  <c r="AA81" i="145"/>
  <c r="G54" i="145"/>
  <c r="AA83" i="145"/>
  <c r="AP74" i="145"/>
  <c r="AP57" i="145"/>
  <c r="AP69" i="145"/>
  <c r="AA62" i="145"/>
  <c r="G65" i="145"/>
  <c r="G45" i="145"/>
  <c r="J66" i="145"/>
  <c r="G52" i="145"/>
  <c r="AS72" i="145"/>
  <c r="G73" i="145"/>
  <c r="AA66" i="145"/>
  <c r="AP49" i="145"/>
  <c r="AP55" i="145"/>
  <c r="AP48" i="145"/>
  <c r="AA44" i="145"/>
  <c r="G95" i="145"/>
  <c r="AG38" i="145"/>
  <c r="AA52" i="145"/>
  <c r="AG35" i="145"/>
  <c r="G88" i="145"/>
  <c r="G80" i="145"/>
  <c r="AP64" i="145"/>
  <c r="G59" i="145"/>
  <c r="AP46" i="145"/>
  <c r="G56" i="145"/>
  <c r="AA64" i="145"/>
  <c r="AP37" i="145"/>
  <c r="G38" i="145"/>
  <c r="G82" i="145"/>
  <c r="AA77" i="145"/>
  <c r="AP52" i="145"/>
  <c r="G67" i="145"/>
  <c r="AP51" i="145"/>
  <c r="AP41" i="145"/>
  <c r="AP56" i="145"/>
  <c r="G37" i="145"/>
  <c r="G113" i="145"/>
  <c r="G96" i="145"/>
  <c r="G70" i="145"/>
  <c r="G105" i="145"/>
  <c r="G106" i="145"/>
  <c r="G69" i="145"/>
  <c r="AA69" i="145"/>
  <c r="AP53" i="145"/>
  <c r="G51" i="145"/>
  <c r="AA48" i="145"/>
  <c r="AA75" i="145"/>
  <c r="AA39" i="145"/>
  <c r="AA56" i="145"/>
  <c r="AP43" i="145"/>
  <c r="G89" i="145"/>
  <c r="G47" i="145"/>
  <c r="AW38" i="145"/>
  <c r="AP39" i="145"/>
  <c r="G71" i="145"/>
  <c r="G42" i="145"/>
  <c r="AA72" i="145"/>
  <c r="G77" i="145"/>
  <c r="G74" i="145"/>
  <c r="AP72" i="145"/>
  <c r="AA68" i="145"/>
  <c r="AA36" i="145"/>
  <c r="G66" i="145"/>
  <c r="G64" i="145"/>
  <c r="G63" i="145"/>
  <c r="G91" i="145"/>
  <c r="G61" i="145"/>
  <c r="AA65" i="145"/>
  <c r="AP66" i="145"/>
  <c r="G40" i="145"/>
  <c r="G39" i="145"/>
  <c r="G36" i="145"/>
  <c r="AA63" i="145"/>
  <c r="G86" i="145"/>
  <c r="AA79" i="145"/>
  <c r="G49" i="145"/>
  <c r="G44" i="145"/>
  <c r="G109" i="145"/>
  <c r="AA67" i="145"/>
  <c r="AP59" i="145"/>
  <c r="AP54" i="145"/>
  <c r="AA50" i="145"/>
  <c r="G53" i="145"/>
  <c r="G50" i="145"/>
  <c r="AA55" i="145"/>
  <c r="G110" i="145"/>
  <c r="AP47" i="145"/>
  <c r="G101" i="145"/>
  <c r="AA61" i="145"/>
  <c r="AP67" i="145"/>
  <c r="G35" i="145"/>
  <c r="AP58" i="145"/>
  <c r="P34" i="145"/>
  <c r="AA80" i="145"/>
  <c r="AA74" i="145"/>
  <c r="G83" i="145"/>
  <c r="G58" i="145"/>
  <c r="G112" i="145"/>
  <c r="AA78" i="145"/>
  <c r="G81" i="145"/>
  <c r="AA41" i="145"/>
  <c r="G79" i="145"/>
  <c r="G41" i="145"/>
  <c r="G94" i="145"/>
  <c r="AA43" i="145"/>
  <c r="AP75" i="145"/>
  <c r="AP45" i="145"/>
  <c r="AP73" i="145"/>
  <c r="AP62" i="145"/>
  <c r="G103" i="145"/>
  <c r="G75" i="145"/>
  <c r="G92" i="145"/>
  <c r="G107" i="145"/>
  <c r="G85" i="145"/>
  <c r="AA45" i="145"/>
  <c r="G55" i="145"/>
  <c r="G100" i="145"/>
  <c r="G57" i="145"/>
  <c r="G68" i="145"/>
  <c r="AA49" i="145"/>
  <c r="G97" i="145"/>
  <c r="AA57" i="145"/>
  <c r="G108" i="145"/>
  <c r="AA42" i="145"/>
  <c r="AA58" i="145"/>
  <c r="G60" i="145"/>
  <c r="G48" i="145"/>
  <c r="C7" i="141" l="1"/>
  <c r="D7" i="141"/>
  <c r="E7" i="141"/>
  <c r="F7" i="141"/>
  <c r="G7" i="141"/>
  <c r="H7" i="141"/>
  <c r="I7" i="141"/>
  <c r="J7" i="141"/>
  <c r="K7" i="141"/>
  <c r="L7" i="141"/>
  <c r="M7" i="141"/>
  <c r="B7" i="141"/>
  <c r="E3" i="141"/>
  <c r="F3" i="141"/>
  <c r="G3" i="141"/>
  <c r="H3" i="141"/>
  <c r="I3" i="141"/>
  <c r="J3" i="141"/>
  <c r="K3" i="141"/>
  <c r="L3" i="141"/>
  <c r="M3" i="141"/>
  <c r="C2" i="141"/>
  <c r="D2" i="141"/>
  <c r="E2" i="141"/>
  <c r="F2" i="141"/>
  <c r="G2" i="141"/>
  <c r="H2" i="141"/>
  <c r="I2" i="141"/>
  <c r="J2" i="141"/>
  <c r="K2" i="141"/>
  <c r="L2" i="141"/>
  <c r="M2" i="141"/>
  <c r="B2" i="141"/>
  <c r="AT38" i="145"/>
  <c r="K34" i="145"/>
  <c r="K37" i="145"/>
  <c r="AT37" i="145"/>
  <c r="AE38" i="145"/>
  <c r="N34" i="145"/>
  <c r="K35" i="145"/>
  <c r="AE36" i="145"/>
  <c r="AE35" i="145"/>
  <c r="K36" i="145"/>
  <c r="AE37" i="145"/>
  <c r="AT36" i="145"/>
  <c r="AT39" i="145"/>
  <c r="AT44" i="145" l="1"/>
  <c r="K42" i="145"/>
  <c r="AE43" i="145"/>
  <c r="M2" i="139" l="1"/>
  <c r="L2" i="139"/>
  <c r="K2" i="139"/>
  <c r="J2" i="139"/>
  <c r="I2" i="139"/>
  <c r="H2" i="139"/>
  <c r="G2" i="139"/>
  <c r="F2" i="139"/>
  <c r="E2" i="139"/>
  <c r="D2" i="139"/>
  <c r="C2" i="139"/>
  <c r="B2" i="139"/>
  <c r="C2" i="134" l="1"/>
  <c r="D2" i="134"/>
  <c r="E2" i="134"/>
  <c r="F2" i="134"/>
  <c r="G2" i="134"/>
  <c r="H2" i="134"/>
  <c r="I2" i="134"/>
  <c r="J2" i="134"/>
  <c r="K2" i="134"/>
  <c r="L2" i="134"/>
  <c r="M2" i="134"/>
  <c r="B2" i="134"/>
  <c r="O63" i="129" l="1"/>
  <c r="O45" i="129"/>
  <c r="O26" i="129"/>
  <c r="AT59" i="128"/>
  <c r="AE58" i="128"/>
  <c r="K55" i="128"/>
  <c r="E49" i="127"/>
  <c r="E48" i="127"/>
  <c r="E47" i="127"/>
  <c r="E46" i="127"/>
  <c r="E45" i="127"/>
  <c r="K42" i="127"/>
  <c r="K41" i="127"/>
  <c r="I21" i="127" s="1"/>
  <c r="H41" i="127"/>
  <c r="F41" i="127"/>
  <c r="B41" i="127"/>
  <c r="E41" i="127" s="1"/>
  <c r="K40" i="127"/>
  <c r="H40" i="127"/>
  <c r="G40" i="127"/>
  <c r="F40" i="127"/>
  <c r="B40" i="127"/>
  <c r="E40" i="127" s="1"/>
  <c r="K39" i="127"/>
  <c r="I18" i="127" s="1"/>
  <c r="I38" i="127"/>
  <c r="K38" i="127" s="1"/>
  <c r="I17" i="127" s="1"/>
  <c r="H38" i="127"/>
  <c r="F38" i="127"/>
  <c r="B38" i="127"/>
  <c r="E38" i="127" s="1"/>
  <c r="K37" i="127"/>
  <c r="I16" i="127" s="1"/>
  <c r="H37" i="127"/>
  <c r="G37" i="127"/>
  <c r="F37" i="127"/>
  <c r="B37" i="127"/>
  <c r="K36" i="127"/>
  <c r="H36" i="127"/>
  <c r="G36" i="127"/>
  <c r="F36" i="127"/>
  <c r="B36" i="127"/>
  <c r="K35" i="127"/>
  <c r="I14" i="127" s="1"/>
  <c r="H35" i="127"/>
  <c r="G35" i="127"/>
  <c r="F35" i="127"/>
  <c r="B35" i="127"/>
  <c r="A35" i="127"/>
  <c r="K34" i="127"/>
  <c r="H34" i="127"/>
  <c r="G34" i="127"/>
  <c r="F34" i="127"/>
  <c r="B34" i="127"/>
  <c r="E34" i="127" s="1"/>
  <c r="K33" i="127"/>
  <c r="I32" i="127"/>
  <c r="K32" i="127" s="1"/>
  <c r="I10" i="127" s="1"/>
  <c r="H32" i="127"/>
  <c r="F32" i="127"/>
  <c r="B32" i="127"/>
  <c r="E32" i="127" s="1"/>
  <c r="K31" i="127"/>
  <c r="I9" i="127" s="1"/>
  <c r="H31" i="127"/>
  <c r="G31" i="127"/>
  <c r="F31" i="127"/>
  <c r="B31" i="127"/>
  <c r="E31" i="127" s="1"/>
  <c r="K30" i="127"/>
  <c r="I8" i="127" s="1"/>
  <c r="H30" i="127"/>
  <c r="G30" i="127"/>
  <c r="F30" i="127"/>
  <c r="B30" i="127"/>
  <c r="K29" i="127"/>
  <c r="H29" i="127"/>
  <c r="G29" i="127"/>
  <c r="F29" i="127"/>
  <c r="B29" i="127"/>
  <c r="A29" i="127"/>
  <c r="K28" i="127"/>
  <c r="I6" i="127" s="1"/>
  <c r="H28" i="127"/>
  <c r="G28" i="127"/>
  <c r="F28" i="127"/>
  <c r="B28" i="127"/>
  <c r="E28" i="127" s="1"/>
  <c r="N22" i="127"/>
  <c r="I22" i="127"/>
  <c r="H22" i="127"/>
  <c r="N21" i="127"/>
  <c r="H21" i="127"/>
  <c r="G21" i="127"/>
  <c r="S20" i="127"/>
  <c r="R20" i="127"/>
  <c r="N20" i="127"/>
  <c r="I20" i="127"/>
  <c r="H20" i="127"/>
  <c r="G20" i="127"/>
  <c r="S19" i="127"/>
  <c r="R19" i="127"/>
  <c r="S18" i="127"/>
  <c r="R18" i="127"/>
  <c r="N18" i="127"/>
  <c r="H18" i="127"/>
  <c r="S17" i="127"/>
  <c r="R17" i="127"/>
  <c r="N17" i="127"/>
  <c r="H17" i="127"/>
  <c r="G17" i="127"/>
  <c r="S16" i="127"/>
  <c r="R16" i="127"/>
  <c r="N16" i="127"/>
  <c r="H16" i="127"/>
  <c r="G16" i="127"/>
  <c r="N15" i="127"/>
  <c r="I15" i="127"/>
  <c r="H15" i="127"/>
  <c r="G15" i="127"/>
  <c r="N14" i="127"/>
  <c r="H14" i="127"/>
  <c r="G14" i="127"/>
  <c r="N13" i="127"/>
  <c r="I13" i="127"/>
  <c r="H13" i="127"/>
  <c r="G13" i="127"/>
  <c r="S11" i="127"/>
  <c r="R11" i="127"/>
  <c r="N11" i="127"/>
  <c r="I11" i="127"/>
  <c r="H11" i="127"/>
  <c r="G11" i="127"/>
  <c r="S10" i="127"/>
  <c r="R10" i="127"/>
  <c r="N10" i="127"/>
  <c r="H10" i="127"/>
  <c r="G10" i="127"/>
  <c r="S9" i="127"/>
  <c r="R9" i="127"/>
  <c r="N9" i="127"/>
  <c r="H9" i="127"/>
  <c r="G9" i="127"/>
  <c r="S8" i="127"/>
  <c r="R8" i="127"/>
  <c r="N8" i="127"/>
  <c r="H8" i="127"/>
  <c r="G8" i="127"/>
  <c r="S7" i="127"/>
  <c r="R7" i="127"/>
  <c r="N7" i="127"/>
  <c r="I7" i="127"/>
  <c r="H7" i="127"/>
  <c r="G7" i="127"/>
  <c r="N6" i="127"/>
  <c r="H6" i="127"/>
  <c r="G6" i="127"/>
  <c r="L52" i="126"/>
  <c r="K52" i="126"/>
  <c r="J52" i="126"/>
  <c r="I52" i="126"/>
  <c r="H52" i="126"/>
  <c r="G52" i="126"/>
  <c r="F52" i="126"/>
  <c r="E52" i="126"/>
  <c r="D52" i="126"/>
  <c r="C52" i="126"/>
  <c r="B52" i="126"/>
  <c r="L51" i="126"/>
  <c r="K51" i="126"/>
  <c r="J51" i="126"/>
  <c r="I51" i="126"/>
  <c r="H51" i="126"/>
  <c r="G51" i="126"/>
  <c r="F51" i="126"/>
  <c r="E51" i="126"/>
  <c r="D51" i="126"/>
  <c r="C51" i="126"/>
  <c r="B51" i="126"/>
  <c r="L50" i="126"/>
  <c r="K50" i="126"/>
  <c r="J50" i="126"/>
  <c r="I50" i="126"/>
  <c r="H50" i="126"/>
  <c r="G50" i="126"/>
  <c r="F50" i="126"/>
  <c r="E50" i="126"/>
  <c r="D50" i="126"/>
  <c r="C50" i="126"/>
  <c r="B50" i="126"/>
  <c r="L49" i="126"/>
  <c r="K49" i="126"/>
  <c r="J49" i="126"/>
  <c r="I49" i="126"/>
  <c r="H49" i="126"/>
  <c r="G49" i="126"/>
  <c r="F49" i="126"/>
  <c r="E49" i="126"/>
  <c r="D49" i="126"/>
  <c r="C49" i="126"/>
  <c r="B49" i="126"/>
  <c r="L48" i="126"/>
  <c r="K48" i="126"/>
  <c r="J48" i="126"/>
  <c r="I48" i="126"/>
  <c r="H48" i="126"/>
  <c r="G48" i="126"/>
  <c r="F48" i="126"/>
  <c r="E48" i="126"/>
  <c r="D48" i="126"/>
  <c r="C48" i="126"/>
  <c r="B48" i="126"/>
  <c r="L47" i="126"/>
  <c r="K47" i="126"/>
  <c r="J47" i="126"/>
  <c r="I47" i="126"/>
  <c r="H47" i="126"/>
  <c r="G47" i="126"/>
  <c r="F47" i="126"/>
  <c r="E47" i="126"/>
  <c r="D47" i="126"/>
  <c r="C47" i="126"/>
  <c r="B47" i="126"/>
  <c r="L46" i="126"/>
  <c r="K46" i="126"/>
  <c r="J46" i="126"/>
  <c r="I46" i="126"/>
  <c r="H46" i="126"/>
  <c r="G46" i="126"/>
  <c r="F46" i="126"/>
  <c r="E46" i="126"/>
  <c r="D46" i="126"/>
  <c r="C46" i="126"/>
  <c r="B46" i="126"/>
  <c r="L45" i="126"/>
  <c r="K45" i="126"/>
  <c r="J45" i="126"/>
  <c r="I45" i="126"/>
  <c r="H45" i="126"/>
  <c r="G45" i="126"/>
  <c r="F45" i="126"/>
  <c r="E45" i="126"/>
  <c r="D45" i="126"/>
  <c r="C45" i="126"/>
  <c r="B45" i="126"/>
  <c r="L44" i="126"/>
  <c r="K44" i="126"/>
  <c r="J44" i="126"/>
  <c r="I44" i="126"/>
  <c r="H44" i="126"/>
  <c r="G44" i="126"/>
  <c r="F44" i="126"/>
  <c r="E44" i="126"/>
  <c r="D44" i="126"/>
  <c r="C44" i="126"/>
  <c r="B44" i="126"/>
  <c r="L43" i="126"/>
  <c r="K43" i="126"/>
  <c r="J43" i="126"/>
  <c r="I43" i="126"/>
  <c r="H43" i="126"/>
  <c r="G43" i="126"/>
  <c r="F43" i="126"/>
  <c r="E43" i="126"/>
  <c r="D43" i="126"/>
  <c r="C43" i="126"/>
  <c r="B43" i="126"/>
  <c r="L42" i="126"/>
  <c r="K42" i="126"/>
  <c r="J42" i="126"/>
  <c r="I42" i="126"/>
  <c r="H42" i="126"/>
  <c r="G42" i="126"/>
  <c r="F42" i="126"/>
  <c r="E42" i="126"/>
  <c r="D42" i="126"/>
  <c r="C42" i="126"/>
  <c r="B42" i="126"/>
  <c r="L41" i="126"/>
  <c r="K41" i="126"/>
  <c r="J41" i="126"/>
  <c r="I41" i="126"/>
  <c r="H41" i="126"/>
  <c r="G41" i="126"/>
  <c r="F41" i="126"/>
  <c r="E41" i="126"/>
  <c r="D41" i="126"/>
  <c r="C41" i="126"/>
  <c r="B41" i="126"/>
  <c r="L32" i="126"/>
  <c r="K32" i="126"/>
  <c r="J32" i="126"/>
  <c r="I32" i="126"/>
  <c r="H32" i="126"/>
  <c r="G32" i="126"/>
  <c r="F32" i="126"/>
  <c r="E32" i="126"/>
  <c r="D32" i="126"/>
  <c r="C32" i="126"/>
  <c r="B32" i="126"/>
  <c r="L31" i="126"/>
  <c r="K31" i="126"/>
  <c r="J31" i="126"/>
  <c r="I31" i="126"/>
  <c r="H31" i="126"/>
  <c r="G31" i="126"/>
  <c r="F31" i="126"/>
  <c r="E31" i="126"/>
  <c r="D31" i="126"/>
  <c r="C31" i="126"/>
  <c r="B31" i="126"/>
  <c r="L30" i="126"/>
  <c r="K30" i="126"/>
  <c r="J30" i="126"/>
  <c r="I30" i="126"/>
  <c r="H30" i="126"/>
  <c r="G30" i="126"/>
  <c r="F30" i="126"/>
  <c r="E30" i="126"/>
  <c r="D30" i="126"/>
  <c r="C30" i="126"/>
  <c r="B30" i="126"/>
  <c r="L29" i="126"/>
  <c r="K29" i="126"/>
  <c r="J29" i="126"/>
  <c r="I29" i="126"/>
  <c r="H29" i="126"/>
  <c r="G29" i="126"/>
  <c r="F29" i="126"/>
  <c r="E29" i="126"/>
  <c r="D29" i="126"/>
  <c r="C29" i="126"/>
  <c r="B29" i="126"/>
  <c r="L28" i="126"/>
  <c r="K28" i="126"/>
  <c r="J28" i="126"/>
  <c r="I28" i="126"/>
  <c r="H28" i="126"/>
  <c r="G28" i="126"/>
  <c r="F28" i="126"/>
  <c r="E28" i="126"/>
  <c r="D28" i="126"/>
  <c r="C28" i="126"/>
  <c r="B28" i="126"/>
  <c r="L27" i="126"/>
  <c r="K27" i="126"/>
  <c r="J27" i="126"/>
  <c r="I27" i="126"/>
  <c r="H27" i="126"/>
  <c r="G27" i="126"/>
  <c r="F27" i="126"/>
  <c r="E27" i="126"/>
  <c r="D27" i="126"/>
  <c r="C27" i="126"/>
  <c r="B27" i="126"/>
  <c r="L26" i="126"/>
  <c r="K26" i="126"/>
  <c r="J26" i="126"/>
  <c r="I26" i="126"/>
  <c r="H26" i="126"/>
  <c r="G26" i="126"/>
  <c r="F26" i="126"/>
  <c r="E26" i="126"/>
  <c r="D26" i="126"/>
  <c r="C26" i="126"/>
  <c r="B26" i="126"/>
  <c r="L25" i="126"/>
  <c r="K25" i="126"/>
  <c r="J25" i="126"/>
  <c r="I25" i="126"/>
  <c r="H25" i="126"/>
  <c r="G25" i="126"/>
  <c r="F25" i="126"/>
  <c r="E25" i="126"/>
  <c r="D25" i="126"/>
  <c r="C25" i="126"/>
  <c r="B25" i="126"/>
  <c r="L24" i="126"/>
  <c r="K24" i="126"/>
  <c r="J24" i="126"/>
  <c r="I24" i="126"/>
  <c r="H24" i="126"/>
  <c r="G24" i="126"/>
  <c r="F24" i="126"/>
  <c r="E24" i="126"/>
  <c r="D24" i="126"/>
  <c r="C24" i="126"/>
  <c r="B24" i="126"/>
  <c r="L23" i="126"/>
  <c r="K23" i="126"/>
  <c r="J23" i="126"/>
  <c r="I23" i="126"/>
  <c r="H23" i="126"/>
  <c r="G23" i="126"/>
  <c r="F23" i="126"/>
  <c r="E23" i="126"/>
  <c r="D23" i="126"/>
  <c r="C23" i="126"/>
  <c r="B23" i="126"/>
  <c r="L22" i="126"/>
  <c r="K22" i="126"/>
  <c r="J22" i="126"/>
  <c r="I22" i="126"/>
  <c r="H22" i="126"/>
  <c r="G22" i="126"/>
  <c r="F22" i="126"/>
  <c r="E22" i="126"/>
  <c r="D22" i="126"/>
  <c r="C22" i="126"/>
  <c r="B22" i="126"/>
  <c r="L21" i="126"/>
  <c r="K21" i="126"/>
  <c r="J21" i="126"/>
  <c r="I21" i="126"/>
  <c r="H21" i="126"/>
  <c r="G21" i="126"/>
  <c r="F21" i="126"/>
  <c r="E21" i="126"/>
  <c r="D21" i="126"/>
  <c r="C21" i="126"/>
  <c r="B21" i="126"/>
  <c r="AP74" i="128"/>
  <c r="AP75" i="128"/>
  <c r="G83" i="128"/>
  <c r="AA58" i="128"/>
  <c r="G64" i="128"/>
  <c r="G84" i="128"/>
  <c r="G97" i="128"/>
  <c r="AA83" i="128"/>
  <c r="G42" i="128"/>
  <c r="G106" i="128"/>
  <c r="G82" i="128"/>
  <c r="G49" i="128"/>
  <c r="G79" i="128"/>
  <c r="G36" i="128"/>
  <c r="AP44" i="128"/>
  <c r="AA78" i="128"/>
  <c r="G66" i="128"/>
  <c r="AP49" i="128"/>
  <c r="AA41" i="128"/>
  <c r="G105" i="128"/>
  <c r="AA61" i="128"/>
  <c r="AA38" i="128"/>
  <c r="AA76" i="128"/>
  <c r="G111" i="128"/>
  <c r="AA70" i="128"/>
  <c r="G89" i="128"/>
  <c r="AA64" i="128"/>
  <c r="G57" i="128"/>
  <c r="AP63" i="128"/>
  <c r="AP60" i="128"/>
  <c r="G74" i="128"/>
  <c r="AA57" i="128"/>
  <c r="AA47" i="128"/>
  <c r="AA53" i="128"/>
  <c r="G101" i="128"/>
  <c r="G38" i="128"/>
  <c r="AP54" i="128"/>
  <c r="G75" i="128"/>
  <c r="G100" i="128"/>
  <c r="AP46" i="128"/>
  <c r="AA71" i="128"/>
  <c r="G73" i="128"/>
  <c r="G112" i="128"/>
  <c r="AP68" i="128"/>
  <c r="AA50" i="128"/>
  <c r="G95" i="128"/>
  <c r="AA51" i="128"/>
  <c r="D18" i="129"/>
  <c r="G98" i="128"/>
  <c r="AP59" i="128"/>
  <c r="AP71" i="128"/>
  <c r="G94" i="128"/>
  <c r="G37" i="128"/>
  <c r="AP51" i="128"/>
  <c r="AP42" i="128"/>
  <c r="AA54" i="128"/>
  <c r="AA74" i="128"/>
  <c r="AA40" i="128"/>
  <c r="G87" i="128"/>
  <c r="G53" i="128"/>
  <c r="AA45" i="128"/>
  <c r="AA36" i="128"/>
  <c r="AP66" i="128"/>
  <c r="G72" i="128"/>
  <c r="G71" i="128"/>
  <c r="AA60" i="128"/>
  <c r="AP45" i="128"/>
  <c r="G102" i="128"/>
  <c r="G92" i="128"/>
  <c r="AP52" i="128"/>
  <c r="AP39" i="128"/>
  <c r="G70" i="128"/>
  <c r="AP38" i="128"/>
  <c r="AP76" i="128"/>
  <c r="G44" i="128"/>
  <c r="AP40" i="128"/>
  <c r="G108" i="128"/>
  <c r="G61" i="128"/>
  <c r="G88" i="128"/>
  <c r="AA37" i="128"/>
  <c r="AA68" i="128"/>
  <c r="G60" i="128"/>
  <c r="AA75" i="128"/>
  <c r="AP55" i="128"/>
  <c r="AA49" i="128"/>
  <c r="G50" i="128"/>
  <c r="AP56" i="128"/>
  <c r="AP41" i="128"/>
  <c r="G48" i="128"/>
  <c r="G91" i="128"/>
  <c r="G58" i="128"/>
  <c r="AA72" i="128"/>
  <c r="AA44" i="128"/>
  <c r="AP43" i="128"/>
  <c r="AA69" i="128"/>
  <c r="AP70" i="128"/>
  <c r="G86" i="128"/>
  <c r="G52" i="128"/>
  <c r="G43" i="128"/>
  <c r="G67" i="128"/>
  <c r="G109" i="128"/>
  <c r="G113" i="128"/>
  <c r="AA81" i="128"/>
  <c r="AP73" i="128"/>
  <c r="G76" i="128"/>
  <c r="AA55" i="128"/>
  <c r="AA82" i="128"/>
  <c r="AA84" i="128"/>
  <c r="AA56" i="128"/>
  <c r="G55" i="128"/>
  <c r="AA39" i="128"/>
  <c r="G77" i="128"/>
  <c r="G103" i="128"/>
  <c r="AP58" i="128"/>
  <c r="G68" i="128"/>
  <c r="G104" i="128"/>
  <c r="AP62" i="128"/>
  <c r="G46" i="128"/>
  <c r="G107" i="128"/>
  <c r="AP61" i="128"/>
  <c r="AP67" i="128"/>
  <c r="AP65" i="128"/>
  <c r="AA62" i="128"/>
  <c r="AP72" i="128"/>
  <c r="G90" i="128"/>
  <c r="AA80" i="128"/>
  <c r="AA42" i="128"/>
  <c r="G62" i="128"/>
  <c r="G40" i="128"/>
  <c r="G63" i="128"/>
  <c r="AA63" i="128"/>
  <c r="G93" i="128"/>
  <c r="G80" i="128"/>
  <c r="AA52" i="128"/>
  <c r="G35" i="128"/>
  <c r="G41" i="128"/>
  <c r="G54" i="128"/>
  <c r="AP69" i="128"/>
  <c r="G39" i="128"/>
  <c r="AA67" i="128"/>
  <c r="AA66" i="128"/>
  <c r="AP48" i="128"/>
  <c r="G47" i="128"/>
  <c r="G78" i="128"/>
  <c r="G69" i="128"/>
  <c r="AP53" i="128"/>
  <c r="AP37" i="128"/>
  <c r="D58" i="129"/>
  <c r="AA48" i="128"/>
  <c r="G56" i="128"/>
  <c r="AP47" i="128"/>
  <c r="AA77" i="128"/>
  <c r="AP50" i="128"/>
  <c r="G96" i="128"/>
  <c r="G110" i="128"/>
  <c r="G99" i="128"/>
  <c r="G81" i="128"/>
  <c r="AA79" i="128"/>
  <c r="AA43" i="128"/>
  <c r="AA65" i="128"/>
  <c r="AA73" i="128"/>
  <c r="AA59" i="128"/>
  <c r="G45" i="128"/>
  <c r="G85" i="128"/>
  <c r="G65" i="128"/>
  <c r="AA46" i="128"/>
  <c r="G51" i="128"/>
  <c r="AP57" i="128"/>
  <c r="G59" i="128"/>
  <c r="D39" i="129"/>
  <c r="AP64" i="128"/>
  <c r="D42" i="129"/>
  <c r="C32" i="127" l="1"/>
  <c r="C31" i="127"/>
  <c r="C28" i="127"/>
  <c r="E35" i="127"/>
  <c r="E29" i="127"/>
  <c r="A30" i="127"/>
  <c r="D28" i="127"/>
  <c r="C29" i="127"/>
  <c r="D29" i="127"/>
  <c r="C34" i="127"/>
  <c r="A36" i="127"/>
  <c r="D31" i="127"/>
  <c r="D34" i="127"/>
  <c r="C35" i="127"/>
  <c r="D35" i="127"/>
  <c r="C38" i="127"/>
  <c r="C40" i="127"/>
  <c r="C41" i="127"/>
  <c r="D40" i="127"/>
  <c r="AG38" i="128"/>
  <c r="K37" i="129"/>
  <c r="K54" i="129"/>
  <c r="D61" i="129"/>
  <c r="K55" i="129"/>
  <c r="K19" i="129"/>
  <c r="K20" i="129"/>
  <c r="P34" i="128"/>
  <c r="K56" i="129"/>
  <c r="K39" i="129"/>
  <c r="AW36" i="128"/>
  <c r="AT38" i="128" s="1"/>
  <c r="D21" i="129"/>
  <c r="K36" i="129"/>
  <c r="K17" i="129"/>
  <c r="N34" i="128"/>
  <c r="AG35" i="128"/>
  <c r="K57" i="129"/>
  <c r="AT36" i="128"/>
  <c r="K38" i="129"/>
  <c r="AT37" i="128"/>
  <c r="K18" i="129"/>
  <c r="K26" i="129" l="1"/>
  <c r="K63" i="129"/>
  <c r="K45" i="129"/>
  <c r="E36" i="127"/>
  <c r="D36" i="127"/>
  <c r="C36" i="127"/>
  <c r="A37" i="127"/>
  <c r="E30" i="127"/>
  <c r="D30" i="127"/>
  <c r="C30" i="127"/>
  <c r="C115" i="120"/>
  <c r="B115" i="120"/>
  <c r="C114" i="120"/>
  <c r="B114" i="120"/>
  <c r="C113" i="120"/>
  <c r="B113" i="120"/>
  <c r="C112" i="120"/>
  <c r="B112" i="120"/>
  <c r="C111" i="120"/>
  <c r="B111" i="120"/>
  <c r="C110" i="120"/>
  <c r="B110" i="120"/>
  <c r="G109" i="120"/>
  <c r="C109" i="120"/>
  <c r="B109" i="120"/>
  <c r="G108" i="120"/>
  <c r="C108" i="120"/>
  <c r="B108" i="120"/>
  <c r="G107" i="120"/>
  <c r="C107" i="120"/>
  <c r="B107" i="120"/>
  <c r="G106" i="120"/>
  <c r="C106" i="120"/>
  <c r="B106" i="120"/>
  <c r="G105" i="120"/>
  <c r="C105" i="120"/>
  <c r="B105" i="120"/>
  <c r="E105" i="120" s="1"/>
  <c r="G104" i="120"/>
  <c r="C104" i="120"/>
  <c r="B104" i="120"/>
  <c r="G103" i="120"/>
  <c r="C103" i="120"/>
  <c r="B103" i="120"/>
  <c r="G102" i="120"/>
  <c r="C102" i="120"/>
  <c r="B102" i="120"/>
  <c r="G101" i="120"/>
  <c r="C101" i="120"/>
  <c r="B101" i="120"/>
  <c r="G100" i="120"/>
  <c r="C100" i="120"/>
  <c r="B100" i="120"/>
  <c r="G99" i="120"/>
  <c r="C99" i="120"/>
  <c r="B99" i="120"/>
  <c r="G98" i="120"/>
  <c r="C98" i="120"/>
  <c r="B98" i="120"/>
  <c r="G93" i="120"/>
  <c r="G92" i="120"/>
  <c r="G91" i="120"/>
  <c r="G90" i="120"/>
  <c r="G89" i="120"/>
  <c r="G88" i="120"/>
  <c r="C88" i="120"/>
  <c r="B88" i="120"/>
  <c r="G87" i="120"/>
  <c r="C87" i="120"/>
  <c r="B87" i="120"/>
  <c r="E86" i="120" s="1"/>
  <c r="G86" i="120"/>
  <c r="C86" i="120"/>
  <c r="B86" i="120"/>
  <c r="G85" i="120"/>
  <c r="C85" i="120"/>
  <c r="B85" i="120"/>
  <c r="G84" i="120"/>
  <c r="C84" i="120"/>
  <c r="E84" i="120" s="1"/>
  <c r="B84" i="120"/>
  <c r="G83" i="120"/>
  <c r="C83" i="120"/>
  <c r="B83" i="120"/>
  <c r="G82" i="120"/>
  <c r="C82" i="120"/>
  <c r="B82" i="120"/>
  <c r="G75" i="120"/>
  <c r="G74" i="120"/>
  <c r="G73" i="120"/>
  <c r="G72" i="120"/>
  <c r="C72" i="120"/>
  <c r="B72" i="120"/>
  <c r="G71" i="120"/>
  <c r="C71" i="120"/>
  <c r="B71" i="120"/>
  <c r="G70" i="120"/>
  <c r="C70" i="120"/>
  <c r="B70" i="120"/>
  <c r="G69" i="120"/>
  <c r="C69" i="120"/>
  <c r="B69" i="120"/>
  <c r="G68" i="120"/>
  <c r="C68" i="120"/>
  <c r="B68" i="120"/>
  <c r="G67" i="120"/>
  <c r="C67" i="120"/>
  <c r="B67" i="120"/>
  <c r="E67" i="120" s="1"/>
  <c r="G66" i="120"/>
  <c r="C66" i="120"/>
  <c r="B66" i="120"/>
  <c r="G65" i="120"/>
  <c r="C65" i="120"/>
  <c r="B65" i="120"/>
  <c r="G64" i="120"/>
  <c r="C64" i="120"/>
  <c r="B64" i="120"/>
  <c r="G58" i="120"/>
  <c r="G57" i="120"/>
  <c r="G56" i="120"/>
  <c r="G55" i="120"/>
  <c r="G54" i="120"/>
  <c r="G53" i="120"/>
  <c r="C53" i="120"/>
  <c r="E53" i="120" s="1"/>
  <c r="B53" i="120"/>
  <c r="G52" i="120"/>
  <c r="C52" i="120"/>
  <c r="B52" i="120"/>
  <c r="G51" i="120"/>
  <c r="C51" i="120"/>
  <c r="B51" i="120"/>
  <c r="G50" i="120"/>
  <c r="C50" i="120"/>
  <c r="B50" i="120"/>
  <c r="G49" i="120"/>
  <c r="C49" i="120"/>
  <c r="B49" i="120"/>
  <c r="G48" i="120"/>
  <c r="C48" i="120"/>
  <c r="B48" i="120"/>
  <c r="G47" i="120"/>
  <c r="C47" i="120"/>
  <c r="B47" i="120"/>
  <c r="C40" i="120"/>
  <c r="B40" i="120"/>
  <c r="C39" i="120"/>
  <c r="B39" i="120"/>
  <c r="G38" i="120"/>
  <c r="C38" i="120"/>
  <c r="B38" i="120"/>
  <c r="G37" i="120"/>
  <c r="C37" i="120"/>
  <c r="B37" i="120"/>
  <c r="G36" i="120"/>
  <c r="C36" i="120"/>
  <c r="B36" i="120"/>
  <c r="E35" i="120" s="1"/>
  <c r="G35" i="120"/>
  <c r="C35" i="120"/>
  <c r="B35" i="120"/>
  <c r="G34" i="120"/>
  <c r="C34" i="120"/>
  <c r="B34" i="120"/>
  <c r="G33" i="120"/>
  <c r="C33" i="120"/>
  <c r="B33" i="120"/>
  <c r="G32" i="120"/>
  <c r="C32" i="120"/>
  <c r="B32" i="120"/>
  <c r="G31" i="120"/>
  <c r="C31" i="120"/>
  <c r="B31" i="120"/>
  <c r="G30" i="120"/>
  <c r="C30" i="120"/>
  <c r="B30" i="120"/>
  <c r="G29" i="120"/>
  <c r="C29" i="120"/>
  <c r="B29" i="120"/>
  <c r="G28" i="120"/>
  <c r="C28" i="120"/>
  <c r="B28" i="120"/>
  <c r="G27" i="120"/>
  <c r="C27" i="120"/>
  <c r="B27" i="120"/>
  <c r="E19" i="120"/>
  <c r="E18" i="120"/>
  <c r="E17" i="120"/>
  <c r="E16" i="120"/>
  <c r="E15" i="120"/>
  <c r="E14" i="120"/>
  <c r="E13" i="120"/>
  <c r="E12" i="120"/>
  <c r="E11" i="120"/>
  <c r="E10" i="120"/>
  <c r="E9" i="120"/>
  <c r="E8" i="120"/>
  <c r="E7" i="120"/>
  <c r="E6" i="120"/>
  <c r="E5" i="120"/>
  <c r="E4" i="120"/>
  <c r="E3" i="120"/>
  <c r="E2" i="120"/>
  <c r="D3" i="120" s="1"/>
  <c r="AW38" i="128"/>
  <c r="K35" i="128"/>
  <c r="AT39" i="128"/>
  <c r="K36" i="128"/>
  <c r="K37" i="128"/>
  <c r="AE38" i="128"/>
  <c r="AE35" i="128"/>
  <c r="AE36" i="128"/>
  <c r="K34" i="128"/>
  <c r="AE37" i="128"/>
  <c r="AT44" i="128" l="1"/>
  <c r="K42" i="128"/>
  <c r="E31" i="120"/>
  <c r="E38" i="120"/>
  <c r="E50" i="120"/>
  <c r="E82" i="120"/>
  <c r="D83" i="120" s="1"/>
  <c r="E99" i="120"/>
  <c r="E115" i="120"/>
  <c r="E68" i="120"/>
  <c r="E32" i="120"/>
  <c r="E40" i="120"/>
  <c r="E71" i="120"/>
  <c r="E88" i="120"/>
  <c r="E109" i="120"/>
  <c r="E113" i="120"/>
  <c r="AE43" i="128"/>
  <c r="E69" i="120"/>
  <c r="E107" i="120"/>
  <c r="D4" i="120"/>
  <c r="E34" i="120"/>
  <c r="E36" i="120"/>
  <c r="E48" i="120"/>
  <c r="E51" i="120"/>
  <c r="E83" i="120"/>
  <c r="D84" i="120" s="1"/>
  <c r="D85" i="120" s="1"/>
  <c r="E100" i="120"/>
  <c r="E111" i="120"/>
  <c r="E29" i="120"/>
  <c r="E47" i="120"/>
  <c r="D48" i="120" s="1"/>
  <c r="E85" i="120"/>
  <c r="E104" i="120"/>
  <c r="E108" i="120"/>
  <c r="E28" i="120"/>
  <c r="E64" i="120"/>
  <c r="D65" i="120" s="1"/>
  <c r="E72" i="120"/>
  <c r="E37" i="120"/>
  <c r="E49" i="120"/>
  <c r="E65" i="120"/>
  <c r="E70" i="120"/>
  <c r="E98" i="120"/>
  <c r="D99" i="120" s="1"/>
  <c r="D100" i="120" s="1"/>
  <c r="E27" i="120"/>
  <c r="D28" i="120" s="1"/>
  <c r="E33" i="120"/>
  <c r="E101" i="120"/>
  <c r="E106" i="120"/>
  <c r="E37" i="127"/>
  <c r="D37" i="127"/>
  <c r="C37" i="127"/>
  <c r="D29" i="120"/>
  <c r="D30" i="120" s="1"/>
  <c r="D49" i="120"/>
  <c r="D5" i="120"/>
  <c r="D6" i="120" s="1"/>
  <c r="D7" i="120" s="1"/>
  <c r="D8" i="120" s="1"/>
  <c r="D9" i="120" s="1"/>
  <c r="D10" i="120" s="1"/>
  <c r="D11" i="120" s="1"/>
  <c r="D12" i="120" s="1"/>
  <c r="D13" i="120" s="1"/>
  <c r="D14" i="120" s="1"/>
  <c r="D15" i="120" s="1"/>
  <c r="D16" i="120" s="1"/>
  <c r="D17" i="120" s="1"/>
  <c r="D18" i="120" s="1"/>
  <c r="D19" i="120" s="1"/>
  <c r="E103" i="120"/>
  <c r="E87" i="120"/>
  <c r="E102" i="120"/>
  <c r="E112" i="120"/>
  <c r="E66" i="120"/>
  <c r="E39" i="120"/>
  <c r="E52" i="120"/>
  <c r="E110" i="120"/>
  <c r="E30" i="120"/>
  <c r="E114" i="120"/>
  <c r="D66" i="120" l="1"/>
  <c r="D50" i="120"/>
  <c r="D51" i="120" s="1"/>
  <c r="D52" i="120" s="1"/>
  <c r="D101" i="120"/>
  <c r="D102" i="120" s="1"/>
  <c r="D86" i="120"/>
  <c r="D87" i="120" s="1"/>
  <c r="D88" i="120" s="1"/>
  <c r="D3" i="141"/>
  <c r="B3" i="141"/>
  <c r="C3" i="141"/>
  <c r="D67" i="120"/>
  <c r="D68" i="120" s="1"/>
  <c r="D69" i="120" s="1"/>
  <c r="D70" i="120" s="1"/>
  <c r="D71" i="120" s="1"/>
  <c r="D72" i="120" s="1"/>
  <c r="M36" i="139"/>
  <c r="M36" i="134"/>
  <c r="L36" i="139"/>
  <c r="L36" i="134"/>
  <c r="K36" i="139"/>
  <c r="K36" i="134"/>
  <c r="J36" i="134"/>
  <c r="J36" i="139"/>
  <c r="I36" i="134"/>
  <c r="I36" i="139"/>
  <c r="H36" i="134"/>
  <c r="H36" i="139"/>
  <c r="G36" i="134"/>
  <c r="G36" i="139"/>
  <c r="F36" i="134"/>
  <c r="F36" i="139"/>
  <c r="E36" i="139"/>
  <c r="E36" i="134"/>
  <c r="D36" i="139"/>
  <c r="D36" i="134"/>
  <c r="C36" i="134"/>
  <c r="C36" i="139"/>
  <c r="B36" i="134"/>
  <c r="B36" i="139"/>
  <c r="M30" i="134"/>
  <c r="M30" i="139"/>
  <c r="L30" i="139"/>
  <c r="L30" i="134"/>
  <c r="K30" i="134"/>
  <c r="K30" i="139"/>
  <c r="J30" i="134"/>
  <c r="J30" i="139"/>
  <c r="I30" i="139"/>
  <c r="I30" i="134"/>
  <c r="H30" i="139"/>
  <c r="H30" i="134"/>
  <c r="G30" i="134"/>
  <c r="G30" i="139"/>
  <c r="F30" i="139"/>
  <c r="F30" i="134"/>
  <c r="E30" i="139"/>
  <c r="E30" i="134"/>
  <c r="D30" i="139"/>
  <c r="D30" i="134"/>
  <c r="C30" i="134"/>
  <c r="C30" i="139"/>
  <c r="B30" i="134"/>
  <c r="B30" i="139"/>
  <c r="M18" i="139"/>
  <c r="M18" i="134"/>
  <c r="L18" i="139"/>
  <c r="L18" i="134"/>
  <c r="K18" i="139"/>
  <c r="K18" i="134"/>
  <c r="J18" i="139"/>
  <c r="J18" i="134"/>
  <c r="I18" i="134"/>
  <c r="I18" i="139"/>
  <c r="H18" i="139"/>
  <c r="H18" i="134"/>
  <c r="G18" i="134"/>
  <c r="G18" i="139"/>
  <c r="F18" i="134"/>
  <c r="F18" i="139"/>
  <c r="E18" i="139"/>
  <c r="E18" i="134"/>
  <c r="D18" i="134"/>
  <c r="D18" i="139"/>
  <c r="C18" i="134"/>
  <c r="C18" i="139"/>
  <c r="B18" i="139"/>
  <c r="B18" i="134"/>
  <c r="M33" i="139"/>
  <c r="M33" i="134"/>
  <c r="L33" i="134"/>
  <c r="L33" i="139"/>
  <c r="K33" i="134"/>
  <c r="K33" i="139"/>
  <c r="J33" i="134"/>
  <c r="J33" i="139"/>
  <c r="I33" i="134"/>
  <c r="I33" i="139"/>
  <c r="H33" i="139"/>
  <c r="H33" i="134"/>
  <c r="G33" i="139"/>
  <c r="G33" i="134"/>
  <c r="F33" i="134"/>
  <c r="F33" i="139"/>
  <c r="E33" i="139"/>
  <c r="E33" i="134"/>
  <c r="D33" i="139"/>
  <c r="D33" i="134"/>
  <c r="C33" i="134"/>
  <c r="C33" i="139"/>
  <c r="B33" i="139"/>
  <c r="B33" i="134"/>
  <c r="D31" i="120"/>
  <c r="D32" i="120" s="1"/>
  <c r="D33" i="120" s="1"/>
  <c r="D34" i="120" s="1"/>
  <c r="D35" i="120" s="1"/>
  <c r="D36" i="120" s="1"/>
  <c r="D37" i="120" s="1"/>
  <c r="D38" i="120" s="1"/>
  <c r="D39" i="120" s="1"/>
  <c r="D40" i="120" s="1"/>
  <c r="D53" i="120"/>
  <c r="D103" i="120"/>
  <c r="D104" i="120" s="1"/>
  <c r="D105" i="120" s="1"/>
  <c r="D106" i="120" s="1"/>
  <c r="D107" i="120" s="1"/>
  <c r="D108" i="120" s="1"/>
  <c r="D109" i="120" s="1"/>
  <c r="D110" i="120" s="1"/>
  <c r="D111" i="120" s="1"/>
  <c r="D112" i="120" s="1"/>
  <c r="D113" i="120" s="1"/>
  <c r="D114" i="120" s="1"/>
  <c r="D115" i="120" s="1"/>
</calcChain>
</file>

<file path=xl/comments1.xml><?xml version="1.0" encoding="utf-8"?>
<comments xmlns="http://schemas.openxmlformats.org/spreadsheetml/2006/main">
  <authors>
    <author>Omar2</author>
  </authors>
  <commentList>
    <comment ref="B3" authorId="0" shapeId="0">
      <text>
        <r>
          <rPr>
            <b/>
            <sz val="9"/>
            <color indexed="81"/>
            <rFont val="Tahoma"/>
            <family val="2"/>
          </rPr>
          <t>Omar:</t>
        </r>
        <r>
          <rPr>
            <sz val="9"/>
            <color indexed="81"/>
            <rFont val="Tahoma"/>
            <family val="2"/>
          </rPr>
          <t xml:space="preserve">
Only considering infow at Corinne Station in Ha-m/month</t>
        </r>
      </text>
    </comment>
    <comment ref="B20" authorId="0" shapeId="0">
      <text>
        <r>
          <rPr>
            <b/>
            <sz val="9"/>
            <color indexed="81"/>
            <rFont val="Tahoma"/>
            <family val="2"/>
          </rPr>
          <t>Omar:</t>
        </r>
        <r>
          <rPr>
            <sz val="9"/>
            <color indexed="81"/>
            <rFont val="Tahoma"/>
            <family val="2"/>
          </rPr>
          <t xml:space="preserve">
Only considering infow at Corinne Station in Ha-m/month</t>
        </r>
      </text>
    </comment>
    <comment ref="A39" authorId="0" shapeId="0">
      <text>
        <r>
          <rPr>
            <b/>
            <sz val="9"/>
            <color indexed="81"/>
            <rFont val="Tahoma"/>
            <family val="2"/>
          </rPr>
          <t>Omar:</t>
        </r>
        <r>
          <rPr>
            <sz val="9"/>
            <color indexed="81"/>
            <rFont val="Tahoma"/>
            <family val="2"/>
          </rPr>
          <t xml:space="preserve">
Outputs from the SWAMPS model</t>
        </r>
      </text>
    </comment>
  </commentList>
</comments>
</file>

<file path=xl/comments2.xml><?xml version="1.0" encoding="utf-8"?>
<comments xmlns="http://schemas.openxmlformats.org/spreadsheetml/2006/main">
  <authors>
    <author>Ayman</author>
  </authors>
  <commentList>
    <comment ref="I5" authorId="0" shapeId="0">
      <text>
        <r>
          <rPr>
            <b/>
            <sz val="9"/>
            <color indexed="81"/>
            <rFont val="Tahoma"/>
            <family val="2"/>
          </rPr>
          <t>Ayman:</t>
        </r>
        <r>
          <rPr>
            <sz val="9"/>
            <color indexed="81"/>
            <rFont val="Tahoma"/>
            <family val="2"/>
          </rPr>
          <t xml:space="preserve">
Not needed</t>
        </r>
      </text>
    </comment>
  </commentList>
</comments>
</file>

<file path=xl/comments3.xml><?xml version="1.0" encoding="utf-8"?>
<comments xmlns="http://schemas.openxmlformats.org/spreadsheetml/2006/main">
  <authors>
    <author>labuser</author>
  </authors>
  <commentList>
    <comment ref="N34"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$Z$36:$Z$112,$AA$36:$AA$112</t>
        </r>
      </text>
    </comment>
    <comment ref="AT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$AO$37:$AO$76,$AP$37:$AP$76</t>
        </r>
      </text>
    </comment>
    <comment ref="AG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List>
</comments>
</file>

<file path=xl/comments4.xml><?xml version="1.0" encoding="utf-8"?>
<comments xmlns="http://schemas.openxmlformats.org/spreadsheetml/2006/main">
  <authors>
    <author>labuser</author>
  </authors>
  <commentList>
    <comment ref="N34"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$Z$36:$Z$84,$AB$36:$AB$84</t>
        </r>
      </text>
    </comment>
    <comment ref="AT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 ref="AG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 ref="J66"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J67)</t>
        </r>
      </text>
    </comment>
    <comment ref="J67"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$F$35:$F$113,$H$35:$H$113</t>
        </r>
      </text>
    </comment>
    <comment ref="AS72"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List>
</comments>
</file>

<file path=xl/comments5.xml><?xml version="1.0" encoding="utf-8"?>
<comments xmlns="http://schemas.openxmlformats.org/spreadsheetml/2006/main">
  <authors>
    <author>labuser</author>
  </authors>
  <commentList>
    <comment ref="D18"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$A$3:$A$10,$B$3:$B$10</t>
        </r>
      </text>
    </comment>
    <comment ref="D21"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D18)</t>
        </r>
      </text>
    </comment>
    <comment ref="D39"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$A$37:$A$46,$B$37:$B$46</t>
        </r>
      </text>
    </comment>
    <comment ref="D42"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D39)</t>
        </r>
      </text>
    </comment>
    <comment ref="D58"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$A$55:$A$65,$B$55:$B$65</t>
        </r>
      </text>
    </comment>
    <comment ref="D61"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D58)</t>
        </r>
      </text>
    </comment>
  </commentList>
</comments>
</file>

<file path=xl/sharedStrings.xml><?xml version="1.0" encoding="utf-8"?>
<sst xmlns="http://schemas.openxmlformats.org/spreadsheetml/2006/main" count="1623" uniqueCount="436">
  <si>
    <t>riverine</t>
  </si>
  <si>
    <t>floodplain</t>
  </si>
  <si>
    <t>wetlands</t>
  </si>
  <si>
    <t>trout</t>
  </si>
  <si>
    <t>cottonwood</t>
  </si>
  <si>
    <t>j2</t>
  </si>
  <si>
    <t>j3</t>
  </si>
  <si>
    <t>j6</t>
  </si>
  <si>
    <t>j18</t>
  </si>
  <si>
    <t>j20</t>
  </si>
  <si>
    <t>j29</t>
  </si>
  <si>
    <t>wsi_par1</t>
  </si>
  <si>
    <t>wsi_par2</t>
  </si>
  <si>
    <t>RA_par1</t>
  </si>
  <si>
    <t>RA_par2</t>
  </si>
  <si>
    <t>sf_par1</t>
  </si>
  <si>
    <t>sf_par2</t>
  </si>
  <si>
    <t>wf_par1</t>
  </si>
  <si>
    <t>wf_par2</t>
  </si>
  <si>
    <t>t1</t>
  </si>
  <si>
    <t>t2</t>
  </si>
  <si>
    <t>t3</t>
  </si>
  <si>
    <t>t4</t>
  </si>
  <si>
    <t>t5</t>
  </si>
  <si>
    <t>t6</t>
  </si>
  <si>
    <t>t7</t>
  </si>
  <si>
    <t>t8</t>
  </si>
  <si>
    <t>t9</t>
  </si>
  <si>
    <t>t10</t>
  </si>
  <si>
    <t>t11</t>
  </si>
  <si>
    <t>t12</t>
  </si>
  <si>
    <t>j1</t>
  </si>
  <si>
    <t>j4</t>
  </si>
  <si>
    <t>j5</t>
  </si>
  <si>
    <t>j7</t>
  </si>
  <si>
    <t>j8</t>
  </si>
  <si>
    <t>j9</t>
  </si>
  <si>
    <t>j12</t>
  </si>
  <si>
    <t>j13</t>
  </si>
  <si>
    <t>j14</t>
  </si>
  <si>
    <t>j15</t>
  </si>
  <si>
    <t>j16</t>
  </si>
  <si>
    <t>j17</t>
  </si>
  <si>
    <t>j19</t>
  </si>
  <si>
    <t>j21</t>
  </si>
  <si>
    <t>j22</t>
  </si>
  <si>
    <t>j23</t>
  </si>
  <si>
    <t>j24</t>
  </si>
  <si>
    <t>j25</t>
  </si>
  <si>
    <t>j26</t>
  </si>
  <si>
    <t>j27</t>
  </si>
  <si>
    <t>j28</t>
  </si>
  <si>
    <t>j30</t>
  </si>
  <si>
    <t>j31</t>
  </si>
  <si>
    <t>j32</t>
  </si>
  <si>
    <t>j33</t>
  </si>
  <si>
    <t>j34</t>
  </si>
  <si>
    <t>j35</t>
  </si>
  <si>
    <t>j36</t>
  </si>
  <si>
    <t>j37</t>
  </si>
  <si>
    <t>j38</t>
  </si>
  <si>
    <t>j39</t>
  </si>
  <si>
    <t>rsi_par1</t>
  </si>
  <si>
    <t>rsi_par2</t>
  </si>
  <si>
    <t>rsi_par3</t>
  </si>
  <si>
    <t>rsi_par4</t>
  </si>
  <si>
    <t>fci_par1</t>
  </si>
  <si>
    <t>fci_par2</t>
  </si>
  <si>
    <t>fci_par3</t>
  </si>
  <si>
    <t>fci_par4</t>
  </si>
  <si>
    <t>RA_par3</t>
  </si>
  <si>
    <t>Bear</t>
  </si>
  <si>
    <t>Blacksmithfork</t>
  </si>
  <si>
    <t>Malad</t>
  </si>
  <si>
    <t>Little Bear</t>
  </si>
  <si>
    <t>STOR (m3)</t>
  </si>
  <si>
    <t>elevation (m)</t>
  </si>
  <si>
    <t>area (m)</t>
  </si>
  <si>
    <t>At+Ab</t>
  </si>
  <si>
    <t>Old elevation at STOR=0</t>
  </si>
  <si>
    <t>MillCreek</t>
  </si>
  <si>
    <t>WEAP Data</t>
  </si>
  <si>
    <t>Month</t>
  </si>
  <si>
    <t>evap(m)</t>
  </si>
  <si>
    <t>STOR (AF)</t>
  </si>
  <si>
    <t>elevation (ft)</t>
  </si>
  <si>
    <t>evap(ft)</t>
  </si>
  <si>
    <t>Cutler</t>
  </si>
  <si>
    <t>Onida</t>
  </si>
  <si>
    <t>Mainstem</t>
  </si>
  <si>
    <t>Hyrum</t>
  </si>
  <si>
    <t>STOR (Mm3)</t>
  </si>
  <si>
    <t>area (Mm2)</t>
  </si>
  <si>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</si>
  <si>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</si>
  <si>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</si>
  <si>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</si>
  <si>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</si>
  <si>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</si>
  <si>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</si>
  <si>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</si>
  <si>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Instructions:</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</si>
  <si>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</si>
  <si>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</si>
  <si>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</si>
  <si>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</si>
  <si>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 xml:space="preserve">This workbook provides the input data for the WASH model. The model reads this input data into a GDX file and then load the GDX content to the model as parameters. All values of this input data is for the case of the Lower Bear River in Utah.  </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</si>
  <si>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</si>
  <si>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All rights reserved.</t>
  </si>
  <si>
    <t xml:space="preserve">Copyright (c) 2016, Ayman H. Alafifi and David E. Rosenberg                                              </t>
  </si>
  <si>
    <t>Copyright and licenses:</t>
  </si>
  <si>
    <t>Click here</t>
  </si>
  <si>
    <t>The full network for which the data here are dervied can be found here:</t>
  </si>
  <si>
    <t>Lower Bear River Network</t>
  </si>
  <si>
    <t>The Lower Bear River Network</t>
  </si>
  <si>
    <t>The Lower Bear River Map</t>
  </si>
  <si>
    <t>To change any input value:</t>
  </si>
  <si>
    <t>1. Use table (1) below for find the input parameter that you want to edit</t>
  </si>
  <si>
    <t>2. Click on the hyperlink to go directly to the parameter's sheet</t>
  </si>
  <si>
    <t>4. Edit the values of the parameters and then SAVE THE WORKBOOK</t>
  </si>
  <si>
    <t>5. Run the GAMS model to see changes in the model results</t>
  </si>
  <si>
    <t>Table (1) Input data and parameters for the WASH model</t>
  </si>
  <si>
    <t>Type</t>
  </si>
  <si>
    <t>Set</t>
  </si>
  <si>
    <t>Name</t>
  </si>
  <si>
    <t>Description</t>
  </si>
  <si>
    <t>s</t>
  </si>
  <si>
    <t>j</t>
  </si>
  <si>
    <t>dem</t>
  </si>
  <si>
    <t>v</t>
  </si>
  <si>
    <t>y</t>
  </si>
  <si>
    <t>t</t>
  </si>
  <si>
    <t>RA_par_indx</t>
  </si>
  <si>
    <t>sf_par_indx</t>
  </si>
  <si>
    <t>wf_par_indx</t>
  </si>
  <si>
    <t>rsi_indx</t>
  </si>
  <si>
    <t>fci_indx</t>
  </si>
  <si>
    <t>NodeNotDemandSite</t>
  </si>
  <si>
    <t>NodeNotHeadwater</t>
  </si>
  <si>
    <t>Parameter</t>
  </si>
  <si>
    <t>LinkID</t>
  </si>
  <si>
    <t>linkexist</t>
  </si>
  <si>
    <t>envSiteExist</t>
  </si>
  <si>
    <t>returnFlowExist</t>
  </si>
  <si>
    <t>DiversionExist</t>
  </si>
  <si>
    <t>WetlandsExist</t>
  </si>
  <si>
    <t>LinktoReservoir</t>
  </si>
  <si>
    <t>LinkOutReservoir</t>
  </si>
  <si>
    <t>wght</t>
  </si>
  <si>
    <t>reachGain</t>
  </si>
  <si>
    <t>aw</t>
  </si>
  <si>
    <t>lss</t>
  </si>
  <si>
    <t>evap</t>
  </si>
  <si>
    <t>cons</t>
  </si>
  <si>
    <t>lng</t>
  </si>
  <si>
    <t>minstor</t>
  </si>
  <si>
    <t>maxstor</t>
  </si>
  <si>
    <t>dReq</t>
  </si>
  <si>
    <t>dCap</t>
  </si>
  <si>
    <t>instreamReq</t>
  </si>
  <si>
    <t>RA_par</t>
  </si>
  <si>
    <t>sf_par</t>
  </si>
  <si>
    <t>wf_par</t>
  </si>
  <si>
    <t>rsi_par</t>
  </si>
  <si>
    <t>fci_par</t>
  </si>
  <si>
    <t>initSTOR</t>
  </si>
  <si>
    <t>InitD</t>
  </si>
  <si>
    <t>InitC</t>
  </si>
  <si>
    <t>rv</t>
  </si>
  <si>
    <t>Scalar</t>
  </si>
  <si>
    <t>b</t>
  </si>
  <si>
    <t>Total management budget to implement restoration actions [$]</t>
  </si>
  <si>
    <t>Defines management revegetation areas of species n at environmental sites   [Mm2]</t>
  </si>
  <si>
    <t>Defines inital river depth for the first time step [m]</t>
  </si>
  <si>
    <t xml:space="preserve">Defines inital vegetation cover for the first time step [Mm2]            </t>
  </si>
  <si>
    <t xml:space="preserve">Defines inital reservoir storage [Mm3]  </t>
  </si>
  <si>
    <t>Reads the FCI equation parameters as a function of time for monthly flows</t>
  </si>
  <si>
    <t>Reads the RSI equation parameters as a function of time for differnt life stages</t>
  </si>
  <si>
    <t>Reads the wetlands suitability index monthly relationships parameters</t>
  </si>
  <si>
    <t>wsi_par</t>
  </si>
  <si>
    <t xml:space="preserve">Reads the width-flow relationships parameters </t>
  </si>
  <si>
    <t>Reads the stage-flow relationships parameters</t>
  </si>
  <si>
    <t xml:space="preserve">Reads the reservoir area volume curves parameters   </t>
  </si>
  <si>
    <t>cst</t>
  </si>
  <si>
    <t xml:space="preserve">Unit cost of implementing the management objective of Revegetating species n        </t>
  </si>
  <si>
    <t xml:space="preserve">Minimum instream flow requirement as regulated by authories or required for other purposes such as hydropower or endangered species or water rights[m3 per month] </t>
  </si>
  <si>
    <t>Capacity of diversion links [Mm3 per month]</t>
  </si>
  <si>
    <t xml:space="preserve">Demand requirements at demand sites [Mm3 per month]   </t>
  </si>
  <si>
    <t>Reservoir storage capacity [Mm3]</t>
  </si>
  <si>
    <t xml:space="preserve">Inactive reservoir storage [Mm3] </t>
  </si>
  <si>
    <t xml:space="preserve">Length of river links [m] </t>
  </si>
  <si>
    <t xml:space="preserve">Consupmtive use fraction expressed as a [%] of all inflow received at a demand site     </t>
  </si>
  <si>
    <t xml:space="preserve">Evaporation losses in reservoirs [m per month] </t>
  </si>
  <si>
    <t>Net losses on link j entering k  as a [%]. Losses could be due to evaporation or seepage to the groundwater</t>
  </si>
  <si>
    <t xml:space="preserve">Total impounded wetlands area (when filled to maximum depth) [Mm2] </t>
  </si>
  <si>
    <t xml:space="preserve">Defines the flows that feed a node in the network - gain could be headflow or a tributary    </t>
  </si>
  <si>
    <t xml:space="preserve">The model spatial and temporal weights on every sub-indicator as set by stakeholders [0: no important - 1: important] </t>
  </si>
  <si>
    <t xml:space="preserve">Defines if the link leave a reservoir or not and carry reservoir releases (1=yes and 0=no)  </t>
  </si>
  <si>
    <t xml:space="preserve">Defines if the link flows into a reservoir or not (1=yes and 0=no)      </t>
  </si>
  <si>
    <t xml:space="preserve">Defines if the link has impoounded wetlands (1=yes and 0=no)   </t>
  </si>
  <si>
    <t xml:space="preserve">Defines if the link is a diversion from the network to a demand site  (1=yes and 0=no) </t>
  </si>
  <si>
    <t xml:space="preserve">Defines if a return flow exists on a link from a demand site back to the river network  (1=yes and 0=no)  </t>
  </si>
  <si>
    <t xml:space="preserve">Desrcibes if the link is an environmental site or note (1=yes and 0=no). Environmental sites are were sensitive habitat is located and data were collected </t>
  </si>
  <si>
    <t>Describes if the link from node j to node k exists (1=yes and 0=no)</t>
  </si>
  <si>
    <t>A unqie ID to every link in the network to be used for GIS visulaization</t>
  </si>
  <si>
    <t>Lists all the nodes in the network that are not headwater or dummy nodes to show reachgains</t>
  </si>
  <si>
    <t xml:space="preserve">Lists all the nodes in the network that are not demand sites      </t>
  </si>
  <si>
    <t xml:space="preserve">indexes to read the floodplain connectivity indicator equations  </t>
  </si>
  <si>
    <t xml:space="preserve">indexes to read the parameters for riverine suitability indicator equations    </t>
  </si>
  <si>
    <t xml:space="preserve">indexes to read the parameters for wetlands suitability index relationships    </t>
  </si>
  <si>
    <t>wsi_par_indx</t>
  </si>
  <si>
    <t xml:space="preserve">indexes to read the parameters for width-flow relationships               </t>
  </si>
  <si>
    <t xml:space="preserve">indexes to read the parameters for stage-flow relationships </t>
  </si>
  <si>
    <t xml:space="preserve">indexes to read the parameters for the reservoir volume elevation curves    </t>
  </si>
  <si>
    <t xml:space="preserve">timesteps in months (t1 =January -  t12=December)   </t>
  </si>
  <si>
    <t>n</t>
  </si>
  <si>
    <t xml:space="preserve">The type(s) of prioty vegetation species that the model uses as indicator species   </t>
  </si>
  <si>
    <t xml:space="preserve">The type(s) of priorty fish species that the model uses as indicator species  </t>
  </si>
  <si>
    <t xml:space="preserve">reservoirs which are a subset of the model nodes (j) </t>
  </si>
  <si>
    <t>demand sites which are a subset of the model nodes (j)</t>
  </si>
  <si>
    <t xml:space="preserve">river netowrk nodes which lists all nodes in the network             </t>
  </si>
  <si>
    <t xml:space="preserve">sub-indicators. Here s1=riverine habitat s2=floodplain connectivity and s3=impounded wetlands         </t>
  </si>
  <si>
    <t>Flow Rate at Corinne Station (ha-m)</t>
  </si>
  <si>
    <t>January</t>
  </si>
  <si>
    <t>February</t>
  </si>
  <si>
    <t>March</t>
  </si>
  <si>
    <t>April</t>
  </si>
  <si>
    <t>May</t>
  </si>
  <si>
    <t>June</t>
  </si>
  <si>
    <t>July</t>
  </si>
  <si>
    <t>August</t>
  </si>
  <si>
    <t>September</t>
  </si>
  <si>
    <t>October</t>
  </si>
  <si>
    <t>November</t>
  </si>
  <si>
    <t>December</t>
  </si>
  <si>
    <t>Flow Rate at Corinne Station (Mm3/month)</t>
  </si>
  <si>
    <t xml:space="preserve">WSI = WU (Mm2) / AW(Mm2)  </t>
  </si>
  <si>
    <t>Date</t>
  </si>
  <si>
    <t>Flow (ha-m/month)</t>
  </si>
  <si>
    <t>Flow (m3/month)</t>
  </si>
  <si>
    <t>Stage (m)</t>
  </si>
  <si>
    <t>Width (m)</t>
  </si>
  <si>
    <t>Bank Full (m)</t>
  </si>
  <si>
    <t>Stage (ft)</t>
  </si>
  <si>
    <t>Flow (cfs)</t>
  </si>
  <si>
    <t>Width (ft)</t>
  </si>
  <si>
    <t>Flow (Mm3/month)</t>
  </si>
  <si>
    <t>Cub</t>
  </si>
  <si>
    <t>Flow (m3)</t>
  </si>
  <si>
    <t>Confluence</t>
  </si>
  <si>
    <t>Morton</t>
  </si>
  <si>
    <t>Depth+WSL-BM</t>
  </si>
  <si>
    <t>Location</t>
  </si>
  <si>
    <t>Flow (ft^3/s)</t>
  </si>
  <si>
    <t>Processed Flow (ft^3/s)</t>
  </si>
  <si>
    <t>StdDev (Flow-ft^3/s)</t>
  </si>
  <si>
    <t>Processed StdDev (Flow-ft^3/s)</t>
  </si>
  <si>
    <t>StdDev (Stage - ft)</t>
  </si>
  <si>
    <t>Max Depth (ft)</t>
  </si>
  <si>
    <t>Bankfull(ft)</t>
  </si>
  <si>
    <t>(avg, good)</t>
  </si>
  <si>
    <t>(average)</t>
  </si>
  <si>
    <t>Mortin</t>
  </si>
  <si>
    <t>Old Workbook Data:</t>
  </si>
  <si>
    <t>(Old Protocal)</t>
  </si>
  <si>
    <t>Juvenile</t>
  </si>
  <si>
    <t>Fry</t>
  </si>
  <si>
    <t>Spawn/eggs</t>
  </si>
  <si>
    <t>Suitability Index</t>
  </si>
  <si>
    <t>Depth (m)</t>
  </si>
  <si>
    <t>month</t>
  </si>
  <si>
    <t>funcNo</t>
  </si>
  <si>
    <t>Life Stage</t>
  </si>
  <si>
    <t>Fy</t>
  </si>
  <si>
    <t>Boltzmann Model.</t>
  </si>
  <si>
    <t>fit = (A+((B-A)/(1+exp((C-x)/D))))</t>
  </si>
  <si>
    <t>inv = (C-(D*ln((B-y)/(y-A))))</t>
  </si>
  <si>
    <t>res = (y-fit)</t>
  </si>
  <si>
    <t>RSI</t>
  </si>
  <si>
    <t>J</t>
  </si>
  <si>
    <t>F</t>
  </si>
  <si>
    <t>S</t>
  </si>
  <si>
    <t>Model</t>
  </si>
  <si>
    <t>Juvenile Depth (m)</t>
  </si>
  <si>
    <t>A</t>
  </si>
  <si>
    <t>B</t>
  </si>
  <si>
    <t>Fry Depth (m)</t>
  </si>
  <si>
    <t>C</t>
  </si>
  <si>
    <t>Spawn Depth (m)</t>
  </si>
  <si>
    <t>D</t>
  </si>
  <si>
    <t>Depth</t>
  </si>
  <si>
    <t>Copy</t>
  </si>
  <si>
    <t>Site 1</t>
  </si>
  <si>
    <t>E</t>
  </si>
  <si>
    <t>h</t>
  </si>
  <si>
    <t>VegD</t>
  </si>
  <si>
    <t>Boltzmann Model</t>
  </si>
  <si>
    <t>Site2</t>
  </si>
  <si>
    <t>Site3</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</si>
  <si>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</si>
  <si>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</si>
  <si>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</si>
  <si>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</si>
  <si>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</si>
  <si>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</si>
  <si>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</si>
  <si>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</si>
  <si>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</si>
  <si>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</si>
  <si>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</si>
  <si>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</si>
  <si>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</si>
  <si>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</si>
  <si>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</si>
  <si>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</si>
  <si>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</si>
  <si>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</si>
  <si>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</si>
  <si>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</si>
  <si>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</si>
  <si>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</si>
  <si>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</si>
  <si>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</si>
  <si>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</si>
  <si>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Annual Precip</t>
  </si>
  <si>
    <t>+1.6</t>
  </si>
  <si>
    <t>%</t>
  </si>
  <si>
    <t>Hydrology</t>
  </si>
  <si>
    <t>Blacksmith Fork</t>
  </si>
  <si>
    <t>Logan</t>
  </si>
  <si>
    <t>+2.7</t>
  </si>
  <si>
    <t>-3</t>
  </si>
  <si>
    <t>Runoff</t>
  </si>
  <si>
    <t>Summer</t>
  </si>
  <si>
    <t>Winter</t>
  </si>
  <si>
    <t>May - Oct</t>
  </si>
  <si>
    <t>Nov-Feb</t>
  </si>
  <si>
    <t>Mar, Apr</t>
  </si>
  <si>
    <t>Cub River</t>
  </si>
  <si>
    <t>Logan River</t>
  </si>
  <si>
    <t>Porcupine</t>
  </si>
  <si>
    <t>Area Acres</t>
  </si>
  <si>
    <t>SouthCache Gain To Cutler</t>
  </si>
  <si>
    <t>Malad Reach Gain</t>
  </si>
  <si>
    <t>Corinne, UT</t>
  </si>
  <si>
    <t>s1</t>
  </si>
  <si>
    <t>s2</t>
  </si>
  <si>
    <t>s3</t>
  </si>
  <si>
    <t>s4</t>
  </si>
  <si>
    <t>s5</t>
  </si>
  <si>
    <t>s6</t>
  </si>
  <si>
    <t>s7</t>
  </si>
  <si>
    <t>s8</t>
  </si>
  <si>
    <t>s9</t>
  </si>
  <si>
    <t>s10</t>
  </si>
  <si>
    <t>s11</t>
  </si>
  <si>
    <t>s12</t>
  </si>
  <si>
    <t>s13</t>
  </si>
  <si>
    <t>s14</t>
  </si>
  <si>
    <t>s15</t>
  </si>
  <si>
    <t>s16</t>
  </si>
  <si>
    <t>s17</t>
  </si>
  <si>
    <t>s18</t>
  </si>
  <si>
    <t>s19</t>
  </si>
  <si>
    <t>s20</t>
  </si>
  <si>
    <t>Paradise - Little Bear</t>
  </si>
  <si>
    <t>Mendon</t>
  </si>
  <si>
    <t>Stateline</t>
  </si>
  <si>
    <t>BLKsmith</t>
  </si>
  <si>
    <t>East Fork</t>
  </si>
  <si>
    <t>Corinne</t>
  </si>
  <si>
    <t>Conrinne</t>
  </si>
  <si>
    <t>Paradise</t>
  </si>
  <si>
    <t>Motron</t>
  </si>
  <si>
    <t>Old Stage (ft)</t>
  </si>
  <si>
    <t>New Stage (ft)</t>
  </si>
  <si>
    <t>Datum = 30</t>
  </si>
  <si>
    <t>Datum = 20</t>
  </si>
  <si>
    <t>Bench Mark</t>
  </si>
  <si>
    <t>Datum</t>
  </si>
  <si>
    <t>(ft)</t>
  </si>
  <si>
    <t>Water Depth at Transducer (ft)</t>
  </si>
  <si>
    <t>Water Depth at Transducer (m)</t>
  </si>
  <si>
    <t>Deepest Channel bottom to Datum</t>
  </si>
  <si>
    <t>WSL to  Datum</t>
  </si>
  <si>
    <t>WSL surveyed</t>
  </si>
  <si>
    <t>Channel bed at transducer to Datum</t>
  </si>
  <si>
    <t>Transducer Channel Bottom Survery</t>
  </si>
  <si>
    <t>Max Water Depth</t>
  </si>
  <si>
    <t>Width/max Depth ratio</t>
  </si>
  <si>
    <t xml:space="preserve">Width/ Stage </t>
  </si>
  <si>
    <t>Temp [C]</t>
  </si>
  <si>
    <t xml:space="preserve">Max Water Depth </t>
  </si>
  <si>
    <t>Max Water Depth (ft)</t>
  </si>
  <si>
    <t>Months</t>
  </si>
  <si>
    <t>Apr-Aug</t>
  </si>
  <si>
    <t>Sep-Mar</t>
  </si>
  <si>
    <t>s21</t>
  </si>
  <si>
    <t>s22</t>
  </si>
  <si>
    <t>s23</t>
  </si>
  <si>
    <t>s24</t>
  </si>
  <si>
    <t>s25</t>
  </si>
  <si>
    <t>s26</t>
  </si>
  <si>
    <t>s27</t>
  </si>
  <si>
    <t>s28</t>
  </si>
  <si>
    <t>s29</t>
  </si>
  <si>
    <t>s30</t>
  </si>
  <si>
    <t>q1</t>
  </si>
  <si>
    <t>q2</t>
  </si>
  <si>
    <t>q3</t>
  </si>
  <si>
    <t>q4</t>
  </si>
  <si>
    <t>q5</t>
  </si>
  <si>
    <t>q6</t>
  </si>
  <si>
    <t>q7</t>
  </si>
  <si>
    <t>q8</t>
  </si>
  <si>
    <t>q9</t>
  </si>
  <si>
    <t>q10</t>
  </si>
  <si>
    <t>Base case</t>
  </si>
  <si>
    <t>Trout</t>
  </si>
  <si>
    <t>Sucker</t>
  </si>
  <si>
    <t>Spawn</t>
  </si>
  <si>
    <t>Adul/Juv</t>
  </si>
  <si>
    <t>With Sucker</t>
  </si>
  <si>
    <t>https://github.com/ayman510/WASH</t>
  </si>
  <si>
    <t>3. Do NOT change the index cells unless you want to change the domain of the input value</t>
  </si>
  <si>
    <t>linkevap</t>
  </si>
  <si>
    <t>Evaporative losses on links [m per month]</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</si>
  <si>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</si>
  <si>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</si>
  <si>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</si>
  <si>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</si>
  <si>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</si>
  <si>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Qloop</t>
  </si>
  <si>
    <t xml:space="preserve">Define flow values for the flow sensivity analysis loop </t>
  </si>
  <si>
    <t>Define parameters to run the model over multiple values of demand requirements to build a tradeoff curve</t>
  </si>
  <si>
    <t>Old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</si>
</sst>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000"/>
    <numFmt numFmtId="165" formatCode="_(* #,##0_);_(* \(#,##0\);_(* &quot;-&quot;??_);_(@_)"/>
    <numFmt numFmtId="166" formatCode="_(* #,##0.000_);_(* \(#,##0.000\);_(* &quot;-&quot;???_);_(@_)"/>
    <numFmt numFmtId="167" formatCode="_(* #,##0.0000_);_(* \(#,##0.0000\);_(* &quot;-&quot;??_);_(@_)"/>
    <numFmt numFmtId="168" formatCode="0.0"/>
    <numFmt numFmtId="169" formatCode="0.00000"/>
    <numFmt numFmtId="170" formatCode="_(* #,##0.00000_);_(* \(#,##0.00000\);_(* &quot;-&quot;??_);_(@_)"/>
    <numFmt numFmtId="171" formatCode="0.000"/>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2"/>
      <color rgb="FF333333"/>
      <name val="Consolas"/>
      <family val="3"/>
    </font>
    <font>
      <b/>
      <sz val="12"/>
      <color rgb="FF333333"/>
      <name val="Consolas"/>
      <family val="3"/>
    </font>
    <font>
      <u/>
      <sz val="11"/>
      <color theme="10"/>
      <name val="Calibri"/>
      <family val="2"/>
      <scheme val="minor"/>
    </font>
    <font>
      <b/>
      <sz val="14"/>
      <color theme="1"/>
      <name val="Calibri"/>
      <family val="2"/>
      <scheme val="minor"/>
    </font>
    <font>
      <b/>
      <sz val="12"/>
      <color rgb="FF333333"/>
      <name val="Arial"/>
      <family val="2"/>
    </font>
    <font>
      <b/>
      <sz val="9"/>
      <color indexed="81"/>
      <name val="Tahoma"/>
      <family val="2"/>
    </font>
    <font>
      <sz val="9"/>
      <color indexed="81"/>
      <name val="Tahoma"/>
      <family val="2"/>
    </font>
    <font>
      <sz val="36"/>
      <color theme="1"/>
      <name val="Calibri"/>
      <family val="2"/>
      <scheme val="minor"/>
    </font>
    <font>
      <sz val="10"/>
      <color theme="1"/>
      <name val="Calibri"/>
      <family val="2"/>
      <scheme val="minor"/>
    </font>
    <font>
      <sz val="11"/>
      <color theme="1"/>
      <name val="Calibri"/>
      <family val="2"/>
    </font>
    <font>
      <sz val="11"/>
      <name val="Calibri"/>
      <family val="2"/>
      <scheme val="minor"/>
    </font>
    <font>
      <b/>
      <u/>
      <sz val="11"/>
      <color theme="1"/>
      <name val="Calibri"/>
      <family val="2"/>
      <scheme val="minor"/>
    </font>
    <font>
      <u/>
      <sz val="11"/>
      <color theme="1"/>
      <name val="Calibri"/>
      <family val="2"/>
      <scheme val="minor"/>
    </font>
    <font>
      <b/>
      <i/>
      <sz val="9"/>
      <color indexed="81"/>
      <name val="Tahoma"/>
      <family val="2"/>
    </font>
    <font>
      <sz val="11"/>
      <color rgb="FFFF0000"/>
      <name val="Calibri"/>
      <family val="2"/>
      <scheme val="minor"/>
    </font>
    <font>
      <b/>
      <u/>
      <sz val="11"/>
      <color rgb="FFFF0000"/>
      <name val="Calibri"/>
      <family val="2"/>
      <scheme val="minor"/>
    </font>
    <font>
      <b/>
      <sz val="11"/>
      <color rgb="FFFF0000"/>
      <name val="Calibri"/>
      <family val="2"/>
      <scheme val="minor"/>
    </font>
    <font>
      <sz val="12"/>
      <color theme="1"/>
      <name val="Calibri"/>
      <family val="2"/>
      <scheme val="minor"/>
    </font>
    <font>
      <sz val="12"/>
      <color rgb="FF000000"/>
      <name val="Verdana"/>
      <family val="2"/>
    </font>
  </fonts>
  <fills count="20">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FF"/>
        <bgColor indexed="64"/>
      </patternFill>
    </fill>
    <fill>
      <patternFill patternType="solid">
        <fgColor rgb="FF00B0F0"/>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bgColor indexed="64"/>
      </patternFill>
    </fill>
    <fill>
      <patternFill patternType="solid">
        <fgColor theme="4" tint="0.39997558519241921"/>
        <bgColor indexed="64"/>
      </patternFill>
    </fill>
    <fill>
      <patternFill patternType="solid">
        <fgColor theme="6"/>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top/>
      <bottom/>
      <diagonal/>
    </border>
    <border>
      <left style="thin">
        <color indexed="64"/>
      </left>
      <right/>
      <top/>
      <bottom/>
      <diagonal/>
    </border>
    <border>
      <left/>
      <right style="thin">
        <color auto="1"/>
      </right>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43" fontId="1" fillId="0" borderId="0" applyFont="0" applyFill="0" applyBorder="0" applyAlignment="0" applyProtection="0"/>
    <xf numFmtId="0" fontId="1" fillId="0" borderId="0"/>
    <xf numFmtId="0" fontId="5" fillId="0" borderId="0" applyNumberFormat="0" applyFill="0" applyBorder="0" applyAlignment="0" applyProtection="0"/>
  </cellStyleXfs>
  <cellXfs count="203">
    <xf numFmtId="0" fontId="0" fillId="0" borderId="0" xfId="0"/>
    <xf numFmtId="0" fontId="0" fillId="0" borderId="0" xfId="0" applyFont="1" applyFill="1" applyBorder="1" applyAlignment="1">
      <alignment horizont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NumberFormat="1" applyFont="1"/>
    <xf numFmtId="0" fontId="0" fillId="0" borderId="0" xfId="0"/>
    <xf numFmtId="0" fontId="0" fillId="0" borderId="0" xfId="0" applyFont="1" applyFill="1" applyBorder="1" applyAlignment="1">
      <alignment horizontal="center"/>
    </xf>
    <xf numFmtId="0" fontId="0" fillId="0" borderId="0" xfId="0" applyNumberFormat="1"/>
    <xf numFmtId="0" fontId="0" fillId="0" borderId="0" xfId="0" applyFont="1" applyFill="1" applyBorder="1" applyAlignment="1">
      <alignment horizontal="left"/>
    </xf>
    <xf numFmtId="0" fontId="0" fillId="0" borderId="0" xfId="0" quotePrefix="1"/>
    <xf numFmtId="0" fontId="2" fillId="2" borderId="0" xfId="0" applyFont="1" applyFill="1"/>
    <xf numFmtId="0" fontId="2" fillId="3" borderId="0" xfId="0" applyFont="1" applyFill="1"/>
    <xf numFmtId="0" fontId="2" fillId="0" borderId="0" xfId="0" applyFont="1"/>
    <xf numFmtId="165" fontId="0" fillId="0" borderId="0" xfId="1" applyNumberFormat="1" applyFont="1"/>
    <xf numFmtId="0" fontId="0" fillId="0" borderId="0" xfId="0" applyAlignment="1">
      <alignment vertical="top"/>
    </xf>
    <xf numFmtId="0" fontId="2" fillId="0" borderId="0" xfId="0" applyFont="1" applyAlignment="1">
      <alignment vertical="top"/>
    </xf>
    <xf numFmtId="0" fontId="2" fillId="4" borderId="0" xfId="0" applyFont="1" applyFill="1" applyAlignment="1">
      <alignment vertical="top"/>
    </xf>
    <xf numFmtId="0" fontId="0" fillId="4" borderId="0" xfId="0" applyFill="1" applyAlignment="1">
      <alignment vertical="top"/>
    </xf>
    <xf numFmtId="0" fontId="3" fillId="5" borderId="0" xfId="2" applyFont="1" applyFill="1" applyAlignment="1">
      <alignment vertical="top" wrapText="1"/>
    </xf>
    <xf numFmtId="0" fontId="5" fillId="4" borderId="0" xfId="3" applyFill="1" applyAlignment="1">
      <alignment vertical="top"/>
    </xf>
    <xf numFmtId="0" fontId="5" fillId="0" borderId="0" xfId="3"/>
    <xf numFmtId="0" fontId="4" fillId="5" borderId="0" xfId="2" applyFont="1" applyFill="1" applyAlignment="1">
      <alignment vertical="center" wrapText="1"/>
    </xf>
    <xf numFmtId="0" fontId="2" fillId="4" borderId="0" xfId="0" applyFont="1" applyFill="1"/>
    <xf numFmtId="0" fontId="0" fillId="4" borderId="0" xfId="0" applyFill="1"/>
    <xf numFmtId="0" fontId="5" fillId="4" borderId="0" xfId="3" applyFill="1"/>
    <xf numFmtId="0" fontId="0" fillId="0" borderId="1" xfId="0" applyFill="1" applyBorder="1"/>
    <xf numFmtId="0" fontId="2" fillId="0" borderId="1" xfId="0" applyFont="1" applyFill="1" applyBorder="1"/>
    <xf numFmtId="0" fontId="2" fillId="0" borderId="1" xfId="0" applyFont="1" applyBorder="1"/>
    <xf numFmtId="0" fontId="2" fillId="0" borderId="3" xfId="0" applyFont="1" applyBorder="1" applyAlignment="1">
      <alignment horizontal="center"/>
    </xf>
    <xf numFmtId="0" fontId="2" fillId="0" borderId="4" xfId="0" applyFont="1" applyBorder="1" applyAlignment="1">
      <alignment horizontal="center"/>
    </xf>
    <xf numFmtId="0" fontId="5" fillId="0" borderId="1" xfId="3" applyBorder="1"/>
    <xf numFmtId="0" fontId="5" fillId="0" borderId="1" xfId="3" applyFill="1" applyBorder="1"/>
    <xf numFmtId="14" fontId="0" fillId="4" borderId="0" xfId="0" applyNumberFormat="1" applyFill="1" applyAlignment="1">
      <alignment horizontal="left" vertical="top"/>
    </xf>
    <xf numFmtId="0" fontId="2" fillId="6" borderId="0" xfId="0" applyFont="1" applyFill="1"/>
    <xf numFmtId="0" fontId="0" fillId="6" borderId="0" xfId="0" applyFill="1"/>
    <xf numFmtId="43" fontId="0" fillId="0" borderId="0" xfId="1" applyFont="1"/>
    <xf numFmtId="0" fontId="2" fillId="0" borderId="2" xfId="0" applyFont="1" applyBorder="1"/>
    <xf numFmtId="0" fontId="2" fillId="0" borderId="3" xfId="0" applyFont="1" applyBorder="1"/>
    <xf numFmtId="0" fontId="0" fillId="0" borderId="5" xfId="0" applyBorder="1"/>
    <xf numFmtId="165" fontId="0" fillId="0" borderId="6" xfId="1" applyNumberFormat="1" applyFont="1" applyFill="1" applyBorder="1"/>
    <xf numFmtId="165" fontId="0" fillId="0" borderId="7" xfId="1" applyNumberFormat="1" applyFont="1" applyFill="1" applyBorder="1"/>
    <xf numFmtId="165" fontId="0" fillId="0" borderId="8" xfId="1" applyNumberFormat="1" applyFont="1" applyFill="1" applyBorder="1"/>
    <xf numFmtId="0" fontId="0" fillId="0" borderId="9" xfId="0" applyBorder="1"/>
    <xf numFmtId="165" fontId="0" fillId="0" borderId="10" xfId="1" applyNumberFormat="1" applyFont="1" applyFill="1" applyBorder="1"/>
    <xf numFmtId="165" fontId="0" fillId="0" borderId="0" xfId="1" applyNumberFormat="1" applyFont="1" applyFill="1" applyBorder="1"/>
    <xf numFmtId="165" fontId="0" fillId="0" borderId="11" xfId="1" applyNumberFormat="1" applyFont="1" applyFill="1" applyBorder="1"/>
    <xf numFmtId="165" fontId="0" fillId="0" borderId="12" xfId="1" applyNumberFormat="1" applyFont="1" applyFill="1" applyBorder="1"/>
    <xf numFmtId="165" fontId="0" fillId="0" borderId="13" xfId="1" applyNumberFormat="1" applyFont="1" applyFill="1" applyBorder="1"/>
    <xf numFmtId="165" fontId="0" fillId="0" borderId="14" xfId="1" applyNumberFormat="1" applyFont="1" applyFill="1" applyBorder="1"/>
    <xf numFmtId="166" fontId="0" fillId="0" borderId="0" xfId="0" applyNumberFormat="1"/>
    <xf numFmtId="11" fontId="0" fillId="0" borderId="0" xfId="0" applyNumberFormat="1"/>
    <xf numFmtId="165" fontId="0" fillId="0" borderId="0" xfId="0" applyNumberFormat="1"/>
    <xf numFmtId="43" fontId="0" fillId="0" borderId="6" xfId="1" applyNumberFormat="1" applyFont="1" applyFill="1" applyBorder="1"/>
    <xf numFmtId="0" fontId="0" fillId="0" borderId="0" xfId="0" applyBorder="1"/>
    <xf numFmtId="167" fontId="0" fillId="0" borderId="6" xfId="1" applyNumberFormat="1" applyFont="1" applyFill="1" applyBorder="1"/>
    <xf numFmtId="0" fontId="10" fillId="0" borderId="0" xfId="0" applyFont="1" applyAlignment="1"/>
    <xf numFmtId="43" fontId="11" fillId="0" borderId="0" xfId="0" applyNumberFormat="1" applyFont="1" applyAlignment="1"/>
    <xf numFmtId="14" fontId="0" fillId="0" borderId="0" xfId="0" applyNumberFormat="1"/>
    <xf numFmtId="0" fontId="2" fillId="7" borderId="1" xfId="0" applyFont="1" applyFill="1" applyBorder="1" applyAlignment="1">
      <alignment horizontal="center" vertical="center"/>
    </xf>
    <xf numFmtId="14" fontId="0" fillId="8" borderId="1" xfId="0" applyNumberFormat="1" applyFill="1" applyBorder="1" applyAlignment="1">
      <alignment horizontal="center" vertical="center"/>
    </xf>
    <xf numFmtId="43" fontId="0" fillId="8" borderId="1" xfId="1" applyFont="1" applyFill="1" applyBorder="1" applyAlignment="1">
      <alignment horizontal="center" vertical="center"/>
    </xf>
    <xf numFmtId="43" fontId="0" fillId="2" borderId="1" xfId="1" applyFont="1" applyFill="1" applyBorder="1" applyAlignment="1">
      <alignment horizontal="center" vertical="center"/>
    </xf>
    <xf numFmtId="43" fontId="0" fillId="2" borderId="1" xfId="1" applyFont="1" applyFill="1" applyBorder="1"/>
    <xf numFmtId="43" fontId="0" fillId="0" borderId="1" xfId="1" applyFont="1" applyBorder="1"/>
    <xf numFmtId="43" fontId="0" fillId="2" borderId="1" xfId="0" applyNumberFormat="1" applyFill="1" applyBorder="1"/>
    <xf numFmtId="43" fontId="0" fillId="9" borderId="1" xfId="1" applyFont="1" applyFill="1" applyBorder="1" applyAlignment="1">
      <alignment horizontal="center" vertical="center"/>
    </xf>
    <xf numFmtId="43" fontId="0" fillId="9" borderId="1" xfId="1" applyFont="1" applyFill="1" applyBorder="1"/>
    <xf numFmtId="43" fontId="0" fillId="9" borderId="1" xfId="0" applyNumberFormat="1" applyFill="1" applyBorder="1"/>
    <xf numFmtId="14" fontId="12" fillId="8" borderId="1" xfId="0" applyNumberFormat="1" applyFont="1" applyFill="1" applyBorder="1" applyAlignment="1">
      <alignment horizontal="center" vertical="center"/>
    </xf>
    <xf numFmtId="0" fontId="0" fillId="8" borderId="1" xfId="0" applyFill="1" applyBorder="1" applyAlignment="1">
      <alignment horizontal="center" vertical="center"/>
    </xf>
    <xf numFmtId="43" fontId="0" fillId="0" borderId="16" xfId="1" applyFont="1" applyFill="1" applyBorder="1"/>
    <xf numFmtId="14" fontId="13" fillId="8" borderId="1" xfId="0" applyNumberFormat="1" applyFont="1" applyFill="1" applyBorder="1" applyAlignment="1">
      <alignment horizontal="center" vertical="center"/>
    </xf>
    <xf numFmtId="0" fontId="14" fillId="0" borderId="0" xfId="0" applyFont="1" applyAlignment="1">
      <alignment horizontal="center" vertical="center"/>
    </xf>
    <xf numFmtId="14" fontId="14" fillId="0" borderId="0" xfId="0" applyNumberFormat="1" applyFont="1" applyAlignment="1">
      <alignment horizontal="center" vertical="center"/>
    </xf>
    <xf numFmtId="0" fontId="0" fillId="0" borderId="6" xfId="0" applyBorder="1"/>
    <xf numFmtId="14" fontId="0" fillId="0" borderId="18" xfId="0" applyNumberFormat="1" applyBorder="1"/>
    <xf numFmtId="0" fontId="0" fillId="0" borderId="18" xfId="0" applyBorder="1"/>
    <xf numFmtId="0" fontId="0" fillId="0" borderId="8" xfId="0" applyBorder="1"/>
    <xf numFmtId="0" fontId="0" fillId="10" borderId="19" xfId="0" applyFill="1" applyBorder="1"/>
    <xf numFmtId="14" fontId="0" fillId="10" borderId="0" xfId="0" applyNumberFormat="1" applyFill="1" applyBorder="1"/>
    <xf numFmtId="0" fontId="13" fillId="10" borderId="0" xfId="0" applyFont="1" applyFill="1" applyBorder="1"/>
    <xf numFmtId="0" fontId="0" fillId="10" borderId="0" xfId="0" applyFill="1" applyBorder="1"/>
    <xf numFmtId="0" fontId="0" fillId="0" borderId="11" xfId="0" applyBorder="1"/>
    <xf numFmtId="0" fontId="0" fillId="0" borderId="19" xfId="0" applyBorder="1"/>
    <xf numFmtId="14" fontId="0" fillId="0" borderId="0" xfId="0" applyNumberFormat="1" applyBorder="1"/>
    <xf numFmtId="0" fontId="0" fillId="0" borderId="0" xfId="0" applyFill="1" applyBorder="1"/>
    <xf numFmtId="0" fontId="12" fillId="0" borderId="19" xfId="0" applyFont="1" applyFill="1" applyBorder="1"/>
    <xf numFmtId="14" fontId="12" fillId="0" borderId="0" xfId="0" applyNumberFormat="1" applyFont="1" applyFill="1" applyBorder="1"/>
    <xf numFmtId="0" fontId="12" fillId="0" borderId="0" xfId="0" applyFont="1" applyFill="1" applyBorder="1"/>
    <xf numFmtId="168" fontId="0" fillId="0" borderId="0" xfId="0" applyNumberFormat="1" applyBorder="1"/>
    <xf numFmtId="169" fontId="0" fillId="0" borderId="11" xfId="0" applyNumberFormat="1" applyBorder="1"/>
    <xf numFmtId="0" fontId="12" fillId="0" borderId="12" xfId="0" applyFont="1" applyFill="1" applyBorder="1"/>
    <xf numFmtId="14" fontId="12" fillId="11" borderId="13" xfId="0" applyNumberFormat="1" applyFont="1" applyFill="1" applyBorder="1"/>
    <xf numFmtId="0" fontId="0" fillId="11" borderId="13" xfId="0" applyFill="1" applyBorder="1"/>
    <xf numFmtId="0" fontId="12" fillId="11" borderId="13" xfId="0" applyFont="1" applyFill="1" applyBorder="1"/>
    <xf numFmtId="0" fontId="0" fillId="0" borderId="13" xfId="0" applyBorder="1"/>
    <xf numFmtId="0" fontId="0" fillId="0" borderId="14" xfId="0" applyBorder="1"/>
    <xf numFmtId="0" fontId="13" fillId="10" borderId="19" xfId="0" applyFont="1" applyFill="1" applyBorder="1"/>
    <xf numFmtId="14" fontId="13" fillId="10" borderId="0" xfId="0" applyNumberFormat="1" applyFont="1" applyFill="1" applyBorder="1"/>
    <xf numFmtId="0" fontId="13" fillId="8" borderId="19" xfId="0" applyFont="1" applyFill="1" applyBorder="1"/>
    <xf numFmtId="14" fontId="13" fillId="8" borderId="0" xfId="0" applyNumberFormat="1" applyFont="1" applyFill="1" applyBorder="1"/>
    <xf numFmtId="0" fontId="0" fillId="8" borderId="0" xfId="0" applyFill="1" applyBorder="1"/>
    <xf numFmtId="0" fontId="13" fillId="0" borderId="0" xfId="0" applyFont="1" applyFill="1" applyBorder="1"/>
    <xf numFmtId="0" fontId="13" fillId="8" borderId="12" xfId="0" applyFont="1" applyFill="1" applyBorder="1"/>
    <xf numFmtId="14" fontId="13" fillId="8" borderId="13" xfId="0" applyNumberFormat="1" applyFont="1" applyFill="1" applyBorder="1"/>
    <xf numFmtId="0" fontId="0" fillId="8" borderId="13" xfId="0" applyFill="1" applyBorder="1"/>
    <xf numFmtId="0" fontId="13" fillId="0" borderId="13" xfId="0" applyFont="1" applyFill="1" applyBorder="1"/>
    <xf numFmtId="0" fontId="0" fillId="0" borderId="13" xfId="0" applyFill="1" applyBorder="1"/>
    <xf numFmtId="0" fontId="13" fillId="10" borderId="6" xfId="0" applyFont="1" applyFill="1" applyBorder="1"/>
    <xf numFmtId="14" fontId="13" fillId="10" borderId="18" xfId="0" applyNumberFormat="1" applyFont="1" applyFill="1" applyBorder="1"/>
    <xf numFmtId="0" fontId="0" fillId="10" borderId="18" xfId="0" applyFill="1" applyBorder="1"/>
    <xf numFmtId="0" fontId="13" fillId="10" borderId="18" xfId="0" applyFont="1" applyFill="1" applyBorder="1"/>
    <xf numFmtId="0" fontId="0" fillId="0" borderId="18" xfId="0" applyFill="1" applyBorder="1"/>
    <xf numFmtId="0" fontId="0" fillId="0" borderId="12" xfId="0" applyBorder="1"/>
    <xf numFmtId="14" fontId="0" fillId="0" borderId="13" xfId="0" applyNumberFormat="1" applyBorder="1"/>
    <xf numFmtId="0" fontId="15" fillId="0" borderId="0" xfId="0" applyFont="1"/>
    <xf numFmtId="0" fontId="0" fillId="0" borderId="1" xfId="0" applyBorder="1"/>
    <xf numFmtId="0" fontId="0" fillId="12" borderId="1" xfId="0" applyFill="1" applyBorder="1"/>
    <xf numFmtId="0" fontId="0" fillId="11" borderId="1" xfId="0" applyFill="1" applyBorder="1"/>
    <xf numFmtId="0" fontId="0" fillId="13" borderId="1" xfId="0" applyFill="1" applyBorder="1"/>
    <xf numFmtId="0" fontId="2" fillId="7" borderId="1" xfId="0" applyFont="1" applyFill="1" applyBorder="1"/>
    <xf numFmtId="0" fontId="0" fillId="14" borderId="1" xfId="0" applyFill="1" applyBorder="1"/>
    <xf numFmtId="0" fontId="0" fillId="15" borderId="1" xfId="0" applyFill="1" applyBorder="1"/>
    <xf numFmtId="0" fontId="0" fillId="16" borderId="1" xfId="0" applyFill="1" applyBorder="1"/>
    <xf numFmtId="0" fontId="0" fillId="7" borderId="1" xfId="0" applyFill="1" applyBorder="1"/>
    <xf numFmtId="2" fontId="0" fillId="0" borderId="1" xfId="0" applyNumberFormat="1" applyBorder="1"/>
    <xf numFmtId="0" fontId="0" fillId="0" borderId="1" xfId="0" applyFont="1" applyBorder="1"/>
    <xf numFmtId="0" fontId="2" fillId="9" borderId="1" xfId="0" applyFont="1" applyFill="1" applyBorder="1"/>
    <xf numFmtId="0" fontId="0" fillId="2" borderId="0" xfId="0" applyFill="1"/>
    <xf numFmtId="0" fontId="0" fillId="9" borderId="1" xfId="0" applyFill="1" applyBorder="1"/>
    <xf numFmtId="0" fontId="17" fillId="0" borderId="0" xfId="0" applyFont="1"/>
    <xf numFmtId="0" fontId="0" fillId="0" borderId="0" xfId="0" applyFill="1"/>
    <xf numFmtId="169" fontId="0" fillId="0" borderId="0" xfId="1" applyNumberFormat="1" applyFont="1"/>
    <xf numFmtId="170" fontId="0" fillId="0" borderId="0" xfId="1" applyNumberFormat="1" applyFont="1"/>
    <xf numFmtId="0" fontId="18" fillId="0" borderId="0" xfId="0" applyFont="1" applyAlignment="1">
      <alignment horizontal="center" vertical="center"/>
    </xf>
    <xf numFmtId="0" fontId="19" fillId="7" borderId="1" xfId="0" applyFont="1" applyFill="1" applyBorder="1" applyAlignment="1">
      <alignment horizontal="center" vertical="center"/>
    </xf>
    <xf numFmtId="43" fontId="0" fillId="0" borderId="0" xfId="0" applyNumberFormat="1" applyFill="1" applyBorder="1"/>
    <xf numFmtId="0" fontId="2" fillId="0" borderId="0" xfId="0" applyFont="1" applyFill="1" applyBorder="1" applyAlignment="1">
      <alignment horizontal="center" vertical="center"/>
    </xf>
    <xf numFmtId="0" fontId="14" fillId="0" borderId="0" xfId="0" applyFont="1" applyFill="1" applyBorder="1" applyAlignment="1">
      <alignment horizontal="center" vertical="center"/>
    </xf>
    <xf numFmtId="14" fontId="14"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14" fontId="0" fillId="0" borderId="0" xfId="0" applyNumberFormat="1" applyFill="1" applyBorder="1"/>
    <xf numFmtId="168" fontId="0" fillId="0" borderId="0" xfId="0" applyNumberFormat="1" applyFill="1" applyBorder="1"/>
    <xf numFmtId="169" fontId="0" fillId="0" borderId="0" xfId="0" applyNumberFormat="1" applyFill="1" applyBorder="1"/>
    <xf numFmtId="14" fontId="13" fillId="0" borderId="0" xfId="0" applyNumberFormat="1" applyFont="1" applyFill="1" applyBorder="1"/>
    <xf numFmtId="0" fontId="15" fillId="0" borderId="0" xfId="0" applyFont="1" applyFill="1" applyBorder="1"/>
    <xf numFmtId="43" fontId="0" fillId="18" borderId="1" xfId="1" applyFont="1" applyFill="1" applyBorder="1"/>
    <xf numFmtId="43" fontId="0" fillId="18" borderId="1" xfId="1" applyFont="1" applyFill="1" applyBorder="1" applyAlignment="1">
      <alignment vertical="center"/>
    </xf>
    <xf numFmtId="43" fontId="0" fillId="19" borderId="1" xfId="1" applyFont="1" applyFill="1" applyBorder="1" applyAlignment="1">
      <alignment horizontal="center" vertical="center"/>
    </xf>
    <xf numFmtId="43" fontId="0" fillId="19" borderId="1" xfId="1" applyFont="1" applyFill="1" applyBorder="1"/>
    <xf numFmtId="0" fontId="2" fillId="17" borderId="20" xfId="0" applyFont="1" applyFill="1" applyBorder="1" applyAlignment="1">
      <alignment horizontal="center" vertical="center"/>
    </xf>
    <xf numFmtId="0" fontId="2" fillId="17" borderId="20" xfId="0" applyFont="1" applyFill="1" applyBorder="1" applyAlignment="1">
      <alignment horizontal="center" vertical="center" wrapText="1"/>
    </xf>
    <xf numFmtId="0" fontId="2" fillId="17" borderId="21" xfId="0" applyFont="1" applyFill="1" applyBorder="1" applyAlignment="1">
      <alignment horizontal="center" vertical="center" wrapText="1"/>
    </xf>
    <xf numFmtId="0" fontId="2" fillId="17" borderId="22" xfId="0" applyFont="1" applyFill="1" applyBorder="1" applyAlignment="1">
      <alignment horizontal="center" vertical="center" wrapText="1"/>
    </xf>
    <xf numFmtId="0" fontId="20" fillId="0" borderId="0" xfId="0" applyFont="1" applyAlignment="1"/>
    <xf numFmtId="0" fontId="0" fillId="0" borderId="1" xfId="0" applyBorder="1" applyAlignment="1"/>
    <xf numFmtId="14" fontId="0" fillId="0" borderId="1" xfId="0" applyNumberFormat="1" applyBorder="1" applyAlignment="1">
      <alignment horizontal="center"/>
    </xf>
    <xf numFmtId="0" fontId="0" fillId="9" borderId="1" xfId="0" applyFill="1" applyBorder="1" applyAlignment="1">
      <alignment horizontal="center" vertical="center"/>
    </xf>
    <xf numFmtId="0" fontId="0" fillId="19" borderId="1" xfId="0" applyFill="1" applyBorder="1" applyAlignment="1">
      <alignment horizontal="center" vertical="center"/>
    </xf>
    <xf numFmtId="0" fontId="0" fillId="0" borderId="1" xfId="0" applyFill="1" applyBorder="1" applyAlignment="1"/>
    <xf numFmtId="171" fontId="0" fillId="0" borderId="0" xfId="0" applyNumberFormat="1" applyBorder="1" applyAlignment="1">
      <alignment horizontal="center" vertical="center"/>
    </xf>
    <xf numFmtId="0" fontId="0" fillId="0" borderId="0" xfId="0" applyBorder="1" applyAlignment="1">
      <alignment horizontal="center"/>
    </xf>
    <xf numFmtId="3" fontId="21" fillId="5" borderId="23" xfId="0" applyNumberFormat="1" applyFont="1" applyFill="1" applyBorder="1" applyAlignment="1">
      <alignment horizontal="right" vertical="center" wrapText="1"/>
    </xf>
    <xf numFmtId="0" fontId="21" fillId="5" borderId="23" xfId="0" applyFont="1" applyFill="1" applyBorder="1" applyAlignment="1">
      <alignment horizontal="right" vertical="center" wrapText="1"/>
    </xf>
    <xf numFmtId="0" fontId="0" fillId="0" borderId="1" xfId="0" applyBorder="1" applyAlignment="1">
      <alignment horizontal="left"/>
    </xf>
    <xf numFmtId="0" fontId="0" fillId="0" borderId="1" xfId="0" applyBorder="1" applyAlignment="1">
      <alignment horizontal="left" wrapText="1"/>
    </xf>
    <xf numFmtId="0" fontId="6" fillId="4" borderId="0" xfId="0" applyFont="1" applyFill="1" applyAlignment="1">
      <alignment horizontal="center"/>
    </xf>
    <xf numFmtId="0" fontId="0" fillId="4" borderId="0" xfId="0" applyFill="1" applyAlignment="1">
      <alignment horizontal="lef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22" fontId="0" fillId="4" borderId="0" xfId="0" applyNumberFormat="1" applyFill="1" applyAlignment="1">
      <alignment horizontal="left" vertical="top"/>
    </xf>
    <xf numFmtId="0" fontId="5" fillId="4" borderId="0" xfId="3" applyFill="1" applyAlignment="1">
      <alignment horizontal="left" vertical="top"/>
    </xf>
    <xf numFmtId="0" fontId="0" fillId="4" borderId="0" xfId="0" applyFill="1" applyAlignment="1">
      <alignment horizontal="left" vertical="top"/>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4" fillId="5" borderId="0" xfId="2" applyFont="1" applyFill="1" applyAlignment="1">
      <alignment horizontal="center" vertical="center" wrapText="1"/>
    </xf>
    <xf numFmtId="0" fontId="3" fillId="5" borderId="0" xfId="2" applyFont="1" applyFill="1" applyAlignment="1">
      <alignment horizontal="center" vertical="top" wrapText="1"/>
    </xf>
    <xf numFmtId="0" fontId="7" fillId="5" borderId="0" xfId="2" applyFont="1" applyFill="1" applyAlignment="1">
      <alignment horizontal="center" vertical="center" wrapText="1"/>
    </xf>
    <xf numFmtId="0" fontId="2" fillId="7" borderId="15"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2" fillId="17" borderId="1" xfId="0" applyFont="1" applyFill="1" applyBorder="1" applyAlignment="1">
      <alignment horizontal="center" vertical="center"/>
    </xf>
    <xf numFmtId="0" fontId="0" fillId="0" borderId="0" xfId="0"/>
  </cellXfs>
  <cellStyles count="4">
    <cellStyle name="Comma" xfId="1" builtinId="3"/>
    <cellStyle name="Hyperlink" xfId="3" builtinId="8"/>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externalLink" Target="externalLinks/externalLink3.xml"/><Relationship Id="rId89"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externalLink" Target="externalLinks/externalLink1.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externalLink" Target="externalLinks/externalLink2.xml"/><Relationship Id="rId88"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elevation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EvaporationCurve!$C$2:$C$19</c:f>
              <c:numCache>
                <c:formatCode>General</c:formatCode>
                <c:ptCount val="18"/>
                <c:pt idx="0">
                  <c:v>1399.0320000000002</c:v>
                </c:pt>
                <c:pt idx="1">
                  <c:v>1402.0800000000002</c:v>
                </c:pt>
                <c:pt idx="2">
                  <c:v>1405.1280000000002</c:v>
                </c:pt>
                <c:pt idx="3">
                  <c:v>1408.1760000000002</c:v>
                </c:pt>
                <c:pt idx="4">
                  <c:v>1411.2240000000002</c:v>
                </c:pt>
                <c:pt idx="5">
                  <c:v>1414.2720000000002</c:v>
                </c:pt>
                <c:pt idx="6">
                  <c:v>1417.3200000000002</c:v>
                </c:pt>
                <c:pt idx="7">
                  <c:v>1420.3680000000002</c:v>
                </c:pt>
                <c:pt idx="8">
                  <c:v>1423.4160000000002</c:v>
                </c:pt>
                <c:pt idx="9">
                  <c:v>1424.0256000000002</c:v>
                </c:pt>
                <c:pt idx="10">
                  <c:v>1426.4640000000002</c:v>
                </c:pt>
                <c:pt idx="11">
                  <c:v>1429.5120000000002</c:v>
                </c:pt>
                <c:pt idx="12">
                  <c:v>1432.5600000000002</c:v>
                </c:pt>
                <c:pt idx="13">
                  <c:v>1435.6080000000002</c:v>
                </c:pt>
                <c:pt idx="14">
                  <c:v>1438.6560000000002</c:v>
                </c:pt>
                <c:pt idx="15">
                  <c:v>1441.7040000000002</c:v>
                </c:pt>
                <c:pt idx="16">
                  <c:v>1444.7520000000002</c:v>
                </c:pt>
                <c:pt idx="17">
                  <c:v>1447.8000000000002</c:v>
                </c:pt>
              </c:numCache>
            </c:numRef>
          </c:yVal>
          <c:smooth val="0"/>
          <c:extLst>
            <c:ext xmlns:c16="http://schemas.microsoft.com/office/drawing/2014/chart" uri="{C3380CC4-5D6E-409C-BE32-E72D297353CC}">
              <c16:uniqueId val="{00000000-4DBC-4AB7-8B54-011365F7AB90}"/>
            </c:ext>
          </c:extLst>
        </c:ser>
        <c:dLbls>
          <c:showLegendKey val="0"/>
          <c:showVal val="0"/>
          <c:showCatName val="0"/>
          <c:showSerName val="0"/>
          <c:showPercent val="0"/>
          <c:showBubbleSize val="0"/>
        </c:dLbls>
        <c:axId val="482038296"/>
        <c:axId val="482035552"/>
      </c:scatterChart>
      <c:valAx>
        <c:axId val="482038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552"/>
        <c:crosses val="autoZero"/>
        <c:crossBetween val="midCat"/>
      </c:valAx>
      <c:valAx>
        <c:axId val="48203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8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curves-Mm3'!$B$25:$L$25</c:f>
              <c:numCache>
                <c:formatCode>_(* #,##0.00_);_(* \(#,##0.00\);_(* "-"??_);_(@_)</c:formatCode>
                <c:ptCount val="11"/>
                <c:pt idx="0">
                  <c:v>5.4455879277446391</c:v>
                </c:pt>
                <c:pt idx="1">
                  <c:v>202.50306082281597</c:v>
                </c:pt>
                <c:pt idx="2">
                  <c:v>422.22267400772159</c:v>
                </c:pt>
                <c:pt idx="3">
                  <c:v>30.709172032643515</c:v>
                </c:pt>
                <c:pt idx="4">
                  <c:v>444.67245153714242</c:v>
                </c:pt>
                <c:pt idx="5">
                  <c:v>292.22632709749445</c:v>
                </c:pt>
                <c:pt idx="6">
                  <c:v>35.02762208562217</c:v>
                </c:pt>
                <c:pt idx="7">
                  <c:v>107.77410090982079</c:v>
                </c:pt>
                <c:pt idx="8">
                  <c:v>195.29789573735999</c:v>
                </c:pt>
                <c:pt idx="9">
                  <c:v>74.455900677812153</c:v>
                </c:pt>
                <c:pt idx="10">
                  <c:v>402.87760089033605</c:v>
                </c:pt>
              </c:numCache>
            </c:numRef>
          </c:xVal>
          <c:yVal>
            <c:numRef>
              <c:f>'WSI curves-Mm3'!$B$45:$L$45</c:f>
              <c:numCache>
                <c:formatCode>_(* #,##0.0000_);_(* \(#,##0.0000\);_(* "-"??_);_(@_)</c:formatCode>
                <c:ptCount val="11"/>
                <c:pt idx="0">
                  <c:v>5.302911879177364E-2</c:v>
                </c:pt>
                <c:pt idx="1">
                  <c:v>5.2842653231794837E-2</c:v>
                </c:pt>
                <c:pt idx="2">
                  <c:v>5.5052062035886272E-2</c:v>
                </c:pt>
                <c:pt idx="3">
                  <c:v>3.6211825256392764E-2</c:v>
                </c:pt>
                <c:pt idx="4">
                  <c:v>5.4287312772698403E-2</c:v>
                </c:pt>
                <c:pt idx="5">
                  <c:v>5.4143888474872087E-2</c:v>
                </c:pt>
                <c:pt idx="6">
                  <c:v>5.4472949228457836E-2</c:v>
                </c:pt>
                <c:pt idx="7">
                  <c:v>4.7264286886452386E-2</c:v>
                </c:pt>
                <c:pt idx="8">
                  <c:v>3.4913955131649688E-2</c:v>
                </c:pt>
                <c:pt idx="9">
                  <c:v>5.2032428947505205E-2</c:v>
                </c:pt>
                <c:pt idx="10">
                  <c:v>5.3342500031626439E-2</c:v>
                </c:pt>
              </c:numCache>
            </c:numRef>
          </c:yVal>
          <c:smooth val="0"/>
          <c:extLst>
            <c:ext xmlns:c16="http://schemas.microsoft.com/office/drawing/2014/chart" uri="{C3380CC4-5D6E-409C-BE32-E72D297353CC}">
              <c16:uniqueId val="{00000000-F5AD-4375-92A0-72566B2E02BE}"/>
            </c:ext>
          </c:extLst>
        </c:ser>
        <c:dLbls>
          <c:showLegendKey val="0"/>
          <c:showVal val="0"/>
          <c:showCatName val="0"/>
          <c:showSerName val="0"/>
          <c:showPercent val="0"/>
          <c:showBubbleSize val="0"/>
        </c:dLbls>
        <c:axId val="483847408"/>
        <c:axId val="483850544"/>
      </c:scatterChart>
      <c:valAx>
        <c:axId val="483847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544"/>
        <c:crosses val="autoZero"/>
        <c:crossBetween val="midCat"/>
      </c:valAx>
      <c:valAx>
        <c:axId val="4838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August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curves-Mm3'!$B$28:$L$28</c:f>
              <c:numCache>
                <c:formatCode>_(* #,##0.00_);_(* \(#,##0.00\);_(* "-"??_);_(@_)</c:formatCode>
                <c:ptCount val="11"/>
                <c:pt idx="0">
                  <c:v>4.1865801338649602</c:v>
                </c:pt>
                <c:pt idx="1">
                  <c:v>9.9203746650278415</c:v>
                </c:pt>
                <c:pt idx="2">
                  <c:v>119.52989657556481</c:v>
                </c:pt>
                <c:pt idx="3">
                  <c:v>3.54190746832416</c:v>
                </c:pt>
                <c:pt idx="4">
                  <c:v>12.97688153812128</c:v>
                </c:pt>
                <c:pt idx="5">
                  <c:v>11.315901376316161</c:v>
                </c:pt>
                <c:pt idx="6">
                  <c:v>5.7347730787663878</c:v>
                </c:pt>
                <c:pt idx="7">
                  <c:v>6.4846485769104012</c:v>
                </c:pt>
                <c:pt idx="8">
                  <c:v>10.853253933986878</c:v>
                </c:pt>
                <c:pt idx="9">
                  <c:v>8.9268203216649589</c:v>
                </c:pt>
                <c:pt idx="10">
                  <c:v>103.6711936608192</c:v>
                </c:pt>
              </c:numCache>
            </c:numRef>
          </c:xVal>
          <c:yVal>
            <c:numRef>
              <c:f>'WSI curves-Mm3'!$B$48:$L$48</c:f>
              <c:numCache>
                <c:formatCode>_(* #,##0.0000_);_(* \(#,##0.0000\);_(* "-"??_);_(@_)</c:formatCode>
                <c:ptCount val="11"/>
                <c:pt idx="0">
                  <c:v>3.4280963608105564E-2</c:v>
                </c:pt>
                <c:pt idx="1">
                  <c:v>3.9107980785831803E-2</c:v>
                </c:pt>
                <c:pt idx="2">
                  <c:v>5.9755983692303276E-2</c:v>
                </c:pt>
                <c:pt idx="3">
                  <c:v>2.2951539825907238E-2</c:v>
                </c:pt>
                <c:pt idx="4">
                  <c:v>3.8767790003147271E-2</c:v>
                </c:pt>
                <c:pt idx="5">
                  <c:v>6.3143262092221791E-2</c:v>
                </c:pt>
                <c:pt idx="6">
                  <c:v>2.3596399513760073E-2</c:v>
                </c:pt>
                <c:pt idx="7">
                  <c:v>2.9140744830782446E-2</c:v>
                </c:pt>
                <c:pt idx="8">
                  <c:v>5.1812963625192318E-2</c:v>
                </c:pt>
                <c:pt idx="9">
                  <c:v>4.9569370722475935E-2</c:v>
                </c:pt>
                <c:pt idx="10">
                  <c:v>6.3759153909070845E-2</c:v>
                </c:pt>
              </c:numCache>
            </c:numRef>
          </c:yVal>
          <c:smooth val="0"/>
          <c:extLst>
            <c:ext xmlns:c16="http://schemas.microsoft.com/office/drawing/2014/chart" uri="{C3380CC4-5D6E-409C-BE32-E72D297353CC}">
              <c16:uniqueId val="{00000000-0600-4288-BDFD-714D088D1BE4}"/>
            </c:ext>
          </c:extLst>
        </c:ser>
        <c:dLbls>
          <c:showLegendKey val="0"/>
          <c:showVal val="0"/>
          <c:showCatName val="0"/>
          <c:showSerName val="0"/>
          <c:showPercent val="0"/>
          <c:showBubbleSize val="0"/>
        </c:dLbls>
        <c:axId val="483853680"/>
        <c:axId val="483851720"/>
      </c:scatterChart>
      <c:valAx>
        <c:axId val="483853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720"/>
        <c:crosses val="autoZero"/>
        <c:crossBetween val="midCat"/>
      </c:valAx>
      <c:valAx>
        <c:axId val="48385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3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January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c:f>
              <c:strCache>
                <c:ptCount val="1"/>
                <c:pt idx="0">
                  <c:v>January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curves-Mm3'!$B$21:$L$21</c:f>
              <c:numCache>
                <c:formatCode>_(* #,##0.00_);_(* \(#,##0.00\);_(* "-"??_);_(@_)</c:formatCode>
                <c:ptCount val="11"/>
                <c:pt idx="0">
                  <c:v>54.531723120451197</c:v>
                </c:pt>
                <c:pt idx="1">
                  <c:v>75.411533099672639</c:v>
                </c:pt>
                <c:pt idx="2">
                  <c:v>209.02563132122873</c:v>
                </c:pt>
                <c:pt idx="3">
                  <c:v>65.938637108373101</c:v>
                </c:pt>
                <c:pt idx="4">
                  <c:v>94.04636532595201</c:v>
                </c:pt>
                <c:pt idx="5">
                  <c:v>137.35319968169281</c:v>
                </c:pt>
                <c:pt idx="6">
                  <c:v>99.04471781045207</c:v>
                </c:pt>
                <c:pt idx="7">
                  <c:v>64.330747636671362</c:v>
                </c:pt>
                <c:pt idx="8">
                  <c:v>78.650065195977604</c:v>
                </c:pt>
                <c:pt idx="9">
                  <c:v>73.864318702374732</c:v>
                </c:pt>
                <c:pt idx="10">
                  <c:v>99.8251768478016</c:v>
                </c:pt>
              </c:numCache>
            </c:numRef>
          </c:xVal>
          <c:yVal>
            <c:numRef>
              <c:f>'WSI curves-Mm3'!$B$41:$L$41</c:f>
              <c:numCache>
                <c:formatCode>_(* #,##0.0000_);_(* \(#,##0.0000\);_(* "-"??_);_(@_)</c:formatCode>
                <c:ptCount val="11"/>
                <c:pt idx="0">
                  <c:v>0.56541623336500579</c:v>
                </c:pt>
                <c:pt idx="1">
                  <c:v>0.62170759505850237</c:v>
                </c:pt>
                <c:pt idx="2">
                  <c:v>0.69678641988757695</c:v>
                </c:pt>
                <c:pt idx="3">
                  <c:v>0.60260227269830191</c:v>
                </c:pt>
                <c:pt idx="4">
                  <c:v>0.64712806804869538</c:v>
                </c:pt>
                <c:pt idx="5">
                  <c:v>0.67562587319073486</c:v>
                </c:pt>
                <c:pt idx="6">
                  <c:v>0.65203638770284533</c:v>
                </c:pt>
                <c:pt idx="7">
                  <c:v>0.59153498317537889</c:v>
                </c:pt>
                <c:pt idx="8">
                  <c:v>0.62712252053593176</c:v>
                </c:pt>
                <c:pt idx="9">
                  <c:v>0.6189355857352935</c:v>
                </c:pt>
                <c:pt idx="10">
                  <c:v>0.65274763445102657</c:v>
                </c:pt>
              </c:numCache>
            </c:numRef>
          </c:yVal>
          <c:smooth val="0"/>
          <c:extLst>
            <c:ext xmlns:c16="http://schemas.microsoft.com/office/drawing/2014/chart" uri="{C3380CC4-5D6E-409C-BE32-E72D297353CC}">
              <c16:uniqueId val="{00000000-3D4E-40FF-ABDB-D590FE50E3FC}"/>
            </c:ext>
          </c:extLst>
        </c:ser>
        <c:dLbls>
          <c:showLegendKey val="0"/>
          <c:showVal val="0"/>
          <c:showCatName val="0"/>
          <c:showSerName val="0"/>
          <c:showPercent val="0"/>
          <c:showBubbleSize val="0"/>
        </c:dLbls>
        <c:axId val="483849368"/>
        <c:axId val="483848976"/>
      </c:scatterChart>
      <c:valAx>
        <c:axId val="483849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976"/>
        <c:crosses val="autoZero"/>
        <c:crossBetween val="midCat"/>
      </c:valAx>
      <c:valAx>
        <c:axId val="48384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Usable Area for</a:t>
                </a:r>
                <a:r>
                  <a:rPr lang="en-US" baseline="0"/>
                  <a:t> Wetlans (Mm2)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9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February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c:f>
              <c:strCache>
                <c:ptCount val="1"/>
                <c:pt idx="0">
                  <c:v>February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0514524707456008"/>
                  <c:y val="0.159240973256721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curves-Mm3'!$B$22:$L$22</c:f>
              <c:numCache>
                <c:formatCode>_(* #,##0.00_);_(* \(#,##0.00\);_(* "-"??_);_(@_)</c:formatCode>
                <c:ptCount val="11"/>
                <c:pt idx="0">
                  <c:v>55.207467295868156</c:v>
                </c:pt>
                <c:pt idx="1">
                  <c:v>98.851439766643196</c:v>
                </c:pt>
                <c:pt idx="2">
                  <c:v>129.60978796846084</c:v>
                </c:pt>
                <c:pt idx="3">
                  <c:v>70.833256215321597</c:v>
                </c:pt>
                <c:pt idx="4">
                  <c:v>69.600182122598397</c:v>
                </c:pt>
                <c:pt idx="5">
                  <c:v>108.57902427590402</c:v>
                </c:pt>
                <c:pt idx="6">
                  <c:v>102.26685780393983</c:v>
                </c:pt>
                <c:pt idx="7">
                  <c:v>77.067130795200001</c:v>
                </c:pt>
                <c:pt idx="8">
                  <c:v>64.585680812190716</c:v>
                </c:pt>
                <c:pt idx="9">
                  <c:v>67.024427351132161</c:v>
                </c:pt>
                <c:pt idx="10">
                  <c:v>88.213729141324791</c:v>
                </c:pt>
              </c:numCache>
            </c:numRef>
          </c:xVal>
          <c:yVal>
            <c:numRef>
              <c:f>'WSI curves-Mm3'!$B$42:$L$42</c:f>
              <c:numCache>
                <c:formatCode>_(* #,##0.0000_);_(* \(#,##0.0000\);_(* "-"??_);_(@_)</c:formatCode>
                <c:ptCount val="11"/>
                <c:pt idx="0">
                  <c:v>0.65992326128419787</c:v>
                </c:pt>
                <c:pt idx="1">
                  <c:v>0.68773132419996796</c:v>
                </c:pt>
                <c:pt idx="2">
                  <c:v>0.71673556655600068</c:v>
                </c:pt>
                <c:pt idx="3">
                  <c:v>0.67480769397472673</c:v>
                </c:pt>
                <c:pt idx="4">
                  <c:v>0.68452407119989189</c:v>
                </c:pt>
                <c:pt idx="5">
                  <c:v>0.70374671553926116</c:v>
                </c:pt>
                <c:pt idx="6">
                  <c:v>0.69462631081083981</c:v>
                </c:pt>
                <c:pt idx="7">
                  <c:v>0.676783615212872</c:v>
                </c:pt>
                <c:pt idx="8">
                  <c:v>0.67742368047690227</c:v>
                </c:pt>
                <c:pt idx="9">
                  <c:v>0.67649444781202928</c:v>
                </c:pt>
                <c:pt idx="10">
                  <c:v>0.69142134265667177</c:v>
                </c:pt>
              </c:numCache>
            </c:numRef>
          </c:yVal>
          <c:smooth val="0"/>
          <c:extLst>
            <c:ext xmlns:c16="http://schemas.microsoft.com/office/drawing/2014/chart" uri="{C3380CC4-5D6E-409C-BE32-E72D297353CC}">
              <c16:uniqueId val="{00000000-B70E-4859-99A6-FC2006DED6B8}"/>
            </c:ext>
          </c:extLst>
        </c:ser>
        <c:dLbls>
          <c:showLegendKey val="0"/>
          <c:showVal val="0"/>
          <c:showCatName val="0"/>
          <c:showSerName val="0"/>
          <c:showPercent val="0"/>
          <c:showBubbleSize val="0"/>
        </c:dLbls>
        <c:axId val="483847016"/>
        <c:axId val="483848192"/>
      </c:scatterChart>
      <c:valAx>
        <c:axId val="483847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192"/>
        <c:crosses val="autoZero"/>
        <c:crossBetween val="midCat"/>
      </c:valAx>
      <c:valAx>
        <c:axId val="48384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c:f>
              <c:strCache>
                <c:ptCount val="1"/>
                <c:pt idx="0">
                  <c:v>March</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curves-Mm3'!$B$23:$L$23</c:f>
              <c:numCache>
                <c:formatCode>_(* #,##0.00_);_(* \(#,##0.00\);_(* "-"??_);_(@_)</c:formatCode>
                <c:ptCount val="11"/>
                <c:pt idx="0">
                  <c:v>71.1794466600048</c:v>
                </c:pt>
                <c:pt idx="1">
                  <c:v>140.31110955887996</c:v>
                </c:pt>
                <c:pt idx="2">
                  <c:v>202.04799776478717</c:v>
                </c:pt>
                <c:pt idx="3">
                  <c:v>118.4680827734976</c:v>
                </c:pt>
                <c:pt idx="4">
                  <c:v>169.28345758671358</c:v>
                </c:pt>
                <c:pt idx="5">
                  <c:v>189.60960751200003</c:v>
                </c:pt>
                <c:pt idx="6">
                  <c:v>143.12466941460482</c:v>
                </c:pt>
                <c:pt idx="7">
                  <c:v>101.40321809741761</c:v>
                </c:pt>
                <c:pt idx="8">
                  <c:v>145.39264704020158</c:v>
                </c:pt>
                <c:pt idx="9">
                  <c:v>88.509764786601608</c:v>
                </c:pt>
                <c:pt idx="10">
                  <c:v>183.39530553676798</c:v>
                </c:pt>
              </c:numCache>
            </c:numRef>
          </c:xVal>
          <c:yVal>
            <c:numRef>
              <c:f>'WSI curves-Mm3'!$B$43:$L$43</c:f>
              <c:numCache>
                <c:formatCode>_(* #,##0.0000_);_(* \(#,##0.0000\);_(* "-"??_);_(@_)</c:formatCode>
                <c:ptCount val="11"/>
                <c:pt idx="0">
                  <c:v>0.48746238964742417</c:v>
                </c:pt>
                <c:pt idx="1">
                  <c:v>0.50413613445940264</c:v>
                </c:pt>
                <c:pt idx="2">
                  <c:v>0.51062247564820662</c:v>
                </c:pt>
                <c:pt idx="3">
                  <c:v>0.49844843413583984</c:v>
                </c:pt>
                <c:pt idx="4">
                  <c:v>0.50556944864432374</c:v>
                </c:pt>
                <c:pt idx="5">
                  <c:v>0.51091332245393983</c:v>
                </c:pt>
                <c:pt idx="6">
                  <c:v>0.50676566475449114</c:v>
                </c:pt>
                <c:pt idx="7">
                  <c:v>0.49660446186425117</c:v>
                </c:pt>
                <c:pt idx="8">
                  <c:v>0.50169281853406411</c:v>
                </c:pt>
                <c:pt idx="9">
                  <c:v>0.49479755593864372</c:v>
                </c:pt>
                <c:pt idx="10">
                  <c:v>0.50822643705656756</c:v>
                </c:pt>
              </c:numCache>
            </c:numRef>
          </c:yVal>
          <c:smooth val="0"/>
          <c:extLst>
            <c:ext xmlns:c16="http://schemas.microsoft.com/office/drawing/2014/chart" uri="{C3380CC4-5D6E-409C-BE32-E72D297353CC}">
              <c16:uniqueId val="{00000000-A74F-4237-A59D-78884B373BB5}"/>
            </c:ext>
          </c:extLst>
        </c:ser>
        <c:dLbls>
          <c:showLegendKey val="0"/>
          <c:showVal val="0"/>
          <c:showCatName val="0"/>
          <c:showSerName val="0"/>
          <c:showPercent val="0"/>
          <c:showBubbleSize val="0"/>
        </c:dLbls>
        <c:axId val="483852504"/>
        <c:axId val="483848584"/>
      </c:scatterChart>
      <c:valAx>
        <c:axId val="483852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584"/>
        <c:crosses val="autoZero"/>
        <c:crossBetween val="midCat"/>
      </c:valAx>
      <c:valAx>
        <c:axId val="483848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April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curves-Mm3'!$A$7</c:f>
              <c:strCache>
                <c:ptCount val="1"/>
                <c:pt idx="0">
                  <c:v>April</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curves-Mm3'!$B$24:$L$24</c:f>
              <c:numCache>
                <c:formatCode>_(* #,##0.00_);_(* \(#,##0.00\);_(* "-"??_);_(@_)</c:formatCode>
                <c:ptCount val="11"/>
                <c:pt idx="0">
                  <c:v>46.812777163027199</c:v>
                </c:pt>
                <c:pt idx="1">
                  <c:v>204.33799250841597</c:v>
                </c:pt>
                <c:pt idx="2">
                  <c:v>281.91890417558403</c:v>
                </c:pt>
                <c:pt idx="3">
                  <c:v>80.516802364127997</c:v>
                </c:pt>
                <c:pt idx="4">
                  <c:v>228.55909075833603</c:v>
                </c:pt>
                <c:pt idx="5">
                  <c:v>364.63762456243205</c:v>
                </c:pt>
                <c:pt idx="6">
                  <c:v>105.84375125153218</c:v>
                </c:pt>
                <c:pt idx="7">
                  <c:v>98.352338348160004</c:v>
                </c:pt>
                <c:pt idx="8">
                  <c:v>192.15404611603199</c:v>
                </c:pt>
                <c:pt idx="9">
                  <c:v>113.39877817007999</c:v>
                </c:pt>
                <c:pt idx="10">
                  <c:v>284.316548244768</c:v>
                </c:pt>
              </c:numCache>
            </c:numRef>
          </c:xVal>
          <c:yVal>
            <c:numRef>
              <c:f>'WSI curves-Mm3'!$B$44:$L$44</c:f>
              <c:numCache>
                <c:formatCode>_(* #,##0.0000_);_(* \(#,##0.0000\);_(* "-"??_);_(@_)</c:formatCode>
                <c:ptCount val="11"/>
                <c:pt idx="0">
                  <c:v>0.12439542618342539</c:v>
                </c:pt>
                <c:pt idx="1">
                  <c:v>0.12296978365947678</c:v>
                </c:pt>
                <c:pt idx="2">
                  <c:v>0.12889771009369311</c:v>
                </c:pt>
                <c:pt idx="3">
                  <c:v>0.11477162840875765</c:v>
                </c:pt>
                <c:pt idx="4">
                  <c:v>0.11753279708376799</c:v>
                </c:pt>
                <c:pt idx="5">
                  <c:v>0.12436404683425013</c:v>
                </c:pt>
                <c:pt idx="6">
                  <c:v>0.12832290814019581</c:v>
                </c:pt>
                <c:pt idx="7">
                  <c:v>0.125871395504905</c:v>
                </c:pt>
                <c:pt idx="8">
                  <c:v>0.11098781773586085</c:v>
                </c:pt>
                <c:pt idx="9">
                  <c:v>0.1202616919783342</c:v>
                </c:pt>
                <c:pt idx="10">
                  <c:v>0.12839621727534664</c:v>
                </c:pt>
              </c:numCache>
            </c:numRef>
          </c:yVal>
          <c:smooth val="0"/>
          <c:extLst>
            <c:ext xmlns:c16="http://schemas.microsoft.com/office/drawing/2014/chart" uri="{C3380CC4-5D6E-409C-BE32-E72D297353CC}">
              <c16:uniqueId val="{00000000-DE90-444D-8A11-A137DBC3645D}"/>
            </c:ext>
          </c:extLst>
        </c:ser>
        <c:dLbls>
          <c:showLegendKey val="0"/>
          <c:showVal val="0"/>
          <c:showCatName val="0"/>
          <c:showSerName val="0"/>
          <c:showPercent val="0"/>
          <c:showBubbleSize val="0"/>
        </c:dLbls>
        <c:axId val="483851328"/>
        <c:axId val="483850152"/>
      </c:scatterChart>
      <c:valAx>
        <c:axId val="483851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152"/>
        <c:crosses val="autoZero"/>
        <c:crossBetween val="midCat"/>
      </c:valAx>
      <c:valAx>
        <c:axId val="483850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curves-Mm3'!$A$46</c:f>
              <c:strCache>
                <c:ptCount val="1"/>
                <c:pt idx="0">
                  <c:v>June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curves-Mm3'!$B$26:$L$26</c:f>
              <c:numCache>
                <c:formatCode>_(* #,##0.00_);_(* \(#,##0.00\);_(* "-"??_);_(@_)</c:formatCode>
                <c:ptCount val="11"/>
                <c:pt idx="0">
                  <c:v>5.6956279521023996</c:v>
                </c:pt>
                <c:pt idx="1">
                  <c:v>183.05278495545596</c:v>
                </c:pt>
                <c:pt idx="2">
                  <c:v>362.509103807136</c:v>
                </c:pt>
                <c:pt idx="3">
                  <c:v>36.896806334044797</c:v>
                </c:pt>
                <c:pt idx="4">
                  <c:v>237.88054372118401</c:v>
                </c:pt>
                <c:pt idx="5">
                  <c:v>88.150118176223998</c:v>
                </c:pt>
                <c:pt idx="6">
                  <c:v>7.8755266811215874</c:v>
                </c:pt>
                <c:pt idx="7">
                  <c:v>87.342748234559991</c:v>
                </c:pt>
                <c:pt idx="8">
                  <c:v>222.39372029471997</c:v>
                </c:pt>
                <c:pt idx="9">
                  <c:v>118.90357322688</c:v>
                </c:pt>
                <c:pt idx="10">
                  <c:v>401.43412129766403</c:v>
                </c:pt>
              </c:numCache>
            </c:numRef>
          </c:xVal>
          <c:yVal>
            <c:numRef>
              <c:f>'WSI curves-Mm3'!$B$46:$L$46</c:f>
              <c:numCache>
                <c:formatCode>_(* #,##0.0000_);_(* \(#,##0.0000\);_(* "-"??_);_(@_)</c:formatCode>
                <c:ptCount val="11"/>
                <c:pt idx="0">
                  <c:v>5.4640196255055291E-2</c:v>
                </c:pt>
                <c:pt idx="1">
                  <c:v>3.8127810617643858E-2</c:v>
                </c:pt>
                <c:pt idx="2">
                  <c:v>5.5603058590428696E-2</c:v>
                </c:pt>
                <c:pt idx="3">
                  <c:v>2.8578718617031349E-2</c:v>
                </c:pt>
                <c:pt idx="4">
                  <c:v>5.4696917434177247E-2</c:v>
                </c:pt>
                <c:pt idx="5">
                  <c:v>4.943013965929386E-2</c:v>
                </c:pt>
                <c:pt idx="6">
                  <c:v>2.3781770712040511E-2</c:v>
                </c:pt>
                <c:pt idx="7">
                  <c:v>3.7143829533608452E-2</c:v>
                </c:pt>
                <c:pt idx="8">
                  <c:v>3.7308969503989729E-2</c:v>
                </c:pt>
                <c:pt idx="9">
                  <c:v>5.1747955144569036E-2</c:v>
                </c:pt>
                <c:pt idx="10">
                  <c:v>5.6048663039927497E-2</c:v>
                </c:pt>
              </c:numCache>
            </c:numRef>
          </c:yVal>
          <c:smooth val="0"/>
          <c:extLst>
            <c:ext xmlns:c16="http://schemas.microsoft.com/office/drawing/2014/chart" uri="{C3380CC4-5D6E-409C-BE32-E72D297353CC}">
              <c16:uniqueId val="{00000000-BC9F-42B3-964E-B9E312F1CAE4}"/>
            </c:ext>
          </c:extLst>
        </c:ser>
        <c:dLbls>
          <c:showLegendKey val="0"/>
          <c:showVal val="0"/>
          <c:showCatName val="0"/>
          <c:showSerName val="0"/>
          <c:showPercent val="0"/>
          <c:showBubbleSize val="0"/>
        </c:dLbls>
        <c:axId val="484180424"/>
        <c:axId val="484185128"/>
      </c:scatterChart>
      <c:valAx>
        <c:axId val="484180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128"/>
        <c:crosses val="autoZero"/>
        <c:crossBetween val="midCat"/>
      </c:valAx>
      <c:valAx>
        <c:axId val="48418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curves-Mm3'!$A$47</c:f>
              <c:strCache>
                <c:ptCount val="1"/>
                <c:pt idx="0">
                  <c:v>July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curves-Mm3'!$B$27:$L$27</c:f>
              <c:numCache>
                <c:formatCode>_(* #,##0.00_);_(* \(#,##0.00\);_(* "-"??_);_(@_)</c:formatCode>
                <c:ptCount val="11"/>
                <c:pt idx="0">
                  <c:v>6.1357668990883196</c:v>
                </c:pt>
                <c:pt idx="1">
                  <c:v>19.325011197623041</c:v>
                </c:pt>
                <c:pt idx="2">
                  <c:v>106.7881309507584</c:v>
                </c:pt>
                <c:pt idx="3">
                  <c:v>3.2612852492063999</c:v>
                </c:pt>
                <c:pt idx="4">
                  <c:v>18.490728924570242</c:v>
                </c:pt>
                <c:pt idx="5">
                  <c:v>9.2984551523884793</c:v>
                </c:pt>
                <c:pt idx="6">
                  <c:v>5.8619950071349258</c:v>
                </c:pt>
                <c:pt idx="7">
                  <c:v>6.4618954240089606</c:v>
                </c:pt>
                <c:pt idx="8">
                  <c:v>18.94579198259904</c:v>
                </c:pt>
                <c:pt idx="9">
                  <c:v>9.2301956936841609</c:v>
                </c:pt>
                <c:pt idx="10">
                  <c:v>186.60031954761598</c:v>
                </c:pt>
              </c:numCache>
            </c:numRef>
          </c:xVal>
          <c:yVal>
            <c:numRef>
              <c:f>'WSI curves-Mm3'!$B$47:$L$47</c:f>
              <c:numCache>
                <c:formatCode>_(* #,##0.0000_);_(* \(#,##0.0000\);_(* "-"??_);_(@_)</c:formatCode>
                <c:ptCount val="11"/>
                <c:pt idx="0">
                  <c:v>5.0056456175525774E-2</c:v>
                </c:pt>
                <c:pt idx="1">
                  <c:v>4.0451075198897304E-2</c:v>
                </c:pt>
                <c:pt idx="2">
                  <c:v>6.3002625202840792E-2</c:v>
                </c:pt>
                <c:pt idx="3">
                  <c:v>3.4867887585773409E-2</c:v>
                </c:pt>
                <c:pt idx="4">
                  <c:v>5.8863806076548744E-2</c:v>
                </c:pt>
                <c:pt idx="5">
                  <c:v>6.2773653634326493E-2</c:v>
                </c:pt>
                <c:pt idx="6">
                  <c:v>2.7914298221377355E-2</c:v>
                </c:pt>
                <c:pt idx="7">
                  <c:v>4.1603306883856175E-2</c:v>
                </c:pt>
                <c:pt idx="8">
                  <c:v>4.0797127661204587E-2</c:v>
                </c:pt>
                <c:pt idx="9">
                  <c:v>4.9568729137977295E-2</c:v>
                </c:pt>
                <c:pt idx="10">
                  <c:v>6.4084160780763427E-2</c:v>
                </c:pt>
              </c:numCache>
            </c:numRef>
          </c:yVal>
          <c:smooth val="0"/>
          <c:extLst>
            <c:ext xmlns:c16="http://schemas.microsoft.com/office/drawing/2014/chart" uri="{C3380CC4-5D6E-409C-BE32-E72D297353CC}">
              <c16:uniqueId val="{00000000-FA81-4F5D-AACF-57189CD871C9}"/>
            </c:ext>
          </c:extLst>
        </c:ser>
        <c:dLbls>
          <c:showLegendKey val="0"/>
          <c:showVal val="0"/>
          <c:showCatName val="0"/>
          <c:showSerName val="0"/>
          <c:showPercent val="0"/>
          <c:showBubbleSize val="0"/>
        </c:dLbls>
        <c:axId val="484183952"/>
        <c:axId val="484187480"/>
      </c:scatterChart>
      <c:valAx>
        <c:axId val="484183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7480"/>
        <c:crosses val="autoZero"/>
        <c:crossBetween val="midCat"/>
      </c:valAx>
      <c:valAx>
        <c:axId val="48418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3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October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curves-Mm3'!$A$50</c:f>
              <c:strCache>
                <c:ptCount val="1"/>
                <c:pt idx="0">
                  <c:v>October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curves-Mm3'!$B$30:$L$30</c:f>
              <c:numCache>
                <c:formatCode>_(* #,##0.00_);_(* \(#,##0.00\);_(* "-"??_);_(@_)</c:formatCode>
                <c:ptCount val="11"/>
                <c:pt idx="0">
                  <c:v>7.2506713912588792</c:v>
                </c:pt>
                <c:pt idx="1">
                  <c:v>53.371312322477756</c:v>
                </c:pt>
                <c:pt idx="2">
                  <c:v>186.42416610579838</c:v>
                </c:pt>
                <c:pt idx="3">
                  <c:v>40.955675222592006</c:v>
                </c:pt>
                <c:pt idx="4">
                  <c:v>58.839653403123833</c:v>
                </c:pt>
                <c:pt idx="5">
                  <c:v>84.262509578332796</c:v>
                </c:pt>
                <c:pt idx="6">
                  <c:v>35.526723496914123</c:v>
                </c:pt>
                <c:pt idx="7">
                  <c:v>60.128998734205439</c:v>
                </c:pt>
                <c:pt idx="8">
                  <c:v>72.537051449790695</c:v>
                </c:pt>
                <c:pt idx="9">
                  <c:v>39.264357523584962</c:v>
                </c:pt>
                <c:pt idx="10">
                  <c:v>148.92305560329601</c:v>
                </c:pt>
              </c:numCache>
            </c:numRef>
          </c:xVal>
          <c:yVal>
            <c:numRef>
              <c:f>'WSI curves-Mm3'!$B$50:$L$50</c:f>
              <c:numCache>
                <c:formatCode>_(* #,##0.0000_);_(* \(#,##0.0000\);_(* "-"??_);_(@_)</c:formatCode>
                <c:ptCount val="11"/>
                <c:pt idx="0">
                  <c:v>5.2843083262212709E-2</c:v>
                </c:pt>
                <c:pt idx="1">
                  <c:v>0.10733542929970988</c:v>
                </c:pt>
                <c:pt idx="2">
                  <c:v>0.13879276032099835</c:v>
                </c:pt>
                <c:pt idx="3">
                  <c:v>9.3498567575977035E-2</c:v>
                </c:pt>
                <c:pt idx="4">
                  <c:v>9.8487592597804097E-2</c:v>
                </c:pt>
                <c:pt idx="5">
                  <c:v>0.13758054935538622</c:v>
                </c:pt>
                <c:pt idx="6">
                  <c:v>9.221818413461752E-2</c:v>
                </c:pt>
                <c:pt idx="7">
                  <c:v>9.838695217808191E-2</c:v>
                </c:pt>
                <c:pt idx="8">
                  <c:v>0.12940953289583176</c:v>
                </c:pt>
                <c:pt idx="9">
                  <c:v>0.11458758047634443</c:v>
                </c:pt>
                <c:pt idx="10">
                  <c:v>0.12786170280652273</c:v>
                </c:pt>
              </c:numCache>
            </c:numRef>
          </c:yVal>
          <c:smooth val="0"/>
          <c:extLst>
            <c:ext xmlns:c16="http://schemas.microsoft.com/office/drawing/2014/chart" uri="{C3380CC4-5D6E-409C-BE32-E72D297353CC}">
              <c16:uniqueId val="{00000000-D98B-4A7C-AD41-D8AE8F18BCD6}"/>
            </c:ext>
          </c:extLst>
        </c:ser>
        <c:dLbls>
          <c:showLegendKey val="0"/>
          <c:showVal val="0"/>
          <c:showCatName val="0"/>
          <c:showSerName val="0"/>
          <c:showPercent val="0"/>
          <c:showBubbleSize val="0"/>
        </c:dLbls>
        <c:axId val="484181600"/>
        <c:axId val="484184736"/>
      </c:scatterChart>
      <c:valAx>
        <c:axId val="484181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4736"/>
        <c:crosses val="autoZero"/>
        <c:crossBetween val="midCat"/>
      </c:valAx>
      <c:valAx>
        <c:axId val="48418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Septmeber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curves-Mm3'!$A$49</c:f>
              <c:strCache>
                <c:ptCount val="1"/>
                <c:pt idx="0">
                  <c:v>September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775259351344578"/>
                  <c:y val="0.274369369369369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curves-Mm3'!$B$29:$L$29</c:f>
              <c:numCache>
                <c:formatCode>_(* #,##0.00_);_(* \(#,##0.00\);_(* "-"??_);_(@_)</c:formatCode>
                <c:ptCount val="11"/>
                <c:pt idx="0">
                  <c:v>4.5653100337727999</c:v>
                </c:pt>
                <c:pt idx="1">
                  <c:v>32.023227777091201</c:v>
                </c:pt>
                <c:pt idx="2">
                  <c:v>136.37212287379199</c:v>
                </c:pt>
                <c:pt idx="3">
                  <c:v>9.6517406662559999</c:v>
                </c:pt>
                <c:pt idx="4">
                  <c:v>21.806328151670396</c:v>
                </c:pt>
                <c:pt idx="5">
                  <c:v>46.981590878102402</c:v>
                </c:pt>
                <c:pt idx="6">
                  <c:v>11.019376257151796</c:v>
                </c:pt>
                <c:pt idx="7">
                  <c:v>14.466601409270396</c:v>
                </c:pt>
                <c:pt idx="8">
                  <c:v>19.0906292569824</c:v>
                </c:pt>
                <c:pt idx="9">
                  <c:v>15.523522060176003</c:v>
                </c:pt>
                <c:pt idx="10">
                  <c:v>102.09559898678401</c:v>
                </c:pt>
              </c:numCache>
            </c:numRef>
          </c:xVal>
          <c:yVal>
            <c:numRef>
              <c:f>'WSI curves-Mm3'!$B$49:$L$49</c:f>
              <c:numCache>
                <c:formatCode>_(* #,##0.0000_);_(* \(#,##0.0000\);_(* "-"??_);_(@_)</c:formatCode>
                <c:ptCount val="11"/>
                <c:pt idx="0">
                  <c:v>3.0074499280665013E-2</c:v>
                </c:pt>
                <c:pt idx="1">
                  <c:v>7.4008288128444386E-2</c:v>
                </c:pt>
                <c:pt idx="2">
                  <c:v>8.8566304097152937E-2</c:v>
                </c:pt>
                <c:pt idx="3">
                  <c:v>3.805553212277208E-2</c:v>
                </c:pt>
                <c:pt idx="4">
                  <c:v>6.0149406661967289E-2</c:v>
                </c:pt>
                <c:pt idx="5">
                  <c:v>8.7814850159698019E-2</c:v>
                </c:pt>
                <c:pt idx="6">
                  <c:v>3.5010968537707583E-2</c:v>
                </c:pt>
                <c:pt idx="7">
                  <c:v>4.8498977455258947E-2</c:v>
                </c:pt>
                <c:pt idx="8">
                  <c:v>7.2586941474959671E-2</c:v>
                </c:pt>
                <c:pt idx="9">
                  <c:v>5.16478106168623E-2</c:v>
                </c:pt>
                <c:pt idx="10">
                  <c:v>5.9050534698922796E-2</c:v>
                </c:pt>
              </c:numCache>
            </c:numRef>
          </c:yVal>
          <c:smooth val="0"/>
          <c:extLst>
            <c:ext xmlns:c16="http://schemas.microsoft.com/office/drawing/2014/chart" uri="{C3380CC4-5D6E-409C-BE32-E72D297353CC}">
              <c16:uniqueId val="{00000000-5086-42E0-A959-EF7584A62768}"/>
            </c:ext>
          </c:extLst>
        </c:ser>
        <c:dLbls>
          <c:showLegendKey val="0"/>
          <c:showVal val="0"/>
          <c:showCatName val="0"/>
          <c:showSerName val="0"/>
          <c:showPercent val="0"/>
          <c:showBubbleSize val="0"/>
        </c:dLbls>
        <c:axId val="484180816"/>
        <c:axId val="484185520"/>
      </c:scatterChart>
      <c:valAx>
        <c:axId val="484180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520"/>
        <c:crosses val="autoZero"/>
        <c:crossBetween val="midCat"/>
      </c:valAx>
      <c:valAx>
        <c:axId val="48418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EvaporationCurve!$B$2:$B$19</c:f>
              <c:numCache>
                <c:formatCode>General</c:formatCode>
                <c:ptCount val="18"/>
                <c:pt idx="0">
                  <c:v>0</c:v>
                </c:pt>
                <c:pt idx="1">
                  <c:v>160352.64119160001</c:v>
                </c:pt>
                <c:pt idx="2">
                  <c:v>800529.72410267999</c:v>
                </c:pt>
                <c:pt idx="3">
                  <c:v>2145024.9464014801</c:v>
                </c:pt>
                <c:pt idx="4">
                  <c:v>4262913.2919859197</c:v>
                </c:pt>
                <c:pt idx="5">
                  <c:v>7323181.7750348402</c:v>
                </c:pt>
                <c:pt idx="6">
                  <c:v>11392438.41573552</c:v>
                </c:pt>
                <c:pt idx="7">
                  <c:v>16289361.381355921</c:v>
                </c:pt>
                <c:pt idx="8">
                  <c:v>21858531.958125722</c:v>
                </c:pt>
                <c:pt idx="9">
                  <c:v>23046374.984798882</c:v>
                </c:pt>
                <c:pt idx="10">
                  <c:v>27876689.930232</c:v>
                </c:pt>
                <c:pt idx="11">
                  <c:v>34660840.134492002</c:v>
                </c:pt>
                <c:pt idx="12">
                  <c:v>42061731.266411997</c:v>
                </c:pt>
                <c:pt idx="13">
                  <c:v>50202711.511523999</c:v>
                </c:pt>
                <c:pt idx="14">
                  <c:v>59083780.869828001</c:v>
                </c:pt>
                <c:pt idx="15">
                  <c:v>68828287.526856005</c:v>
                </c:pt>
                <c:pt idx="16">
                  <c:v>79559579.668139994</c:v>
                </c:pt>
                <c:pt idx="17">
                  <c:v>91154309.108148009</c:v>
                </c:pt>
              </c:numCache>
            </c:numRef>
          </c:yVal>
          <c:smooth val="0"/>
          <c:extLst>
            <c:ext xmlns:c16="http://schemas.microsoft.com/office/drawing/2014/chart" uri="{C3380CC4-5D6E-409C-BE32-E72D297353CC}">
              <c16:uniqueId val="{00000000-399A-4D4F-9620-14751BEFB31C}"/>
            </c:ext>
          </c:extLst>
        </c:ser>
        <c:dLbls>
          <c:showLegendKey val="0"/>
          <c:showVal val="0"/>
          <c:showCatName val="0"/>
          <c:showSerName val="0"/>
          <c:showPercent val="0"/>
          <c:showBubbleSize val="0"/>
        </c:dLbls>
        <c:axId val="482037120"/>
        <c:axId val="482037512"/>
      </c:scatterChart>
      <c:valAx>
        <c:axId val="482037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512"/>
        <c:crosses val="autoZero"/>
        <c:crossBetween val="midCat"/>
      </c:valAx>
      <c:valAx>
        <c:axId val="482037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December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curves-Mm3'!$A$15</c:f>
              <c:strCache>
                <c:ptCount val="1"/>
                <c:pt idx="0">
                  <c:v>December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curves-Mm3'!$B$32:$L$32</c:f>
              <c:numCache>
                <c:formatCode>_(* #,##0.00_);_(* \(#,##0.00\);_(* "-"??_);_(@_)</c:formatCode>
                <c:ptCount val="11"/>
                <c:pt idx="0">
                  <c:v>48.479384448668164</c:v>
                </c:pt>
                <c:pt idx="1">
                  <c:v>157.75519344998398</c:v>
                </c:pt>
                <c:pt idx="2">
                  <c:v>180.88756556644799</c:v>
                </c:pt>
                <c:pt idx="3">
                  <c:v>80.091098213068818</c:v>
                </c:pt>
                <c:pt idx="4">
                  <c:v>90.178329332707193</c:v>
                </c:pt>
                <c:pt idx="5">
                  <c:v>107.24319400878721</c:v>
                </c:pt>
                <c:pt idx="6">
                  <c:v>55.351325142496052</c:v>
                </c:pt>
                <c:pt idx="7">
                  <c:v>67.827148799192642</c:v>
                </c:pt>
                <c:pt idx="8">
                  <c:v>73.530605793153597</c:v>
                </c:pt>
                <c:pt idx="9">
                  <c:v>107.62241322381122</c:v>
                </c:pt>
                <c:pt idx="10">
                  <c:v>95.954694278975978</c:v>
                </c:pt>
              </c:numCache>
            </c:numRef>
          </c:xVal>
          <c:yVal>
            <c:numRef>
              <c:f>'WSI curves-Mm3'!$B$52:$L$52</c:f>
              <c:numCache>
                <c:formatCode>_(* #,##0.0000_);_(* \(#,##0.0000\);_(* "-"??_);_(@_)</c:formatCode>
                <c:ptCount val="11"/>
                <c:pt idx="0">
                  <c:v>0.77034221305808426</c:v>
                </c:pt>
                <c:pt idx="1">
                  <c:v>0.84512117310526802</c:v>
                </c:pt>
                <c:pt idx="2">
                  <c:v>0.85488504179927716</c:v>
                </c:pt>
                <c:pt idx="3">
                  <c:v>0.80896815766697838</c:v>
                </c:pt>
                <c:pt idx="4">
                  <c:v>0.82771579063293543</c:v>
                </c:pt>
                <c:pt idx="5">
                  <c:v>0.85488913861264582</c:v>
                </c:pt>
                <c:pt idx="6">
                  <c:v>0.79526625614486868</c:v>
                </c:pt>
                <c:pt idx="7">
                  <c:v>0.81762406776573393</c:v>
                </c:pt>
                <c:pt idx="8">
                  <c:v>0.83763659324919992</c:v>
                </c:pt>
                <c:pt idx="9">
                  <c:v>0.82188255517933406</c:v>
                </c:pt>
                <c:pt idx="10">
                  <c:v>0.85492107702708864</c:v>
                </c:pt>
              </c:numCache>
            </c:numRef>
          </c:yVal>
          <c:smooth val="0"/>
          <c:extLst>
            <c:ext xmlns:c16="http://schemas.microsoft.com/office/drawing/2014/chart" uri="{C3380CC4-5D6E-409C-BE32-E72D297353CC}">
              <c16:uniqueId val="{00000000-53BC-42E8-9D63-957D5C2683D5}"/>
            </c:ext>
          </c:extLst>
        </c:ser>
        <c:dLbls>
          <c:showLegendKey val="0"/>
          <c:showVal val="0"/>
          <c:showCatName val="0"/>
          <c:showSerName val="0"/>
          <c:showPercent val="0"/>
          <c:showBubbleSize val="0"/>
        </c:dLbls>
        <c:axId val="484180032"/>
        <c:axId val="484186304"/>
      </c:scatterChart>
      <c:valAx>
        <c:axId val="484180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6304"/>
        <c:crosses val="autoZero"/>
        <c:crossBetween val="midCat"/>
      </c:valAx>
      <c:valAx>
        <c:axId val="48418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Novemeber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curves-Mm3'!$A$51</c:f>
              <c:strCache>
                <c:ptCount val="1"/>
                <c:pt idx="0">
                  <c:v>November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curves-Mm3'!$B$31:$L$31</c:f>
              <c:numCache>
                <c:formatCode>_(* #,##0.00_);_(* \(#,##0.00\);_(* "-"??_);_(@_)</c:formatCode>
                <c:ptCount val="11"/>
                <c:pt idx="0">
                  <c:v>48.91927873809599</c:v>
                </c:pt>
                <c:pt idx="1">
                  <c:v>80.149816027008001</c:v>
                </c:pt>
                <c:pt idx="2">
                  <c:v>201.84248541599999</c:v>
                </c:pt>
                <c:pt idx="3">
                  <c:v>54.710323137849592</c:v>
                </c:pt>
                <c:pt idx="4">
                  <c:v>63.921680199561578</c:v>
                </c:pt>
                <c:pt idx="5">
                  <c:v>95.196255848928018</c:v>
                </c:pt>
                <c:pt idx="6">
                  <c:v>45.988280529680793</c:v>
                </c:pt>
                <c:pt idx="7">
                  <c:v>65.947444780463996</c:v>
                </c:pt>
                <c:pt idx="8">
                  <c:v>75.966171783839997</c:v>
                </c:pt>
                <c:pt idx="9">
                  <c:v>56.1048712189056</c:v>
                </c:pt>
                <c:pt idx="10">
                  <c:v>162.23242676284798</c:v>
                </c:pt>
              </c:numCache>
            </c:numRef>
          </c:xVal>
          <c:yVal>
            <c:numRef>
              <c:f>'WSI curves-Mm3'!$B$51:$L$51</c:f>
              <c:numCache>
                <c:formatCode>_(* #,##0.0000_);_(* \(#,##0.0000\);_(* "-"??_);_(@_)</c:formatCode>
                <c:ptCount val="11"/>
                <c:pt idx="0">
                  <c:v>0.68184258884894355</c:v>
                </c:pt>
                <c:pt idx="1">
                  <c:v>0.81079819411621978</c:v>
                </c:pt>
                <c:pt idx="2">
                  <c:v>0.85488518806283498</c:v>
                </c:pt>
                <c:pt idx="3">
                  <c:v>0.75972797667463055</c:v>
                </c:pt>
                <c:pt idx="4">
                  <c:v>0.80075469900993868</c:v>
                </c:pt>
                <c:pt idx="5">
                  <c:v>0.85488928487620375</c:v>
                </c:pt>
                <c:pt idx="6">
                  <c:v>0.74875462698859085</c:v>
                </c:pt>
                <c:pt idx="7">
                  <c:v>0.79329715790215727</c:v>
                </c:pt>
                <c:pt idx="8">
                  <c:v>0.82159789061771016</c:v>
                </c:pt>
                <c:pt idx="9">
                  <c:v>0.77533523750611033</c:v>
                </c:pt>
                <c:pt idx="10">
                  <c:v>0.85472274068876386</c:v>
                </c:pt>
              </c:numCache>
            </c:numRef>
          </c:yVal>
          <c:smooth val="0"/>
          <c:extLst>
            <c:ext xmlns:c16="http://schemas.microsoft.com/office/drawing/2014/chart" uri="{C3380CC4-5D6E-409C-BE32-E72D297353CC}">
              <c16:uniqueId val="{00000000-4E59-4CB6-B3E2-06B93E5BB9E7}"/>
            </c:ext>
          </c:extLst>
        </c:ser>
        <c:dLbls>
          <c:showLegendKey val="0"/>
          <c:showVal val="0"/>
          <c:showCatName val="0"/>
          <c:showSerName val="0"/>
          <c:showPercent val="0"/>
          <c:showBubbleSize val="0"/>
        </c:dLbls>
        <c:axId val="484181992"/>
        <c:axId val="484181208"/>
      </c:scatterChart>
      <c:valAx>
        <c:axId val="484181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208"/>
        <c:crosses val="autoZero"/>
        <c:crossBetween val="midCat"/>
      </c:valAx>
      <c:valAx>
        <c:axId val="484181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3	Cub River</a:t>
            </a:r>
            <a:r>
              <a:rPr lang="en-US" baseline="0"/>
              <a:t> Rating Curve</a:t>
            </a:r>
          </a:p>
        </c:rich>
      </c:tx>
      <c:layout>
        <c:manualLayout>
          <c:xMode val="edge"/>
          <c:yMode val="edge"/>
          <c:x val="0.14967867031245805"/>
          <c:y val="2.429887811410093E-2"/>
        </c:manualLayout>
      </c:layout>
      <c:overlay val="0"/>
      <c:spPr>
        <a:noFill/>
        <a:ln>
          <a:noFill/>
        </a:ln>
        <a:effectLst/>
      </c:spPr>
    </c:title>
    <c:autoTitleDeleted val="0"/>
    <c:plotArea>
      <c:layout/>
      <c:scatterChart>
        <c:scatterStyle val="lineMarker"/>
        <c:varyColors val="0"/>
        <c:ser>
          <c:idx val="1"/>
          <c:order val="0"/>
          <c:tx>
            <c:v>Cub Outliers</c:v>
          </c:tx>
          <c:spPr>
            <a:ln w="28575">
              <a:noFill/>
            </a:ln>
          </c:spPr>
          <c:marker>
            <c:symbol val="square"/>
            <c:size val="4"/>
            <c:spPr>
              <a:solidFill>
                <a:srgbClr val="008000"/>
              </a:solidFill>
              <a:ln>
                <a:solidFill>
                  <a:srgbClr val="008000"/>
                </a:solidFill>
              </a:ln>
            </c:spPr>
          </c:marker>
          <c:trendline>
            <c:name>Backflow line</c:name>
            <c:spPr>
              <a:ln w="25400">
                <a:solidFill>
                  <a:srgbClr val="008000"/>
                </a:solidFill>
              </a:ln>
            </c:spPr>
            <c:trendlineType val="linear"/>
            <c:dispRSqr val="1"/>
            <c:dispEq val="1"/>
            <c:trendlineLbl>
              <c:layout>
                <c:manualLayout>
                  <c:x val="-0.58221084584899196"/>
                  <c:y val="-0.64465425877300708"/>
                </c:manualLayout>
              </c:layout>
              <c:numFmt formatCode="General" sourceLinked="0"/>
            </c:trendlineLbl>
          </c:trendline>
          <c:errBars>
            <c:errDir val="y"/>
            <c:errBarType val="both"/>
            <c:errValType val="cust"/>
            <c:noEndCap val="0"/>
            <c:plus>
              <c:numRef>
                <c:f>('Stage-Flow'!$G$28,'Stage-Flow'!$G$31)</c:f>
                <c:numCache>
                  <c:formatCode>General</c:formatCode>
                  <c:ptCount val="2"/>
                  <c:pt idx="0">
                    <c:v>0.67400000000000004</c:v>
                  </c:pt>
                  <c:pt idx="1">
                    <c:v>3.6179999999999999</c:v>
                  </c:pt>
                </c:numCache>
              </c:numRef>
            </c:plus>
            <c:minus>
              <c:numRef>
                <c:f>('Stage-Flow'!$G$28,'Stage-Flow'!$G$31)</c:f>
                <c:numCache>
                  <c:formatCode>General</c:formatCode>
                  <c:ptCount val="2"/>
                  <c:pt idx="0">
                    <c:v>0.67400000000000004</c:v>
                  </c:pt>
                  <c:pt idx="1">
                    <c:v>3.6179999999999999</c:v>
                  </c:pt>
                </c:numCache>
              </c:numRef>
            </c:minus>
          </c:errBars>
          <c:errBars>
            <c:errDir val="x"/>
            <c:errBarType val="both"/>
            <c:errValType val="cust"/>
            <c:noEndCap val="0"/>
            <c:plus>
              <c:numRef>
                <c:f>('Stage-Flow'!$H$28,'Stage-Flow'!$H$31)</c:f>
                <c:numCache>
                  <c:formatCode>General</c:formatCode>
                  <c:ptCount val="2"/>
                  <c:pt idx="0">
                    <c:v>8.8317608663278591E-2</c:v>
                  </c:pt>
                  <c:pt idx="1">
                    <c:v>8.9597867038104032E-2</c:v>
                  </c:pt>
                </c:numCache>
              </c:numRef>
            </c:plus>
            <c:minus>
              <c:numRef>
                <c:f>('Stage-Flow'!$H$28,'Stage-Flow'!$H$31)</c:f>
                <c:numCache>
                  <c:formatCode>General</c:formatCode>
                  <c:ptCount val="2"/>
                  <c:pt idx="0">
                    <c:v>8.8317608663278591E-2</c:v>
                  </c:pt>
                  <c:pt idx="1">
                    <c:v>8.9597867038104032E-2</c:v>
                  </c:pt>
                </c:numCache>
              </c:numRef>
            </c:minus>
          </c:errBars>
          <c:xVal>
            <c:numRef>
              <c:f>('Stage-Flow'!$E$28,'Stage-Flow'!$E$31)</c:f>
              <c:numCache>
                <c:formatCode>General</c:formatCode>
                <c:ptCount val="2"/>
                <c:pt idx="0">
                  <c:v>0</c:v>
                </c:pt>
                <c:pt idx="1">
                  <c:v>0</c:v>
                </c:pt>
              </c:numCache>
            </c:numRef>
          </c:xVal>
          <c:yVal>
            <c:numRef>
              <c:f>('Stage-Flow'!$D$28,'Stage-Flow'!$D$31)</c:f>
              <c:numCache>
                <c:formatCode>General</c:formatCode>
                <c:ptCount val="2"/>
                <c:pt idx="0">
                  <c:v>0</c:v>
                </c:pt>
                <c:pt idx="1">
                  <c:v>0</c:v>
                </c:pt>
              </c:numCache>
            </c:numRef>
          </c:yVal>
          <c:smooth val="0"/>
          <c:extLst>
            <c:ext xmlns:c16="http://schemas.microsoft.com/office/drawing/2014/chart" uri="{C3380CC4-5D6E-409C-BE32-E72D297353CC}">
              <c16:uniqueId val="{00000000-6E27-4A52-9F75-432D8FACB06D}"/>
            </c:ext>
          </c:extLst>
        </c:ser>
        <c:ser>
          <c:idx val="0"/>
          <c:order val="1"/>
          <c:tx>
            <c:v>Cub</c:v>
          </c:tx>
          <c:spPr>
            <a:ln w="25400" cap="rnd">
              <a:noFill/>
            </a:ln>
            <a:effectLst>
              <a:glow>
                <a:schemeClr val="accent1">
                  <a:satMod val="175000"/>
                </a:schemeClr>
              </a:glow>
            </a:effectLst>
          </c:spPr>
          <c:marker>
            <c:spPr>
              <a:solidFill>
                <a:srgbClr val="00FF00"/>
              </a:solidFill>
            </c:spPr>
          </c:marker>
          <c:trendline>
            <c:name>Cub</c:name>
            <c:spPr>
              <a:ln w="25400">
                <a:solidFill>
                  <a:srgbClr val="00FF00"/>
                </a:solidFill>
              </a:ln>
            </c:spPr>
            <c:trendlineType val="linear"/>
            <c:dispRSqr val="1"/>
            <c:dispEq val="1"/>
            <c:trendlineLbl>
              <c:layout>
                <c:manualLayout>
                  <c:x val="-9.1491649265930133E-2"/>
                  <c:y val="0.12922658903626835"/>
                </c:manualLayout>
              </c:layout>
              <c:numFmt formatCode="General" sourceLinked="0"/>
              <c:txPr>
                <a:bodyPr/>
                <a:lstStyle/>
                <a:p>
                  <a:pPr>
                    <a:defRPr sz="1200"/>
                  </a:pPr>
                  <a:endParaRPr lang="en-US"/>
                </a:p>
              </c:txPr>
            </c:trendlineLbl>
          </c:trendline>
          <c:errBars>
            <c:errDir val="x"/>
            <c:errBarType val="both"/>
            <c:errValType val="cust"/>
            <c:noEndCap val="0"/>
            <c:plus>
              <c:numRef>
                <c:f>('Stage-Flow'!$H$29:$H$30,'Stage-Flow'!$H$32)</c:f>
                <c:numCache>
                  <c:formatCode>General</c:formatCode>
                  <c:ptCount val="3"/>
                  <c:pt idx="0">
                    <c:v>1.8929694486000511E-2</c:v>
                  </c:pt>
                  <c:pt idx="1">
                    <c:v>6.4549722436789372E-2</c:v>
                  </c:pt>
                  <c:pt idx="2">
                    <c:v>3.7416573867739562E-2</c:v>
                  </c:pt>
                </c:numCache>
              </c:numRef>
            </c:plus>
            <c:minus>
              <c:numRef>
                <c:f>('Stage-Flow'!$H$29:$H$30,'Stage-Flow'!$H$32)</c:f>
                <c:numCache>
                  <c:formatCode>General</c:formatCode>
                  <c:ptCount val="3"/>
                  <c:pt idx="0">
                    <c:v>1.8929694486000511E-2</c:v>
                  </c:pt>
                  <c:pt idx="1">
                    <c:v>6.4549722436789372E-2</c:v>
                  </c:pt>
                  <c:pt idx="2">
                    <c:v>3.7416573867739562E-2</c:v>
                  </c:pt>
                </c:numCache>
              </c:numRef>
            </c:minus>
            <c:spPr>
              <a:noFill/>
              <a:ln w="9525">
                <a:solidFill>
                  <a:schemeClr val="lt1">
                    <a:lumMod val="50000"/>
                  </a:schemeClr>
                </a:solidFill>
                <a:round/>
              </a:ln>
              <a:effectLst/>
            </c:spPr>
          </c:errBars>
          <c:errBars>
            <c:errDir val="y"/>
            <c:errBarType val="both"/>
            <c:errValType val="cust"/>
            <c:noEndCap val="0"/>
            <c:plus>
              <c:numRef>
                <c:f>'Stage-Flow'!$F$28:$F$30</c:f>
                <c:numCache>
                  <c:formatCode>General</c:formatCode>
                  <c:ptCount val="3"/>
                  <c:pt idx="0">
                    <c:v>1.2760834285683185</c:v>
                  </c:pt>
                  <c:pt idx="1">
                    <c:v>2.0213978190492692</c:v>
                  </c:pt>
                  <c:pt idx="2">
                    <c:v>2.9512402336418919</c:v>
                  </c:pt>
                </c:numCache>
              </c:numRef>
            </c:plus>
            <c:minus>
              <c:numRef>
                <c:f>'Stage-Flow'!$F$28:$F$30</c:f>
                <c:numCache>
                  <c:formatCode>General</c:formatCode>
                  <c:ptCount val="3"/>
                  <c:pt idx="0">
                    <c:v>1.2760834285683185</c:v>
                  </c:pt>
                  <c:pt idx="1">
                    <c:v>2.0213978190492692</c:v>
                  </c:pt>
                  <c:pt idx="2">
                    <c:v>2.9512402336418919</c:v>
                  </c:pt>
                </c:numCache>
              </c:numRef>
            </c:minus>
            <c:spPr>
              <a:noFill/>
              <a:ln w="9525">
                <a:solidFill>
                  <a:schemeClr val="lt1">
                    <a:lumMod val="50000"/>
                  </a:schemeClr>
                </a:solidFill>
                <a:round/>
              </a:ln>
              <a:effectLst/>
            </c:spPr>
          </c:errBars>
          <c:xVal>
            <c:numRef>
              <c:f>('Stage-Flow'!$E$29:$E$30,'Stage-Flow'!$E$32)</c:f>
              <c:numCache>
                <c:formatCode>General</c:formatCode>
                <c:ptCount val="3"/>
                <c:pt idx="0">
                  <c:v>0</c:v>
                </c:pt>
                <c:pt idx="1">
                  <c:v>0</c:v>
                </c:pt>
                <c:pt idx="2">
                  <c:v>0</c:v>
                </c:pt>
              </c:numCache>
            </c:numRef>
          </c:xVal>
          <c:yVal>
            <c:numRef>
              <c:f>('Stage-Flow'!$D$29:$D$30,'Stage-Flow'!$C$32)</c:f>
              <c:numCache>
                <c:formatCode>General</c:formatCode>
                <c:ptCount val="3"/>
                <c:pt idx="0">
                  <c:v>0</c:v>
                </c:pt>
                <c:pt idx="1">
                  <c:v>0</c:v>
                </c:pt>
                <c:pt idx="2">
                  <c:v>0</c:v>
                </c:pt>
              </c:numCache>
            </c:numRef>
          </c:yVal>
          <c:smooth val="0"/>
          <c:extLst>
            <c:ext xmlns:c16="http://schemas.microsoft.com/office/drawing/2014/chart" uri="{C3380CC4-5D6E-409C-BE32-E72D297353CC}">
              <c16:uniqueId val="{00000001-6E27-4A52-9F75-432D8FACB06D}"/>
            </c:ext>
          </c:extLst>
        </c:ser>
        <c:dLbls>
          <c:showLegendKey val="0"/>
          <c:showVal val="0"/>
          <c:showCatName val="0"/>
          <c:showSerName val="0"/>
          <c:showPercent val="0"/>
          <c:showBubbleSize val="0"/>
        </c:dLbls>
        <c:axId val="484182384"/>
        <c:axId val="484182776"/>
      </c:scatterChart>
      <c:valAx>
        <c:axId val="48418238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776"/>
        <c:crosses val="autoZero"/>
        <c:crossBetween val="midCat"/>
      </c:valAx>
      <c:valAx>
        <c:axId val="484182776"/>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layout>
            <c:manualLayout>
              <c:xMode val="edge"/>
              <c:yMode val="edge"/>
              <c:x val="2.2546178141857606E-2"/>
              <c:y val="0.36813709159170327"/>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384"/>
        <c:crosses val="autoZero"/>
        <c:crossBetween val="midCat"/>
      </c:valAx>
      <c:spPr>
        <a:noFill/>
        <a:ln>
          <a:noFill/>
        </a:ln>
        <a:effectLst/>
      </c:spPr>
    </c:plotArea>
    <c:legend>
      <c:legendPos val="t"/>
      <c:legendEntry>
        <c:idx val="1"/>
        <c:delete val="1"/>
      </c:legendEntry>
      <c:legendEntry>
        <c:idx val="3"/>
        <c:delete val="1"/>
      </c:legendEntry>
      <c:layout>
        <c:manualLayout>
          <c:xMode val="edge"/>
          <c:yMode val="edge"/>
          <c:x val="0.1491508298435068"/>
          <c:y val="0.11838121639322857"/>
          <c:w val="0.65753966658808449"/>
          <c:h val="5.4924313538756112E-2"/>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a:t>Fig. 2</a:t>
            </a:r>
            <a:r>
              <a:rPr lang="en-US" baseline="0"/>
              <a:t> 	</a:t>
            </a:r>
            <a:r>
              <a:rPr lang="en-US"/>
              <a:t>Confluence &amp;</a:t>
            </a:r>
            <a:r>
              <a:rPr lang="en-US" baseline="0"/>
              <a:t> Morton </a:t>
            </a:r>
            <a:r>
              <a:rPr lang="en-US"/>
              <a:t>Rating</a:t>
            </a:r>
            <a:r>
              <a:rPr lang="en-US" baseline="0"/>
              <a:t> Curves</a:t>
            </a:r>
            <a:endParaRPr lang="en-US"/>
          </a:p>
        </c:rich>
      </c:tx>
      <c:layout>
        <c:manualLayout>
          <c:xMode val="edge"/>
          <c:yMode val="edge"/>
          <c:x val="7.8180951221741943E-2"/>
          <c:y val="3.5239762071057244E-2"/>
        </c:manualLayout>
      </c:layout>
      <c:overlay val="0"/>
      <c:spPr>
        <a:noFill/>
        <a:ln>
          <a:noFill/>
        </a:ln>
        <a:effectLst/>
      </c:spPr>
    </c:title>
    <c:autoTitleDeleted val="0"/>
    <c:plotArea>
      <c:layout>
        <c:manualLayout>
          <c:layoutTarget val="inner"/>
          <c:xMode val="edge"/>
          <c:yMode val="edge"/>
          <c:x val="0.11019941699096669"/>
          <c:y val="0.24062518439295558"/>
          <c:w val="0.84088176020886729"/>
          <c:h val="0.6143391862589197"/>
        </c:manualLayout>
      </c:layout>
      <c:scatterChart>
        <c:scatterStyle val="lineMarker"/>
        <c:varyColors val="0"/>
        <c:ser>
          <c:idx val="0"/>
          <c:order val="0"/>
          <c:tx>
            <c:v>Confluence</c:v>
          </c:tx>
          <c:spPr>
            <a:ln w="25400" cap="rnd">
              <a:noFill/>
            </a:ln>
            <a:effectLst>
              <a:glow>
                <a:schemeClr val="accent1">
                  <a:satMod val="175000"/>
                </a:schemeClr>
              </a:glow>
            </a:effectLst>
          </c:spPr>
          <c:marker>
            <c:spPr>
              <a:solidFill>
                <a:schemeClr val="tx2">
                  <a:lumMod val="60000"/>
                  <a:lumOff val="40000"/>
                </a:schemeClr>
              </a:solidFill>
            </c:spPr>
          </c:marker>
          <c:trendline>
            <c:name>Confluence</c:name>
            <c:spPr>
              <a:ln w="25400" cap="rnd">
                <a:solidFill>
                  <a:schemeClr val="accent1"/>
                </a:solidFill>
              </a:ln>
              <a:effectLst/>
            </c:spPr>
            <c:trendlineType val="linear"/>
            <c:dispRSqr val="1"/>
            <c:dispEq val="1"/>
            <c:trendlineLbl>
              <c:layout>
                <c:manualLayout>
                  <c:x val="-0.22163608561344447"/>
                  <c:y val="-0.18192384901145625"/>
                </c:manualLayout>
              </c:layout>
              <c:numFmt formatCode="General" sourceLinked="0"/>
              <c:spPr>
                <a:noFill/>
                <a:ln>
                  <a:noFill/>
                </a:ln>
                <a:effectLst/>
              </c:spPr>
              <c:txPr>
                <a:bodyPr rot="0" vert="horz"/>
                <a:lstStyle/>
                <a:p>
                  <a:pPr>
                    <a:defRPr sz="1200"/>
                  </a:pPr>
                  <a:endParaRPr lang="en-US"/>
                </a:p>
              </c:txPr>
            </c:trendlineLbl>
          </c:trendline>
          <c:errBars>
            <c:errDir val="x"/>
            <c:errBarType val="both"/>
            <c:errValType val="cust"/>
            <c:noEndCap val="0"/>
            <c:pl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plus>
            <c:min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minus>
            <c:spPr>
              <a:noFill/>
              <a:ln w="9525">
                <a:solidFill>
                  <a:schemeClr val="lt1">
                    <a:lumMod val="50000"/>
                  </a:schemeClr>
                </a:solidFill>
                <a:round/>
              </a:ln>
              <a:effectLst/>
            </c:spPr>
          </c:errBars>
          <c:errBars>
            <c:errDir val="y"/>
            <c:errBarType val="both"/>
            <c:errValType val="cust"/>
            <c:noEndCap val="0"/>
            <c:plus>
              <c:numRef>
                <c:f>('Stage-Flow'!$G$34:$G$37,'Stage-Flow'!$F$38)</c:f>
                <c:numCache>
                  <c:formatCode>General</c:formatCode>
                  <c:ptCount val="5"/>
                  <c:pt idx="0">
                    <c:v>21.808</c:v>
                  </c:pt>
                  <c:pt idx="1">
                    <c:v>15.044</c:v>
                  </c:pt>
                  <c:pt idx="2">
                    <c:v>11.33</c:v>
                  </c:pt>
                  <c:pt idx="3">
                    <c:v>25.393999999999998</c:v>
                  </c:pt>
                  <c:pt idx="4">
                    <c:v>7.4830437180118556</c:v>
                  </c:pt>
                </c:numCache>
              </c:numRef>
            </c:plus>
            <c:minus>
              <c:numRef>
                <c:f>('Stage-Flow'!$G$34:$G$37,'Stage-Flow'!$F$38)</c:f>
                <c:numCache>
                  <c:formatCode>General</c:formatCode>
                  <c:ptCount val="5"/>
                  <c:pt idx="0">
                    <c:v>21.808</c:v>
                  </c:pt>
                  <c:pt idx="1">
                    <c:v>15.044</c:v>
                  </c:pt>
                  <c:pt idx="2">
                    <c:v>11.33</c:v>
                  </c:pt>
                  <c:pt idx="3">
                    <c:v>25.393999999999998</c:v>
                  </c:pt>
                  <c:pt idx="4">
                    <c:v>7.4830437180118556</c:v>
                  </c:pt>
                </c:numCache>
              </c:numRef>
            </c:minus>
            <c:spPr>
              <a:noFill/>
              <a:ln w="9525">
                <a:solidFill>
                  <a:schemeClr val="lt1">
                    <a:lumMod val="50000"/>
                  </a:schemeClr>
                </a:solidFill>
                <a:round/>
              </a:ln>
              <a:effectLst/>
            </c:spPr>
          </c:errBars>
          <c:xVal>
            <c:numRef>
              <c:f>'Stage-Flow'!$E$34:$E$38</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8288-4B9D-A0C7-9DA2705B2044}"/>
            </c:ext>
          </c:extLst>
        </c:ser>
        <c:ser>
          <c:idx val="1"/>
          <c:order val="1"/>
          <c:tx>
            <c:v>Morton</c:v>
          </c:tx>
          <c:spPr>
            <a:ln w="28575">
              <a:noFill/>
            </a:ln>
            <a:effectLst>
              <a:glow>
                <a:schemeClr val="accent1"/>
              </a:glow>
              <a:softEdge rad="0"/>
            </a:effectLst>
          </c:spPr>
          <c:marker>
            <c:spPr>
              <a:solidFill>
                <a:srgbClr val="FF0000"/>
              </a:solidFill>
              <a:effectLst>
                <a:glow>
                  <a:schemeClr val="accent1"/>
                </a:glow>
                <a:softEdge rad="0"/>
              </a:effectLst>
            </c:spPr>
          </c:marker>
          <c:trendline>
            <c:name>Morton</c:name>
            <c:spPr>
              <a:ln w="25400">
                <a:solidFill>
                  <a:srgbClr val="FF0000"/>
                </a:solidFill>
              </a:ln>
            </c:spPr>
            <c:trendlineType val="linear"/>
            <c:dispRSqr val="1"/>
            <c:dispEq val="1"/>
            <c:trendlineLbl>
              <c:layout>
                <c:manualLayout>
                  <c:x val="0.16710770765139027"/>
                  <c:y val="-0.18586958051358698"/>
                </c:manualLayout>
              </c:layout>
              <c:numFmt formatCode="General" sourceLinked="0"/>
              <c:txPr>
                <a:bodyPr/>
                <a:lstStyle/>
                <a:p>
                  <a:pPr>
                    <a:defRPr sz="1200"/>
                  </a:pPr>
                  <a:endParaRPr lang="en-US"/>
                </a:p>
              </c:txPr>
            </c:trendlineLbl>
          </c:trendline>
          <c:errBars>
            <c:errDir val="y"/>
            <c:errBarType val="both"/>
            <c:errValType val="cust"/>
            <c:noEndCap val="0"/>
            <c:plus>
              <c:numRef>
                <c:f>('Stage-Flow'!$G$40,'Stage-Flow'!$F$41)</c:f>
                <c:numCache>
                  <c:formatCode>General</c:formatCode>
                  <c:ptCount val="2"/>
                  <c:pt idx="0">
                    <c:v>26.074000000000002</c:v>
                  </c:pt>
                  <c:pt idx="1">
                    <c:v>9.3905587905113297</c:v>
                  </c:pt>
                </c:numCache>
              </c:numRef>
            </c:plus>
            <c:minus>
              <c:numRef>
                <c:f>('Stage-Flow'!$G$40,'Stage-Flow'!$F$41)</c:f>
                <c:numCache>
                  <c:formatCode>General</c:formatCode>
                  <c:ptCount val="2"/>
                  <c:pt idx="0">
                    <c:v>26.074000000000002</c:v>
                  </c:pt>
                  <c:pt idx="1">
                    <c:v>9.3905587905113297</c:v>
                  </c:pt>
                </c:numCache>
              </c:numRef>
            </c:minus>
          </c:errBars>
          <c:errBars>
            <c:errDir val="x"/>
            <c:errBarType val="both"/>
            <c:errValType val="cust"/>
            <c:noEndCap val="0"/>
            <c:plus>
              <c:numRef>
                <c:f>'Stage-Flow'!$H$40:$H$41</c:f>
                <c:numCache>
                  <c:formatCode>General</c:formatCode>
                  <c:ptCount val="2"/>
                  <c:pt idx="0">
                    <c:v>2.1380899352993494E-2</c:v>
                  </c:pt>
                  <c:pt idx="1">
                    <c:v>3.7980258029666002E-2</c:v>
                  </c:pt>
                </c:numCache>
              </c:numRef>
            </c:plus>
            <c:minus>
              <c:numRef>
                <c:f>'Stage-Flow'!$H$40:$H$41</c:f>
                <c:numCache>
                  <c:formatCode>General</c:formatCode>
                  <c:ptCount val="2"/>
                  <c:pt idx="0">
                    <c:v>2.1380899352993494E-2</c:v>
                  </c:pt>
                  <c:pt idx="1">
                    <c:v>3.7980258029666002E-2</c:v>
                  </c:pt>
                </c:numCache>
              </c:numRef>
            </c:minus>
          </c:errBars>
          <c:xVal>
            <c:numRef>
              <c:f>'Stage-Flow'!$E$40:$E$41</c:f>
              <c:numCache>
                <c:formatCode>General</c:formatCode>
                <c:ptCount val="2"/>
                <c:pt idx="0">
                  <c:v>0</c:v>
                </c:pt>
                <c:pt idx="1">
                  <c:v>0</c:v>
                </c:pt>
              </c:numCache>
            </c:numRef>
          </c:xVal>
          <c:yVal>
            <c:numRef>
              <c:f>('Stage-Flow'!$D$40,'Stage-Flow'!$C$41)</c:f>
              <c:numCache>
                <c:formatCode>General</c:formatCode>
                <c:ptCount val="2"/>
                <c:pt idx="0">
                  <c:v>0</c:v>
                </c:pt>
                <c:pt idx="1">
                  <c:v>0</c:v>
                </c:pt>
              </c:numCache>
            </c:numRef>
          </c:yVal>
          <c:smooth val="0"/>
          <c:extLst>
            <c:ext xmlns:c16="http://schemas.microsoft.com/office/drawing/2014/chart" uri="{C3380CC4-5D6E-409C-BE32-E72D297353CC}">
              <c16:uniqueId val="{00000001-8288-4B9D-A0C7-9DA2705B2044}"/>
            </c:ext>
          </c:extLst>
        </c:ser>
        <c:dLbls>
          <c:showLegendKey val="0"/>
          <c:showVal val="0"/>
          <c:showCatName val="0"/>
          <c:showSerName val="0"/>
          <c:showPercent val="0"/>
          <c:showBubbleSize val="0"/>
        </c:dLbls>
        <c:axId val="483895448"/>
        <c:axId val="483889960"/>
      </c:scatterChart>
      <c:valAx>
        <c:axId val="48389544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89960"/>
        <c:crosses val="autoZero"/>
        <c:crossBetween val="midCat"/>
      </c:valAx>
      <c:valAx>
        <c:axId val="483889960"/>
        <c:scaling>
          <c:orientation val="minMax"/>
          <c:min val="30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5448"/>
        <c:crosses val="autoZero"/>
        <c:crossBetween val="midCat"/>
      </c:valAx>
      <c:spPr>
        <a:noFill/>
        <a:ln>
          <a:noFill/>
        </a:ln>
        <a:effectLst/>
      </c:spPr>
    </c:plotArea>
    <c:legend>
      <c:legendPos val="r"/>
      <c:legendEntry>
        <c:idx val="0"/>
        <c:delete val="1"/>
      </c:legendEntry>
      <c:legendEntry>
        <c:idx val="1"/>
        <c:delete val="1"/>
      </c:legendEntry>
      <c:layout>
        <c:manualLayout>
          <c:xMode val="edge"/>
          <c:yMode val="edge"/>
          <c:x val="0.23739748064988825"/>
          <c:y val="0.11874350844214217"/>
          <c:w val="0.51791328634571998"/>
          <c:h val="0.11705159891992328"/>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5	Backwater Effect</a:t>
            </a:r>
            <a:r>
              <a:rPr lang="en-US" baseline="0"/>
              <a:t> at Cub River Site</a:t>
            </a:r>
            <a:endParaRPr lang="en-US"/>
          </a:p>
        </c:rich>
      </c:tx>
      <c:layout>
        <c:manualLayout>
          <c:xMode val="edge"/>
          <c:yMode val="edge"/>
          <c:x val="8.7981412737741502E-2"/>
          <c:y val="2.3574233453376468E-2"/>
        </c:manualLayout>
      </c:layout>
      <c:overlay val="0"/>
      <c:spPr>
        <a:noFill/>
        <a:ln>
          <a:noFill/>
        </a:ln>
        <a:effectLst/>
      </c:spPr>
    </c:title>
    <c:autoTitleDeleted val="0"/>
    <c:plotArea>
      <c:layout>
        <c:manualLayout>
          <c:layoutTarget val="inner"/>
          <c:xMode val="edge"/>
          <c:yMode val="edge"/>
          <c:x val="0.12470103676132666"/>
          <c:y val="0.21369661641132068"/>
          <c:w val="0.83045812062173696"/>
          <c:h val="0.65967211947343785"/>
        </c:manualLayout>
      </c:layout>
      <c:scatterChart>
        <c:scatterStyle val="lineMarker"/>
        <c:varyColors val="0"/>
        <c:ser>
          <c:idx val="0"/>
          <c:order val="0"/>
          <c:tx>
            <c:v>Confluence</c:v>
          </c:tx>
          <c:spPr>
            <a:ln w="25400" cap="rnd">
              <a:noFill/>
            </a:ln>
            <a:effectLst>
              <a:glow rad="139700">
                <a:schemeClr val="accent1">
                  <a:satMod val="175000"/>
                  <a:alpha val="14000"/>
                </a:schemeClr>
              </a:glow>
            </a:effectLst>
          </c:spPr>
          <c:marker>
            <c:spPr>
              <a:solidFill>
                <a:schemeClr val="accent1">
                  <a:lumMod val="75000"/>
                </a:schemeClr>
              </a:solidFill>
            </c:spPr>
          </c:marker>
          <c:trendline>
            <c:name>Confluence Flow</c:name>
            <c:spPr>
              <a:ln w="25400" cap="rnd">
                <a:solidFill>
                  <a:srgbClr val="0070C0"/>
                </a:solidFill>
              </a:ln>
              <a:effectLst/>
            </c:spPr>
            <c:trendlineType val="linear"/>
            <c:dispRSqr val="1"/>
            <c:dispEq val="1"/>
            <c:trendlineLbl>
              <c:layout>
                <c:manualLayout>
                  <c:x val="4.5823258300328372E-2"/>
                  <c:y val="-0.129717288245946"/>
                </c:manualLayout>
              </c:layout>
              <c:numFmt formatCode="General" sourceLinked="0"/>
              <c:spPr>
                <a:noFill/>
                <a:ln>
                  <a:noFill/>
                </a:ln>
                <a:effectLst/>
              </c:spPr>
              <c:txPr>
                <a:bodyPr rot="0" vert="horz"/>
                <a:lstStyle/>
                <a:p>
                  <a:pPr>
                    <a:defRPr/>
                  </a:pPr>
                  <a:endParaRPr lang="en-US"/>
                </a:p>
              </c:txPr>
            </c:trendlineLbl>
          </c:trendline>
          <c:errBars>
            <c:errDir val="x"/>
            <c:errBarType val="both"/>
            <c:errValType val="cust"/>
            <c:noEndCap val="0"/>
            <c:plus>
              <c:numRef>
                <c:f>'Stage-Flow'!$H$34:$H$36</c:f>
                <c:numCache>
                  <c:formatCode>General</c:formatCode>
                  <c:ptCount val="3"/>
                  <c:pt idx="0">
                    <c:v>6.4355781921026589E-2</c:v>
                  </c:pt>
                  <c:pt idx="1">
                    <c:v>5.6199051000291392E-2</c:v>
                  </c:pt>
                  <c:pt idx="2">
                    <c:v>2.2173557826083445E-2</c:v>
                  </c:pt>
                </c:numCache>
              </c:numRef>
            </c:plus>
            <c:minus>
              <c:numRef>
                <c:f>'Stage-Flow'!$H$34:$H$36</c:f>
                <c:numCache>
                  <c:formatCode>General</c:formatCode>
                  <c:ptCount val="3"/>
                  <c:pt idx="0">
                    <c:v>6.4355781921026589E-2</c:v>
                  </c:pt>
                  <c:pt idx="1">
                    <c:v>5.6199051000291392E-2</c:v>
                  </c:pt>
                  <c:pt idx="2">
                    <c:v>2.2173557826083445E-2</c:v>
                  </c:pt>
                </c:numCache>
              </c:numRef>
            </c:minus>
            <c:spPr>
              <a:noFill/>
              <a:ln w="9525">
                <a:solidFill>
                  <a:schemeClr val="lt1">
                    <a:lumMod val="50000"/>
                  </a:schemeClr>
                </a:solidFill>
                <a:round/>
              </a:ln>
              <a:effectLst/>
            </c:spPr>
          </c:errBars>
          <c:errBars>
            <c:errDir val="y"/>
            <c:errBarType val="both"/>
            <c:errValType val="cust"/>
            <c:noEndCap val="0"/>
            <c:plus>
              <c:numRef>
                <c:f>'Stage-Flow'!$F$34:$F$36</c:f>
                <c:numCache>
                  <c:formatCode>General</c:formatCode>
                  <c:ptCount val="3"/>
                  <c:pt idx="0">
                    <c:v>20.85580516307153</c:v>
                  </c:pt>
                  <c:pt idx="1">
                    <c:v>12.270428036543775</c:v>
                  </c:pt>
                  <c:pt idx="2">
                    <c:v>10.415672085852176</c:v>
                  </c:pt>
                </c:numCache>
              </c:numRef>
            </c:plus>
            <c:minus>
              <c:numRef>
                <c:f>'Stage-Flow'!$F$34:$F$36</c:f>
                <c:numCache>
                  <c:formatCode>General</c:formatCode>
                  <c:ptCount val="3"/>
                  <c:pt idx="0">
                    <c:v>20.85580516307153</c:v>
                  </c:pt>
                  <c:pt idx="1">
                    <c:v>12.270428036543775</c:v>
                  </c:pt>
                  <c:pt idx="2">
                    <c:v>10.415672085852176</c:v>
                  </c:pt>
                </c:numCache>
              </c:numRef>
            </c:minus>
            <c:spPr>
              <a:noFill/>
              <a:ln w="9525">
                <a:solidFill>
                  <a:schemeClr val="lt1">
                    <a:lumMod val="50000"/>
                  </a:schemeClr>
                </a:solidFill>
                <a:round/>
              </a:ln>
              <a:effectLst/>
            </c:spPr>
          </c:errBars>
          <c:xVal>
            <c:numRef>
              <c:f>'Stage-Flow'!$E$28:$E$32</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7DE1-44AC-9183-E9A73B4DC236}"/>
            </c:ext>
          </c:extLst>
        </c:ser>
        <c:ser>
          <c:idx val="1"/>
          <c:order val="1"/>
          <c:tx>
            <c:v>Cub Flow</c:v>
          </c:tx>
          <c:spPr>
            <a:ln w="28575">
              <a:noFill/>
            </a:ln>
          </c:spPr>
          <c:marker>
            <c:spPr>
              <a:solidFill>
                <a:srgbClr val="00FF00"/>
              </a:solidFill>
            </c:spPr>
          </c:marker>
          <c:xVal>
            <c:numRef>
              <c:f>'Stage-Flow'!$E$28:$E$32</c:f>
              <c:numCache>
                <c:formatCode>General</c:formatCode>
                <c:ptCount val="5"/>
                <c:pt idx="0">
                  <c:v>0</c:v>
                </c:pt>
                <c:pt idx="1">
                  <c:v>0</c:v>
                </c:pt>
                <c:pt idx="2">
                  <c:v>0</c:v>
                </c:pt>
                <c:pt idx="3">
                  <c:v>0</c:v>
                </c:pt>
                <c:pt idx="4">
                  <c:v>0</c:v>
                </c:pt>
              </c:numCache>
            </c:numRef>
          </c:xVal>
          <c:yVal>
            <c:numRef>
              <c:f>('Stage-Flow'!$D$28:$D$31,'Stage-Flow'!$C$32)</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DE1-44AC-9183-E9A73B4DC236}"/>
            </c:ext>
          </c:extLst>
        </c:ser>
        <c:dLbls>
          <c:showLegendKey val="0"/>
          <c:showVal val="0"/>
          <c:showCatName val="0"/>
          <c:showSerName val="0"/>
          <c:showPercent val="0"/>
          <c:showBubbleSize val="0"/>
        </c:dLbls>
        <c:axId val="483893096"/>
        <c:axId val="483890744"/>
      </c:scatterChart>
      <c:valAx>
        <c:axId val="48389309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Cub</a:t>
                </a:r>
                <a:r>
                  <a:rPr lang="en-US" sz="1600" baseline="0"/>
                  <a:t> River Stage</a:t>
                </a:r>
                <a:r>
                  <a:rPr lang="en-US" sz="1600"/>
                  <a:t> (ft)</a:t>
                </a:r>
              </a:p>
            </c:rich>
          </c:tx>
          <c:layout>
            <c:manualLayout>
              <c:xMode val="edge"/>
              <c:yMode val="edge"/>
              <c:x val="0.41577260560168872"/>
              <c:y val="0.93150827076847953"/>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0744"/>
        <c:crosses val="autoZero"/>
        <c:crossBetween val="midCat"/>
      </c:valAx>
      <c:valAx>
        <c:axId val="48389074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(ft^3/s)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3096"/>
        <c:crosses val="autoZero"/>
        <c:crossBetween val="midCat"/>
      </c:valAx>
      <c:spPr>
        <a:noFill/>
        <a:ln>
          <a:noFill/>
        </a:ln>
        <a:effectLst/>
      </c:spPr>
    </c:plotArea>
    <c:legend>
      <c:legendPos val="t"/>
      <c:legendEntry>
        <c:idx val="0"/>
        <c:delete val="1"/>
      </c:legendEntry>
      <c:layout>
        <c:manualLayout>
          <c:xMode val="edge"/>
          <c:yMode val="edge"/>
          <c:x val="0.14837924515358777"/>
          <c:y val="0.12265839589818714"/>
          <c:w val="0.64024819147011536"/>
          <c:h val="5.8407342977476649E-2"/>
        </c:manualLayout>
      </c:layout>
      <c:overlay val="0"/>
      <c:spPr>
        <a:noFill/>
        <a:ln>
          <a:noFill/>
        </a:ln>
        <a:effectLst/>
      </c:spPr>
      <c:txPr>
        <a:bodyPr rot="0" vert="horz"/>
        <a:lstStyle/>
        <a:p>
          <a:pPr>
            <a:defRPr/>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('Stage-Flow'!$F$7,'Stage-Flow'!$F$8,'Stage-Flow'!$F$10,'Stage-Flow'!$F$11)</c:f>
              <c:numCache>
                <c:formatCode>_(* #,##0.00_);_(* \(#,##0.00\);_(* "-"??_);_(@_)</c:formatCode>
                <c:ptCount val="4"/>
                <c:pt idx="0">
                  <c:v>1807737.8929175998</c:v>
                </c:pt>
                <c:pt idx="1">
                  <c:v>10887234.754330399</c:v>
                </c:pt>
                <c:pt idx="2">
                  <c:v>2195397.8071059827</c:v>
                </c:pt>
                <c:pt idx="3">
                  <c:v>20358274.120313998</c:v>
                </c:pt>
              </c:numCache>
            </c:numRef>
          </c:xVal>
          <c:yVal>
            <c:numRef>
              <c:f>('Stage-Flow'!$G$7,'Stage-Flow'!$G$8,'Stage-Flow'!$G$10,'Stage-Flow'!$G$11)</c:f>
              <c:numCache>
                <c:formatCode>_(* #,##0.00_);_(* \(#,##0.00\);_(* "-"??_);_(@_)</c:formatCode>
                <c:ptCount val="4"/>
                <c:pt idx="0">
                  <c:v>3.8366700000000002</c:v>
                </c:pt>
                <c:pt idx="1">
                  <c:v>4.006596</c:v>
                </c:pt>
                <c:pt idx="2">
                  <c:v>3.7901880000000006</c:v>
                </c:pt>
                <c:pt idx="3">
                  <c:v>7.2702197397084269</c:v>
                </c:pt>
              </c:numCache>
            </c:numRef>
          </c:yVal>
          <c:smooth val="0"/>
          <c:extLst>
            <c:ext xmlns:c16="http://schemas.microsoft.com/office/drawing/2014/chart" uri="{C3380CC4-5D6E-409C-BE32-E72D297353CC}">
              <c16:uniqueId val="{00000000-235E-440E-8C7B-54B14467C575}"/>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'Stage-Flow'!$F$13:$F$17</c:f>
              <c:numCache>
                <c:formatCode>_(* #,##0.00_);_(* \(#,##0.00\);_(* "-"??_);_(@_)</c:formatCode>
                <c:ptCount val="5"/>
                <c:pt idx="0">
                  <c:v>57440674.212417349</c:v>
                </c:pt>
                <c:pt idx="1">
                  <c:v>33629372.000015043</c:v>
                </c:pt>
                <c:pt idx="2">
                  <c:v>42310065.916728549</c:v>
                </c:pt>
                <c:pt idx="3">
                  <c:v>62645907.138696797</c:v>
                </c:pt>
                <c:pt idx="4">
                  <c:v>28729951.338749684</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1-235E-440E-8C7B-54B14467C575}"/>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'Stage-Flow'!$F$20:$F$21</c:f>
              <c:numCache>
                <c:formatCode>_(* #,##0.00_);_(* \(#,##0.00\);_(* "-"??_);_(@_)</c:formatCode>
                <c:ptCount val="2"/>
                <c:pt idx="0">
                  <c:v>63641760.276629739</c:v>
                </c:pt>
                <c:pt idx="1">
                  <c:v>24027969.371364381</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2-235E-440E-8C7B-54B14467C575}"/>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('Stage-Flow'!$F$6,'Stage-Flow'!$F$9)</c:f>
              <c:numCache>
                <c:formatCode>_(* #,##0.00_);_(* \(#,##0.00\);_(* "-"??_);_(@_)</c:formatCode>
                <c:ptCount val="2"/>
                <c:pt idx="0">
                  <c:v>360601.85971549997</c:v>
                </c:pt>
                <c:pt idx="1">
                  <c:v>225185.34306239997</c:v>
                </c:pt>
              </c:numCache>
            </c:numRef>
          </c:xVal>
          <c:yVal>
            <c:numRef>
              <c:f>('Stage-Flow'!$G$7,'Stage-Flow'!$G$9)</c:f>
              <c:numCache>
                <c:formatCode>_(* #,##0.00_);_(* \(#,##0.00\);_(* "-"??_);_(@_)</c:formatCode>
                <c:ptCount val="2"/>
                <c:pt idx="0">
                  <c:v>3.8366700000000002</c:v>
                </c:pt>
                <c:pt idx="1">
                  <c:v>4.265506666666667</c:v>
                </c:pt>
              </c:numCache>
            </c:numRef>
          </c:yVal>
          <c:smooth val="0"/>
          <c:extLst>
            <c:ext xmlns:c16="http://schemas.microsoft.com/office/drawing/2014/chart" uri="{C3380CC4-5D6E-409C-BE32-E72D297353CC}">
              <c16:uniqueId val="{00000003-235E-440E-8C7B-54B14467C575}"/>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'Stage-Flow'!$F$6:$F$11</c:f>
              <c:numCache>
                <c:formatCode>_(* #,##0.00_);_(* \(#,##0.00\);_(* "-"??_);_(@_)</c:formatCode>
                <c:ptCount val="6"/>
                <c:pt idx="0">
                  <c:v>360601.85971549997</c:v>
                </c:pt>
                <c:pt idx="1">
                  <c:v>1807737.8929175998</c:v>
                </c:pt>
                <c:pt idx="2">
                  <c:v>10887234.754330399</c:v>
                </c:pt>
                <c:pt idx="3">
                  <c:v>225185.34306239997</c:v>
                </c:pt>
                <c:pt idx="4">
                  <c:v>2195397.8071059827</c:v>
                </c:pt>
                <c:pt idx="5">
                  <c:v>20358274.120313998</c:v>
                </c:pt>
              </c:numCache>
            </c:numRef>
          </c:xVal>
          <c:yVal>
            <c:numRef>
              <c:f>'Stage-Flow'!$H$6:$H$11</c:f>
              <c:numCache>
                <c:formatCode>_(* #,##0.00_);_(* \(#,##0.00\);_(* "-"??_);_(@_)</c:formatCode>
                <c:ptCount val="6"/>
                <c:pt idx="0">
                  <c:v>13.444728000000001</c:v>
                </c:pt>
                <c:pt idx="1">
                  <c:v>12.3444</c:v>
                </c:pt>
                <c:pt idx="2">
                  <c:v>14.353032000000002</c:v>
                </c:pt>
                <c:pt idx="3">
                  <c:v>14.426184000000001</c:v>
                </c:pt>
                <c:pt idx="4">
                  <c:v>11.131296000000001</c:v>
                </c:pt>
                <c:pt idx="5">
                  <c:v>17.907</c:v>
                </c:pt>
              </c:numCache>
            </c:numRef>
          </c:yVal>
          <c:smooth val="0"/>
          <c:extLst>
            <c:ext xmlns:c16="http://schemas.microsoft.com/office/drawing/2014/chart" uri="{C3380CC4-5D6E-409C-BE32-E72D297353CC}">
              <c16:uniqueId val="{00000000-9AB0-44B2-AE67-B304782FB0C2}"/>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'Stage-Flow'!$F$13:$F$18</c:f>
              <c:numCache>
                <c:formatCode>_(* #,##0.00_);_(* \(#,##0.00\);_(* "-"??_);_(@_)</c:formatCode>
                <c:ptCount val="6"/>
                <c:pt idx="0">
                  <c:v>57440674.212417349</c:v>
                </c:pt>
                <c:pt idx="1">
                  <c:v>33629372.000015043</c:v>
                </c:pt>
                <c:pt idx="2">
                  <c:v>42310065.916728549</c:v>
                </c:pt>
                <c:pt idx="3">
                  <c:v>62645907.138696797</c:v>
                </c:pt>
                <c:pt idx="4">
                  <c:v>28729951.338749684</c:v>
                </c:pt>
                <c:pt idx="5">
                  <c:v>71800167.916920006</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1-9AB0-44B2-AE67-B304782FB0C2}"/>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'Stage-Flow'!$F$20:$F$22</c:f>
              <c:numCache>
                <c:formatCode>_(* #,##0.00_);_(* \(#,##0.00\);_(* "-"??_);_(@_)</c:formatCode>
                <c:ptCount val="3"/>
                <c:pt idx="0">
                  <c:v>63641760.276629739</c:v>
                </c:pt>
                <c:pt idx="1">
                  <c:v>24027969.371364381</c:v>
                </c:pt>
                <c:pt idx="2">
                  <c:v>51648909.422834001</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2-9AB0-44B2-AE67-B304782FB0C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('Stage-Flow'!$J$7,'Stage-Flow'!$J$8,'Stage-Flow'!$J$10,'Stage-Flow'!$J$11)</c:f>
              <c:numCache>
                <c:formatCode>_(* #,##0.00_);_(* \(#,##0.00\);_(* "-"??_);_(@_)</c:formatCode>
                <c:ptCount val="4"/>
                <c:pt idx="0">
                  <c:v>12.5875</c:v>
                </c:pt>
                <c:pt idx="1">
                  <c:v>13.145</c:v>
                </c:pt>
                <c:pt idx="2">
                  <c:v>12.435</c:v>
                </c:pt>
                <c:pt idx="3">
                  <c:v>23.852426967547331</c:v>
                </c:pt>
              </c:numCache>
            </c:numRef>
          </c:xVal>
          <c:yVal>
            <c:numRef>
              <c:f>('Stage-Flow'!$K$7,'Stage-Flow'!$K$8,'Stage-Flow'!$K$10,'Stage-Flow'!$K$11)</c:f>
              <c:numCache>
                <c:formatCode>_(* #,##0.00_);_(* \(#,##0.00\);_(* "-"??_);_(@_)</c:formatCode>
                <c:ptCount val="4"/>
                <c:pt idx="0">
                  <c:v>24.276</c:v>
                </c:pt>
                <c:pt idx="1">
                  <c:v>146.20399999999998</c:v>
                </c:pt>
                <c:pt idx="2">
                  <c:v>29.481860934656055</c:v>
                </c:pt>
                <c:pt idx="3">
                  <c:v>273.39</c:v>
                </c:pt>
              </c:numCache>
            </c:numRef>
          </c:yVal>
          <c:smooth val="0"/>
          <c:extLst>
            <c:ext xmlns:c16="http://schemas.microsoft.com/office/drawing/2014/chart" uri="{C3380CC4-5D6E-409C-BE32-E72D297353CC}">
              <c16:uniqueId val="{00000000-DE83-41AB-A6A8-AEE6DB9F9DB0}"/>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'Stage-Flow'!$J$13:$J$18</c:f>
              <c:numCache>
                <c:formatCode>_(* #,##0.00_);_(* \(#,##0.00\);_(* "-"??_);_(@_)</c:formatCode>
                <c:ptCount val="6"/>
                <c:pt idx="0">
                  <c:v>13.0425</c:v>
                </c:pt>
                <c:pt idx="1">
                  <c:v>12.022499999999999</c:v>
                </c:pt>
                <c:pt idx="2">
                  <c:v>12.572499999999998</c:v>
                </c:pt>
                <c:pt idx="3">
                  <c:v>13.456</c:v>
                </c:pt>
                <c:pt idx="4">
                  <c:v>11.852499999999999</c:v>
                </c:pt>
              </c:numCache>
            </c:numRef>
          </c:xVal>
          <c:yVal>
            <c:numRef>
              <c:f>'Stage-Flow'!$K$13:$K$18</c:f>
              <c:numCache>
                <c:formatCode>_(* #,##0.00_);_(* \(#,##0.00\);_(* "-"??_);_(@_)</c:formatCode>
                <c:ptCount val="6"/>
                <c:pt idx="0">
                  <c:v>771.36725000000001</c:v>
                </c:pt>
                <c:pt idx="1">
                  <c:v>451.60674999999998</c:v>
                </c:pt>
                <c:pt idx="2">
                  <c:v>568.17925000000002</c:v>
                </c:pt>
                <c:pt idx="3">
                  <c:v>841.26800000000003</c:v>
                </c:pt>
                <c:pt idx="4">
                  <c:v>385.8127339322628</c:v>
                </c:pt>
                <c:pt idx="5">
                  <c:v>964.2</c:v>
                </c:pt>
              </c:numCache>
            </c:numRef>
          </c:yVal>
          <c:smooth val="0"/>
          <c:extLst>
            <c:ext xmlns:c16="http://schemas.microsoft.com/office/drawing/2014/chart" uri="{C3380CC4-5D6E-409C-BE32-E72D297353CC}">
              <c16:uniqueId val="{00000001-DE83-41AB-A6A8-AEE6DB9F9DB0}"/>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'Stage-Flow'!$J$20:$J$22</c:f>
              <c:numCache>
                <c:formatCode>_(* #,##0.00_);_(* \(#,##0.00\);_(* "-"??_);_(@_)</c:formatCode>
                <c:ptCount val="3"/>
                <c:pt idx="0">
                  <c:v>14.895</c:v>
                </c:pt>
                <c:pt idx="1">
                  <c:v>13.340999999999999</c:v>
                </c:pt>
              </c:numCache>
            </c:numRef>
          </c:xVal>
          <c:yVal>
            <c:numRef>
              <c:f>'Stage-Flow'!$K$20:$K$22</c:f>
              <c:numCache>
                <c:formatCode>_(* #,##0.00_);_(* \(#,##0.00\);_(* "-"??_);_(@_)</c:formatCode>
                <c:ptCount val="3"/>
                <c:pt idx="0">
                  <c:v>854.6412499999999</c:v>
                </c:pt>
                <c:pt idx="1">
                  <c:v>322.6701098342412</c:v>
                </c:pt>
                <c:pt idx="2">
                  <c:v>693.59</c:v>
                </c:pt>
              </c:numCache>
            </c:numRef>
          </c:yVal>
          <c:smooth val="0"/>
          <c:extLst>
            <c:ext xmlns:c16="http://schemas.microsoft.com/office/drawing/2014/chart" uri="{C3380CC4-5D6E-409C-BE32-E72D297353CC}">
              <c16:uniqueId val="{00000002-DE83-41AB-A6A8-AEE6DB9F9DB0}"/>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('Stage-Flow'!$J$6,'Stage-Flow'!$J$9)</c:f>
              <c:numCache>
                <c:formatCode>_(* #,##0.00_);_(* \(#,##0.00\);_(* "-"??_);_(@_)</c:formatCode>
                <c:ptCount val="2"/>
                <c:pt idx="0">
                  <c:v>13.65</c:v>
                </c:pt>
                <c:pt idx="1">
                  <c:v>13.994444444444444</c:v>
                </c:pt>
              </c:numCache>
            </c:numRef>
          </c:xVal>
          <c:yVal>
            <c:numRef>
              <c:f>('Stage-Flow'!$K$6,'Stage-Flow'!$K$9)</c:f>
              <c:numCache>
                <c:formatCode>_(* #,##0.00_);_(* \(#,##0.00\);_(* "-"??_);_(@_)</c:formatCode>
                <c:ptCount val="2"/>
                <c:pt idx="0">
                  <c:v>4.8425000000000002</c:v>
                </c:pt>
                <c:pt idx="1">
                  <c:v>3.024</c:v>
                </c:pt>
              </c:numCache>
            </c:numRef>
          </c:yVal>
          <c:smooth val="0"/>
          <c:extLst>
            <c:ext xmlns:c16="http://schemas.microsoft.com/office/drawing/2014/chart" uri="{C3380CC4-5D6E-409C-BE32-E72D297353CC}">
              <c16:uniqueId val="{00000003-DE83-41AB-A6A8-AEE6DB9F9DB0}"/>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'Stage-Flow'!$N$13:$N$17</c:f>
              <c:numCache>
                <c:formatCode>_(* #,##0.00_);_(* \(#,##0.00\);_(* "-"??_);_(@_)</c:formatCode>
                <c:ptCount val="5"/>
                <c:pt idx="0">
                  <c:v>57.440674212417349</c:v>
                </c:pt>
                <c:pt idx="1">
                  <c:v>33.629372000015046</c:v>
                </c:pt>
                <c:pt idx="2">
                  <c:v>42.310065916728547</c:v>
                </c:pt>
                <c:pt idx="3">
                  <c:v>62.645907138696799</c:v>
                </c:pt>
                <c:pt idx="4">
                  <c:v>28.729951338749686</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0-C1F0-49C4-AAD9-A57BB03C7A81}"/>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'Stage-Flow'!$N$20:$N$21</c:f>
              <c:numCache>
                <c:formatCode>_(* #,##0.00_);_(* \(#,##0.00\);_(* "-"??_);_(@_)</c:formatCode>
                <c:ptCount val="2"/>
                <c:pt idx="0">
                  <c:v>63.641760276629739</c:v>
                </c:pt>
                <c:pt idx="1">
                  <c:v>24.027969371364382</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1-C1F0-49C4-AAD9-A57BB03C7A81}"/>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('Stage-Flow'!$G$8,'Stage-Flow'!$G$10,'Stage-Flow'!$G$11)</c:f>
              <c:numCache>
                <c:formatCode>_(* #,##0.00_);_(* \(#,##0.00\);_(* "-"??_);_(@_)</c:formatCode>
                <c:ptCount val="3"/>
                <c:pt idx="0">
                  <c:v>4.006596</c:v>
                </c:pt>
                <c:pt idx="1">
                  <c:v>3.7901880000000006</c:v>
                </c:pt>
                <c:pt idx="2">
                  <c:v>7.2702197397084269</c:v>
                </c:pt>
              </c:numCache>
            </c:numRef>
          </c:yVal>
          <c:smooth val="0"/>
          <c:extLst>
            <c:ext xmlns:c16="http://schemas.microsoft.com/office/drawing/2014/chart" uri="{C3380CC4-5D6E-409C-BE32-E72D297353CC}">
              <c16:uniqueId val="{00000002-C1F0-49C4-AAD9-A57BB03C7A81}"/>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'Stage-Flow'!$N$13:$N$18</c:f>
              <c:numCache>
                <c:formatCode>_(* #,##0.00_);_(* \(#,##0.00\);_(* "-"??_);_(@_)</c:formatCode>
                <c:ptCount val="6"/>
                <c:pt idx="0">
                  <c:v>57.440674212417349</c:v>
                </c:pt>
                <c:pt idx="1">
                  <c:v>33.629372000015046</c:v>
                </c:pt>
                <c:pt idx="2">
                  <c:v>42.310065916728547</c:v>
                </c:pt>
                <c:pt idx="3">
                  <c:v>62.645907138696799</c:v>
                </c:pt>
                <c:pt idx="4">
                  <c:v>28.729951338749686</c:v>
                </c:pt>
                <c:pt idx="5">
                  <c:v>71.800167916920003</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0-9882-4A1F-A2DA-00EC1BDEC6F2}"/>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1"/>
            <c:dispEq val="1"/>
            <c:trendlineLbl>
              <c:layout>
                <c:manualLayout>
                  <c:x val="-0.19089966854749438"/>
                  <c:y val="-0.1452340240976088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'Stage-Flow'!$N$20:$N$22</c:f>
              <c:numCache>
                <c:formatCode>_(* #,##0.00_);_(* \(#,##0.00\);_(* "-"??_);_(@_)</c:formatCode>
                <c:ptCount val="3"/>
                <c:pt idx="0">
                  <c:v>63.641760276629739</c:v>
                </c:pt>
                <c:pt idx="1">
                  <c:v>24.027969371364382</c:v>
                </c:pt>
                <c:pt idx="2">
                  <c:v>51.648909422834002</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1-9882-4A1F-A2DA-00EC1BDEC6F2}"/>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manualLayout>
                  <c:x val="-5.0080475272812883E-2"/>
                  <c:y val="-5.144276050277022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('Stage-Flow'!$H$8,'Stage-Flow'!$H$10,'Stage-Flow'!$H$11)</c:f>
              <c:numCache>
                <c:formatCode>_(* #,##0.00_);_(* \(#,##0.00\);_(* "-"??_);_(@_)</c:formatCode>
                <c:ptCount val="3"/>
                <c:pt idx="0">
                  <c:v>14.353032000000002</c:v>
                </c:pt>
                <c:pt idx="1">
                  <c:v>11.131296000000001</c:v>
                </c:pt>
                <c:pt idx="2">
                  <c:v>17.907</c:v>
                </c:pt>
              </c:numCache>
            </c:numRef>
          </c:yVal>
          <c:smooth val="0"/>
          <c:extLst>
            <c:ext xmlns:c16="http://schemas.microsoft.com/office/drawing/2014/chart" uri="{C3380CC4-5D6E-409C-BE32-E72D297353CC}">
              <c16:uniqueId val="{00000002-9882-4A1F-A2DA-00EC1BDEC6F2}"/>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0317970645539757"/>
                  <c:y val="0.170396617089530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EvaporationCurve!$D$27:$D$40</c:f>
              <c:numCache>
                <c:formatCode>General</c:formatCode>
                <c:ptCount val="14"/>
                <c:pt idx="0">
                  <c:v>0</c:v>
                </c:pt>
                <c:pt idx="1">
                  <c:v>1.9078008998875132E-2</c:v>
                </c:pt>
                <c:pt idx="2">
                  <c:v>0.14204442974088854</c:v>
                </c:pt>
                <c:pt idx="3">
                  <c:v>0.29784804693194811</c:v>
                </c:pt>
                <c:pt idx="4">
                  <c:v>0.47590930845116547</c:v>
                </c:pt>
                <c:pt idx="5">
                  <c:v>0.69848590204344696</c:v>
                </c:pt>
                <c:pt idx="6">
                  <c:v>0.98581205741960909</c:v>
                </c:pt>
                <c:pt idx="7">
                  <c:v>1.5734144472588079</c:v>
                </c:pt>
                <c:pt idx="8">
                  <c:v>2.1670868124123235</c:v>
                </c:pt>
                <c:pt idx="9">
                  <c:v>2.8388633840942878</c:v>
                </c:pt>
                <c:pt idx="10">
                  <c:v>3.5697238934200781</c:v>
                </c:pt>
                <c:pt idx="11">
                  <c:v>4.3661433200398871</c:v>
                </c:pt>
                <c:pt idx="12">
                  <c:v>5.1819875629905319</c:v>
                </c:pt>
                <c:pt idx="13">
                  <c:v>6.0520595817919611</c:v>
                </c:pt>
              </c:numCache>
            </c:numRef>
          </c:xVal>
          <c:yVal>
            <c:numRef>
              <c:f>EvaporationCurve!$B$27:$B$40</c:f>
              <c:numCache>
                <c:formatCode>General</c:formatCode>
                <c:ptCount val="14"/>
                <c:pt idx="0">
                  <c:v>0</c:v>
                </c:pt>
                <c:pt idx="1">
                  <c:v>4.0704840000000006E-2</c:v>
                </c:pt>
                <c:pt idx="2">
                  <c:v>0.47365632000000002</c:v>
                </c:pt>
                <c:pt idx="3">
                  <c:v>1.3814976000000001</c:v>
                </c:pt>
                <c:pt idx="4">
                  <c:v>2.8320700800000003</c:v>
                </c:pt>
                <c:pt idx="5">
                  <c:v>4.9610565600000003</c:v>
                </c:pt>
                <c:pt idx="6">
                  <c:v>7.96581384</c:v>
                </c:pt>
                <c:pt idx="7">
                  <c:v>12.76158408</c:v>
                </c:pt>
                <c:pt idx="8">
                  <c:v>19.366869480000002</c:v>
                </c:pt>
                <c:pt idx="9">
                  <c:v>28.01973168</c:v>
                </c:pt>
                <c:pt idx="10">
                  <c:v>38.90025876</c:v>
                </c:pt>
                <c:pt idx="11">
                  <c:v>52.208274480000007</c:v>
                </c:pt>
                <c:pt idx="12">
                  <c:v>68.002985879999997</c:v>
                </c:pt>
                <c:pt idx="13">
                  <c:v>86.449679279999998</c:v>
                </c:pt>
              </c:numCache>
            </c:numRef>
          </c:yVal>
          <c:smooth val="0"/>
          <c:extLst>
            <c:ext xmlns:c16="http://schemas.microsoft.com/office/drawing/2014/chart" uri="{C3380CC4-5D6E-409C-BE32-E72D297353CC}">
              <c16:uniqueId val="{00000000-23CC-4A8E-B13A-90DDF15E1D39}"/>
            </c:ext>
          </c:extLst>
        </c:ser>
        <c:dLbls>
          <c:showLegendKey val="0"/>
          <c:showVal val="0"/>
          <c:showCatName val="0"/>
          <c:showSerName val="0"/>
          <c:showPercent val="0"/>
          <c:showBubbleSize val="0"/>
        </c:dLbls>
        <c:axId val="482034376"/>
        <c:axId val="482035944"/>
      </c:scatterChart>
      <c:valAx>
        <c:axId val="48203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944"/>
        <c:crosses val="autoZero"/>
        <c:crossBetween val="midCat"/>
      </c:valAx>
      <c:valAx>
        <c:axId val="482035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4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('Stage-Flow-Width'!$F$14,'Stage-Flow-Width'!$F$15,'Stage-Flow-Width'!$F$17,'Stage-Flow-Width'!$F$18)</c:f>
              <c:numCache>
                <c:formatCode>_(* #,##0.00_);_(* \(#,##0.00\);_(* "-"??_);_(@_)</c:formatCode>
                <c:ptCount val="4"/>
                <c:pt idx="0">
                  <c:v>22.587499999999999</c:v>
                </c:pt>
                <c:pt idx="1">
                  <c:v>23.145</c:v>
                </c:pt>
                <c:pt idx="2">
                  <c:v>22.434999999999999</c:v>
                </c:pt>
                <c:pt idx="3">
                  <c:v>23.852426967547331</c:v>
                </c:pt>
              </c:numCache>
            </c:numRef>
          </c:xVal>
          <c:yVal>
            <c:numRef>
              <c:f>('Stage-Flow-Width'!$H$14,'Stage-Flow-Width'!$H$15,'Stage-Flow-Width'!$H$17,'Stage-Flow-Width'!$H$18)</c:f>
              <c:numCache>
                <c:formatCode>_(* #,##0.00_);_(* \(#,##0.00\);_(* "-"??_);_(@_)</c:formatCode>
                <c:ptCount val="4"/>
                <c:pt idx="0">
                  <c:v>31.1</c:v>
                </c:pt>
                <c:pt idx="1">
                  <c:v>38.9</c:v>
                </c:pt>
              </c:numCache>
            </c:numRef>
          </c:yVal>
          <c:smooth val="0"/>
          <c:extLst>
            <c:ext xmlns:c16="http://schemas.microsoft.com/office/drawing/2014/chart" uri="{C3380CC4-5D6E-409C-BE32-E72D297353CC}">
              <c16:uniqueId val="{00000000-6DF7-4B39-A114-CF2E8F222A93}"/>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'Stage-Flow-Width'!$F$21:$F$24</c:f>
              <c:numCache>
                <c:formatCode>_(* #,##0.00_);_(* \(#,##0.00\);_(* "-"??_);_(@_)</c:formatCode>
                <c:ptCount val="4"/>
                <c:pt idx="0">
                  <c:v>22.022500000000001</c:v>
                </c:pt>
                <c:pt idx="1">
                  <c:v>22.752500000000001</c:v>
                </c:pt>
                <c:pt idx="2">
                  <c:v>23.46</c:v>
                </c:pt>
                <c:pt idx="3">
                  <c:v>21.852499999999999</c:v>
                </c:pt>
              </c:numCache>
            </c:numRef>
          </c:xVal>
          <c:yVal>
            <c:numRef>
              <c:f>'Stage-Flow-Width'!$H$20:$H$24</c:f>
              <c:numCache>
                <c:formatCode>_(* #,##0.00_);_(* \(#,##0.00\);_(* "-"??_);_(@_)</c:formatCode>
                <c:ptCount val="5"/>
                <c:pt idx="0">
                  <c:v>106</c:v>
                </c:pt>
                <c:pt idx="1">
                  <c:v>105.4</c:v>
                </c:pt>
                <c:pt idx="2">
                  <c:v>118.2</c:v>
                </c:pt>
                <c:pt idx="3">
                  <c:v>120</c:v>
                </c:pt>
                <c:pt idx="4">
                  <c:v>108.3</c:v>
                </c:pt>
              </c:numCache>
            </c:numRef>
          </c:yVal>
          <c:smooth val="0"/>
          <c:extLst>
            <c:ext xmlns:c16="http://schemas.microsoft.com/office/drawing/2014/chart" uri="{C3380CC4-5D6E-409C-BE32-E72D297353CC}">
              <c16:uniqueId val="{00000001-6DF7-4B39-A114-CF2E8F222A93}"/>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'Stage-Flow-Width'!$F$27:$F$28</c:f>
              <c:numCache>
                <c:formatCode>_(* #,##0.00_);_(* \(#,##0.00\);_(* "-"??_);_(@_)</c:formatCode>
                <c:ptCount val="2"/>
                <c:pt idx="0">
                  <c:v>24.885000000000002</c:v>
                </c:pt>
                <c:pt idx="1">
                  <c:v>23.3475</c:v>
                </c:pt>
              </c:numCache>
            </c:numRef>
          </c:xVal>
          <c:yVal>
            <c:numRef>
              <c:f>'Stage-Flow-Width'!$H$27:$H$28</c:f>
              <c:numCache>
                <c:formatCode>_(* #,##0.00_);_(* \(#,##0.00\);_(* "-"??_);_(@_)</c:formatCode>
                <c:ptCount val="2"/>
                <c:pt idx="0">
                  <c:v>123</c:v>
                </c:pt>
                <c:pt idx="1">
                  <c:v>111</c:v>
                </c:pt>
              </c:numCache>
            </c:numRef>
          </c:yVal>
          <c:smooth val="0"/>
          <c:extLst>
            <c:ext xmlns:c16="http://schemas.microsoft.com/office/drawing/2014/chart" uri="{C3380CC4-5D6E-409C-BE32-E72D297353CC}">
              <c16:uniqueId val="{00000002-6DF7-4B39-A114-CF2E8F222A93}"/>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('Stage-Flow-Width'!$F$13,'Stage-Flow-Width'!$F$16)</c:f>
              <c:numCache>
                <c:formatCode>_(* #,##0.00_);_(* \(#,##0.00\);_(* "-"??_);_(@_)</c:formatCode>
                <c:ptCount val="2"/>
                <c:pt idx="0">
                  <c:v>23.65</c:v>
                </c:pt>
                <c:pt idx="1">
                  <c:v>24.07</c:v>
                </c:pt>
              </c:numCache>
            </c:numRef>
          </c:xVal>
          <c:yVal>
            <c:numRef>
              <c:f>('Stage-Flow-Width'!$H$14,'Stage-Flow-Width'!$H$16)</c:f>
              <c:numCache>
                <c:formatCode>_(* #,##0.00_);_(* \(#,##0.00\);_(* "-"??_);_(@_)</c:formatCode>
                <c:ptCount val="2"/>
                <c:pt idx="0">
                  <c:v>31.1</c:v>
                </c:pt>
                <c:pt idx="1">
                  <c:v>56</c:v>
                </c:pt>
              </c:numCache>
            </c:numRef>
          </c:yVal>
          <c:smooth val="0"/>
          <c:extLst>
            <c:ext xmlns:c16="http://schemas.microsoft.com/office/drawing/2014/chart" uri="{C3380CC4-5D6E-409C-BE32-E72D297353CC}">
              <c16:uniqueId val="{00000003-6DF7-4B39-A114-CF2E8F222A93}"/>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'Stage-Flow-Width'!$F$13:$F$18</c:f>
              <c:numCache>
                <c:formatCode>_(* #,##0.00_);_(* \(#,##0.00\);_(* "-"??_);_(@_)</c:formatCode>
                <c:ptCount val="6"/>
                <c:pt idx="0">
                  <c:v>23.65</c:v>
                </c:pt>
                <c:pt idx="1">
                  <c:v>22.587499999999999</c:v>
                </c:pt>
                <c:pt idx="2">
                  <c:v>23.145</c:v>
                </c:pt>
                <c:pt idx="3">
                  <c:v>24.07</c:v>
                </c:pt>
                <c:pt idx="4">
                  <c:v>22.434999999999999</c:v>
                </c:pt>
                <c:pt idx="5">
                  <c:v>23.852426967547331</c:v>
                </c:pt>
              </c:numCache>
            </c:numRef>
          </c:xVal>
          <c:yVal>
            <c:numRef>
              <c:f>'Stage-Flow-Width'!$K$13:$K$18</c:f>
              <c:numCache>
                <c:formatCode>_(* #,##0.00_);_(* \(#,##0.00\);_(* "-"??_);_(@_)</c:formatCode>
                <c:ptCount val="6"/>
                <c:pt idx="0">
                  <c:v>0.36060216252138327</c:v>
                </c:pt>
                <c:pt idx="1">
                  <c:v>1.8077394109177283</c:v>
                </c:pt>
                <c:pt idx="2">
                  <c:v>10.887243896598102</c:v>
                </c:pt>
                <c:pt idx="3">
                  <c:v>0.16233613098536201</c:v>
                </c:pt>
                <c:pt idx="4">
                  <c:v>2.1953996506332807</c:v>
                </c:pt>
                <c:pt idx="5">
                  <c:v>20.358291215636751</c:v>
                </c:pt>
              </c:numCache>
            </c:numRef>
          </c:yVal>
          <c:smooth val="0"/>
          <c:extLst>
            <c:ext xmlns:c16="http://schemas.microsoft.com/office/drawing/2014/chart" uri="{C3380CC4-5D6E-409C-BE32-E72D297353CC}">
              <c16:uniqueId val="{00000000-1AD2-40A6-B19E-308208FD1112}"/>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'Stage-Flow-Width'!$F$21:$F$25</c:f>
              <c:numCache>
                <c:formatCode>_(* #,##0.00_);_(* \(#,##0.00\);_(* "-"??_);_(@_)</c:formatCode>
                <c:ptCount val="5"/>
                <c:pt idx="0">
                  <c:v>22.022500000000001</c:v>
                </c:pt>
                <c:pt idx="1">
                  <c:v>22.752500000000001</c:v>
                </c:pt>
                <c:pt idx="2">
                  <c:v>23.46</c:v>
                </c:pt>
                <c:pt idx="3">
                  <c:v>21.852499999999999</c:v>
                </c:pt>
              </c:numCache>
            </c:numRef>
          </c:xVal>
          <c:yVal>
            <c:numRef>
              <c:f>'Stage-Flow-Width'!$K$20:$K$25</c:f>
              <c:numCache>
                <c:formatCode>_(* #,##0.00_);_(* \(#,##0.00\);_(* "-"??_);_(@_)</c:formatCode>
                <c:ptCount val="6"/>
                <c:pt idx="0">
                  <c:v>0</c:v>
                </c:pt>
                <c:pt idx="1">
                  <c:v>33.554934124260669</c:v>
                </c:pt>
                <c:pt idx="2">
                  <c:v>42.310101445488414</c:v>
                </c:pt>
                <c:pt idx="3">
                  <c:v>62.64595974394198</c:v>
                </c:pt>
                <c:pt idx="4">
                  <c:v>28.729975469011293</c:v>
                </c:pt>
              </c:numCache>
            </c:numRef>
          </c:yVal>
          <c:smooth val="0"/>
          <c:extLst>
            <c:ext xmlns:c16="http://schemas.microsoft.com/office/drawing/2014/chart" uri="{C3380CC4-5D6E-409C-BE32-E72D297353CC}">
              <c16:uniqueId val="{00000001-1AD2-40A6-B19E-308208FD1112}"/>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'Stage-Flow-Width'!$F$27:$F$29</c:f>
              <c:numCache>
                <c:formatCode>_(* #,##0.00_);_(* \(#,##0.00\);_(* "-"??_);_(@_)</c:formatCode>
                <c:ptCount val="3"/>
                <c:pt idx="0">
                  <c:v>24.885000000000002</c:v>
                </c:pt>
                <c:pt idx="1">
                  <c:v>23.3475</c:v>
                </c:pt>
              </c:numCache>
            </c:numRef>
          </c:xVal>
          <c:yVal>
            <c:numRef>
              <c:f>'Stage-Flow-Width'!$K$27:$K$29</c:f>
              <c:numCache>
                <c:formatCode>_(* #,##0.00_);_(* \(#,##0.00\);_(* "-"??_);_(@_)</c:formatCode>
                <c:ptCount val="3"/>
                <c:pt idx="0">
                  <c:v>63.794190006202889</c:v>
                </c:pt>
                <c:pt idx="1">
                  <c:v>24.027989560560169</c:v>
                </c:pt>
              </c:numCache>
            </c:numRef>
          </c:yVal>
          <c:smooth val="0"/>
          <c:extLst>
            <c:ext xmlns:c16="http://schemas.microsoft.com/office/drawing/2014/chart" uri="{C3380CC4-5D6E-409C-BE32-E72D297353CC}">
              <c16:uniqueId val="{00000002-1AD2-40A6-B19E-308208FD111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('Stage-Flow-Width'!$M$14,'Stage-Flow-Width'!$M$15,'Stage-Flow-Width'!$M$17,'Stage-Flow-Width'!$M$18)</c:f>
              <c:numCache>
                <c:formatCode>_(* #,##0.00_);_(* \(#,##0.00\);_(* "-"??_);_(@_)</c:formatCode>
                <c:ptCount val="4"/>
                <c:pt idx="0">
                  <c:v>9.479280000000001</c:v>
                </c:pt>
                <c:pt idx="1">
                  <c:v>11.856720000000001</c:v>
                </c:pt>
                <c:pt idx="2">
                  <c:v>0</c:v>
                </c:pt>
                <c:pt idx="3">
                  <c:v>0</c:v>
                </c:pt>
              </c:numCache>
            </c:numRef>
          </c:xVal>
          <c:yVal>
            <c:numRef>
              <c:f>('Stage-Flow-Width'!$O$14,'Stage-Flow-Width'!$O$15,'Stage-Flow-Width'!$O$17,'Stage-Flow-Width'!$O$18)</c:f>
              <c:numCache>
                <c:formatCode>_(* #,##0.00_);_(* \(#,##0.00\);_(* "-"??_);_(@_)</c:formatCode>
                <c:ptCount val="4"/>
                <c:pt idx="0">
                  <c:v>0.70027799999999929</c:v>
                </c:pt>
                <c:pt idx="1">
                  <c:v>0.87020399999999964</c:v>
                </c:pt>
                <c:pt idx="2">
                  <c:v>0.65379599999999938</c:v>
                </c:pt>
                <c:pt idx="3">
                  <c:v>1.0858277397084262</c:v>
                </c:pt>
              </c:numCache>
            </c:numRef>
          </c:yVal>
          <c:smooth val="0"/>
          <c:extLst>
            <c:ext xmlns:c16="http://schemas.microsoft.com/office/drawing/2014/chart" uri="{C3380CC4-5D6E-409C-BE32-E72D297353CC}">
              <c16:uniqueId val="{00000000-5EDA-45D3-9664-928E00A040F6}"/>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'Stage-Flow-Width'!$M$20:$M$25</c:f>
              <c:numCache>
                <c:formatCode>_(* #,##0.00_);_(* \(#,##0.00\);_(* "-"??_);_(@_)</c:formatCode>
                <c:ptCount val="6"/>
                <c:pt idx="0">
                  <c:v>32.308800000000005</c:v>
                </c:pt>
                <c:pt idx="1">
                  <c:v>32.125920000000001</c:v>
                </c:pt>
                <c:pt idx="2">
                  <c:v>36.027360000000002</c:v>
                </c:pt>
                <c:pt idx="3">
                  <c:v>36.576000000000001</c:v>
                </c:pt>
                <c:pt idx="4">
                  <c:v>33.009840000000004</c:v>
                </c:pt>
              </c:numCache>
            </c:numRef>
          </c:xVal>
          <c:yVal>
            <c:numRef>
              <c:f>'Stage-Flow-Width'!$O$20:$O$25</c:f>
              <c:numCache>
                <c:formatCode>_(* #,##0.00_);_(* \(#,##0.00\);_(* "-"??_);_(@_)</c:formatCode>
                <c:ptCount val="6"/>
                <c:pt idx="1">
                  <c:v>0.29337000000000013</c:v>
                </c:pt>
                <c:pt idx="2">
                  <c:v>0.51587400000000028</c:v>
                </c:pt>
                <c:pt idx="3">
                  <c:v>0.73152000000000017</c:v>
                </c:pt>
                <c:pt idx="4">
                  <c:v>0.2415539999999996</c:v>
                </c:pt>
              </c:numCache>
            </c:numRef>
          </c:yVal>
          <c:smooth val="0"/>
          <c:extLst>
            <c:ext xmlns:c16="http://schemas.microsoft.com/office/drawing/2014/chart" uri="{C3380CC4-5D6E-409C-BE32-E72D297353CC}">
              <c16:uniqueId val="{00000001-5EDA-45D3-9664-928E00A040F6}"/>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'Stage-Flow-Width'!$M$27:$M$29</c:f>
              <c:numCache>
                <c:formatCode>_(* #,##0.00_);_(* \(#,##0.00\);_(* "-"??_);_(@_)</c:formatCode>
                <c:ptCount val="3"/>
                <c:pt idx="0">
                  <c:v>37.490400000000001</c:v>
                </c:pt>
                <c:pt idx="1">
                  <c:v>33.832799999999999</c:v>
                </c:pt>
              </c:numCache>
            </c:numRef>
          </c:xVal>
          <c:yVal>
            <c:numRef>
              <c:f>'Stage-Flow-Width'!$O$27:$O$29</c:f>
              <c:numCache>
                <c:formatCode>_(* #,##0.00_);_(* \(#,##0.00\);_(* "-"??_);_(@_)</c:formatCode>
                <c:ptCount val="3"/>
                <c:pt idx="0">
                  <c:v>0.93116399999999999</c:v>
                </c:pt>
                <c:pt idx="1">
                  <c:v>0.4625339999999995</c:v>
                </c:pt>
              </c:numCache>
            </c:numRef>
          </c:yVal>
          <c:smooth val="0"/>
          <c:extLst>
            <c:ext xmlns:c16="http://schemas.microsoft.com/office/drawing/2014/chart" uri="{C3380CC4-5D6E-409C-BE32-E72D297353CC}">
              <c16:uniqueId val="{00000002-5EDA-45D3-9664-928E00A040F6}"/>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('Stage-Flow-Width'!$M$13,'Stage-Flow-Width'!$M$16)</c:f>
              <c:numCache>
                <c:formatCode>_(* #,##0.00_);_(* \(#,##0.00\);_(* "-"??_);_(@_)</c:formatCode>
                <c:ptCount val="2"/>
                <c:pt idx="0">
                  <c:v>0</c:v>
                </c:pt>
                <c:pt idx="1">
                  <c:v>17.0688</c:v>
                </c:pt>
              </c:numCache>
            </c:numRef>
          </c:xVal>
          <c:yVal>
            <c:numRef>
              <c:f>('Stage-Flow-Width'!$O$13,'Stage-Flow-Width'!$O$16)</c:f>
              <c:numCache>
                <c:formatCode>_(* #,##0.00_);_(* \(#,##0.00\);_(* "-"??_);_(@_)</c:formatCode>
                <c:ptCount val="2"/>
                <c:pt idx="0">
                  <c:v>1.0241279999999993</c:v>
                </c:pt>
                <c:pt idx="1">
                  <c:v>1.1521439999999998</c:v>
                </c:pt>
              </c:numCache>
            </c:numRef>
          </c:yVal>
          <c:smooth val="0"/>
          <c:extLst>
            <c:ext xmlns:c16="http://schemas.microsoft.com/office/drawing/2014/chart" uri="{C3380CC4-5D6E-409C-BE32-E72D297353CC}">
              <c16:uniqueId val="{00000003-5EDA-45D3-9664-928E00A040F6}"/>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8.2756512942412361E-2"/>
                  <c:y val="7.1347089649783091E-2"/>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0.0142x + 6.2803</a:t>
                    </a:r>
                    <a:br>
                      <a:rPr lang="en-US" baseline="0"/>
                    </a:br>
                    <a:r>
                      <a:rPr lang="en-US" baseline="0"/>
                      <a:t>R² = 0.9552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('Stage-Flow-Width'!$L$21:$L$24,'Stage-Flow-Width'!$L$26)</c:f>
              <c:numCache>
                <c:formatCode>_(* #,##0.00_);_(* \(#,##0.00\);_(* "-"??_);_(@_)</c:formatCode>
                <c:ptCount val="5"/>
                <c:pt idx="0">
                  <c:v>3.6644580000000007</c:v>
                </c:pt>
                <c:pt idx="1">
                  <c:v>3.8869620000000005</c:v>
                </c:pt>
                <c:pt idx="2">
                  <c:v>4.102608</c:v>
                </c:pt>
                <c:pt idx="3">
                  <c:v>3.6126420000000001</c:v>
                </c:pt>
                <c:pt idx="4">
                  <c:v>3.7124640000000002</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21211308886738747"/>
                  <c:y val="0.15732608234156872"/>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br>
                      <a:rPr lang="en-US" baseline="0">
                        <a:solidFill>
                          <a:schemeClr val="bg2">
                            <a:lumMod val="50000"/>
                          </a:schemeClr>
                        </a:solidFill>
                      </a:rPr>
                    </a:br>
                    <a:r>
                      <a:rPr lang="en-US" baseline="0">
                        <a:solidFill>
                          <a:schemeClr val="bg2">
                            <a:lumMod val="50000"/>
                          </a:schemeClr>
                        </a:solidFill>
                      </a:rPr>
                      <a:t>y = 0.0157x + 6.5723</a:t>
                    </a:r>
                    <a:br>
                      <a:rPr lang="en-US" baseline="0">
                        <a:solidFill>
                          <a:schemeClr val="bg2">
                            <a:lumMod val="50000"/>
                          </a:schemeClr>
                        </a:solidFill>
                      </a:rPr>
                    </a:br>
                    <a:r>
                      <a:rPr lang="en-US" baseline="0">
                        <a:solidFill>
                          <a:schemeClr val="bg2">
                            <a:lumMod val="50000"/>
                          </a:schemeClr>
                        </a:solidFill>
                      </a:rPr>
                      <a:t>R² = 0.6194</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('Stage-Flow-Width'!$K$26:$K$28,'Stage-Flow-Width'!$K$30)</c:f>
              <c:numCache>
                <c:formatCode>_(* #,##0.00_);_(* \(#,##0.00\);_(* "-"??_);_(@_)</c:formatCode>
                <c:ptCount val="4"/>
                <c:pt idx="0">
                  <c:v>31.390632337567414</c:v>
                </c:pt>
                <c:pt idx="1">
                  <c:v>63.794190006202889</c:v>
                </c:pt>
                <c:pt idx="2">
                  <c:v>24.027989560560169</c:v>
                </c:pt>
                <c:pt idx="3">
                  <c:v>37.890034866192366</c:v>
                </c:pt>
              </c:numCache>
            </c:numRef>
          </c:xVal>
          <c:yVal>
            <c:numRef>
              <c:f>('Stage-Flow-Width'!$L$26:$L$28,'Stage-Flow-Width'!$L$30)</c:f>
              <c:numCache>
                <c:formatCode>_(* #,##0.00_);_(* \(#,##0.00\);_(* "-"??_);_(@_)</c:formatCode>
                <c:ptCount val="4"/>
                <c:pt idx="0">
                  <c:v>3.7124640000000002</c:v>
                </c:pt>
                <c:pt idx="1">
                  <c:v>4.5369480000000006</c:v>
                </c:pt>
                <c:pt idx="2">
                  <c:v>4.0683180000000005</c:v>
                </c:pt>
                <c:pt idx="3">
                  <c:v>4.2397680000000006</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473851553576519E-3"/>
                  <c:y val="-8.0496985657756218E-2"/>
                </c:manualLayout>
              </c:layout>
              <c:tx>
                <c:rich>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r>
                      <a:rPr lang="en-US" baseline="0"/>
                      <a:t>Cub:</a:t>
                    </a:r>
                  </a:p>
                  <a:p>
                    <a:pPr>
                      <a:defRPr>
                        <a:solidFill>
                          <a:schemeClr val="accent1">
                            <a:lumMod val="75000"/>
                          </a:schemeClr>
                        </a:solidFill>
                      </a:defRPr>
                    </a:pPr>
                    <a:r>
                      <a:rPr lang="en-US" baseline="0"/>
                      <a:t>y = 0.1749x + 3.1848</a:t>
                    </a:r>
                    <a:br>
                      <a:rPr lang="en-US" baseline="0"/>
                    </a:br>
                    <a:r>
                      <a:rPr lang="en-US" baseline="0"/>
                      <a:t>R² = 0.8142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('Stage-Flow-Width'!$L$14:$L$15,'Stage-Flow-Width'!$L$17:$L$18)</c:f>
              <c:numCache>
                <c:formatCode>_(* #,##0.00_);_(* \(#,##0.00\);_(* "-"??_);_(@_)</c:formatCode>
                <c:ptCount val="4"/>
                <c:pt idx="0">
                  <c:v>3.8366699999999998</c:v>
                </c:pt>
                <c:pt idx="1">
                  <c:v>4.006596</c:v>
                </c:pt>
                <c:pt idx="2">
                  <c:v>3.7901879999999997</c:v>
                </c:pt>
                <c:pt idx="3">
                  <c:v>4.2222197397084269</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9.1136495615952214E-3"/>
                  <c:y val="0.17503852298512276"/>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18.932x</a:t>
                    </a:r>
                    <a:r>
                      <a:rPr lang="en-US" baseline="30000"/>
                      <a:t>0.1618</a:t>
                    </a:r>
                    <a:r>
                      <a:rPr lang="en-US" baseline="0"/>
                      <a:t/>
                    </a:r>
                    <a:br>
                      <a:rPr lang="en-US" baseline="0"/>
                    </a:br>
                    <a:r>
                      <a:rPr lang="en-US" baseline="0"/>
                      <a:t>R² = 0.735</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c:f>
              <c:numCache>
                <c:formatCode>_(* #,##0.00_);_(* \(#,##0.00\);_(* "-"??_);_(@_)</c:formatCode>
                <c:ptCount val="4"/>
                <c:pt idx="0">
                  <c:v>33.554934124260669</c:v>
                </c:pt>
                <c:pt idx="1">
                  <c:v>42.310101445488414</c:v>
                </c:pt>
                <c:pt idx="2">
                  <c:v>62.64595974394198</c:v>
                </c:pt>
                <c:pt idx="3">
                  <c:v>28.729975469011293</c:v>
                </c:pt>
              </c:numCache>
            </c:numRef>
          </c:xVal>
          <c:yVal>
            <c:numRef>
              <c:f>'Stage-Flow-Width'!$M$21:$M$24</c:f>
              <c:numCache>
                <c:formatCode>_(* #,##0.00_);_(* \(#,##0.00\);_(* "-"??_);_(@_)</c:formatCode>
                <c:ptCount val="4"/>
                <c:pt idx="0">
                  <c:v>32.125920000000001</c:v>
                </c:pt>
                <c:pt idx="1">
                  <c:v>36.027360000000002</c:v>
                </c:pt>
                <c:pt idx="2">
                  <c:v>36.576000000000001</c:v>
                </c:pt>
                <c:pt idx="3">
                  <c:v>33.009840000000004</c:v>
                </c:pt>
              </c:numCache>
            </c:numRef>
          </c:yVal>
          <c:smooth val="0"/>
          <c:extLst>
            <c:ext xmlns:c16="http://schemas.microsoft.com/office/drawing/2014/chart" uri="{C3380CC4-5D6E-409C-BE32-E72D297353CC}">
              <c16:uniqueId val="{00000000-D1A2-4345-A24F-0C9A48253449}"/>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1"/>
            <c:dispEq val="1"/>
            <c:trendlineLbl>
              <c:layout>
                <c:manualLayout>
                  <c:x val="-0.48944585835928406"/>
                  <c:y val="3.473380274017016E-3"/>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p>
                  <a:p>
                    <a:pPr>
                      <a:defRPr>
                        <a:solidFill>
                          <a:schemeClr val="bg2">
                            <a:lumMod val="50000"/>
                          </a:schemeClr>
                        </a:solidFill>
                      </a:defRPr>
                    </a:pPr>
                    <a:r>
                      <a:rPr lang="en-US" baseline="0">
                        <a:solidFill>
                          <a:schemeClr val="bg2">
                            <a:lumMod val="50000"/>
                          </a:schemeClr>
                        </a:solidFill>
                      </a:rPr>
                      <a:t>y = 24.762x</a:t>
                    </a:r>
                    <a:r>
                      <a:rPr lang="en-US" baseline="30000">
                        <a:solidFill>
                          <a:schemeClr val="bg2">
                            <a:lumMod val="50000"/>
                          </a:schemeClr>
                        </a:solidFill>
                      </a:rPr>
                      <a:t>0.1031</a:t>
                    </a:r>
                    <a:r>
                      <a:rPr lang="en-US" baseline="0">
                        <a:solidFill>
                          <a:schemeClr val="bg2">
                            <a:lumMod val="50000"/>
                          </a:schemeClr>
                        </a:solidFill>
                      </a:rPr>
                      <a:t/>
                    </a:r>
                    <a:br>
                      <a:rPr lang="en-US" baseline="0">
                        <a:solidFill>
                          <a:schemeClr val="bg2">
                            <a:lumMod val="50000"/>
                          </a:schemeClr>
                        </a:solidFill>
                      </a:rPr>
                    </a:br>
                    <a:r>
                      <a:rPr lang="en-US" baseline="0">
                        <a:solidFill>
                          <a:schemeClr val="bg2">
                            <a:lumMod val="50000"/>
                          </a:schemeClr>
                        </a:solidFill>
                      </a:rPr>
                      <a:t>R² = 0.7965</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('Stage-Flow-Width'!$M$27:$M$28,'Stage-Flow-Width'!$M$30)</c:f>
              <c:numCache>
                <c:formatCode>_(* #,##0.00_);_(* \(#,##0.00\);_(* "-"??_);_(@_)</c:formatCode>
                <c:ptCount val="3"/>
                <c:pt idx="0">
                  <c:v>37.490400000000001</c:v>
                </c:pt>
                <c:pt idx="1">
                  <c:v>33.832799999999999</c:v>
                </c:pt>
                <c:pt idx="2">
                  <c:v>37.094159999999995</c:v>
                </c:pt>
              </c:numCache>
            </c:numRef>
          </c:yVal>
          <c:smooth val="0"/>
          <c:extLst>
            <c:ext xmlns:c16="http://schemas.microsoft.com/office/drawing/2014/chart" uri="{C3380CC4-5D6E-409C-BE32-E72D297353CC}">
              <c16:uniqueId val="{00000001-D1A2-4345-A24F-0C9A48253449}"/>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manualLayout>
                  <c:x val="2.4173890834648701E-2"/>
                  <c:y val="-8.6317618967260673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c:f>
              <c:numCache>
                <c:formatCode>_(* #,##0.00_);_(* \(#,##0.00\);_(* "-"??_);_(@_)</c:formatCode>
                <c:ptCount val="2"/>
                <c:pt idx="0">
                  <c:v>1.8077394109177283</c:v>
                </c:pt>
                <c:pt idx="1">
                  <c:v>10.887243896598102</c:v>
                </c:pt>
              </c:numCache>
            </c:numRef>
          </c:xVal>
          <c:yVal>
            <c:numRef>
              <c:f>'Stage-Flow-Width'!$M$14:$M$15</c:f>
              <c:numCache>
                <c:formatCode>_(* #,##0.00_);_(* \(#,##0.00\);_(* "-"??_);_(@_)</c:formatCode>
                <c:ptCount val="2"/>
                <c:pt idx="0">
                  <c:v>9.479280000000001</c:v>
                </c:pt>
                <c:pt idx="1">
                  <c:v>11.856720000000001</c:v>
                </c:pt>
              </c:numCache>
            </c:numRef>
          </c:yVal>
          <c:smooth val="0"/>
          <c:extLst>
            <c:ext xmlns:c16="http://schemas.microsoft.com/office/drawing/2014/chart" uri="{C3380CC4-5D6E-409C-BE32-E72D297353CC}">
              <c16:uniqueId val="{00000002-D1A2-4345-A24F-0C9A48253449}"/>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8.2756512942412361E-2"/>
                  <c:y val="7.1347089649783091E-2"/>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0.0142x + 6.2803</a:t>
                    </a:r>
                    <a:br>
                      <a:rPr lang="en-US" baseline="0"/>
                    </a:br>
                    <a:r>
                      <a:rPr lang="en-US" baseline="0"/>
                      <a:t>R² = 0.9552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('Stage-Flow-Width'!$N$21:$N$24,'Stage-Flow-Width'!$N$26)</c:f>
              <c:numCache>
                <c:formatCode>_(* #,##0.00_);_(* \(#,##0.00\);_(* "-"??_);_(@_)</c:formatCode>
                <c:ptCount val="5"/>
                <c:pt idx="0">
                  <c:v>1.6131540000000002</c:v>
                </c:pt>
                <c:pt idx="1">
                  <c:v>1.8356580000000005</c:v>
                </c:pt>
                <c:pt idx="2">
                  <c:v>2.051304</c:v>
                </c:pt>
                <c:pt idx="3">
                  <c:v>1.5613379999999997</c:v>
                </c:pt>
                <c:pt idx="4">
                  <c:v>1.66116</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squar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21211308886738747"/>
                  <c:y val="0.15732608234156872"/>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br>
                      <a:rPr lang="en-US" baseline="0">
                        <a:solidFill>
                          <a:schemeClr val="bg2">
                            <a:lumMod val="50000"/>
                          </a:schemeClr>
                        </a:solidFill>
                      </a:rPr>
                    </a:br>
                    <a:r>
                      <a:rPr lang="en-US" baseline="0">
                        <a:solidFill>
                          <a:schemeClr val="bg2">
                            <a:lumMod val="50000"/>
                          </a:schemeClr>
                        </a:solidFill>
                      </a:rPr>
                      <a:t>y = 0.0157x + 6.5723</a:t>
                    </a:r>
                    <a:br>
                      <a:rPr lang="en-US" baseline="0">
                        <a:solidFill>
                          <a:schemeClr val="bg2">
                            <a:lumMod val="50000"/>
                          </a:schemeClr>
                        </a:solidFill>
                      </a:rPr>
                    </a:br>
                    <a:r>
                      <a:rPr lang="en-US" baseline="0">
                        <a:solidFill>
                          <a:schemeClr val="bg2">
                            <a:lumMod val="50000"/>
                          </a:schemeClr>
                        </a:solidFill>
                      </a:rPr>
                      <a:t>R² = 0.6194</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('Stage-Flow-Width'!$N$27:$N$28,'Stage-Flow-Width'!$N$30)</c:f>
              <c:numCache>
                <c:formatCode>_(* #,##0.00_);_(* \(#,##0.00\);_(* "-"??_);_(@_)</c:formatCode>
                <c:ptCount val="3"/>
                <c:pt idx="0">
                  <c:v>1.6559784000000006</c:v>
                </c:pt>
                <c:pt idx="1">
                  <c:v>1.1873484000000001</c:v>
                </c:pt>
                <c:pt idx="2">
                  <c:v>1.3587984000000002</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473851553576519E-3"/>
                  <c:y val="-8.0496985657756218E-2"/>
                </c:manualLayout>
              </c:layout>
              <c:tx>
                <c:rich>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r>
                      <a:rPr lang="en-US" baseline="0"/>
                      <a:t>Cub:</a:t>
                    </a:r>
                  </a:p>
                  <a:p>
                    <a:pPr>
                      <a:defRPr>
                        <a:solidFill>
                          <a:schemeClr val="accent1">
                            <a:lumMod val="75000"/>
                          </a:schemeClr>
                        </a:solidFill>
                      </a:defRPr>
                    </a:pPr>
                    <a:r>
                      <a:rPr lang="en-US" baseline="0"/>
                      <a:t>y = 0.1749x + 3.1848</a:t>
                    </a:r>
                    <a:br>
                      <a:rPr lang="en-US" baseline="0"/>
                    </a:br>
                    <a:r>
                      <a:rPr lang="en-US" baseline="0"/>
                      <a:t>R² = 0.8142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('Stage-Flow-Width'!$N$14:$N$15,'Stage-Flow-Width'!$N$17:$N$18)</c:f>
              <c:numCache>
                <c:formatCode>_(* #,##0.00_);_(* \(#,##0.00\);_(* "-"??_);_(@_)</c:formatCode>
                <c:ptCount val="4"/>
                <c:pt idx="0">
                  <c:v>1.6634459999999998</c:v>
                </c:pt>
                <c:pt idx="1">
                  <c:v>1.833372</c:v>
                </c:pt>
                <c:pt idx="2">
                  <c:v>1.6169639999999996</c:v>
                </c:pt>
                <c:pt idx="3">
                  <c:v>2.0489957397084266</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 Water Depth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604037968829019"/>
                  <c:y val="0.166250000000000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EvaporationCurve!$D$47:$D$53</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EvaporationCurve!$B$47:$B$53</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277F-4971-B4C5-0BB82919420C}"/>
            </c:ext>
          </c:extLst>
        </c:ser>
        <c:dLbls>
          <c:showLegendKey val="0"/>
          <c:showVal val="0"/>
          <c:showCatName val="0"/>
          <c:showSerName val="0"/>
          <c:showPercent val="0"/>
          <c:showBubbleSize val="0"/>
        </c:dLbls>
        <c:axId val="482037904"/>
        <c:axId val="482031240"/>
      </c:scatterChart>
      <c:valAx>
        <c:axId val="482037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1240"/>
        <c:crosses val="autoZero"/>
        <c:crossBetween val="midCat"/>
      </c:valAx>
      <c:valAx>
        <c:axId val="482031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250353273773175"/>
                  <c:y val="7.82870370370370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EvaporationCurve!$D$64:$D$72</c:f>
              <c:numCache>
                <c:formatCode>General</c:formatCode>
                <c:ptCount val="9"/>
                <c:pt idx="0">
                  <c:v>0</c:v>
                </c:pt>
                <c:pt idx="1">
                  <c:v>-9.851791949429744E-4</c:v>
                </c:pt>
                <c:pt idx="2">
                  <c:v>2.2587900167331756</c:v>
                </c:pt>
                <c:pt idx="3">
                  <c:v>3.0500279459344366</c:v>
                </c:pt>
                <c:pt idx="4">
                  <c:v>3.7396104617831321</c:v>
                </c:pt>
                <c:pt idx="5">
                  <c:v>4.4217468745626975</c:v>
                </c:pt>
                <c:pt idx="6">
                  <c:v>5.5189282711665912</c:v>
                </c:pt>
                <c:pt idx="7">
                  <c:v>8.6081308905204121</c:v>
                </c:pt>
                <c:pt idx="8">
                  <c:v>9.9290197698220073</c:v>
                </c:pt>
              </c:numCache>
            </c:numRef>
          </c:xVal>
          <c:yVal>
            <c:numRef>
              <c:f>EvaporationCurve!$B$64:$B$72</c:f>
              <c:numCache>
                <c:formatCode>General</c:formatCode>
                <c:ptCount val="9"/>
                <c:pt idx="0">
                  <c:v>0</c:v>
                </c:pt>
                <c:pt idx="1">
                  <c:v>5.9996467199999994</c:v>
                </c:pt>
                <c:pt idx="2">
                  <c:v>14.60563668</c:v>
                </c:pt>
                <c:pt idx="3">
                  <c:v>26.22625176</c:v>
                </c:pt>
                <c:pt idx="4">
                  <c:v>40.474179240000005</c:v>
                </c:pt>
                <c:pt idx="5">
                  <c:v>57.321049080000002</c:v>
                </c:pt>
                <c:pt idx="6">
                  <c:v>78.348182640000005</c:v>
                </c:pt>
                <c:pt idx="7">
                  <c:v>111.14518235999999</c:v>
                </c:pt>
                <c:pt idx="8">
                  <c:v>148.97478047999999</c:v>
                </c:pt>
              </c:numCache>
            </c:numRef>
          </c:yVal>
          <c:smooth val="0"/>
          <c:extLst>
            <c:ext xmlns:c16="http://schemas.microsoft.com/office/drawing/2014/chart" uri="{C3380CC4-5D6E-409C-BE32-E72D297353CC}">
              <c16:uniqueId val="{00000000-B709-49A5-8AE6-79BE6E549F4A}"/>
            </c:ext>
          </c:extLst>
        </c:ser>
        <c:dLbls>
          <c:showLegendKey val="0"/>
          <c:showVal val="0"/>
          <c:showCatName val="0"/>
          <c:showSerName val="0"/>
          <c:showPercent val="0"/>
          <c:showBubbleSize val="0"/>
        </c:dLbls>
        <c:axId val="482033592"/>
        <c:axId val="482035160"/>
      </c:scatterChart>
      <c:valAx>
        <c:axId val="482033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160"/>
        <c:crosses val="autoZero"/>
        <c:crossBetween val="midCat"/>
      </c:valAx>
      <c:valAx>
        <c:axId val="482035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1903795601661799"/>
                  <c:y val="0.11995370370370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EvaporationCurve!$D$82:$D$88</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EvaporationCurve!$B$82:$B$88</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36E6-4854-B649-0BA932ED9D08}"/>
            </c:ext>
          </c:extLst>
        </c:ser>
        <c:dLbls>
          <c:showLegendKey val="0"/>
          <c:showVal val="0"/>
          <c:showCatName val="0"/>
          <c:showSerName val="0"/>
          <c:showPercent val="0"/>
          <c:showBubbleSize val="0"/>
        </c:dLbls>
        <c:axId val="482033984"/>
        <c:axId val="482032416"/>
      </c:scatterChart>
      <c:valAx>
        <c:axId val="482033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2416"/>
        <c:crosses val="autoZero"/>
        <c:crossBetween val="midCat"/>
      </c:valAx>
      <c:valAx>
        <c:axId val="48203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EvaporationCurve!$D$98:$D$115</c:f>
              <c:numCache>
                <c:formatCode>General</c:formatCode>
                <c:ptCount val="18"/>
                <c:pt idx="0">
                  <c:v>0</c:v>
                </c:pt>
                <c:pt idx="1">
                  <c:v>0.10521811023622041</c:v>
                </c:pt>
                <c:pt idx="2">
                  <c:v>0.42006296564803119</c:v>
                </c:pt>
                <c:pt idx="3">
                  <c:v>0.88221296576380592</c:v>
                </c:pt>
                <c:pt idx="4">
                  <c:v>1.3896875429838835</c:v>
                </c:pt>
                <c:pt idx="5">
                  <c:v>2.008045775666786</c:v>
                </c:pt>
                <c:pt idx="6">
                  <c:v>2.6701098817180013</c:v>
                </c:pt>
                <c:pt idx="7">
                  <c:v>3.2131965424885425</c:v>
                </c:pt>
                <c:pt idx="8">
                  <c:v>3.6543026923152668</c:v>
                </c:pt>
                <c:pt idx="9">
                  <c:v>3.8971132748311548</c:v>
                </c:pt>
                <c:pt idx="10">
                  <c:v>3.9618626383197939</c:v>
                </c:pt>
                <c:pt idx="11">
                  <c:v>4.4515314712082228</c:v>
                </c:pt>
                <c:pt idx="12">
                  <c:v>4.8562160209094722</c:v>
                </c:pt>
                <c:pt idx="13">
                  <c:v>5.3418376634690166</c:v>
                </c:pt>
                <c:pt idx="14">
                  <c:v>5.8274592250914674</c:v>
                </c:pt>
                <c:pt idx="15">
                  <c:v>6.3940177945880103</c:v>
                </c:pt>
                <c:pt idx="16">
                  <c:v>7.0415132910215767</c:v>
                </c:pt>
                <c:pt idx="17">
                  <c:v>7.6080716986441859</c:v>
                </c:pt>
              </c:numCache>
            </c:numRef>
          </c:xVal>
          <c:yVal>
            <c:numRef>
              <c:f>EvaporationCurve!$B$98:$B$115</c:f>
              <c:numCache>
                <c:formatCode>General</c:formatCode>
                <c:ptCount val="18"/>
                <c:pt idx="0">
                  <c:v>0</c:v>
                </c:pt>
                <c:pt idx="1">
                  <c:v>0.16035240000000001</c:v>
                </c:pt>
                <c:pt idx="2">
                  <c:v>0.80052851999999997</c:v>
                </c:pt>
                <c:pt idx="3">
                  <c:v>2.1450217200000004</c:v>
                </c:pt>
                <c:pt idx="4">
                  <c:v>4.2629068800000001</c:v>
                </c:pt>
                <c:pt idx="5">
                  <c:v>7.32317076</c:v>
                </c:pt>
                <c:pt idx="6">
                  <c:v>11.392421279999999</c:v>
                </c:pt>
                <c:pt idx="7">
                  <c:v>16.28933688</c:v>
                </c:pt>
                <c:pt idx="8">
                  <c:v>21.858499080000001</c:v>
                </c:pt>
                <c:pt idx="9">
                  <c:v>23.046340319999999</c:v>
                </c:pt>
                <c:pt idx="10">
                  <c:v>27.876647999999999</c:v>
                </c:pt>
                <c:pt idx="11">
                  <c:v>34.660787999999997</c:v>
                </c:pt>
                <c:pt idx="12">
                  <c:v>42.061667999999997</c:v>
                </c:pt>
                <c:pt idx="13">
                  <c:v>50.202635999999998</c:v>
                </c:pt>
                <c:pt idx="14">
                  <c:v>59.083691999999999</c:v>
                </c:pt>
                <c:pt idx="15">
                  <c:v>68.828183999999993</c:v>
                </c:pt>
                <c:pt idx="16">
                  <c:v>79.559460000000001</c:v>
                </c:pt>
                <c:pt idx="17">
                  <c:v>91.154172000000003</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xVal>
          <c:y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4920512588383353"/>
                  <c:y val="7.6925774343549913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(EvaporationCurve!$D$123:$D$126,EvaporationCurve!$D$132:$D$136)</c:f>
              <c:numCache>
                <c:formatCode>General</c:formatCode>
                <c:ptCount val="9"/>
                <c:pt idx="0">
                  <c:v>0.10117140000000001</c:v>
                </c:pt>
                <c:pt idx="1">
                  <c:v>0.15378052800000003</c:v>
                </c:pt>
                <c:pt idx="2">
                  <c:v>0.28327992000000002</c:v>
                </c:pt>
                <c:pt idx="3">
                  <c:v>0.41277931200000001</c:v>
                </c:pt>
                <c:pt idx="4">
                  <c:v>0.81746491200000004</c:v>
                </c:pt>
                <c:pt idx="5">
                  <c:v>0.85793347200000003</c:v>
                </c:pt>
                <c:pt idx="6">
                  <c:v>0.89840203200000002</c:v>
                </c:pt>
                <c:pt idx="7">
                  <c:v>0.9429174480000001</c:v>
                </c:pt>
                <c:pt idx="8">
                  <c:v>1.011714</c:v>
                </c:pt>
              </c:numCache>
            </c:numRef>
          </c:xVal>
          <c:yVal>
            <c:numRef>
              <c:f>(EvaporationCurve!$B$123:$B$126,EvaporationCurve!$B$132:$B$136)</c:f>
              <c:numCache>
                <c:formatCode>General</c:formatCode>
                <c:ptCount val="9"/>
                <c:pt idx="0">
                  <c:v>0.30836999999999998</c:v>
                </c:pt>
                <c:pt idx="1">
                  <c:v>1.4801759999999999</c:v>
                </c:pt>
                <c:pt idx="2">
                  <c:v>3.2070479999999999</c:v>
                </c:pt>
                <c:pt idx="3">
                  <c:v>6.9691619999999999</c:v>
                </c:pt>
                <c:pt idx="4">
                  <c:v>15.788544</c:v>
                </c:pt>
                <c:pt idx="5">
                  <c:v>16.281936000000002</c:v>
                </c:pt>
                <c:pt idx="6">
                  <c:v>16.651979999999998</c:v>
                </c:pt>
                <c:pt idx="7">
                  <c:v>17.268719999999998</c:v>
                </c:pt>
                <c:pt idx="8">
                  <c:v>18.502199999999998</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3.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chart" Target="../charts/chart21.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 Id="rId4" Type="http://schemas.openxmlformats.org/officeDocument/2006/relationships/image" Target="../media/image1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18.emf"/><Relationship Id="rId2" Type="http://schemas.openxmlformats.org/officeDocument/2006/relationships/image" Target="../media/image17.emf"/><Relationship Id="rId1" Type="http://schemas.openxmlformats.org/officeDocument/2006/relationships/image" Target="../media/image10.emf"/><Relationship Id="rId4" Type="http://schemas.openxmlformats.org/officeDocument/2006/relationships/image" Target="../media/image1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xdr:row>
          <xdr:rowOff>0</xdr:rowOff>
        </xdr:from>
        <xdr:to>
          <xdr:col>11</xdr:col>
          <xdr:colOff>495300</xdr:colOff>
          <xdr:row>52</xdr:row>
          <xdr:rowOff>180975</xdr:rowOff>
        </xdr:to>
        <xdr:sp macro="" textlink="">
          <xdr:nvSpPr>
            <xdr:cNvPr id="54278" name="Object 6" hidden="1">
              <a:extLst>
                <a:ext uri="{63B3BB69-23CF-44E3-9099-C40C66FF867C}">
                  <a14:compatExt spid="_x0000_s5427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13</xdr:col>
      <xdr:colOff>346363</xdr:colOff>
      <xdr:row>3</xdr:row>
      <xdr:rowOff>69272</xdr:rowOff>
    </xdr:from>
    <xdr:to>
      <xdr:col>22</xdr:col>
      <xdr:colOff>538826</xdr:colOff>
      <xdr:row>19</xdr:row>
      <xdr:rowOff>162155</xdr:rowOff>
    </xdr:to>
    <xdr:grpSp>
      <xdr:nvGrpSpPr>
        <xdr:cNvPr id="29" name="Group 28"/>
        <xdr:cNvGrpSpPr/>
      </xdr:nvGrpSpPr>
      <xdr:grpSpPr>
        <a:xfrm>
          <a:off x="10364422" y="674390"/>
          <a:ext cx="6445345" cy="3252941"/>
          <a:chOff x="0" y="0"/>
          <a:chExt cx="5647999" cy="3314319"/>
        </a:xfrm>
      </xdr:grpSpPr>
      <xdr:grpSp>
        <xdr:nvGrpSpPr>
          <xdr:cNvPr id="30" name="Group 29"/>
          <xdr:cNvGrpSpPr/>
        </xdr:nvGrpSpPr>
        <xdr:grpSpPr>
          <a:xfrm>
            <a:off x="0" y="336500"/>
            <a:ext cx="3568700" cy="2800985"/>
            <a:chOff x="0" y="-53374"/>
            <a:chExt cx="5744388" cy="4494292"/>
          </a:xfrm>
        </xdr:grpSpPr>
        <xdr:pic>
          <xdr:nvPicPr>
            <xdr:cNvPr id="43" name="Picture 42"/>
            <xdr:cNvPicPr>
              <a:picLocks noChangeAspect="1"/>
            </xdr:cNvPicPr>
          </xdr:nvPicPr>
          <xdr:blipFill>
            <a:blip xmlns:r="http://schemas.openxmlformats.org/officeDocument/2006/relationships" r:embed="rId1"/>
            <a:stretch>
              <a:fillRect/>
            </a:stretch>
          </xdr:blipFill>
          <xdr:spPr>
            <a:xfrm>
              <a:off x="0" y="0"/>
              <a:ext cx="5659733" cy="4440918"/>
            </a:xfrm>
            <a:prstGeom prst="rect">
              <a:avLst/>
            </a:prstGeom>
            <a:ln w="9525">
              <a:solidFill>
                <a:srgbClr val="FF0000"/>
              </a:solidFill>
              <a:prstDash val="solid"/>
            </a:ln>
          </xdr:spPr>
        </xdr:pic>
        <xdr:sp macro="" textlink="">
          <xdr:nvSpPr>
            <xdr:cNvPr id="44" name="Oval 43"/>
            <xdr:cNvSpPr/>
          </xdr:nvSpPr>
          <xdr:spPr>
            <a:xfrm>
              <a:off x="2901371" y="992731"/>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5" name="Oval 44"/>
            <xdr:cNvSpPr/>
          </xdr:nvSpPr>
          <xdr:spPr>
            <a:xfrm>
              <a:off x="2956088" y="61173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6" name="Oval 45"/>
            <xdr:cNvSpPr/>
          </xdr:nvSpPr>
          <xdr:spPr>
            <a:xfrm>
              <a:off x="3227215" y="11451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7" name="Oval 46"/>
            <xdr:cNvSpPr/>
          </xdr:nvSpPr>
          <xdr:spPr>
            <a:xfrm>
              <a:off x="3162586" y="12975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pic>
          <xdr:nvPicPr>
            <xdr:cNvPr id="48" name="Picture 47"/>
            <xdr:cNvPicPr>
              <a:picLocks noChangeAspect="1"/>
            </xdr:cNvPicPr>
          </xdr:nvPicPr>
          <xdr:blipFill>
            <a:blip xmlns:r="http://schemas.openxmlformats.org/officeDocument/2006/relationships" r:embed="rId2"/>
            <a:stretch>
              <a:fillRect/>
            </a:stretch>
          </xdr:blipFill>
          <xdr:spPr>
            <a:xfrm>
              <a:off x="60488" y="4237913"/>
              <a:ext cx="990600" cy="180975"/>
            </a:xfrm>
            <a:prstGeom prst="rect">
              <a:avLst/>
            </a:prstGeom>
            <a:ln w="9525">
              <a:solidFill>
                <a:schemeClr val="tx1"/>
              </a:solidFill>
              <a:prstDash val="solid"/>
            </a:ln>
          </xdr:spPr>
        </xdr:pic>
        <xdr:sp macro="" textlink="">
          <xdr:nvSpPr>
            <xdr:cNvPr id="49" name="Oval 48"/>
            <xdr:cNvSpPr/>
          </xdr:nvSpPr>
          <xdr:spPr>
            <a:xfrm>
              <a:off x="2670432" y="152359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0" name="Oval 49"/>
            <xdr:cNvSpPr/>
          </xdr:nvSpPr>
          <xdr:spPr>
            <a:xfrm>
              <a:off x="2346488" y="297800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1" name="Oval 50"/>
            <xdr:cNvSpPr/>
          </xdr:nvSpPr>
          <xdr:spPr>
            <a:xfrm>
              <a:off x="1965488" y="1224979"/>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2" name="Oval 51"/>
            <xdr:cNvSpPr/>
          </xdr:nvSpPr>
          <xdr:spPr>
            <a:xfrm>
              <a:off x="2945918" y="234083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3" name="Oval 52"/>
            <xdr:cNvSpPr/>
          </xdr:nvSpPr>
          <xdr:spPr>
            <a:xfrm>
              <a:off x="3228044" y="2858482"/>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4" name="Oval 53"/>
            <xdr:cNvSpPr/>
          </xdr:nvSpPr>
          <xdr:spPr>
            <a:xfrm>
              <a:off x="3565688" y="254871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5" name="Oval 54"/>
            <xdr:cNvSpPr/>
          </xdr:nvSpPr>
          <xdr:spPr>
            <a:xfrm>
              <a:off x="4175288" y="3250738"/>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6" name="Rectangle 55"/>
            <xdr:cNvSpPr/>
          </xdr:nvSpPr>
          <xdr:spPr>
            <a:xfrm>
              <a:off x="3430158" y="3902984"/>
              <a:ext cx="2175180" cy="469013"/>
            </a:xfrm>
            <a:prstGeom prst="rect">
              <a:avLst/>
            </a:prstGeom>
            <a:solidFill>
              <a:schemeClr val="bg1"/>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7" name="Oval 56"/>
            <xdr:cNvSpPr/>
          </xdr:nvSpPr>
          <xdr:spPr>
            <a:xfrm>
              <a:off x="3476714" y="3931460"/>
              <a:ext cx="181298"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8" name="Oval 57"/>
            <xdr:cNvSpPr/>
          </xdr:nvSpPr>
          <xdr:spPr>
            <a:xfrm>
              <a:off x="3484129" y="415097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9" name="TextBox 34"/>
            <xdr:cNvSpPr txBox="1"/>
          </xdr:nvSpPr>
          <xdr:spPr>
            <a:xfrm>
              <a:off x="3640014" y="3884753"/>
              <a:ext cx="2104374" cy="37737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Established hydro-ecologic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0" name="TextBox 35"/>
            <xdr:cNvSpPr txBox="1"/>
          </xdr:nvSpPr>
          <xdr:spPr>
            <a:xfrm>
              <a:off x="3636840" y="4085593"/>
              <a:ext cx="1995432" cy="33133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Existing hydrologic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1" name="Oval 60"/>
            <xdr:cNvSpPr/>
          </xdr:nvSpPr>
          <xdr:spPr>
            <a:xfrm>
              <a:off x="2075094" y="3221271"/>
              <a:ext cx="181299"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62" name="TextBox 34"/>
            <xdr:cNvSpPr txBox="1"/>
          </xdr:nvSpPr>
          <xdr:spPr>
            <a:xfrm rot="18346057">
              <a:off x="2388170" y="194691"/>
              <a:ext cx="874744"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3" name="TextBox 34"/>
            <xdr:cNvSpPr txBox="1"/>
          </xdr:nvSpPr>
          <xdr:spPr>
            <a:xfrm rot="18346057">
              <a:off x="1476443" y="1615994"/>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Malad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4" name="TextBox 34"/>
            <xdr:cNvSpPr txBox="1"/>
          </xdr:nvSpPr>
          <xdr:spPr>
            <a:xfrm rot="18346057">
              <a:off x="3142822" y="911450"/>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Cub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5" name="TextBox 34"/>
            <xdr:cNvSpPr txBox="1"/>
          </xdr:nvSpPr>
          <xdr:spPr>
            <a:xfrm rot="18346057">
              <a:off x="3597037" y="1937563"/>
              <a:ext cx="1616112"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Blacksmith Fork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6" name="TextBox 34"/>
            <xdr:cNvSpPr txBox="1"/>
          </xdr:nvSpPr>
          <xdr:spPr>
            <a:xfrm rot="18346057">
              <a:off x="3959880" y="2628414"/>
              <a:ext cx="1826310" cy="35639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East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7" name="TextBox 34"/>
            <xdr:cNvSpPr txBox="1"/>
          </xdr:nvSpPr>
          <xdr:spPr>
            <a:xfrm rot="18346057">
              <a:off x="2421483" y="3179081"/>
              <a:ext cx="1199711" cy="536597"/>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South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8" name="TextBox 34"/>
            <xdr:cNvSpPr txBox="1"/>
          </xdr:nvSpPr>
          <xdr:spPr>
            <a:xfrm>
              <a:off x="0" y="3687774"/>
              <a:ext cx="961632"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Great Salt Lake</a:t>
              </a:r>
              <a:endParaRPr lang="en-US" sz="1200">
                <a:effectLst/>
                <a:latin typeface="Times New Roman" panose="02020603050405020304" pitchFamily="18" charset="0"/>
                <a:ea typeface="Times New Roman" panose="02020603050405020304" pitchFamily="18" charset="0"/>
              </a:endParaRPr>
            </a:p>
          </xdr:txBody>
        </xdr:sp>
        <xdr:sp macro="" textlink="">
          <xdr:nvSpPr>
            <xdr:cNvPr id="69" name="TextBox 34"/>
            <xdr:cNvSpPr txBox="1"/>
          </xdr:nvSpPr>
          <xdr:spPr>
            <a:xfrm>
              <a:off x="1012821" y="2874282"/>
              <a:ext cx="1391537"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Migratory Bird Refuge</a:t>
              </a:r>
              <a:endParaRPr lang="en-US" sz="1200">
                <a:effectLst/>
                <a:latin typeface="Times New Roman" panose="02020603050405020304" pitchFamily="18" charset="0"/>
                <a:ea typeface="Times New Roman" panose="02020603050405020304" pitchFamily="18" charset="0"/>
              </a:endParaRPr>
            </a:p>
          </xdr:txBody>
        </xdr:sp>
      </xdr:grpSp>
      <xdr:grpSp>
        <xdr:nvGrpSpPr>
          <xdr:cNvPr id="31" name="Group 30"/>
          <xdr:cNvGrpSpPr/>
        </xdr:nvGrpSpPr>
        <xdr:grpSpPr>
          <a:xfrm>
            <a:off x="3781958" y="0"/>
            <a:ext cx="1866041" cy="2519783"/>
            <a:chOff x="0" y="1920358"/>
            <a:chExt cx="2590800" cy="3311750"/>
          </a:xfrm>
        </xdr:grpSpPr>
        <xdr:pic>
          <xdr:nvPicPr>
            <xdr:cNvPr id="40" name="Picture 39"/>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bwMode="auto">
            <a:xfrm>
              <a:off x="0" y="1920358"/>
              <a:ext cx="2590800" cy="3288998"/>
            </a:xfrm>
            <a:prstGeom prst="rect">
              <a:avLst/>
            </a:prstGeom>
            <a:ln>
              <a:noFill/>
            </a:ln>
            <a:extLst>
              <a:ext uri="{53640926-AAD7-44D8-BBD7-CCE9431645EC}">
                <a14:shadowObscured xmlns:a14="http://schemas.microsoft.com/office/drawing/2010/main"/>
              </a:ext>
            </a:extLst>
          </xdr:spPr>
        </xdr:pic>
        <xdr:sp macro="" textlink="">
          <xdr:nvSpPr>
            <xdr:cNvPr id="41" name="Rectangle 40"/>
            <xdr:cNvSpPr/>
          </xdr:nvSpPr>
          <xdr:spPr>
            <a:xfrm>
              <a:off x="685649" y="2916321"/>
              <a:ext cx="1240150" cy="990601"/>
            </a:xfrm>
            <a:prstGeom prst="rect">
              <a:avLst/>
            </a:prstGeom>
            <a:noFill/>
            <a:ln w="9525">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2" name="Rectangle 41"/>
            <xdr:cNvSpPr/>
          </xdr:nvSpPr>
          <xdr:spPr>
            <a:xfrm>
              <a:off x="1765311" y="4935510"/>
              <a:ext cx="762000" cy="29659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grpSp>
      <xdr:grpSp>
        <xdr:nvGrpSpPr>
          <xdr:cNvPr id="32" name="Group 31"/>
          <xdr:cNvGrpSpPr/>
        </xdr:nvGrpSpPr>
        <xdr:grpSpPr>
          <a:xfrm>
            <a:off x="4345229" y="2340864"/>
            <a:ext cx="918210" cy="973455"/>
            <a:chOff x="474770" y="0"/>
            <a:chExt cx="1524000" cy="1558810"/>
          </a:xfrm>
        </xdr:grpSpPr>
        <xdr:pic>
          <xdr:nvPicPr>
            <xdr:cNvPr id="35" name="Picture 34"/>
            <xdr:cNvPicPr>
              <a:picLocks noChangeAspect="1"/>
            </xdr:cNvPicPr>
          </xdr:nvPicPr>
          <xdr:blipFill rotWithShape="1">
            <a:blip xmlns:r="http://schemas.openxmlformats.org/officeDocument/2006/relationships" r:embed="rId4">
              <a:clrChange>
                <a:clrFrom>
                  <a:srgbClr val="FFFFFF"/>
                </a:clrFrom>
                <a:clrTo>
                  <a:srgbClr val="FFFFFF">
                    <a:alpha val="0"/>
                  </a:srgbClr>
                </a:clrTo>
              </a:clrChange>
            </a:blip>
            <a:srcRect l="31251" t="72222" r="42931" b="6701"/>
            <a:stretch/>
          </xdr:blipFill>
          <xdr:spPr>
            <a:xfrm>
              <a:off x="543069" y="0"/>
              <a:ext cx="1455701" cy="1482610"/>
            </a:xfrm>
            <a:prstGeom prst="rect">
              <a:avLst/>
            </a:prstGeom>
          </xdr:spPr>
        </xdr:pic>
        <xdr:sp macro="" textlink="">
          <xdr:nvSpPr>
            <xdr:cNvPr id="36" name="Rectangle 35"/>
            <xdr:cNvSpPr/>
          </xdr:nvSpPr>
          <xdr:spPr>
            <a:xfrm>
              <a:off x="474770" y="1330210"/>
              <a:ext cx="414019" cy="2286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37" name="Rectangle 36"/>
            <xdr:cNvSpPr/>
          </xdr:nvSpPr>
          <xdr:spPr>
            <a:xfrm>
              <a:off x="1270608" y="582628"/>
              <a:ext cx="540363" cy="422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WY</a:t>
              </a:r>
              <a:endParaRPr lang="en-US" sz="1200">
                <a:effectLst/>
                <a:latin typeface="Times New Roman" panose="02020603050405020304" pitchFamily="18" charset="0"/>
                <a:ea typeface="Times New Roman" panose="02020603050405020304" pitchFamily="18" charset="0"/>
              </a:endParaRPr>
            </a:p>
          </xdr:txBody>
        </xdr:sp>
        <xdr:sp macro="" textlink="">
          <xdr:nvSpPr>
            <xdr:cNvPr id="38" name="Rectangle 37"/>
            <xdr:cNvSpPr/>
          </xdr:nvSpPr>
          <xdr:spPr>
            <a:xfrm>
              <a:off x="599333" y="594568"/>
              <a:ext cx="663298" cy="3338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ID</a:t>
              </a:r>
              <a:endParaRPr lang="en-US" sz="1200">
                <a:effectLst/>
                <a:latin typeface="Times New Roman" panose="02020603050405020304" pitchFamily="18" charset="0"/>
                <a:ea typeface="Times New Roman" panose="02020603050405020304" pitchFamily="18" charset="0"/>
              </a:endParaRPr>
            </a:p>
          </xdr:txBody>
        </xdr:sp>
        <xdr:sp macro="" textlink="">
          <xdr:nvSpPr>
            <xdr:cNvPr id="39" name="Rectangle 38"/>
            <xdr:cNvSpPr/>
          </xdr:nvSpPr>
          <xdr:spPr>
            <a:xfrm>
              <a:off x="859779" y="1037663"/>
              <a:ext cx="564889" cy="3603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UT</a:t>
              </a:r>
              <a:endParaRPr lang="en-US" sz="1200">
                <a:effectLst/>
                <a:latin typeface="Times New Roman" panose="02020603050405020304" pitchFamily="18" charset="0"/>
                <a:ea typeface="Times New Roman" panose="02020603050405020304" pitchFamily="18" charset="0"/>
              </a:endParaRPr>
            </a:p>
          </xdr:txBody>
        </xdr:sp>
      </xdr:grpSp>
      <xdr:cxnSp macro="">
        <xdr:nvCxnSpPr>
          <xdr:cNvPr id="33" name="Straight Connector 32"/>
          <xdr:cNvCxnSpPr/>
        </xdr:nvCxnSpPr>
        <xdr:spPr>
          <a:xfrm flipH="1" flipV="1">
            <a:off x="3518611" y="380391"/>
            <a:ext cx="1645274" cy="377165"/>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flipH="1">
            <a:off x="3525927" y="1514247"/>
            <a:ext cx="1635480" cy="1625513"/>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24</xdr:row>
          <xdr:rowOff>0</xdr:rowOff>
        </xdr:from>
        <xdr:to>
          <xdr:col>5</xdr:col>
          <xdr:colOff>438150</xdr:colOff>
          <xdr:row>33</xdr:row>
          <xdr:rowOff>114300</xdr:rowOff>
        </xdr:to>
        <xdr:sp macro="" textlink="">
          <xdr:nvSpPr>
            <xdr:cNvPr id="59393" name="XLfitRepository" hidden="1">
              <a:extLst>
                <a:ext uri="{63B3BB69-23CF-44E3-9099-C40C66FF867C}">
                  <a14:compatExt spid="_x0000_s5939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247650</xdr:colOff>
          <xdr:row>5</xdr:row>
          <xdr:rowOff>152400</xdr:rowOff>
        </xdr:from>
        <xdr:to>
          <xdr:col>23</xdr:col>
          <xdr:colOff>400050</xdr:colOff>
          <xdr:row>19</xdr:row>
          <xdr:rowOff>28575</xdr:rowOff>
        </xdr:to>
        <xdr:sp macro="" textlink="">
          <xdr:nvSpPr>
            <xdr:cNvPr id="59394" name="XLfitChart2D D21" hidden="1">
              <a:extLst>
                <a:ext uri="{63B3BB69-23CF-44E3-9099-C40C66FF867C}">
                  <a14:compatExt spid="_x0000_s59394"/>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333375</xdr:colOff>
          <xdr:row>32</xdr:row>
          <xdr:rowOff>133350</xdr:rowOff>
        </xdr:from>
        <xdr:to>
          <xdr:col>23</xdr:col>
          <xdr:colOff>485775</xdr:colOff>
          <xdr:row>46</xdr:row>
          <xdr:rowOff>9525</xdr:rowOff>
        </xdr:to>
        <xdr:sp macro="" textlink="">
          <xdr:nvSpPr>
            <xdr:cNvPr id="59395" name="XLfitChart2D D42" hidden="1">
              <a:extLst>
                <a:ext uri="{63B3BB69-23CF-44E3-9099-C40C66FF867C}">
                  <a14:compatExt spid="_x0000_s59395"/>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438150</xdr:colOff>
          <xdr:row>54</xdr:row>
          <xdr:rowOff>85725</xdr:rowOff>
        </xdr:from>
        <xdr:to>
          <xdr:col>23</xdr:col>
          <xdr:colOff>590550</xdr:colOff>
          <xdr:row>67</xdr:row>
          <xdr:rowOff>152400</xdr:rowOff>
        </xdr:to>
        <xdr:sp macro="" textlink="">
          <xdr:nvSpPr>
            <xdr:cNvPr id="59396" name="XLfitChart2D D61" hidden="1">
              <a:extLst>
                <a:ext uri="{63B3BB69-23CF-44E3-9099-C40C66FF867C}">
                  <a14:compatExt spid="_x0000_s59396"/>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21</xdr:col>
      <xdr:colOff>201146</xdr:colOff>
      <xdr:row>0</xdr:row>
      <xdr:rowOff>0</xdr:rowOff>
    </xdr:from>
    <xdr:to>
      <xdr:col>39</xdr:col>
      <xdr:colOff>467847</xdr:colOff>
      <xdr:row>11</xdr:row>
      <xdr:rowOff>9525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32734" y="0"/>
          <a:ext cx="11158818"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461479</xdr:colOff>
      <xdr:row>12</xdr:row>
      <xdr:rowOff>0</xdr:rowOff>
    </xdr:from>
    <xdr:to>
      <xdr:col>43</xdr:col>
      <xdr:colOff>528153</xdr:colOff>
      <xdr:row>31</xdr:row>
      <xdr:rowOff>9525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3888" y="2667000"/>
          <a:ext cx="1158326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536863</xdr:colOff>
      <xdr:row>0</xdr:row>
      <xdr:rowOff>0</xdr:rowOff>
    </xdr:from>
    <xdr:to>
      <xdr:col>40</xdr:col>
      <xdr:colOff>578797</xdr:colOff>
      <xdr:row>11</xdr:row>
      <xdr:rowOff>57150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60681" y="0"/>
          <a:ext cx="10952389"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536863</xdr:colOff>
      <xdr:row>17</xdr:row>
      <xdr:rowOff>0</xdr:rowOff>
    </xdr:from>
    <xdr:to>
      <xdr:col>41</xdr:col>
      <xdr:colOff>194457</xdr:colOff>
      <xdr:row>35</xdr:row>
      <xdr:rowOff>142875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60681" y="3619500"/>
          <a:ext cx="1117418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381000</xdr:colOff>
      <xdr:row>3</xdr:row>
      <xdr:rowOff>71437</xdr:rowOff>
    </xdr:from>
    <xdr:to>
      <xdr:col>14</xdr:col>
      <xdr:colOff>76200</xdr:colOff>
      <xdr:row>17</xdr:row>
      <xdr:rowOff>147637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2</xdr:row>
      <xdr:rowOff>123825</xdr:rowOff>
    </xdr:from>
    <xdr:to>
      <xdr:col>22</xdr:col>
      <xdr:colOff>152400</xdr:colOff>
      <xdr:row>17</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25</xdr:row>
      <xdr:rowOff>142875</xdr:rowOff>
    </xdr:from>
    <xdr:to>
      <xdr:col>22</xdr:col>
      <xdr:colOff>0</xdr:colOff>
      <xdr:row>40</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361950</xdr:colOff>
      <xdr:row>45</xdr:row>
      <xdr:rowOff>19050</xdr:rowOff>
    </xdr:from>
    <xdr:to>
      <xdr:col>22</xdr:col>
      <xdr:colOff>57150</xdr:colOff>
      <xdr:row>59</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38929</xdr:colOff>
      <xdr:row>61</xdr:row>
      <xdr:rowOff>166480</xdr:rowOff>
    </xdr:from>
    <xdr:to>
      <xdr:col>21</xdr:col>
      <xdr:colOff>347042</xdr:colOff>
      <xdr:row>76</xdr:row>
      <xdr:rowOff>52180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80</xdr:row>
      <xdr:rowOff>0</xdr:rowOff>
    </xdr:from>
    <xdr:to>
      <xdr:col>22</xdr:col>
      <xdr:colOff>304800</xdr:colOff>
      <xdr:row>94</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99</xdr:row>
      <xdr:rowOff>0</xdr:rowOff>
    </xdr:from>
    <xdr:to>
      <xdr:col>22</xdr:col>
      <xdr:colOff>304800</xdr:colOff>
      <xdr:row>113</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259773</xdr:colOff>
      <xdr:row>119</xdr:row>
      <xdr:rowOff>190499</xdr:rowOff>
    </xdr:from>
    <xdr:to>
      <xdr:col>24</xdr:col>
      <xdr:colOff>225136</xdr:colOff>
      <xdr:row>142</xdr:row>
      <xdr:rowOff>86590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672524</xdr:colOff>
      <xdr:row>139</xdr:row>
      <xdr:rowOff>179915</xdr:rowOff>
    </xdr:from>
    <xdr:to>
      <xdr:col>13</xdr:col>
      <xdr:colOff>203970</xdr:colOff>
      <xdr:row>162</xdr:row>
      <xdr:rowOff>76006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158834</xdr:colOff>
      <xdr:row>38</xdr:row>
      <xdr:rowOff>109602</xdr:rowOff>
    </xdr:from>
    <xdr:to>
      <xdr:col>20</xdr:col>
      <xdr:colOff>457448</xdr:colOff>
      <xdr:row>53</xdr:row>
      <xdr:rowOff>71502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37112</xdr:colOff>
      <xdr:row>53</xdr:row>
      <xdr:rowOff>173428</xdr:rowOff>
    </xdr:from>
    <xdr:to>
      <xdr:col>27</xdr:col>
      <xdr:colOff>554182</xdr:colOff>
      <xdr:row>68</xdr:row>
      <xdr:rowOff>51955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155865</xdr:colOff>
      <xdr:row>1</xdr:row>
      <xdr:rowOff>138545</xdr:rowOff>
    </xdr:from>
    <xdr:to>
      <xdr:col>20</xdr:col>
      <xdr:colOff>454479</xdr:colOff>
      <xdr:row>16</xdr:row>
      <xdr:rowOff>100445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17319</xdr:colOff>
      <xdr:row>1</xdr:row>
      <xdr:rowOff>155863</xdr:rowOff>
    </xdr:from>
    <xdr:to>
      <xdr:col>27</xdr:col>
      <xdr:colOff>575706</xdr:colOff>
      <xdr:row>16</xdr:row>
      <xdr:rowOff>117763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121228</xdr:colOff>
      <xdr:row>17</xdr:row>
      <xdr:rowOff>51955</xdr:rowOff>
    </xdr:from>
    <xdr:to>
      <xdr:col>20</xdr:col>
      <xdr:colOff>419842</xdr:colOff>
      <xdr:row>38</xdr:row>
      <xdr:rowOff>13855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588818</xdr:colOff>
      <xdr:row>17</xdr:row>
      <xdr:rowOff>69273</xdr:rowOff>
    </xdr:from>
    <xdr:to>
      <xdr:col>27</xdr:col>
      <xdr:colOff>541069</xdr:colOff>
      <xdr:row>38</xdr:row>
      <xdr:rowOff>31173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34637</xdr:colOff>
      <xdr:row>38</xdr:row>
      <xdr:rowOff>103909</xdr:rowOff>
    </xdr:from>
    <xdr:to>
      <xdr:col>27</xdr:col>
      <xdr:colOff>593024</xdr:colOff>
      <xdr:row>53</xdr:row>
      <xdr:rowOff>65809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155864</xdr:colOff>
      <xdr:row>54</xdr:row>
      <xdr:rowOff>17318</xdr:rowOff>
    </xdr:from>
    <xdr:to>
      <xdr:col>20</xdr:col>
      <xdr:colOff>454478</xdr:colOff>
      <xdr:row>68</xdr:row>
      <xdr:rowOff>169718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106384</xdr:colOff>
      <xdr:row>69</xdr:row>
      <xdr:rowOff>69272</xdr:rowOff>
    </xdr:from>
    <xdr:to>
      <xdr:col>28</xdr:col>
      <xdr:colOff>17318</xdr:colOff>
      <xdr:row>83</xdr:row>
      <xdr:rowOff>138299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225136</xdr:colOff>
      <xdr:row>69</xdr:row>
      <xdr:rowOff>103662</xdr:rowOff>
    </xdr:from>
    <xdr:to>
      <xdr:col>20</xdr:col>
      <xdr:colOff>523750</xdr:colOff>
      <xdr:row>84</xdr:row>
      <xdr:rowOff>65562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123702</xdr:colOff>
      <xdr:row>84</xdr:row>
      <xdr:rowOff>173182</xdr:rowOff>
    </xdr:from>
    <xdr:to>
      <xdr:col>28</xdr:col>
      <xdr:colOff>34636</xdr:colOff>
      <xdr:row>99</xdr:row>
      <xdr:rowOff>51709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242454</xdr:colOff>
      <xdr:row>85</xdr:row>
      <xdr:rowOff>17072</xdr:rowOff>
    </xdr:from>
    <xdr:to>
      <xdr:col>20</xdr:col>
      <xdr:colOff>541068</xdr:colOff>
      <xdr:row>99</xdr:row>
      <xdr:rowOff>169472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49</xdr:col>
      <xdr:colOff>26140</xdr:colOff>
      <xdr:row>1</xdr:row>
      <xdr:rowOff>152400</xdr:rowOff>
    </xdr:from>
    <xdr:to>
      <xdr:col>58</xdr:col>
      <xdr:colOff>405871</xdr:colOff>
      <xdr:row>34</xdr:row>
      <xdr:rowOff>163830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67006</xdr:colOff>
      <xdr:row>35</xdr:row>
      <xdr:rowOff>36828</xdr:rowOff>
    </xdr:from>
    <xdr:to>
      <xdr:col>58</xdr:col>
      <xdr:colOff>427039</xdr:colOff>
      <xdr:row>57</xdr:row>
      <xdr:rowOff>86781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73554</xdr:colOff>
      <xdr:row>57</xdr:row>
      <xdr:rowOff>93979</xdr:rowOff>
    </xdr:from>
    <xdr:to>
      <xdr:col>58</xdr:col>
      <xdr:colOff>427038</xdr:colOff>
      <xdr:row>78</xdr:row>
      <xdr:rowOff>25399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245128</xdr:colOff>
      <xdr:row>91</xdr:row>
      <xdr:rowOff>104495</xdr:rowOff>
    </xdr:from>
    <xdr:to>
      <xdr:col>32</xdr:col>
      <xdr:colOff>153800</xdr:colOff>
      <xdr:row>116</xdr:row>
      <xdr:rowOff>33694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95249</xdr:colOff>
      <xdr:row>92</xdr:row>
      <xdr:rowOff>185738</xdr:rowOff>
    </xdr:from>
    <xdr:to>
      <xdr:col>47</xdr:col>
      <xdr:colOff>194421</xdr:colOff>
      <xdr:row>117</xdr:row>
      <xdr:rowOff>114937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1048615</xdr:colOff>
      <xdr:row>88</xdr:row>
      <xdr:rowOff>145473</xdr:rowOff>
    </xdr:from>
    <xdr:to>
      <xdr:col>13</xdr:col>
      <xdr:colOff>1566887</xdr:colOff>
      <xdr:row>115</xdr:row>
      <xdr:rowOff>79434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214313</xdr:colOff>
      <xdr:row>4</xdr:row>
      <xdr:rowOff>28575</xdr:rowOff>
    </xdr:from>
    <xdr:to>
      <xdr:col>38</xdr:col>
      <xdr:colOff>142035</xdr:colOff>
      <xdr:row>28</xdr:row>
      <xdr:rowOff>172086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1528762</xdr:colOff>
      <xdr:row>32</xdr:row>
      <xdr:rowOff>174047</xdr:rowOff>
    </xdr:from>
    <xdr:to>
      <xdr:col>34</xdr:col>
      <xdr:colOff>122464</xdr:colOff>
      <xdr:row>57</xdr:row>
      <xdr:rowOff>117533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245128</xdr:colOff>
      <xdr:row>98</xdr:row>
      <xdr:rowOff>104495</xdr:rowOff>
    </xdr:from>
    <xdr:to>
      <xdr:col>36</xdr:col>
      <xdr:colOff>153800</xdr:colOff>
      <xdr:row>123</xdr:row>
      <xdr:rowOff>33694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95249</xdr:colOff>
      <xdr:row>99</xdr:row>
      <xdr:rowOff>185738</xdr:rowOff>
    </xdr:from>
    <xdr:to>
      <xdr:col>51</xdr:col>
      <xdr:colOff>194421</xdr:colOff>
      <xdr:row>124</xdr:row>
      <xdr:rowOff>114937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1048615</xdr:colOff>
      <xdr:row>95</xdr:row>
      <xdr:rowOff>145473</xdr:rowOff>
    </xdr:from>
    <xdr:to>
      <xdr:col>17</xdr:col>
      <xdr:colOff>1566887</xdr:colOff>
      <xdr:row>122</xdr:row>
      <xdr:rowOff>79434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119062</xdr:colOff>
      <xdr:row>10</xdr:row>
      <xdr:rowOff>454751</xdr:rowOff>
    </xdr:from>
    <xdr:to>
      <xdr:col>31</xdr:col>
      <xdr:colOff>505810</xdr:colOff>
      <xdr:row>32</xdr:row>
      <xdr:rowOff>174855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413384</xdr:colOff>
      <xdr:row>11</xdr:row>
      <xdr:rowOff>54986</xdr:rowOff>
    </xdr:from>
    <xdr:to>
      <xdr:col>47</xdr:col>
      <xdr:colOff>461963</xdr:colOff>
      <xdr:row>34</xdr:row>
      <xdr:rowOff>22284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166687</xdr:colOff>
      <xdr:row>34</xdr:row>
      <xdr:rowOff>2313</xdr:rowOff>
    </xdr:from>
    <xdr:to>
      <xdr:col>31</xdr:col>
      <xdr:colOff>553435</xdr:colOff>
      <xdr:row>57</xdr:row>
      <xdr:rowOff>174855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0</xdr:colOff>
          <xdr:row>41</xdr:row>
          <xdr:rowOff>0</xdr:rowOff>
        </xdr:from>
        <xdr:to>
          <xdr:col>12</xdr:col>
          <xdr:colOff>438150</xdr:colOff>
          <xdr:row>50</xdr:row>
          <xdr:rowOff>114300</xdr:rowOff>
        </xdr:to>
        <xdr:sp macro="" textlink="">
          <xdr:nvSpPr>
            <xdr:cNvPr id="58369" name="XLfitRepository" hidden="1">
              <a:extLst>
                <a:ext uri="{63B3BB69-23CF-44E3-9099-C40C66FF867C}">
                  <a14:compatExt spid="_x0000_s5836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581025</xdr:colOff>
          <xdr:row>34</xdr:row>
          <xdr:rowOff>152400</xdr:rowOff>
        </xdr:from>
        <xdr:to>
          <xdr:col>19</xdr:col>
          <xdr:colOff>123825</xdr:colOff>
          <xdr:row>48</xdr:row>
          <xdr:rowOff>28575</xdr:rowOff>
        </xdr:to>
        <xdr:sp macro="" textlink="">
          <xdr:nvSpPr>
            <xdr:cNvPr id="58370" name="XLfitChart2D P34" hidden="1">
              <a:extLst>
                <a:ext uri="{63B3BB69-23CF-44E3-9099-C40C66FF867C}">
                  <a14:compatExt spid="_x0000_s58370"/>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32</xdr:col>
          <xdr:colOff>447675</xdr:colOff>
          <xdr:row>46</xdr:row>
          <xdr:rowOff>85725</xdr:rowOff>
        </xdr:from>
        <xdr:to>
          <xdr:col>38</xdr:col>
          <xdr:colOff>600075</xdr:colOff>
          <xdr:row>59</xdr:row>
          <xdr:rowOff>152400</xdr:rowOff>
        </xdr:to>
        <xdr:sp macro="" textlink="">
          <xdr:nvSpPr>
            <xdr:cNvPr id="58371" name="XLfitChart2D AG38" hidden="1">
              <a:extLst>
                <a:ext uri="{63B3BB69-23CF-44E3-9099-C40C66FF867C}">
                  <a14:compatExt spid="_x0000_s58371"/>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48</xdr:col>
          <xdr:colOff>0</xdr:colOff>
          <xdr:row>38</xdr:row>
          <xdr:rowOff>0</xdr:rowOff>
        </xdr:from>
        <xdr:to>
          <xdr:col>54</xdr:col>
          <xdr:colOff>152400</xdr:colOff>
          <xdr:row>51</xdr:row>
          <xdr:rowOff>66675</xdr:rowOff>
        </xdr:to>
        <xdr:sp macro="" textlink="">
          <xdr:nvSpPr>
            <xdr:cNvPr id="58372" name="XLfitChart2D AW38" hidden="1">
              <a:extLst>
                <a:ext uri="{63B3BB69-23CF-44E3-9099-C40C66FF867C}">
                  <a14:compatExt spid="_x0000_s58372"/>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0</xdr:colOff>
          <xdr:row>41</xdr:row>
          <xdr:rowOff>0</xdr:rowOff>
        </xdr:from>
        <xdr:to>
          <xdr:col>12</xdr:col>
          <xdr:colOff>438150</xdr:colOff>
          <xdr:row>50</xdr:row>
          <xdr:rowOff>114300</xdr:rowOff>
        </xdr:to>
        <xdr:sp macro="" textlink="">
          <xdr:nvSpPr>
            <xdr:cNvPr id="129025" name="XLfitRepository" hidden="1">
              <a:extLst>
                <a:ext uri="{63B3BB69-23CF-44E3-9099-C40C66FF867C}">
                  <a14:compatExt spid="_x0000_s129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495300</xdr:colOff>
          <xdr:row>58</xdr:row>
          <xdr:rowOff>66675</xdr:rowOff>
        </xdr:from>
        <xdr:to>
          <xdr:col>20</xdr:col>
          <xdr:colOff>38100</xdr:colOff>
          <xdr:row>71</xdr:row>
          <xdr:rowOff>133350</xdr:rowOff>
        </xdr:to>
        <xdr:sp macro="" textlink="">
          <xdr:nvSpPr>
            <xdr:cNvPr id="129026" name="XLfitChart2D J66" hidden="1">
              <a:extLst>
                <a:ext uri="{63B3BB69-23CF-44E3-9099-C40C66FF867C}">
                  <a14:compatExt spid="_x0000_s129026"/>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48</xdr:col>
          <xdr:colOff>0</xdr:colOff>
          <xdr:row>38</xdr:row>
          <xdr:rowOff>0</xdr:rowOff>
        </xdr:from>
        <xdr:to>
          <xdr:col>54</xdr:col>
          <xdr:colOff>152400</xdr:colOff>
          <xdr:row>51</xdr:row>
          <xdr:rowOff>66675</xdr:rowOff>
        </xdr:to>
        <xdr:sp macro="" textlink="">
          <xdr:nvSpPr>
            <xdr:cNvPr id="129027" name="XLfitChart2D AW38" hidden="1">
              <a:extLst>
                <a:ext uri="{63B3BB69-23CF-44E3-9099-C40C66FF867C}">
                  <a14:compatExt spid="_x0000_s129027"/>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ASH-SampleData_Feb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yman/Desktop/Box%20Sync/USU/Thesis/Clean%20Data/Stage-flow-width_updatedUnits_Feb2016.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Library" Target="XLfit4.xla"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Ayman\Thesis\GAMS\GAMSCode\WASH-Data-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SubInd"/>
      <sheetName val="FishSpp"/>
      <sheetName val="VegSpp"/>
      <sheetName val="Month"/>
      <sheetName val="Nodes"/>
      <sheetName val="NodesNotDemand"/>
      <sheetName val="NodeNotHeadwater"/>
      <sheetName val="Reservoirs"/>
      <sheetName val="Wetlands"/>
      <sheetName val="Demand"/>
      <sheetName val="R_indx"/>
      <sheetName val="sf_indx"/>
      <sheetName val="wf_indx"/>
      <sheetName val="wsi_indx"/>
      <sheetName val="EnvSite"/>
      <sheetName val="Connect"/>
      <sheetName val="Diversions"/>
      <sheetName val="ReturnFlow"/>
      <sheetName val="WetlandsSites"/>
      <sheetName val="LinktoReservoir"/>
      <sheetName val="LinkOutReservoir"/>
      <sheetName val="rsiIndex"/>
      <sheetName val="rsiEQ"/>
      <sheetName val="fciIndex"/>
      <sheetName val="fciEQ"/>
      <sheetName val="HeadFlow"/>
      <sheetName val="Length"/>
      <sheetName val="aw"/>
      <sheetName val="lss"/>
      <sheetName val="LinkName"/>
      <sheetName val="evap"/>
      <sheetName val="Cons"/>
      <sheetName val="ResElevVol"/>
      <sheetName val="inactive"/>
      <sheetName val="capacity"/>
      <sheetName val="demandReq"/>
      <sheetName val="Instream"/>
      <sheetName val="divCap"/>
      <sheetName val="StageFlow"/>
      <sheetName val="WidthFlow"/>
      <sheetName val="wp"/>
      <sheetName val="Revegetate"/>
      <sheetName val="weights"/>
      <sheetName val="Budget"/>
      <sheetName val="InStor"/>
      <sheetName val="InitD"/>
      <sheetName val="InitC"/>
      <sheetName val="UnitCost"/>
      <sheetName val="Opt-Sim"/>
      <sheetName val="RSI curves"/>
      <sheetName val="h curves"/>
      <sheetName val="mCurve"/>
      <sheetName val="m curves-old"/>
      <sheetName val="EvaporationCurve"/>
      <sheetName val="WSI curves"/>
      <sheetName val="WSI curves-Mm3"/>
      <sheetName val="Stage-Flow"/>
      <sheetName val="g cur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1">
          <cell r="D1">
            <v>118.4</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ow r="41">
          <cell r="B41">
            <v>66945282.030416697</v>
          </cell>
          <cell r="C41">
            <v>73610179.254926682</v>
          </cell>
          <cell r="D41">
            <v>82499512.114689112</v>
          </cell>
          <cell r="E41">
            <v>71348109.087478951</v>
          </cell>
          <cell r="F41">
            <v>76619963.256965533</v>
          </cell>
          <cell r="G41">
            <v>79994103.385783017</v>
          </cell>
          <cell r="H41">
            <v>77201108.304016903</v>
          </cell>
          <cell r="I41">
            <v>70037742.007964864</v>
          </cell>
          <cell r="J41">
            <v>74251306.431454331</v>
          </cell>
          <cell r="K41">
            <v>73281973.351058751</v>
          </cell>
          <cell r="L41">
            <v>77285319.919001549</v>
          </cell>
        </row>
        <row r="42">
          <cell r="B42">
            <v>78134914.136049032</v>
          </cell>
          <cell r="C42">
            <v>81427388.785276219</v>
          </cell>
          <cell r="D42">
            <v>84861491.080230489</v>
          </cell>
          <cell r="E42">
            <v>79897230.966607645</v>
          </cell>
          <cell r="F42">
            <v>81047650.030067205</v>
          </cell>
          <cell r="G42">
            <v>83323611.11984852</v>
          </cell>
          <cell r="H42">
            <v>82243755.20000343</v>
          </cell>
          <cell r="I42">
            <v>80131180.04120405</v>
          </cell>
          <cell r="J42">
            <v>80206963.768465236</v>
          </cell>
          <cell r="K42">
            <v>80096942.620944276</v>
          </cell>
          <cell r="L42">
            <v>81864286.970549941</v>
          </cell>
        </row>
        <row r="43">
          <cell r="B43">
            <v>57715546.934255026</v>
          </cell>
          <cell r="C43">
            <v>59689718.319993272</v>
          </cell>
          <cell r="D43">
            <v>60457701.11674767</v>
          </cell>
          <cell r="E43">
            <v>59016294.601683438</v>
          </cell>
          <cell r="F43">
            <v>59859422.719487935</v>
          </cell>
          <cell r="G43">
            <v>60492137.378546484</v>
          </cell>
          <cell r="H43">
            <v>60001054.706931755</v>
          </cell>
          <cell r="I43">
            <v>58797968.284727342</v>
          </cell>
          <cell r="J43">
            <v>59400429.714433201</v>
          </cell>
          <cell r="K43">
            <v>58584030.623135418</v>
          </cell>
          <cell r="L43">
            <v>60174010.147497602</v>
          </cell>
        </row>
        <row r="44">
          <cell r="B44">
            <v>14728418.460117565</v>
          </cell>
          <cell r="C44">
            <v>14559622.385282051</v>
          </cell>
          <cell r="D44">
            <v>15261488.875093263</v>
          </cell>
          <cell r="E44">
            <v>13588960.803596906</v>
          </cell>
          <cell r="F44">
            <v>13915883.17471813</v>
          </cell>
          <cell r="G44">
            <v>14724703.145175215</v>
          </cell>
          <cell r="H44">
            <v>15193432.323799185</v>
          </cell>
          <cell r="I44">
            <v>14903173.227780754</v>
          </cell>
          <cell r="J44">
            <v>13140957.619925926</v>
          </cell>
          <cell r="K44">
            <v>14238984.33023477</v>
          </cell>
          <cell r="L44">
            <v>15202112.125401042</v>
          </cell>
        </row>
        <row r="45">
          <cell r="B45">
            <v>6278647.6649459992</v>
          </cell>
          <cell r="C45">
            <v>6256570.1426445087</v>
          </cell>
          <cell r="D45">
            <v>6518164.145048935</v>
          </cell>
          <cell r="E45">
            <v>4287480.1103569036</v>
          </cell>
          <cell r="F45">
            <v>6427617.8322874913</v>
          </cell>
          <cell r="G45">
            <v>6410636.3954248559</v>
          </cell>
          <cell r="H45">
            <v>6449597.1886494085</v>
          </cell>
          <cell r="I45">
            <v>5596091.5673559625</v>
          </cell>
          <cell r="J45">
            <v>4133812.2875873228</v>
          </cell>
          <cell r="K45">
            <v>6160639.587384617</v>
          </cell>
          <cell r="L45">
            <v>6315752.0037445705</v>
          </cell>
        </row>
        <row r="46">
          <cell r="B46">
            <v>6469399.2365985466</v>
          </cell>
          <cell r="C46">
            <v>4514332.7771290336</v>
          </cell>
          <cell r="D46">
            <v>6583402.1371067576</v>
          </cell>
          <cell r="E46">
            <v>3383720.2842565123</v>
          </cell>
          <cell r="F46">
            <v>6476115.0242065862</v>
          </cell>
          <cell r="G46">
            <v>5852528.5356603935</v>
          </cell>
          <cell r="H46">
            <v>2815761.6523055965</v>
          </cell>
          <cell r="I46">
            <v>4397829.4167792415</v>
          </cell>
          <cell r="J46">
            <v>4417381.989272384</v>
          </cell>
          <cell r="K46">
            <v>6126957.8891169745</v>
          </cell>
          <cell r="L46">
            <v>6636161.7039274154</v>
          </cell>
        </row>
        <row r="47">
          <cell r="B47">
            <v>5926684.4111822518</v>
          </cell>
          <cell r="C47">
            <v>4789407.3035494415</v>
          </cell>
          <cell r="D47">
            <v>7459510.8240163503</v>
          </cell>
          <cell r="E47">
            <v>4128357.890155572</v>
          </cell>
          <cell r="F47">
            <v>6969474.6394633716</v>
          </cell>
          <cell r="G47">
            <v>7432400.5903042573</v>
          </cell>
          <cell r="H47">
            <v>3305052.9094110788</v>
          </cell>
          <cell r="I47">
            <v>4925831.5350485714</v>
          </cell>
          <cell r="J47">
            <v>4830379.9150866233</v>
          </cell>
          <cell r="K47">
            <v>5868937.529936512</v>
          </cell>
          <cell r="L47">
            <v>7587564.6364423893</v>
          </cell>
        </row>
        <row r="48">
          <cell r="B48">
            <v>4058866.0911996989</v>
          </cell>
          <cell r="C48">
            <v>4630384.9250424858</v>
          </cell>
          <cell r="D48">
            <v>7075108.4691687087</v>
          </cell>
          <cell r="E48">
            <v>2717462.3153874171</v>
          </cell>
          <cell r="F48">
            <v>4590106.3363726363</v>
          </cell>
          <cell r="G48">
            <v>7476162.2317190608</v>
          </cell>
          <cell r="H48">
            <v>2793813.7024291926</v>
          </cell>
          <cell r="I48">
            <v>3450264.1879646415</v>
          </cell>
          <cell r="J48">
            <v>6134654.8932227707</v>
          </cell>
          <cell r="K48">
            <v>5869013.4935411513</v>
          </cell>
          <cell r="L48">
            <v>7549083.8228339879</v>
          </cell>
        </row>
        <row r="49">
          <cell r="B49">
            <v>3560820.7148307376</v>
          </cell>
          <cell r="C49">
            <v>8762581.3144078162</v>
          </cell>
          <cell r="D49">
            <v>10486250.405102909</v>
          </cell>
          <cell r="E49">
            <v>4505775.0033362145</v>
          </cell>
          <cell r="F49">
            <v>7121689.7487769276</v>
          </cell>
          <cell r="G49">
            <v>10397278.258908246</v>
          </cell>
          <cell r="H49">
            <v>4145298.6748645776</v>
          </cell>
          <cell r="I49">
            <v>5742278.9307026593</v>
          </cell>
          <cell r="J49">
            <v>8594293.8706352264</v>
          </cell>
          <cell r="K49">
            <v>6115100.7770364964</v>
          </cell>
          <cell r="L49">
            <v>6991583.3083524592</v>
          </cell>
        </row>
        <row r="50">
          <cell r="B50">
            <v>6256621.0582459848</v>
          </cell>
          <cell r="C50">
            <v>12708514.82908565</v>
          </cell>
          <cell r="D50">
            <v>16433062.822006207</v>
          </cell>
          <cell r="E50">
            <v>11070230.400995681</v>
          </cell>
          <cell r="F50">
            <v>11660930.963580005</v>
          </cell>
          <cell r="G50">
            <v>16289537.043677729</v>
          </cell>
          <cell r="H50">
            <v>10918633.001538714</v>
          </cell>
          <cell r="I50">
            <v>11649015.137884898</v>
          </cell>
          <cell r="J50">
            <v>15322088.694866482</v>
          </cell>
          <cell r="K50">
            <v>13567169.528399181</v>
          </cell>
          <cell r="L50">
            <v>15138825.612292292</v>
          </cell>
        </row>
        <row r="51">
          <cell r="B51">
            <v>80730162.519714922</v>
          </cell>
          <cell r="C51">
            <v>95998506.183360428</v>
          </cell>
          <cell r="D51">
            <v>101218406.26663966</v>
          </cell>
          <cell r="E51">
            <v>89951792.438276261</v>
          </cell>
          <cell r="F51">
            <v>94809356.362776741</v>
          </cell>
          <cell r="G51">
            <v>101218891.32934253</v>
          </cell>
          <cell r="H51">
            <v>88652547.835449159</v>
          </cell>
          <cell r="I51">
            <v>93926383.495615423</v>
          </cell>
          <cell r="J51">
            <v>97277190.249136895</v>
          </cell>
          <cell r="K51">
            <v>91799692.120723471</v>
          </cell>
          <cell r="L51">
            <v>101199172.49754965</v>
          </cell>
        </row>
        <row r="52">
          <cell r="B52">
            <v>91208518.026077181</v>
          </cell>
          <cell r="C52">
            <v>100062346.89566374</v>
          </cell>
          <cell r="D52">
            <v>101218388.94903442</v>
          </cell>
          <cell r="E52">
            <v>95781829.867770255</v>
          </cell>
          <cell r="F52">
            <v>98001549.610939562</v>
          </cell>
          <cell r="G52">
            <v>101218874.01173727</v>
          </cell>
          <cell r="H52">
            <v>94159524.727552459</v>
          </cell>
          <cell r="I52">
            <v>96806689.623462901</v>
          </cell>
          <cell r="J52">
            <v>99176172.640705273</v>
          </cell>
          <cell r="K52">
            <v>97310894.533233151</v>
          </cell>
          <cell r="L52">
            <v>101222655.5200073</v>
          </cell>
        </row>
      </sheetData>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verview"/>
      <sheetName val="Table of Transects"/>
      <sheetName val="Table of Stages"/>
      <sheetName val="Transect Cub 8-16"/>
      <sheetName val="Transect 11-17 Cub "/>
      <sheetName val="Transect 5-7-13 Cub"/>
      <sheetName val="Transect Confluence 8-16"/>
      <sheetName val="Transect 11-17 Confluence"/>
      <sheetName val="Transect 5-7-13 Confluence"/>
      <sheetName val="Aug Flow Averaging"/>
      <sheetName val="Aug Data Report"/>
      <sheetName val="ADCP 8-13-13 State Border"/>
      <sheetName val="ADCP 8-14-13 Mortin"/>
      <sheetName val="ADCP 8-15-13 Confluence"/>
      <sheetName val="ADCP 8-15-13  Cub River"/>
      <sheetName val="ADCP 11-16-13 Mortin"/>
      <sheetName val="ADCP 11-16-13 Confluence"/>
      <sheetName val="ADCP 11-16-13 Cub"/>
      <sheetName val="ADCP 5-5-14 Morton"/>
      <sheetName val="ADCP 5-5-14 Confluence"/>
      <sheetName val="ADCP 5-5-14 Cub"/>
    </sheetNames>
    <sheetDataSet>
      <sheetData sheetId="0"/>
      <sheetData sheetId="1"/>
      <sheetData sheetId="2">
        <row r="3">
          <cell r="A3" t="str">
            <v>Cub</v>
          </cell>
          <cell r="B3">
            <v>41137</v>
          </cell>
          <cell r="E3">
            <v>6.3719999999999999</v>
          </cell>
          <cell r="G3">
            <v>9.1509999999999998</v>
          </cell>
          <cell r="J3" t="str">
            <v>No</v>
          </cell>
        </row>
        <row r="4">
          <cell r="A4" t="str">
            <v>Cub</v>
          </cell>
          <cell r="B4">
            <v>41137</v>
          </cell>
          <cell r="E4">
            <v>5.8419999999999996</v>
          </cell>
          <cell r="G4">
            <v>4.4640000000000004</v>
          </cell>
          <cell r="J4" t="str">
            <v>Yes</v>
          </cell>
        </row>
        <row r="5">
          <cell r="A5" t="str">
            <v>Cub</v>
          </cell>
          <cell r="B5">
            <v>41137</v>
          </cell>
          <cell r="E5">
            <v>3.802</v>
          </cell>
          <cell r="G5">
            <v>5.1130000000000004</v>
          </cell>
          <cell r="J5" t="str">
            <v>Yes</v>
          </cell>
        </row>
        <row r="6">
          <cell r="A6" t="str">
            <v>Cub</v>
          </cell>
          <cell r="B6">
            <v>41137</v>
          </cell>
          <cell r="E6">
            <v>6.6050000000000004</v>
          </cell>
          <cell r="G6">
            <v>5.6509999999999998</v>
          </cell>
          <cell r="J6" t="str">
            <v>Yes</v>
          </cell>
        </row>
        <row r="7">
          <cell r="A7" t="str">
            <v>Cub</v>
          </cell>
          <cell r="B7">
            <v>41137</v>
          </cell>
          <cell r="E7">
            <v>4.62</v>
          </cell>
          <cell r="G7">
            <v>4.1420000000000003</v>
          </cell>
          <cell r="J7" t="str">
            <v>Yes</v>
          </cell>
        </row>
        <row r="8">
          <cell r="A8" t="str">
            <v>Confluence</v>
          </cell>
          <cell r="B8">
            <v>41137</v>
          </cell>
          <cell r="E8">
            <v>749.31</v>
          </cell>
          <cell r="G8">
            <v>748.57899999999995</v>
          </cell>
          <cell r="J8" t="str">
            <v>Yes</v>
          </cell>
        </row>
        <row r="9">
          <cell r="A9" t="str">
            <v>Confluence</v>
          </cell>
          <cell r="B9">
            <v>41137</v>
          </cell>
          <cell r="E9">
            <v>757.42399999999998</v>
          </cell>
          <cell r="G9">
            <v>759.73900000000003</v>
          </cell>
          <cell r="J9" t="str">
            <v>Yes</v>
          </cell>
        </row>
        <row r="10">
          <cell r="A10" t="str">
            <v>Confluence</v>
          </cell>
          <cell r="B10">
            <v>41137</v>
          </cell>
          <cell r="E10">
            <v>781.56</v>
          </cell>
          <cell r="G10">
            <v>779.08799999999997</v>
          </cell>
          <cell r="J10" t="str">
            <v>Yes</v>
          </cell>
        </row>
        <row r="11">
          <cell r="A11" t="str">
            <v>Confluence</v>
          </cell>
          <cell r="B11">
            <v>41137</v>
          </cell>
          <cell r="E11">
            <v>794.22</v>
          </cell>
          <cell r="G11">
            <v>798.06299999999999</v>
          </cell>
          <cell r="J11" t="str">
            <v>Yes</v>
          </cell>
        </row>
        <row r="12">
          <cell r="A12" t="str">
            <v>Cub</v>
          </cell>
          <cell r="B12">
            <v>41230</v>
          </cell>
          <cell r="E12">
            <v>22.17</v>
          </cell>
          <cell r="G12">
            <v>22.140999999999998</v>
          </cell>
          <cell r="J12" t="str">
            <v>Yes</v>
          </cell>
        </row>
        <row r="13">
          <cell r="A13" t="str">
            <v>Cub</v>
          </cell>
          <cell r="B13">
            <v>41230</v>
          </cell>
          <cell r="E13">
            <v>25.98</v>
          </cell>
          <cell r="G13">
            <v>25.728999999999999</v>
          </cell>
          <cell r="J13" t="str">
            <v>Yes</v>
          </cell>
        </row>
        <row r="14">
          <cell r="A14" t="str">
            <v>Cub</v>
          </cell>
          <cell r="B14">
            <v>41230</v>
          </cell>
          <cell r="E14">
            <v>27.23</v>
          </cell>
          <cell r="G14">
            <v>27.393999999999998</v>
          </cell>
          <cell r="J14" t="str">
            <v>No</v>
          </cell>
        </row>
        <row r="15">
          <cell r="A15" t="str">
            <v>Cub</v>
          </cell>
          <cell r="B15">
            <v>41230</v>
          </cell>
          <cell r="E15">
            <v>26.167999999999999</v>
          </cell>
          <cell r="G15">
            <v>26.562000000000001</v>
          </cell>
          <cell r="J15" t="str">
            <v>Yes</v>
          </cell>
        </row>
        <row r="16">
          <cell r="A16" t="str">
            <v>Cub</v>
          </cell>
          <cell r="B16">
            <v>41230</v>
          </cell>
          <cell r="E16">
            <v>24.08</v>
          </cell>
          <cell r="G16">
            <v>24.670999999999999</v>
          </cell>
          <cell r="J16" t="str">
            <v>Yes</v>
          </cell>
        </row>
        <row r="17">
          <cell r="A17" t="str">
            <v>Cub</v>
          </cell>
          <cell r="B17">
            <v>41230</v>
          </cell>
          <cell r="E17">
            <v>22.23</v>
          </cell>
          <cell r="G17">
            <v>22.152999999999999</v>
          </cell>
          <cell r="J17" t="str">
            <v>Yes</v>
          </cell>
        </row>
        <row r="18">
          <cell r="A18" t="str">
            <v>Cub</v>
          </cell>
          <cell r="B18">
            <v>41230</v>
          </cell>
          <cell r="E18">
            <v>23.34</v>
          </cell>
          <cell r="G18">
            <v>24.4</v>
          </cell>
          <cell r="J18" t="str">
            <v>Yes</v>
          </cell>
        </row>
        <row r="19">
          <cell r="A19" t="str">
            <v>Confluence</v>
          </cell>
          <cell r="B19">
            <v>41230</v>
          </cell>
          <cell r="E19">
            <v>460.65</v>
          </cell>
          <cell r="G19">
            <v>462.56599999999997</v>
          </cell>
          <cell r="J19" t="str">
            <v>Yes</v>
          </cell>
        </row>
        <row r="20">
          <cell r="A20" t="str">
            <v>Confluence</v>
          </cell>
          <cell r="B20">
            <v>41230</v>
          </cell>
          <cell r="E20">
            <v>436.40100000000001</v>
          </cell>
          <cell r="G20">
            <v>435.53699999999998</v>
          </cell>
          <cell r="J20" t="str">
            <v>Yes</v>
          </cell>
        </row>
        <row r="21">
          <cell r="A21" t="str">
            <v>Confluence</v>
          </cell>
          <cell r="B21">
            <v>41230</v>
          </cell>
          <cell r="E21">
            <v>447.04</v>
          </cell>
          <cell r="J21" t="str">
            <v>No</v>
          </cell>
        </row>
        <row r="22">
          <cell r="A22" t="str">
            <v>Confluence</v>
          </cell>
          <cell r="B22">
            <v>41230</v>
          </cell>
          <cell r="E22">
            <v>442.23</v>
          </cell>
          <cell r="G22">
            <v>442.17099999999999</v>
          </cell>
          <cell r="J22" t="str">
            <v>Yes</v>
          </cell>
        </row>
        <row r="23">
          <cell r="A23" t="str">
            <v>Confluence</v>
          </cell>
          <cell r="B23">
            <v>41230</v>
          </cell>
          <cell r="E23">
            <v>465.34</v>
          </cell>
          <cell r="G23">
            <v>466.15300000000002</v>
          </cell>
          <cell r="J23" t="str">
            <v>Yes</v>
          </cell>
        </row>
        <row r="24">
          <cell r="A24" t="str">
            <v>Cub</v>
          </cell>
          <cell r="B24">
            <v>41401</v>
          </cell>
          <cell r="E24">
            <v>146.25800000000001</v>
          </cell>
          <cell r="G24">
            <v>143.37</v>
          </cell>
          <cell r="J24" t="str">
            <v>Yes</v>
          </cell>
        </row>
        <row r="25">
          <cell r="A25" t="str">
            <v>Cub</v>
          </cell>
          <cell r="B25">
            <v>41401</v>
          </cell>
          <cell r="E25">
            <v>147.988</v>
          </cell>
          <cell r="G25">
            <v>149.11699999999999</v>
          </cell>
          <cell r="J25" t="str">
            <v>Yes</v>
          </cell>
        </row>
        <row r="26">
          <cell r="A26" t="str">
            <v>Cub</v>
          </cell>
          <cell r="B26">
            <v>41401</v>
          </cell>
          <cell r="E26">
            <v>149.67599999999999</v>
          </cell>
          <cell r="G26">
            <v>149.54599999999999</v>
          </cell>
          <cell r="J26" t="str">
            <v>Yes</v>
          </cell>
        </row>
        <row r="27">
          <cell r="A27" t="str">
            <v>Cub</v>
          </cell>
          <cell r="B27">
            <v>41401</v>
          </cell>
          <cell r="E27">
            <v>142.773</v>
          </cell>
          <cell r="G27">
            <v>142.78299999999999</v>
          </cell>
          <cell r="J27" t="str">
            <v>Yes</v>
          </cell>
        </row>
        <row r="28">
          <cell r="A28" t="str">
            <v>Confluence</v>
          </cell>
          <cell r="B28">
            <v>41401</v>
          </cell>
          <cell r="E28">
            <v>563.34</v>
          </cell>
          <cell r="G28">
            <v>576.44899999999996</v>
          </cell>
          <cell r="J28" t="str">
            <v>Yes</v>
          </cell>
        </row>
        <row r="29">
          <cell r="A29" t="str">
            <v>Confluence</v>
          </cell>
          <cell r="B29">
            <v>41401</v>
          </cell>
          <cell r="E29">
            <v>555.09</v>
          </cell>
          <cell r="G29">
            <v>555.38400000000001</v>
          </cell>
          <cell r="J29" t="str">
            <v>Yes</v>
          </cell>
        </row>
        <row r="30">
          <cell r="A30" t="str">
            <v>Confluence</v>
          </cell>
          <cell r="B30">
            <v>41401</v>
          </cell>
          <cell r="E30">
            <v>562.74</v>
          </cell>
          <cell r="G30">
            <v>561.99400000000003</v>
          </cell>
          <cell r="J30" t="str">
            <v>Yes</v>
          </cell>
        </row>
        <row r="31">
          <cell r="A31" t="str">
            <v>Confluence</v>
          </cell>
          <cell r="B31">
            <v>41401</v>
          </cell>
          <cell r="E31">
            <v>579.82000000000005</v>
          </cell>
          <cell r="G31">
            <v>578.89</v>
          </cell>
          <cell r="J31" t="str">
            <v>Yes</v>
          </cell>
        </row>
        <row r="32">
          <cell r="A32" t="str">
            <v>Mortin</v>
          </cell>
          <cell r="B32">
            <v>41500</v>
          </cell>
          <cell r="E32">
            <v>851.51</v>
          </cell>
          <cell r="G32" t="str">
            <v>844.797 (time is off?)</v>
          </cell>
          <cell r="J32" t="str">
            <v>No</v>
          </cell>
          <cell r="K32">
            <v>26.074000000000002</v>
          </cell>
        </row>
        <row r="33">
          <cell r="A33" t="str">
            <v>Mortin</v>
          </cell>
          <cell r="B33">
            <v>41500</v>
          </cell>
          <cell r="E33">
            <v>812.44</v>
          </cell>
          <cell r="G33">
            <v>810.40099999999995</v>
          </cell>
          <cell r="J33" t="str">
            <v>No</v>
          </cell>
        </row>
        <row r="34">
          <cell r="A34" t="str">
            <v>Mortin</v>
          </cell>
          <cell r="B34">
            <v>41500</v>
          </cell>
          <cell r="E34">
            <v>864.5</v>
          </cell>
          <cell r="G34">
            <v>863.726</v>
          </cell>
          <cell r="J34" t="str">
            <v>Yes</v>
          </cell>
        </row>
        <row r="35">
          <cell r="A35" t="str">
            <v>Mortin</v>
          </cell>
          <cell r="B35">
            <v>41500</v>
          </cell>
          <cell r="E35">
            <v>797.01</v>
          </cell>
          <cell r="G35">
            <v>793.697</v>
          </cell>
          <cell r="J35" t="str">
            <v>No</v>
          </cell>
        </row>
        <row r="36">
          <cell r="A36" t="str">
            <v>Mortin</v>
          </cell>
          <cell r="B36">
            <v>41500</v>
          </cell>
          <cell r="E36">
            <v>831.2</v>
          </cell>
          <cell r="G36">
            <v>828.05799999999999</v>
          </cell>
          <cell r="J36" t="str">
            <v>No</v>
          </cell>
        </row>
        <row r="37">
          <cell r="A37" t="str">
            <v>Mortin</v>
          </cell>
          <cell r="B37">
            <v>41500</v>
          </cell>
          <cell r="E37">
            <v>873.4</v>
          </cell>
          <cell r="G37">
            <v>870.78899999999999</v>
          </cell>
          <cell r="J37" t="str">
            <v>Yes</v>
          </cell>
        </row>
        <row r="38">
          <cell r="A38" t="str">
            <v>Mortin</v>
          </cell>
          <cell r="B38">
            <v>41500</v>
          </cell>
          <cell r="E38">
            <v>851.59</v>
          </cell>
          <cell r="G38">
            <v>850.05899999999997</v>
          </cell>
          <cell r="J38" t="str">
            <v>Yes</v>
          </cell>
        </row>
        <row r="39">
          <cell r="A39" t="str">
            <v>Mortin</v>
          </cell>
          <cell r="B39">
            <v>41500</v>
          </cell>
          <cell r="E39">
            <v>837.26</v>
          </cell>
          <cell r="G39">
            <v>833.99099999999999</v>
          </cell>
          <cell r="J39" t="str">
            <v>Yes</v>
          </cell>
        </row>
        <row r="40">
          <cell r="A40" t="str">
            <v>Confluence</v>
          </cell>
          <cell r="B40">
            <v>41501</v>
          </cell>
          <cell r="E40">
            <v>880.77</v>
          </cell>
          <cell r="G40" t="str">
            <v>N/A</v>
          </cell>
          <cell r="J40" t="str">
            <v>No</v>
          </cell>
          <cell r="K40">
            <v>25.393999999999998</v>
          </cell>
        </row>
        <row r="41">
          <cell r="A41" t="str">
            <v>Confluence</v>
          </cell>
          <cell r="B41">
            <v>41501</v>
          </cell>
          <cell r="E41">
            <v>893.27</v>
          </cell>
          <cell r="G41">
            <v>891.70600000000002</v>
          </cell>
          <cell r="J41" t="str">
            <v>No</v>
          </cell>
        </row>
        <row r="42">
          <cell r="A42" t="str">
            <v>Confluence</v>
          </cell>
          <cell r="B42">
            <v>41501</v>
          </cell>
          <cell r="E42">
            <v>871.33</v>
          </cell>
          <cell r="G42">
            <v>872.00099999999998</v>
          </cell>
          <cell r="J42" t="str">
            <v>No</v>
          </cell>
        </row>
        <row r="43">
          <cell r="A43" t="str">
            <v>Confluence</v>
          </cell>
          <cell r="B43">
            <v>41501</v>
          </cell>
          <cell r="E43">
            <v>861.39</v>
          </cell>
          <cell r="G43">
            <v>848.17100000000005</v>
          </cell>
          <cell r="J43" t="str">
            <v>Yes</v>
          </cell>
        </row>
        <row r="44">
          <cell r="A44" t="str">
            <v>Confluence</v>
          </cell>
          <cell r="B44">
            <v>41501</v>
          </cell>
          <cell r="E44">
            <v>836.74</v>
          </cell>
          <cell r="G44">
            <v>834.36500000000001</v>
          </cell>
          <cell r="J44" t="str">
            <v>Yes</v>
          </cell>
        </row>
        <row r="45">
          <cell r="A45" t="str">
            <v>Cub</v>
          </cell>
          <cell r="B45">
            <v>41501</v>
          </cell>
          <cell r="E45" t="str">
            <v>N/A</v>
          </cell>
          <cell r="G45" t="str">
            <v>N/A</v>
          </cell>
          <cell r="J45" t="str">
            <v>No</v>
          </cell>
        </row>
        <row r="46">
          <cell r="A46" t="str">
            <v>Cub</v>
          </cell>
          <cell r="B46">
            <v>41501</v>
          </cell>
          <cell r="E46" t="str">
            <v>N/A</v>
          </cell>
          <cell r="G46" t="str">
            <v>N/A</v>
          </cell>
          <cell r="J46" t="str">
            <v>No</v>
          </cell>
        </row>
        <row r="47">
          <cell r="A47" t="str">
            <v>Cub</v>
          </cell>
          <cell r="B47">
            <v>41501</v>
          </cell>
          <cell r="E47">
            <v>0.52400000000000002</v>
          </cell>
          <cell r="G47">
            <v>4.3099999999999996</v>
          </cell>
          <cell r="J47" t="str">
            <v>Yes</v>
          </cell>
          <cell r="K47">
            <v>3.6179999999999999</v>
          </cell>
        </row>
        <row r="48">
          <cell r="A48" t="str">
            <v>Cub</v>
          </cell>
          <cell r="B48">
            <v>41501</v>
          </cell>
          <cell r="E48">
            <v>0.17</v>
          </cell>
          <cell r="G48">
            <v>-0.39700000000000002</v>
          </cell>
          <cell r="J48" t="str">
            <v>Yes</v>
          </cell>
        </row>
        <row r="49">
          <cell r="A49" t="str">
            <v>Cub</v>
          </cell>
          <cell r="B49">
            <v>41501</v>
          </cell>
          <cell r="E49" t="str">
            <v>N/A</v>
          </cell>
          <cell r="G49">
            <v>2.5619999999999998</v>
          </cell>
          <cell r="J49" t="str">
            <v>Yes</v>
          </cell>
        </row>
        <row r="50">
          <cell r="A50" t="str">
            <v>Cub</v>
          </cell>
          <cell r="B50">
            <v>41501</v>
          </cell>
          <cell r="E50">
            <v>5.875</v>
          </cell>
          <cell r="G50">
            <v>5.6210000000000004</v>
          </cell>
          <cell r="J50" t="str">
            <v>Yes</v>
          </cell>
        </row>
        <row r="51">
          <cell r="A51" t="str">
            <v>Cub</v>
          </cell>
          <cell r="B51">
            <v>41501</v>
          </cell>
          <cell r="E51" t="str">
            <v>N/A</v>
          </cell>
          <cell r="G51">
            <v>-2.4340000000000002</v>
          </cell>
          <cell r="J51" t="str">
            <v>No</v>
          </cell>
        </row>
        <row r="52">
          <cell r="A52" t="str">
            <v>Cub</v>
          </cell>
          <cell r="B52">
            <v>41501</v>
          </cell>
          <cell r="E52" t="str">
            <v>N/A</v>
          </cell>
          <cell r="G52" t="str">
            <v>N/A</v>
          </cell>
          <cell r="J52" t="str">
            <v>No</v>
          </cell>
        </row>
        <row r="53">
          <cell r="A53" t="str">
            <v>Cub</v>
          </cell>
          <cell r="B53">
            <v>41501</v>
          </cell>
          <cell r="E53">
            <v>6.0810000000000004</v>
          </cell>
          <cell r="G53">
            <v>6.9880000000000004</v>
          </cell>
          <cell r="J53" t="str">
            <v>No</v>
          </cell>
        </row>
        <row r="54">
          <cell r="A54" t="str">
            <v>Mortin</v>
          </cell>
          <cell r="B54">
            <v>41594</v>
          </cell>
          <cell r="E54">
            <v>349.33268320896514</v>
          </cell>
          <cell r="J54" t="str">
            <v>No</v>
          </cell>
        </row>
        <row r="55">
          <cell r="A55" t="str">
            <v>Mortin</v>
          </cell>
          <cell r="B55">
            <v>41594</v>
          </cell>
          <cell r="E55">
            <v>336.33688585545724</v>
          </cell>
          <cell r="J55" t="str">
            <v>Yes</v>
          </cell>
          <cell r="K55">
            <v>9.3905587905113297</v>
          </cell>
        </row>
        <row r="56">
          <cell r="A56" t="str">
            <v>Mortin</v>
          </cell>
          <cell r="B56">
            <v>41594</v>
          </cell>
          <cell r="E56">
            <v>321.32815249882475</v>
          </cell>
          <cell r="J56" t="str">
            <v>Yes</v>
          </cell>
        </row>
        <row r="57">
          <cell r="A57" t="str">
            <v>Mortin</v>
          </cell>
          <cell r="B57">
            <v>41594</v>
          </cell>
          <cell r="E57">
            <v>316.4194138245378</v>
          </cell>
          <cell r="J57" t="str">
            <v>Yes</v>
          </cell>
        </row>
        <row r="58">
          <cell r="A58" t="str">
            <v>Mortin</v>
          </cell>
          <cell r="B58">
            <v>41594</v>
          </cell>
          <cell r="E58">
            <v>316.59598715814525</v>
          </cell>
          <cell r="J58" t="str">
            <v>Yes</v>
          </cell>
        </row>
        <row r="59">
          <cell r="A59" t="str">
            <v>Confluence</v>
          </cell>
          <cell r="B59">
            <v>41594</v>
          </cell>
          <cell r="E59">
            <v>394.11168061181274</v>
          </cell>
          <cell r="J59" t="str">
            <v>Yes</v>
          </cell>
          <cell r="K59">
            <v>7.4830437180118556</v>
          </cell>
        </row>
        <row r="60">
          <cell r="A60" t="str">
            <v>Confluence</v>
          </cell>
          <cell r="B60">
            <v>41594</v>
          </cell>
          <cell r="E60">
            <v>389.87392060523388</v>
          </cell>
          <cell r="J60" t="str">
            <v>Yes</v>
          </cell>
        </row>
        <row r="61">
          <cell r="A61" t="str">
            <v>Confluence</v>
          </cell>
          <cell r="B61">
            <v>41594</v>
          </cell>
          <cell r="E61">
            <v>377.86693391992787</v>
          </cell>
          <cell r="J61" t="str">
            <v>Yes</v>
          </cell>
        </row>
        <row r="62">
          <cell r="A62" t="str">
            <v>Confluence</v>
          </cell>
          <cell r="B62">
            <v>41594</v>
          </cell>
          <cell r="E62">
            <v>381.39840059207683</v>
          </cell>
          <cell r="J62" t="str">
            <v>Yes</v>
          </cell>
        </row>
        <row r="63">
          <cell r="A63" t="str">
            <v>Cub</v>
          </cell>
          <cell r="B63">
            <v>41594</v>
          </cell>
          <cell r="E63">
            <v>-0.63566400098679454</v>
          </cell>
          <cell r="J63" t="str">
            <v>No</v>
          </cell>
        </row>
        <row r="64">
          <cell r="A64" t="str">
            <v>Cub</v>
          </cell>
          <cell r="B64">
            <v>41594</v>
          </cell>
          <cell r="E64">
            <v>31.85382938278271</v>
          </cell>
          <cell r="J64" t="str">
            <v>No</v>
          </cell>
          <cell r="K64">
            <v>1.5421501586025921</v>
          </cell>
        </row>
        <row r="65">
          <cell r="A65" t="str">
            <v>Cub</v>
          </cell>
          <cell r="B65">
            <v>41594</v>
          </cell>
          <cell r="E65">
            <v>31.606626715732283</v>
          </cell>
          <cell r="J65" t="str">
            <v>Yes</v>
          </cell>
        </row>
        <row r="66">
          <cell r="A66" t="str">
            <v>Cub</v>
          </cell>
          <cell r="B66">
            <v>41594</v>
          </cell>
          <cell r="E66">
            <v>28.463621377519807</v>
          </cell>
          <cell r="J66" t="str">
            <v>Yes</v>
          </cell>
        </row>
        <row r="67">
          <cell r="A67" t="str">
            <v>Cub</v>
          </cell>
          <cell r="B67">
            <v>41594</v>
          </cell>
          <cell r="E67">
            <v>30.829704047859536</v>
          </cell>
          <cell r="J67" t="str">
            <v>Yes</v>
          </cell>
        </row>
        <row r="68">
          <cell r="A68" t="str">
            <v>Cub</v>
          </cell>
          <cell r="B68">
            <v>41594</v>
          </cell>
          <cell r="E68">
            <v>29.311173378835523</v>
          </cell>
          <cell r="J68" t="str">
            <v>Yes</v>
          </cell>
        </row>
        <row r="69">
          <cell r="A69" t="str">
            <v>Cub</v>
          </cell>
          <cell r="B69">
            <v>41594</v>
          </cell>
          <cell r="E69">
            <v>29.311173378835523</v>
          </cell>
          <cell r="J69" t="str">
            <v>Yes</v>
          </cell>
        </row>
        <row r="70">
          <cell r="A70" t="str">
            <v>Cub</v>
          </cell>
          <cell r="B70">
            <v>41594</v>
          </cell>
          <cell r="E70">
            <v>27.368866709153657</v>
          </cell>
          <cell r="J70" t="str">
            <v>Yes</v>
          </cell>
        </row>
      </sheetData>
      <sheetData sheetId="3">
        <row r="3">
          <cell r="A3" t="str">
            <v>Cub</v>
          </cell>
          <cell r="B3">
            <v>41137</v>
          </cell>
          <cell r="H3">
            <v>13.59</v>
          </cell>
        </row>
        <row r="4">
          <cell r="A4" t="str">
            <v>Cub</v>
          </cell>
          <cell r="B4">
            <v>41137</v>
          </cell>
          <cell r="H4">
            <v>13.559999999999999</v>
          </cell>
        </row>
        <row r="5">
          <cell r="A5" t="str">
            <v>Cub</v>
          </cell>
          <cell r="B5">
            <v>41137</v>
          </cell>
          <cell r="H5">
            <v>13.739999999999998</v>
          </cell>
        </row>
        <row r="6">
          <cell r="A6" t="str">
            <v>Cub</v>
          </cell>
          <cell r="B6">
            <v>41137</v>
          </cell>
          <cell r="H6">
            <v>13.71</v>
          </cell>
        </row>
        <row r="7">
          <cell r="A7" t="str">
            <v>Confluence</v>
          </cell>
          <cell r="B7">
            <v>41137</v>
          </cell>
          <cell r="H7">
            <v>13.115</v>
          </cell>
        </row>
        <row r="8">
          <cell r="A8" t="str">
            <v>Confluence</v>
          </cell>
          <cell r="B8">
            <v>41137</v>
          </cell>
          <cell r="H8">
            <v>13.06</v>
          </cell>
        </row>
        <row r="9">
          <cell r="A9" t="str">
            <v>Confluence</v>
          </cell>
          <cell r="B9">
            <v>41137</v>
          </cell>
          <cell r="H9">
            <v>13.035</v>
          </cell>
        </row>
        <row r="10">
          <cell r="A10" t="str">
            <v>Confluence</v>
          </cell>
          <cell r="B10">
            <v>41137</v>
          </cell>
          <cell r="H10">
            <v>12.959999999999999</v>
          </cell>
        </row>
        <row r="11">
          <cell r="A11" t="str">
            <v>Cub</v>
          </cell>
          <cell r="B11">
            <v>41230</v>
          </cell>
          <cell r="H11">
            <v>12.6</v>
          </cell>
        </row>
        <row r="12">
          <cell r="A12" t="str">
            <v>Cub</v>
          </cell>
          <cell r="B12">
            <v>41230</v>
          </cell>
          <cell r="H12">
            <v>12.59</v>
          </cell>
        </row>
        <row r="13">
          <cell r="A13" t="str">
            <v>Cub</v>
          </cell>
          <cell r="B13">
            <v>41230</v>
          </cell>
          <cell r="H13">
            <v>12.6</v>
          </cell>
        </row>
        <row r="14">
          <cell r="A14" t="str">
            <v>Cub</v>
          </cell>
          <cell r="B14">
            <v>41230</v>
          </cell>
          <cell r="H14">
            <v>12.56</v>
          </cell>
        </row>
        <row r="15">
          <cell r="A15" t="str">
            <v>Confluence</v>
          </cell>
          <cell r="B15">
            <v>41230</v>
          </cell>
          <cell r="H15">
            <v>12.08</v>
          </cell>
        </row>
        <row r="16">
          <cell r="A16" t="str">
            <v>Confluence</v>
          </cell>
          <cell r="B16">
            <v>41230</v>
          </cell>
          <cell r="H16">
            <v>12.049999999999999</v>
          </cell>
        </row>
        <row r="17">
          <cell r="A17" t="str">
            <v>Confluence</v>
          </cell>
          <cell r="B17">
            <v>41230</v>
          </cell>
          <cell r="H17">
            <v>11.95</v>
          </cell>
        </row>
        <row r="18">
          <cell r="A18" t="str">
            <v>Confluence</v>
          </cell>
          <cell r="B18">
            <v>41230</v>
          </cell>
          <cell r="H18">
            <v>12.01</v>
          </cell>
        </row>
        <row r="19">
          <cell r="A19" t="str">
            <v>Cub</v>
          </cell>
          <cell r="B19">
            <v>41401</v>
          </cell>
          <cell r="H19">
            <v>13.219999999999999</v>
          </cell>
        </row>
        <row r="20">
          <cell r="A20" t="str">
            <v>Cub</v>
          </cell>
          <cell r="B20">
            <v>41401</v>
          </cell>
          <cell r="H20">
            <v>13.169999999999998</v>
          </cell>
        </row>
        <row r="21">
          <cell r="A21" t="str">
            <v>Cub</v>
          </cell>
          <cell r="B21">
            <v>41401</v>
          </cell>
          <cell r="H21">
            <v>13.07</v>
          </cell>
        </row>
        <row r="22">
          <cell r="A22" t="str">
            <v>Cub</v>
          </cell>
          <cell r="B22">
            <v>41401</v>
          </cell>
          <cell r="H22">
            <v>13.120000000000001</v>
          </cell>
        </row>
        <row r="23">
          <cell r="A23" t="str">
            <v>Confluence</v>
          </cell>
          <cell r="B23">
            <v>41401</v>
          </cell>
          <cell r="H23">
            <v>12.54</v>
          </cell>
        </row>
        <row r="24">
          <cell r="A24" t="str">
            <v>Confluence</v>
          </cell>
          <cell r="B24">
            <v>41401</v>
          </cell>
          <cell r="H24">
            <v>12.579999999999998</v>
          </cell>
        </row>
        <row r="25">
          <cell r="A25" t="str">
            <v>Confluence</v>
          </cell>
          <cell r="B25">
            <v>41401</v>
          </cell>
          <cell r="H25">
            <v>12.59</v>
          </cell>
        </row>
        <row r="26">
          <cell r="A26" t="str">
            <v>Confluence</v>
          </cell>
          <cell r="B26">
            <v>41401</v>
          </cell>
          <cell r="H26">
            <v>12.579999999999998</v>
          </cell>
        </row>
        <row r="27">
          <cell r="A27" t="str">
            <v>Mortin</v>
          </cell>
          <cell r="B27">
            <v>41500</v>
          </cell>
          <cell r="H27">
            <v>14.914999999999999</v>
          </cell>
        </row>
        <row r="28">
          <cell r="A28" t="str">
            <v>Mortin</v>
          </cell>
          <cell r="B28">
            <v>41500</v>
          </cell>
          <cell r="H28">
            <v>14.875</v>
          </cell>
        </row>
        <row r="29">
          <cell r="A29" t="str">
            <v>Mortin</v>
          </cell>
          <cell r="B29">
            <v>41500</v>
          </cell>
          <cell r="H29">
            <v>14.914999999999999</v>
          </cell>
        </row>
        <row r="30">
          <cell r="A30" t="str">
            <v>Mortin</v>
          </cell>
          <cell r="B30">
            <v>41500</v>
          </cell>
          <cell r="H30">
            <v>14.875</v>
          </cell>
        </row>
        <row r="31">
          <cell r="A31" t="str">
            <v>Mortin</v>
          </cell>
          <cell r="B31">
            <v>41500</v>
          </cell>
          <cell r="H31">
            <v>14.914999999999999</v>
          </cell>
        </row>
        <row r="32">
          <cell r="A32" t="str">
            <v>Mortin</v>
          </cell>
          <cell r="B32">
            <v>41500</v>
          </cell>
          <cell r="H32">
            <v>14.875</v>
          </cell>
        </row>
        <row r="33">
          <cell r="A33" t="str">
            <v>Mortin</v>
          </cell>
          <cell r="B33">
            <v>41500</v>
          </cell>
          <cell r="H33">
            <v>14.914999999999999</v>
          </cell>
        </row>
        <row r="34">
          <cell r="A34" t="str">
            <v>Mortin</v>
          </cell>
          <cell r="B34">
            <v>41500</v>
          </cell>
          <cell r="H34">
            <v>14.875</v>
          </cell>
        </row>
        <row r="35">
          <cell r="A35" t="str">
            <v>Confluence</v>
          </cell>
          <cell r="B35">
            <v>41501</v>
          </cell>
          <cell r="H35">
            <v>13.440000000000001</v>
          </cell>
        </row>
        <row r="36">
          <cell r="A36" t="str">
            <v>Confluence</v>
          </cell>
          <cell r="B36">
            <v>41501</v>
          </cell>
          <cell r="H36">
            <v>13.48</v>
          </cell>
        </row>
        <row r="37">
          <cell r="A37" t="str">
            <v>Confluence</v>
          </cell>
          <cell r="B37">
            <v>41501</v>
          </cell>
          <cell r="H37">
            <v>13.440000000000001</v>
          </cell>
        </row>
        <row r="38">
          <cell r="A38" t="str">
            <v>Confluence</v>
          </cell>
          <cell r="B38">
            <v>41501</v>
          </cell>
          <cell r="H38">
            <v>13.48</v>
          </cell>
        </row>
        <row r="39">
          <cell r="A39" t="str">
            <v>Confluence</v>
          </cell>
          <cell r="B39">
            <v>41501</v>
          </cell>
          <cell r="H39">
            <v>13.440000000000001</v>
          </cell>
        </row>
        <row r="40">
          <cell r="A40" t="str">
            <v>Cub</v>
          </cell>
          <cell r="B40">
            <v>41501</v>
          </cell>
          <cell r="H40">
            <v>14.07</v>
          </cell>
        </row>
        <row r="41">
          <cell r="A41" t="str">
            <v>Cub</v>
          </cell>
          <cell r="B41">
            <v>41501</v>
          </cell>
          <cell r="H41">
            <v>13.9</v>
          </cell>
        </row>
        <row r="42">
          <cell r="A42" t="str">
            <v>Cub</v>
          </cell>
          <cell r="B42">
            <v>41501</v>
          </cell>
          <cell r="H42">
            <v>14.07</v>
          </cell>
        </row>
        <row r="43">
          <cell r="A43" t="str">
            <v>Cub</v>
          </cell>
          <cell r="B43">
            <v>41501</v>
          </cell>
          <cell r="H43">
            <v>13.9</v>
          </cell>
        </row>
        <row r="44">
          <cell r="A44" t="str">
            <v>Cub</v>
          </cell>
          <cell r="B44">
            <v>41501</v>
          </cell>
          <cell r="H44">
            <v>14.07</v>
          </cell>
        </row>
        <row r="45">
          <cell r="A45" t="str">
            <v>Cub</v>
          </cell>
          <cell r="B45">
            <v>41501</v>
          </cell>
          <cell r="H45">
            <v>13.9</v>
          </cell>
        </row>
        <row r="46">
          <cell r="A46" t="str">
            <v>Cub</v>
          </cell>
          <cell r="B46">
            <v>41501</v>
          </cell>
          <cell r="H46">
            <v>14.07</v>
          </cell>
        </row>
        <row r="47">
          <cell r="A47" t="str">
            <v>Cub</v>
          </cell>
          <cell r="B47">
            <v>41501</v>
          </cell>
          <cell r="H47">
            <v>13.9</v>
          </cell>
        </row>
        <row r="48">
          <cell r="A48" t="str">
            <v>Cub</v>
          </cell>
          <cell r="B48">
            <v>41501</v>
          </cell>
          <cell r="H48">
            <v>14.07</v>
          </cell>
        </row>
        <row r="49">
          <cell r="A49" t="str">
            <v>Mortin</v>
          </cell>
          <cell r="B49">
            <v>41594</v>
          </cell>
          <cell r="H49">
            <v>13.315</v>
          </cell>
        </row>
        <row r="50">
          <cell r="A50" t="str">
            <v>Mortin</v>
          </cell>
          <cell r="B50">
            <v>41594</v>
          </cell>
          <cell r="H50">
            <v>13.385</v>
          </cell>
        </row>
        <row r="51">
          <cell r="A51" t="str">
            <v>Mortin</v>
          </cell>
          <cell r="B51">
            <v>41594</v>
          </cell>
          <cell r="H51">
            <v>13.309999999999999</v>
          </cell>
        </row>
        <row r="52">
          <cell r="A52" t="str">
            <v>Mortin</v>
          </cell>
          <cell r="B52">
            <v>41594</v>
          </cell>
          <cell r="H52">
            <v>13.379999999999999</v>
          </cell>
        </row>
        <row r="53">
          <cell r="A53" t="str">
            <v>Mortin</v>
          </cell>
          <cell r="B53">
            <v>41594</v>
          </cell>
          <cell r="H53">
            <v>13.315</v>
          </cell>
        </row>
        <row r="54">
          <cell r="A54" t="str">
            <v>Confluence</v>
          </cell>
          <cell r="B54">
            <v>41594</v>
          </cell>
          <cell r="H54">
            <v>11.824999999999999</v>
          </cell>
        </row>
        <row r="55">
          <cell r="A55" t="str">
            <v>Confluence</v>
          </cell>
          <cell r="B55">
            <v>41594</v>
          </cell>
          <cell r="H55">
            <v>11.875</v>
          </cell>
        </row>
        <row r="56">
          <cell r="A56" t="str">
            <v>Confluence</v>
          </cell>
          <cell r="B56">
            <v>41594</v>
          </cell>
          <cell r="H56">
            <v>11.83</v>
          </cell>
        </row>
        <row r="57">
          <cell r="A57" t="str">
            <v>Confluence</v>
          </cell>
          <cell r="B57">
            <v>41594</v>
          </cell>
          <cell r="H57">
            <v>11.879999999999999</v>
          </cell>
        </row>
        <row r="58">
          <cell r="A58" t="str">
            <v>Cub</v>
          </cell>
          <cell r="B58">
            <v>41594</v>
          </cell>
          <cell r="H58">
            <v>12.47</v>
          </cell>
        </row>
        <row r="59">
          <cell r="A59" t="str">
            <v>Cub</v>
          </cell>
          <cell r="B59">
            <v>41594</v>
          </cell>
          <cell r="H59">
            <v>12.4</v>
          </cell>
        </row>
        <row r="60">
          <cell r="A60" t="str">
            <v>Cub</v>
          </cell>
          <cell r="B60">
            <v>41594</v>
          </cell>
          <cell r="H60">
            <v>12.47</v>
          </cell>
        </row>
        <row r="61">
          <cell r="A61" t="str">
            <v>Cub</v>
          </cell>
          <cell r="B61">
            <v>41594</v>
          </cell>
          <cell r="H61">
            <v>12.4</v>
          </cell>
        </row>
        <row r="62">
          <cell r="A62" t="str">
            <v>Cub</v>
          </cell>
          <cell r="B62">
            <v>41594</v>
          </cell>
          <cell r="H62">
            <v>12.47</v>
          </cell>
        </row>
        <row r="63">
          <cell r="A63" t="str">
            <v>Cub</v>
          </cell>
          <cell r="B63">
            <v>41594</v>
          </cell>
          <cell r="H63">
            <v>12.4</v>
          </cell>
        </row>
        <row r="64">
          <cell r="A64" t="str">
            <v>Cub</v>
          </cell>
          <cell r="B64">
            <v>41594</v>
          </cell>
          <cell r="H64">
            <v>12.47</v>
          </cell>
        </row>
        <row r="65">
          <cell r="A65" t="str">
            <v>Cub</v>
          </cell>
          <cell r="B65">
            <v>41594</v>
          </cell>
          <cell r="H65">
            <v>12.4</v>
          </cell>
        </row>
      </sheetData>
      <sheetData sheetId="4">
        <row r="77">
          <cell r="E77">
            <v>0.67400000000000004</v>
          </cell>
        </row>
      </sheetData>
      <sheetData sheetId="5">
        <row r="52">
          <cell r="E52">
            <v>2.0379999999999998</v>
          </cell>
        </row>
      </sheetData>
      <sheetData sheetId="6">
        <row r="48">
          <cell r="E48">
            <v>3.6240000000000001</v>
          </cell>
        </row>
      </sheetData>
      <sheetData sheetId="7">
        <row r="60">
          <cell r="H60">
            <v>21.808</v>
          </cell>
        </row>
      </sheetData>
      <sheetData sheetId="8">
        <row r="47">
          <cell r="F47">
            <v>15.044</v>
          </cell>
        </row>
      </sheetData>
      <sheetData sheetId="9">
        <row r="46">
          <cell r="F46">
            <v>11.33</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xf_Init"/>
      <definedName name="xf_ScaleX"/>
      <definedName name="xf_ScaleY"/>
      <definedName name="xf4_C2DFit"/>
      <definedName name="xf4_C2DFitDetails"/>
      <definedName name="xf4_C2DFitPoints"/>
      <definedName name="xf4_Chart2D"/>
      <definedName name="xf4_FitData"/>
      <definedName name="xf4_ParameterValue"/>
      <definedName name="xf4_SetData"/>
      <definedName name="xf4_SetModel"/>
      <definedName name="xf4_SetParameters"/>
    </defined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pyright &amp; License"/>
      <sheetName val="BearRiverNetwork"/>
      <sheetName val="SubInd"/>
      <sheetName val="FishSpp"/>
      <sheetName val="VegSpp"/>
      <sheetName val="Month"/>
      <sheetName val="Nodes"/>
      <sheetName val="NodesNotDemand"/>
      <sheetName val="NodeNotHeadwater"/>
      <sheetName val="Reservoirs"/>
      <sheetName val="Wetlands"/>
      <sheetName val="Demand"/>
      <sheetName val="R_indx"/>
      <sheetName val="sf_indx"/>
      <sheetName val="wf_indx"/>
      <sheetName val="wsi_indx"/>
      <sheetName val="EnvSite"/>
      <sheetName val="Connect"/>
      <sheetName val="Diversions"/>
      <sheetName val="ReturnFlow"/>
      <sheetName val="WetlandsSites"/>
      <sheetName val="LinktoReservoir"/>
      <sheetName val="LinkOutReservoir"/>
      <sheetName val="rsiIndex"/>
      <sheetName val="rsiEQ"/>
      <sheetName val="fciIndex"/>
      <sheetName val="fciEQ"/>
      <sheetName val="HeadFlow"/>
      <sheetName val="Length"/>
      <sheetName val="aw"/>
      <sheetName val="lss"/>
      <sheetName val="LinkName"/>
      <sheetName val="Qmin"/>
      <sheetName val="Qmax"/>
      <sheetName val="QSimulation"/>
      <sheetName val="evap"/>
      <sheetName val="Cons"/>
      <sheetName val="ResElevVol"/>
      <sheetName val="inactive"/>
      <sheetName val="capacity"/>
      <sheetName val="demandReq"/>
      <sheetName val="Instream"/>
      <sheetName val="divCap"/>
      <sheetName val="StageFlow"/>
      <sheetName val="WidthFlow"/>
      <sheetName val="wp"/>
      <sheetName val="Revegetate"/>
      <sheetName val="weights"/>
      <sheetName val="Budget"/>
      <sheetName val="InStor"/>
      <sheetName val="InitD"/>
      <sheetName val="InitC"/>
      <sheetName val="UnitCost"/>
      <sheetName val="RiversHeadFlow-WEAP"/>
      <sheetName val="EvaporationCurve"/>
      <sheetName val="WSI curves-Mm3"/>
      <sheetName val="Stage-Flow"/>
      <sheetName val="RSI curves"/>
      <sheetName val="RSI curves-Stage"/>
      <sheetName val="h curves"/>
      <sheetName val="mCur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35">
          <cell r="F35">
            <v>0</v>
          </cell>
        </row>
        <row r="36">
          <cell r="F36">
            <v>0.05</v>
          </cell>
          <cell r="Z36">
            <v>0</v>
          </cell>
        </row>
        <row r="37">
          <cell r="F37">
            <v>0.1</v>
          </cell>
          <cell r="Z37">
            <v>0.05</v>
          </cell>
          <cell r="AO37">
            <v>0</v>
          </cell>
        </row>
        <row r="38">
          <cell r="F38">
            <v>0.15</v>
          </cell>
          <cell r="Z38">
            <v>0.1</v>
          </cell>
          <cell r="AO38">
            <v>0.05</v>
          </cell>
        </row>
        <row r="39">
          <cell r="F39">
            <v>0.2</v>
          </cell>
          <cell r="Z39">
            <v>0.15</v>
          </cell>
          <cell r="AO39">
            <v>0.1</v>
          </cell>
        </row>
        <row r="40">
          <cell r="F40">
            <v>0.25</v>
          </cell>
          <cell r="Z40">
            <v>0.2</v>
          </cell>
          <cell r="AO40">
            <v>0.15</v>
          </cell>
        </row>
        <row r="41">
          <cell r="F41">
            <v>0.3</v>
          </cell>
          <cell r="Z41">
            <v>0.25</v>
          </cell>
          <cell r="AO41">
            <v>0.2</v>
          </cell>
        </row>
        <row r="42">
          <cell r="F42">
            <v>0.35</v>
          </cell>
          <cell r="Z42">
            <v>0.3</v>
          </cell>
          <cell r="AO42">
            <v>0.25</v>
          </cell>
        </row>
        <row r="43">
          <cell r="F43">
            <v>0.4</v>
          </cell>
          <cell r="Z43">
            <v>0.35</v>
          </cell>
          <cell r="AO43">
            <v>0.3</v>
          </cell>
        </row>
        <row r="44">
          <cell r="F44">
            <v>0.45</v>
          </cell>
          <cell r="Z44">
            <v>0.4</v>
          </cell>
          <cell r="AO44">
            <v>0.35</v>
          </cell>
        </row>
        <row r="45">
          <cell r="F45">
            <v>0.5</v>
          </cell>
          <cell r="Z45">
            <v>0.45</v>
          </cell>
          <cell r="AO45">
            <v>0.4</v>
          </cell>
        </row>
        <row r="46">
          <cell r="F46">
            <v>0.55000000000000004</v>
          </cell>
          <cell r="Z46">
            <v>0.5</v>
          </cell>
          <cell r="AO46">
            <v>0.45</v>
          </cell>
        </row>
        <row r="47">
          <cell r="F47">
            <v>0.6</v>
          </cell>
          <cell r="Z47">
            <v>0.55000000000000004</v>
          </cell>
          <cell r="AO47">
            <v>0.5</v>
          </cell>
        </row>
        <row r="48">
          <cell r="F48">
            <v>0.65</v>
          </cell>
          <cell r="Z48">
            <v>0.6</v>
          </cell>
          <cell r="AO48">
            <v>0.55000000000000004</v>
          </cell>
        </row>
        <row r="49">
          <cell r="F49">
            <v>0.7</v>
          </cell>
          <cell r="Z49">
            <v>0.65</v>
          </cell>
          <cell r="AO49">
            <v>0.6</v>
          </cell>
        </row>
        <row r="50">
          <cell r="F50">
            <v>0.75</v>
          </cell>
          <cell r="Z50">
            <v>0.7</v>
          </cell>
          <cell r="AO50">
            <v>0.65</v>
          </cell>
        </row>
        <row r="51">
          <cell r="F51">
            <v>0.8</v>
          </cell>
          <cell r="Z51">
            <v>0.75</v>
          </cell>
          <cell r="AO51">
            <v>0.7</v>
          </cell>
        </row>
        <row r="52">
          <cell r="F52">
            <v>0.85</v>
          </cell>
          <cell r="Z52">
            <v>0.8</v>
          </cell>
          <cell r="AO52">
            <v>0.75</v>
          </cell>
        </row>
        <row r="53">
          <cell r="F53">
            <v>0.9</v>
          </cell>
          <cell r="Z53">
            <v>0.85</v>
          </cell>
          <cell r="AO53">
            <v>0.8</v>
          </cell>
        </row>
        <row r="54">
          <cell r="F54">
            <v>0.95</v>
          </cell>
          <cell r="Z54">
            <v>0.9</v>
          </cell>
          <cell r="AO54">
            <v>0.85</v>
          </cell>
        </row>
        <row r="55">
          <cell r="F55">
            <v>1</v>
          </cell>
          <cell r="Z55">
            <v>0.95</v>
          </cell>
          <cell r="AO55">
            <v>0.9</v>
          </cell>
        </row>
        <row r="56">
          <cell r="F56">
            <v>1.05</v>
          </cell>
          <cell r="Z56">
            <v>1</v>
          </cell>
          <cell r="AO56">
            <v>0.95</v>
          </cell>
        </row>
        <row r="57">
          <cell r="F57">
            <v>1.1000000000000001</v>
          </cell>
          <cell r="Z57">
            <v>1.05</v>
          </cell>
          <cell r="AO57">
            <v>1</v>
          </cell>
        </row>
        <row r="58">
          <cell r="F58">
            <v>1.1499999999999999</v>
          </cell>
          <cell r="Z58">
            <v>1.1000000000000001</v>
          </cell>
          <cell r="AO58">
            <v>1.05</v>
          </cell>
        </row>
        <row r="59">
          <cell r="F59">
            <v>1.2</v>
          </cell>
          <cell r="Z59">
            <v>1.1499999999999999</v>
          </cell>
          <cell r="AO59">
            <v>1.1000000000000001</v>
          </cell>
        </row>
        <row r="60">
          <cell r="F60">
            <v>1.25</v>
          </cell>
          <cell r="Z60">
            <v>1.2</v>
          </cell>
          <cell r="AO60">
            <v>1.1499999999999999</v>
          </cell>
        </row>
        <row r="61">
          <cell r="F61">
            <v>1.3</v>
          </cell>
          <cell r="Z61">
            <v>1.25</v>
          </cell>
          <cell r="AO61">
            <v>1.2</v>
          </cell>
        </row>
        <row r="62">
          <cell r="F62">
            <v>1.35</v>
          </cell>
          <cell r="Z62">
            <v>1.3</v>
          </cell>
          <cell r="AO62">
            <v>1.25</v>
          </cell>
        </row>
        <row r="63">
          <cell r="F63">
            <v>1.4</v>
          </cell>
          <cell r="Z63">
            <v>1.35</v>
          </cell>
          <cell r="AO63">
            <v>1.3</v>
          </cell>
        </row>
        <row r="64">
          <cell r="F64">
            <v>1.45</v>
          </cell>
          <cell r="Z64">
            <v>1.4</v>
          </cell>
          <cell r="AO64">
            <v>1.35</v>
          </cell>
        </row>
        <row r="65">
          <cell r="F65">
            <v>1.5</v>
          </cell>
          <cell r="Z65">
            <v>1.45</v>
          </cell>
          <cell r="AO65">
            <v>1.4</v>
          </cell>
        </row>
        <row r="66">
          <cell r="F66">
            <v>1.55</v>
          </cell>
          <cell r="Z66">
            <v>1.5</v>
          </cell>
          <cell r="AO66">
            <v>1.45</v>
          </cell>
        </row>
        <row r="67">
          <cell r="F67">
            <v>1.6</v>
          </cell>
          <cell r="Z67">
            <v>2.5</v>
          </cell>
          <cell r="AO67">
            <v>1.5</v>
          </cell>
        </row>
        <row r="68">
          <cell r="F68">
            <v>1.65</v>
          </cell>
          <cell r="Z68">
            <v>3.5</v>
          </cell>
          <cell r="AO68">
            <v>2.5</v>
          </cell>
        </row>
        <row r="69">
          <cell r="F69">
            <v>1.7</v>
          </cell>
          <cell r="Z69">
            <v>4.5</v>
          </cell>
          <cell r="AO69">
            <v>3.5</v>
          </cell>
        </row>
        <row r="70">
          <cell r="F70">
            <v>1.75</v>
          </cell>
          <cell r="Z70">
            <v>5.5</v>
          </cell>
          <cell r="AO70">
            <v>4.5</v>
          </cell>
        </row>
        <row r="71">
          <cell r="F71">
            <v>1.8</v>
          </cell>
          <cell r="Z71">
            <v>6.5</v>
          </cell>
          <cell r="AO71">
            <v>5.5</v>
          </cell>
        </row>
        <row r="72">
          <cell r="F72">
            <v>1.85</v>
          </cell>
          <cell r="Z72">
            <v>7.5</v>
          </cell>
          <cell r="AO72">
            <v>6.5</v>
          </cell>
        </row>
        <row r="73">
          <cell r="F73">
            <v>1.9</v>
          </cell>
          <cell r="Z73">
            <v>8.5</v>
          </cell>
          <cell r="AO73">
            <v>7.5</v>
          </cell>
        </row>
        <row r="74">
          <cell r="F74">
            <v>1.95</v>
          </cell>
          <cell r="Z74">
            <v>9.5</v>
          </cell>
          <cell r="AO74">
            <v>8.5</v>
          </cell>
        </row>
        <row r="75">
          <cell r="F75">
            <v>2</v>
          </cell>
          <cell r="Z75">
            <v>10.5</v>
          </cell>
          <cell r="AO75">
            <v>9.5</v>
          </cell>
        </row>
        <row r="76">
          <cell r="F76">
            <v>3</v>
          </cell>
          <cell r="Z76">
            <v>11.5</v>
          </cell>
          <cell r="AO76">
            <v>10.5</v>
          </cell>
        </row>
        <row r="77">
          <cell r="F77">
            <v>4</v>
          </cell>
          <cell r="Z77">
            <v>12.5</v>
          </cell>
        </row>
        <row r="78">
          <cell r="F78">
            <v>5</v>
          </cell>
          <cell r="Z78">
            <v>13.5</v>
          </cell>
        </row>
        <row r="79">
          <cell r="F79">
            <v>6</v>
          </cell>
          <cell r="Z79">
            <v>14.5</v>
          </cell>
        </row>
        <row r="80">
          <cell r="F80">
            <v>7</v>
          </cell>
          <cell r="Z80">
            <v>15.5</v>
          </cell>
        </row>
        <row r="81">
          <cell r="F81">
            <v>8</v>
          </cell>
          <cell r="Z81">
            <v>16.5</v>
          </cell>
        </row>
        <row r="82">
          <cell r="F82">
            <v>9</v>
          </cell>
          <cell r="Z82">
            <v>17.5</v>
          </cell>
        </row>
        <row r="83">
          <cell r="F83">
            <v>10</v>
          </cell>
          <cell r="Z83">
            <v>18.5</v>
          </cell>
        </row>
        <row r="84">
          <cell r="F84">
            <v>11</v>
          </cell>
          <cell r="Z84">
            <v>19.5</v>
          </cell>
        </row>
        <row r="85">
          <cell r="F85">
            <v>12</v>
          </cell>
        </row>
        <row r="86">
          <cell r="F86">
            <v>13</v>
          </cell>
        </row>
        <row r="87">
          <cell r="F87">
            <v>14</v>
          </cell>
        </row>
        <row r="88">
          <cell r="F88">
            <v>15</v>
          </cell>
        </row>
        <row r="89">
          <cell r="F89">
            <v>16</v>
          </cell>
        </row>
        <row r="90">
          <cell r="F90">
            <v>17</v>
          </cell>
        </row>
        <row r="91">
          <cell r="F91">
            <v>18</v>
          </cell>
        </row>
        <row r="92">
          <cell r="F92">
            <v>19</v>
          </cell>
        </row>
        <row r="93">
          <cell r="F93">
            <v>20</v>
          </cell>
        </row>
        <row r="94">
          <cell r="F94">
            <v>21</v>
          </cell>
        </row>
        <row r="95">
          <cell r="F95">
            <v>22</v>
          </cell>
        </row>
        <row r="96">
          <cell r="F96">
            <v>23</v>
          </cell>
        </row>
        <row r="97">
          <cell r="F97">
            <v>24</v>
          </cell>
        </row>
        <row r="98">
          <cell r="F98">
            <v>25</v>
          </cell>
        </row>
        <row r="99">
          <cell r="F99">
            <v>26</v>
          </cell>
        </row>
        <row r="100">
          <cell r="F100">
            <v>27</v>
          </cell>
        </row>
        <row r="101">
          <cell r="F101">
            <v>28</v>
          </cell>
        </row>
        <row r="102">
          <cell r="F102">
            <v>29</v>
          </cell>
        </row>
        <row r="103">
          <cell r="F103">
            <v>30</v>
          </cell>
        </row>
        <row r="104">
          <cell r="F104">
            <v>31</v>
          </cell>
        </row>
        <row r="105">
          <cell r="F105">
            <v>32</v>
          </cell>
        </row>
        <row r="106">
          <cell r="F106">
            <v>33</v>
          </cell>
        </row>
        <row r="107">
          <cell r="F107">
            <v>34</v>
          </cell>
        </row>
        <row r="108">
          <cell r="F108">
            <v>35</v>
          </cell>
        </row>
        <row r="109">
          <cell r="F109">
            <v>36</v>
          </cell>
        </row>
        <row r="110">
          <cell r="F110">
            <v>37</v>
          </cell>
        </row>
        <row r="111">
          <cell r="F111">
            <v>38</v>
          </cell>
        </row>
        <row r="112">
          <cell r="F112">
            <v>39</v>
          </cell>
        </row>
        <row r="113">
          <cell r="F113">
            <v>40</v>
          </cell>
        </row>
      </sheetData>
      <sheetData sheetId="59" refreshError="1"/>
      <sheetData sheetId="60"/>
      <sheetData sheetId="6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yman510/WASH"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7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7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19.bin"/><Relationship Id="rId4" Type="http://schemas.openxmlformats.org/officeDocument/2006/relationships/comments" Target="../comments2.xml"/></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0.bin"/></Relationships>
</file>

<file path=xl/worksheets/_rels/sheet79.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4.vml"/><Relationship Id="rId7" Type="http://schemas.openxmlformats.org/officeDocument/2006/relationships/image" Target="../media/image11.emf"/><Relationship Id="rId12" Type="http://schemas.openxmlformats.org/officeDocument/2006/relationships/comments" Target="../comments3.xml"/><Relationship Id="rId2" Type="http://schemas.openxmlformats.org/officeDocument/2006/relationships/drawing" Target="../drawings/drawing8.xml"/><Relationship Id="rId1" Type="http://schemas.openxmlformats.org/officeDocument/2006/relationships/printerSettings" Target="../printerSettings/printerSettings21.bin"/><Relationship Id="rId6" Type="http://schemas.openxmlformats.org/officeDocument/2006/relationships/oleObject" Target="../embeddings/oleObject2.bin"/><Relationship Id="rId11" Type="http://schemas.openxmlformats.org/officeDocument/2006/relationships/image" Target="../media/image13.emf"/><Relationship Id="rId5" Type="http://schemas.openxmlformats.org/officeDocument/2006/relationships/image" Target="../media/image10.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12.emf"/></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0.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5.vml"/><Relationship Id="rId7" Type="http://schemas.openxmlformats.org/officeDocument/2006/relationships/image" Target="../media/image15.emf"/><Relationship Id="rId2" Type="http://schemas.openxmlformats.org/officeDocument/2006/relationships/drawing" Target="../drawings/drawing9.xml"/><Relationship Id="rId1" Type="http://schemas.openxmlformats.org/officeDocument/2006/relationships/printerSettings" Target="../printerSettings/printerSettings22.bin"/><Relationship Id="rId6" Type="http://schemas.openxmlformats.org/officeDocument/2006/relationships/oleObject" Target="../embeddings/oleObject6.bin"/><Relationship Id="rId5" Type="http://schemas.openxmlformats.org/officeDocument/2006/relationships/image" Target="../media/image14.emf"/><Relationship Id="rId10" Type="http://schemas.openxmlformats.org/officeDocument/2006/relationships/comments" Target="../comments4.xml"/><Relationship Id="rId4" Type="http://schemas.openxmlformats.org/officeDocument/2006/relationships/oleObject" Target="../embeddings/oleObject5.bin"/><Relationship Id="rId9" Type="http://schemas.openxmlformats.org/officeDocument/2006/relationships/image" Target="../media/image16.emf"/></Relationships>
</file>

<file path=xl/worksheets/_rels/sheet81.xml.rels><?xml version="1.0" encoding="UTF-8" standalone="yes"?>
<Relationships xmlns="http://schemas.openxmlformats.org/package/2006/relationships"><Relationship Id="rId8" Type="http://schemas.openxmlformats.org/officeDocument/2006/relationships/oleObject" Target="../embeddings/oleObject10.bin"/><Relationship Id="rId3" Type="http://schemas.openxmlformats.org/officeDocument/2006/relationships/vmlDrawing" Target="../drawings/vmlDrawing6.vml"/><Relationship Id="rId7" Type="http://schemas.openxmlformats.org/officeDocument/2006/relationships/image" Target="../media/image17.emf"/><Relationship Id="rId12" Type="http://schemas.openxmlformats.org/officeDocument/2006/relationships/comments" Target="../comments5.xml"/><Relationship Id="rId2" Type="http://schemas.openxmlformats.org/officeDocument/2006/relationships/drawing" Target="../drawings/drawing10.xml"/><Relationship Id="rId1" Type="http://schemas.openxmlformats.org/officeDocument/2006/relationships/printerSettings" Target="../printerSettings/printerSettings23.bin"/><Relationship Id="rId6" Type="http://schemas.openxmlformats.org/officeDocument/2006/relationships/oleObject" Target="../embeddings/oleObject9.bin"/><Relationship Id="rId11" Type="http://schemas.openxmlformats.org/officeDocument/2006/relationships/image" Target="../media/image19.emf"/><Relationship Id="rId5" Type="http://schemas.openxmlformats.org/officeDocument/2006/relationships/image" Target="../media/image10.emf"/><Relationship Id="rId10" Type="http://schemas.openxmlformats.org/officeDocument/2006/relationships/oleObject" Target="../embeddings/oleObject11.bin"/><Relationship Id="rId4" Type="http://schemas.openxmlformats.org/officeDocument/2006/relationships/oleObject" Target="../embeddings/oleObject8.bin"/><Relationship Id="rId9" Type="http://schemas.openxmlformats.org/officeDocument/2006/relationships/image" Target="../media/image18.emf"/></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95"/>
  <sheetViews>
    <sheetView showGridLines="0" topLeftCell="A15" zoomScaleNormal="100" workbookViewId="0">
      <selection activeCell="B90" sqref="B90"/>
    </sheetView>
  </sheetViews>
  <sheetFormatPr defaultRowHeight="15" x14ac:dyDescent="0.25"/>
  <cols>
    <col min="1" max="1" width="10.875" customWidth="1"/>
    <col min="2" max="2" width="21.125" customWidth="1"/>
    <col min="3" max="3" width="9.125" customWidth="1"/>
    <col min="5" max="6" width="13.875" bestFit="1" customWidth="1"/>
  </cols>
  <sheetData>
    <row r="1" spans="1:16" ht="18.75" x14ac:dyDescent="0.3">
      <c r="A1" s="184" t="s">
        <v>93</v>
      </c>
      <c r="B1" s="184"/>
      <c r="C1" s="184"/>
      <c r="D1" s="184"/>
      <c r="E1" s="184"/>
      <c r="F1" s="184"/>
      <c r="G1" s="184"/>
      <c r="H1" s="184"/>
      <c r="I1" s="184"/>
      <c r="J1" s="184"/>
      <c r="K1" s="184"/>
      <c r="L1" s="184"/>
      <c r="M1" s="184"/>
    </row>
    <row r="2" spans="1:16" x14ac:dyDescent="0.25">
      <c r="A2" s="32"/>
      <c r="B2" s="32"/>
      <c r="C2" s="32"/>
      <c r="D2" s="32"/>
      <c r="E2" s="32"/>
      <c r="F2" s="32"/>
      <c r="G2" s="32"/>
      <c r="H2" s="32"/>
      <c r="I2" s="32"/>
      <c r="J2" s="32"/>
      <c r="K2" s="32"/>
      <c r="L2" s="32"/>
      <c r="M2" s="32"/>
      <c r="N2" s="32"/>
      <c r="O2" s="32"/>
      <c r="P2" s="32"/>
    </row>
    <row r="3" spans="1:16" x14ac:dyDescent="0.25">
      <c r="A3" s="34" t="s">
        <v>94</v>
      </c>
      <c r="B3" s="35"/>
      <c r="C3" s="35"/>
      <c r="D3" s="35"/>
      <c r="E3" s="35"/>
      <c r="F3" s="35"/>
      <c r="G3" s="35"/>
      <c r="H3" s="35"/>
      <c r="I3" s="35"/>
      <c r="J3" s="35"/>
      <c r="K3" s="35"/>
      <c r="L3" s="35"/>
      <c r="M3" s="35"/>
      <c r="N3" s="32"/>
      <c r="O3" s="32"/>
      <c r="P3" s="32"/>
    </row>
    <row r="4" spans="1:16" x14ac:dyDescent="0.25">
      <c r="A4" s="35" t="s">
        <v>95</v>
      </c>
      <c r="B4" s="35"/>
      <c r="C4" s="35"/>
      <c r="D4" s="35"/>
      <c r="E4" s="35"/>
      <c r="F4" s="35"/>
      <c r="G4" s="35"/>
      <c r="H4" s="35"/>
      <c r="I4" s="35"/>
      <c r="J4" s="35"/>
      <c r="K4" s="35"/>
      <c r="L4" s="35"/>
      <c r="M4" s="35"/>
      <c r="N4" s="32"/>
      <c r="O4" s="32"/>
      <c r="P4" s="32"/>
    </row>
    <row r="5" spans="1:16" ht="69" customHeight="1" x14ac:dyDescent="0.25">
      <c r="A5" s="185" t="s">
        <v>96</v>
      </c>
      <c r="B5" s="185"/>
      <c r="C5" s="185"/>
      <c r="D5" s="185"/>
      <c r="E5" s="35"/>
      <c r="F5" s="35"/>
      <c r="G5" s="35"/>
      <c r="H5" s="35"/>
      <c r="I5" s="35"/>
      <c r="J5" s="35"/>
      <c r="K5" s="35"/>
      <c r="L5" s="35"/>
      <c r="M5" s="35"/>
      <c r="N5" s="32"/>
      <c r="O5" s="32"/>
      <c r="P5" s="32"/>
    </row>
    <row r="6" spans="1:16" x14ac:dyDescent="0.25">
      <c r="A6" s="32"/>
      <c r="B6" s="32"/>
      <c r="C6" s="32"/>
      <c r="D6" s="32"/>
      <c r="E6" s="32"/>
      <c r="F6" s="32"/>
      <c r="G6" s="32"/>
      <c r="H6" s="32"/>
      <c r="I6" s="32"/>
      <c r="J6" s="32"/>
      <c r="K6" s="32"/>
      <c r="L6" s="32"/>
      <c r="M6" s="32"/>
      <c r="N6" s="32"/>
      <c r="O6" s="32"/>
      <c r="P6" s="32"/>
    </row>
    <row r="7" spans="1:16" x14ac:dyDescent="0.25">
      <c r="A7" s="34" t="s">
        <v>97</v>
      </c>
      <c r="B7" s="35"/>
      <c r="C7" s="35"/>
      <c r="D7" s="35"/>
      <c r="E7" s="35"/>
      <c r="F7" s="41"/>
      <c r="G7" s="35"/>
      <c r="H7" s="35"/>
      <c r="I7" s="35"/>
      <c r="J7" s="35"/>
      <c r="K7" s="35"/>
      <c r="L7" s="35"/>
      <c r="M7" s="35"/>
      <c r="N7" s="32"/>
      <c r="O7" s="32"/>
      <c r="P7" s="32"/>
    </row>
    <row r="8" spans="1:16" x14ac:dyDescent="0.25">
      <c r="A8" s="34" t="s">
        <v>98</v>
      </c>
      <c r="B8" s="50" t="s">
        <v>99</v>
      </c>
      <c r="C8" s="34" t="s">
        <v>100</v>
      </c>
      <c r="D8" s="189">
        <f ca="1">NOW()</f>
        <v>42649.650160648147</v>
      </c>
      <c r="E8" s="189"/>
      <c r="F8" s="41"/>
      <c r="G8" s="35"/>
      <c r="H8" s="35"/>
      <c r="I8" s="35"/>
      <c r="J8" s="35"/>
      <c r="K8" s="35"/>
      <c r="L8" s="35"/>
      <c r="M8" s="35"/>
      <c r="N8" s="32"/>
      <c r="O8" s="32"/>
      <c r="P8" s="32"/>
    </row>
    <row r="9" spans="1:16" x14ac:dyDescent="0.25">
      <c r="A9" s="34" t="s">
        <v>110</v>
      </c>
      <c r="B9" s="35"/>
      <c r="C9" s="37" t="s">
        <v>111</v>
      </c>
      <c r="D9" s="41"/>
      <c r="E9" s="35"/>
      <c r="F9" s="35"/>
      <c r="G9" s="35"/>
      <c r="H9" s="35"/>
      <c r="I9" s="35"/>
      <c r="J9" s="35"/>
      <c r="K9" s="35"/>
      <c r="L9" s="35"/>
      <c r="M9" s="35"/>
      <c r="N9" s="32"/>
      <c r="O9" s="32"/>
      <c r="P9" s="32"/>
    </row>
    <row r="10" spans="1:16" s="23" customFormat="1" x14ac:dyDescent="0.25">
      <c r="A10" s="32"/>
      <c r="B10" s="32"/>
      <c r="C10" s="32"/>
      <c r="D10" s="32"/>
      <c r="E10" s="32"/>
      <c r="F10" s="32"/>
      <c r="G10" s="32"/>
      <c r="H10" s="32"/>
      <c r="I10" s="32"/>
      <c r="J10" s="32"/>
      <c r="K10" s="32"/>
      <c r="L10" s="32"/>
      <c r="M10" s="32"/>
      <c r="N10" s="32"/>
      <c r="O10" s="32"/>
      <c r="P10" s="32"/>
    </row>
    <row r="11" spans="1:16" x14ac:dyDescent="0.25">
      <c r="A11" s="33" t="s">
        <v>102</v>
      </c>
      <c r="B11" s="32"/>
      <c r="C11" s="32"/>
      <c r="D11" s="32"/>
      <c r="E11" s="32"/>
      <c r="F11" s="32"/>
      <c r="G11" s="32"/>
      <c r="H11" s="32"/>
      <c r="I11" s="32"/>
      <c r="J11" s="32"/>
      <c r="K11" s="32"/>
      <c r="L11" s="32"/>
      <c r="M11" s="32"/>
      <c r="N11" s="32"/>
      <c r="O11" s="32"/>
      <c r="P11" s="32"/>
    </row>
    <row r="12" spans="1:16" x14ac:dyDescent="0.25">
      <c r="A12" s="185" t="s">
        <v>103</v>
      </c>
      <c r="B12" s="185"/>
      <c r="C12" s="185"/>
      <c r="D12" s="185"/>
      <c r="E12" s="185"/>
      <c r="F12" s="185"/>
      <c r="G12" s="185"/>
      <c r="H12" s="185"/>
      <c r="I12" s="185"/>
      <c r="J12" s="185"/>
      <c r="K12" s="185"/>
      <c r="L12" s="185"/>
      <c r="M12" s="185"/>
      <c r="N12" s="32"/>
      <c r="O12" s="32"/>
      <c r="P12" s="32"/>
    </row>
    <row r="13" spans="1:16" x14ac:dyDescent="0.25">
      <c r="A13" s="185"/>
      <c r="B13" s="185"/>
      <c r="C13" s="185"/>
      <c r="D13" s="185"/>
      <c r="E13" s="185"/>
      <c r="F13" s="185"/>
      <c r="G13" s="185"/>
      <c r="H13" s="185"/>
      <c r="I13" s="185"/>
      <c r="J13" s="185"/>
      <c r="K13" s="185"/>
      <c r="L13" s="185"/>
      <c r="M13" s="185"/>
      <c r="N13" s="32"/>
      <c r="O13" s="32"/>
      <c r="P13" s="32"/>
    </row>
    <row r="14" spans="1:16" x14ac:dyDescent="0.25">
      <c r="A14" s="185"/>
      <c r="B14" s="185"/>
      <c r="C14" s="185"/>
      <c r="D14" s="185"/>
      <c r="E14" s="185"/>
      <c r="F14" s="185"/>
      <c r="G14" s="185"/>
      <c r="H14" s="185"/>
      <c r="I14" s="185"/>
      <c r="J14" s="185"/>
      <c r="K14" s="185"/>
      <c r="L14" s="185"/>
      <c r="M14" s="185"/>
      <c r="N14" s="32"/>
      <c r="O14" s="32"/>
      <c r="P14" s="32"/>
    </row>
    <row r="15" spans="1:16" x14ac:dyDescent="0.25">
      <c r="A15" s="185"/>
      <c r="B15" s="185"/>
      <c r="C15" s="185"/>
      <c r="D15" s="185"/>
      <c r="E15" s="185"/>
      <c r="F15" s="185"/>
      <c r="G15" s="185"/>
      <c r="H15" s="185"/>
      <c r="I15" s="185"/>
      <c r="J15" s="185"/>
      <c r="K15" s="185"/>
      <c r="L15" s="185"/>
      <c r="M15" s="185"/>
      <c r="N15" s="32"/>
      <c r="O15" s="32"/>
      <c r="P15" s="32"/>
    </row>
    <row r="16" spans="1:16" x14ac:dyDescent="0.25">
      <c r="A16" s="185"/>
      <c r="B16" s="185"/>
      <c r="C16" s="185"/>
      <c r="D16" s="185"/>
      <c r="E16" s="185"/>
      <c r="F16" s="185"/>
      <c r="G16" s="185"/>
      <c r="H16" s="185"/>
      <c r="I16" s="185"/>
      <c r="J16" s="185"/>
      <c r="K16" s="185"/>
      <c r="L16" s="185"/>
      <c r="M16" s="185"/>
      <c r="N16" s="32"/>
      <c r="O16" s="32"/>
      <c r="P16" s="32"/>
    </row>
    <row r="17" spans="1:16" x14ac:dyDescent="0.25">
      <c r="A17" s="185"/>
      <c r="B17" s="185"/>
      <c r="C17" s="185"/>
      <c r="D17" s="185"/>
      <c r="E17" s="185"/>
      <c r="F17" s="185"/>
      <c r="G17" s="185"/>
      <c r="H17" s="185"/>
      <c r="I17" s="185"/>
      <c r="J17" s="185"/>
      <c r="K17" s="185"/>
      <c r="L17" s="185"/>
      <c r="M17" s="185"/>
      <c r="N17" s="32"/>
      <c r="O17" s="32"/>
      <c r="P17" s="32"/>
    </row>
    <row r="18" spans="1:16" x14ac:dyDescent="0.25">
      <c r="A18" s="185"/>
      <c r="B18" s="185"/>
      <c r="C18" s="185"/>
      <c r="D18" s="185"/>
      <c r="E18" s="185"/>
      <c r="F18" s="185"/>
      <c r="G18" s="185"/>
      <c r="H18" s="185"/>
      <c r="I18" s="185"/>
      <c r="J18" s="185"/>
      <c r="K18" s="185"/>
      <c r="L18" s="185"/>
      <c r="M18" s="185"/>
      <c r="N18" s="32"/>
      <c r="O18" s="32"/>
      <c r="P18" s="32"/>
    </row>
    <row r="19" spans="1:16" x14ac:dyDescent="0.25">
      <c r="A19" s="185"/>
      <c r="B19" s="185"/>
      <c r="C19" s="185"/>
      <c r="D19" s="185"/>
      <c r="E19" s="185"/>
      <c r="F19" s="185"/>
      <c r="G19" s="185"/>
      <c r="H19" s="185"/>
      <c r="I19" s="185"/>
      <c r="J19" s="185"/>
      <c r="K19" s="185"/>
      <c r="L19" s="185"/>
      <c r="M19" s="185"/>
      <c r="N19" s="32"/>
      <c r="O19" s="32"/>
      <c r="P19" s="32"/>
    </row>
    <row r="20" spans="1:16" x14ac:dyDescent="0.25">
      <c r="A20" s="185"/>
      <c r="B20" s="185"/>
      <c r="C20" s="185"/>
      <c r="D20" s="185"/>
      <c r="E20" s="185"/>
      <c r="F20" s="185"/>
      <c r="G20" s="185"/>
      <c r="H20" s="185"/>
      <c r="I20" s="185"/>
      <c r="J20" s="185"/>
      <c r="K20" s="185"/>
      <c r="L20" s="185"/>
      <c r="M20" s="185"/>
      <c r="N20" s="32"/>
      <c r="O20" s="32"/>
      <c r="P20" s="32"/>
    </row>
    <row r="21" spans="1:16" x14ac:dyDescent="0.25">
      <c r="A21" s="185"/>
      <c r="B21" s="185"/>
      <c r="C21" s="185"/>
      <c r="D21" s="185"/>
      <c r="E21" s="185"/>
      <c r="F21" s="185"/>
      <c r="G21" s="185"/>
      <c r="H21" s="185"/>
      <c r="I21" s="185"/>
      <c r="J21" s="185"/>
      <c r="K21" s="185"/>
      <c r="L21" s="185"/>
      <c r="M21" s="185"/>
      <c r="N21" s="32"/>
      <c r="O21" s="32"/>
      <c r="P21" s="32"/>
    </row>
    <row r="22" spans="1:16" x14ac:dyDescent="0.25">
      <c r="A22" s="185"/>
      <c r="B22" s="185"/>
      <c r="C22" s="185"/>
      <c r="D22" s="185"/>
      <c r="E22" s="185"/>
      <c r="F22" s="185"/>
      <c r="G22" s="185"/>
      <c r="H22" s="185"/>
      <c r="I22" s="185"/>
      <c r="J22" s="185"/>
      <c r="K22" s="185"/>
      <c r="L22" s="185"/>
      <c r="M22" s="185"/>
      <c r="N22" s="32"/>
      <c r="O22" s="32"/>
      <c r="P22" s="32"/>
    </row>
    <row r="23" spans="1:16" x14ac:dyDescent="0.25">
      <c r="A23" s="185"/>
      <c r="B23" s="185"/>
      <c r="C23" s="185"/>
      <c r="D23" s="185"/>
      <c r="E23" s="185"/>
      <c r="F23" s="185"/>
      <c r="G23" s="185"/>
      <c r="H23" s="185"/>
      <c r="I23" s="185"/>
      <c r="J23" s="185"/>
      <c r="K23" s="185"/>
      <c r="L23" s="185"/>
      <c r="M23" s="185"/>
      <c r="N23" s="32"/>
      <c r="O23" s="32"/>
      <c r="P23" s="32"/>
    </row>
    <row r="24" spans="1:16" x14ac:dyDescent="0.25">
      <c r="A24" s="32"/>
      <c r="B24" s="32"/>
      <c r="C24" s="32"/>
      <c r="D24" s="32"/>
      <c r="E24" s="32"/>
      <c r="F24" s="32"/>
      <c r="G24" s="32"/>
      <c r="H24" s="32"/>
      <c r="I24" s="32"/>
      <c r="J24" s="32"/>
      <c r="K24" s="32"/>
      <c r="L24" s="32"/>
      <c r="M24" s="32"/>
      <c r="N24" s="32"/>
      <c r="O24" s="32"/>
      <c r="P24" s="32"/>
    </row>
    <row r="25" spans="1:16" x14ac:dyDescent="0.25">
      <c r="A25" s="34" t="s">
        <v>104</v>
      </c>
      <c r="B25" s="35"/>
      <c r="C25" s="35"/>
      <c r="D25" s="35"/>
      <c r="E25" s="35"/>
      <c r="F25" s="35"/>
      <c r="G25" s="35"/>
      <c r="H25" s="35"/>
      <c r="I25" s="35"/>
      <c r="J25" s="35"/>
      <c r="K25" s="35"/>
      <c r="L25" s="35"/>
      <c r="M25" s="35"/>
      <c r="N25" s="32"/>
      <c r="O25" s="32"/>
      <c r="P25" s="32"/>
    </row>
    <row r="26" spans="1:16" x14ac:dyDescent="0.25">
      <c r="A26" s="35"/>
      <c r="B26" s="35"/>
      <c r="C26" s="35"/>
      <c r="D26" s="35"/>
      <c r="E26" s="35"/>
      <c r="F26" s="35"/>
      <c r="G26" s="35"/>
      <c r="H26" s="35"/>
      <c r="I26" s="35"/>
      <c r="J26" s="35"/>
      <c r="K26" s="35"/>
      <c r="L26" s="35"/>
      <c r="M26" s="35"/>
      <c r="N26" s="32"/>
      <c r="O26" s="32"/>
      <c r="P26" s="32"/>
    </row>
    <row r="27" spans="1:16" x14ac:dyDescent="0.25">
      <c r="A27" s="32"/>
      <c r="B27" s="32"/>
      <c r="C27" s="32"/>
      <c r="D27" s="32"/>
      <c r="E27" s="32"/>
      <c r="F27" s="32"/>
      <c r="G27" s="32"/>
      <c r="H27" s="32"/>
      <c r="I27" s="32"/>
      <c r="J27" s="32"/>
      <c r="K27" s="32"/>
      <c r="L27" s="32"/>
      <c r="M27" s="32"/>
      <c r="N27" s="32"/>
      <c r="O27" s="32"/>
      <c r="P27" s="32"/>
    </row>
    <row r="28" spans="1:16" x14ac:dyDescent="0.25">
      <c r="A28" s="34" t="s">
        <v>105</v>
      </c>
      <c r="B28" s="35"/>
      <c r="C28" s="35"/>
      <c r="D28" s="35"/>
      <c r="E28" s="35"/>
      <c r="F28" s="35"/>
      <c r="G28" s="35"/>
      <c r="H28" s="35"/>
      <c r="I28" s="35"/>
      <c r="J28" s="35"/>
      <c r="K28" s="35"/>
      <c r="L28" s="35"/>
      <c r="M28" s="35"/>
      <c r="N28" s="32"/>
      <c r="O28" s="32"/>
      <c r="P28" s="32"/>
    </row>
    <row r="29" spans="1:16" x14ac:dyDescent="0.25">
      <c r="A29" s="190" t="s">
        <v>423</v>
      </c>
      <c r="B29" s="191"/>
      <c r="C29" s="191"/>
      <c r="D29" s="191"/>
      <c r="E29" s="191"/>
      <c r="F29" s="191"/>
      <c r="G29" s="191"/>
      <c r="H29" s="191"/>
      <c r="I29" s="191"/>
      <c r="J29" s="191"/>
      <c r="K29" s="191"/>
      <c r="L29" s="191"/>
      <c r="M29" s="191"/>
      <c r="N29" s="32"/>
      <c r="O29" s="32"/>
      <c r="P29" s="32"/>
    </row>
    <row r="31" spans="1:16" x14ac:dyDescent="0.25">
      <c r="A31" s="40" t="s">
        <v>101</v>
      </c>
      <c r="B31" s="41"/>
      <c r="C31" s="41"/>
      <c r="D31" s="41"/>
      <c r="E31" s="41"/>
      <c r="F31" s="41"/>
      <c r="G31" s="41"/>
      <c r="H31" s="41"/>
      <c r="I31" s="41"/>
      <c r="J31" s="41"/>
      <c r="K31" s="41"/>
      <c r="L31" s="41"/>
      <c r="M31" s="41"/>
    </row>
    <row r="32" spans="1:16" ht="31.5" customHeight="1" x14ac:dyDescent="0.25">
      <c r="A32" s="185" t="s">
        <v>106</v>
      </c>
      <c r="B32" s="185"/>
      <c r="C32" s="185"/>
      <c r="D32" s="185"/>
      <c r="E32" s="185"/>
      <c r="F32" s="185"/>
      <c r="G32" s="185"/>
      <c r="H32" s="185"/>
      <c r="I32" s="185"/>
      <c r="J32" s="185"/>
      <c r="K32" s="185"/>
      <c r="L32" s="185"/>
      <c r="M32" s="185"/>
    </row>
    <row r="33" spans="1:13" x14ac:dyDescent="0.25">
      <c r="A33" s="41" t="s">
        <v>112</v>
      </c>
      <c r="B33" s="41"/>
      <c r="C33" s="41"/>
      <c r="D33" s="41"/>
      <c r="E33" s="41"/>
      <c r="F33" s="42" t="s">
        <v>113</v>
      </c>
      <c r="G33" s="41"/>
      <c r="H33" s="41"/>
      <c r="I33" s="41"/>
      <c r="J33" s="41"/>
      <c r="K33" s="41"/>
      <c r="L33" s="41"/>
      <c r="M33" s="41"/>
    </row>
    <row r="34" spans="1:13" x14ac:dyDescent="0.25">
      <c r="A34" s="41" t="s">
        <v>116</v>
      </c>
      <c r="B34" s="41"/>
      <c r="C34" s="41"/>
      <c r="D34" s="41"/>
      <c r="E34" s="41"/>
      <c r="F34" s="41"/>
      <c r="G34" s="41"/>
      <c r="H34" s="41"/>
      <c r="I34" s="41"/>
      <c r="J34" s="41"/>
      <c r="K34" s="41"/>
      <c r="L34" s="41"/>
      <c r="M34" s="41"/>
    </row>
    <row r="35" spans="1:13" x14ac:dyDescent="0.25">
      <c r="A35" s="41" t="s">
        <v>117</v>
      </c>
      <c r="B35" s="41"/>
      <c r="C35" s="41"/>
      <c r="D35" s="41"/>
      <c r="E35" s="41"/>
      <c r="F35" s="41"/>
      <c r="G35" s="41"/>
      <c r="H35" s="41"/>
      <c r="I35" s="41"/>
      <c r="J35" s="41"/>
      <c r="K35" s="41"/>
      <c r="L35" s="41"/>
      <c r="M35" s="41"/>
    </row>
    <row r="36" spans="1:13" x14ac:dyDescent="0.25">
      <c r="A36" s="41" t="s">
        <v>118</v>
      </c>
      <c r="B36" s="41"/>
      <c r="C36" s="41"/>
      <c r="D36" s="41"/>
      <c r="E36" s="41"/>
      <c r="F36" s="41"/>
      <c r="G36" s="41"/>
      <c r="H36" s="41"/>
      <c r="I36" s="41"/>
      <c r="J36" s="41"/>
      <c r="K36" s="41"/>
      <c r="L36" s="41"/>
      <c r="M36" s="41"/>
    </row>
    <row r="37" spans="1:13" x14ac:dyDescent="0.25">
      <c r="A37" s="41" t="s">
        <v>424</v>
      </c>
      <c r="B37" s="41"/>
      <c r="C37" s="41"/>
      <c r="D37" s="41"/>
      <c r="E37" s="41"/>
      <c r="F37" s="41"/>
      <c r="G37" s="41"/>
      <c r="H37" s="41"/>
      <c r="I37" s="41"/>
      <c r="J37" s="41"/>
      <c r="K37" s="41"/>
      <c r="L37" s="41"/>
      <c r="M37" s="41"/>
    </row>
    <row r="38" spans="1:13" x14ac:dyDescent="0.25">
      <c r="A38" s="41" t="s">
        <v>119</v>
      </c>
      <c r="B38" s="41"/>
      <c r="C38" s="41"/>
      <c r="D38" s="41"/>
      <c r="E38" s="41"/>
      <c r="F38" s="41"/>
      <c r="G38" s="41"/>
      <c r="H38" s="41"/>
      <c r="I38" s="41"/>
      <c r="J38" s="41"/>
      <c r="K38" s="41"/>
      <c r="L38" s="41"/>
      <c r="M38" s="41"/>
    </row>
    <row r="39" spans="1:13" x14ac:dyDescent="0.25">
      <c r="A39" s="41" t="s">
        <v>120</v>
      </c>
      <c r="B39" s="41"/>
      <c r="C39" s="41"/>
      <c r="D39" s="41"/>
      <c r="E39" s="41"/>
      <c r="F39" s="41"/>
      <c r="G39" s="41"/>
      <c r="H39" s="41"/>
      <c r="I39" s="41"/>
      <c r="J39" s="41"/>
      <c r="K39" s="41"/>
      <c r="L39" s="41"/>
      <c r="M39" s="41"/>
    </row>
    <row r="42" spans="1:13" x14ac:dyDescent="0.25">
      <c r="A42" s="40" t="s">
        <v>121</v>
      </c>
      <c r="B42" s="41"/>
      <c r="C42" s="41"/>
      <c r="D42" s="41"/>
      <c r="E42" s="41"/>
      <c r="F42" s="41"/>
      <c r="G42" s="41"/>
      <c r="H42" s="41"/>
      <c r="I42" s="41"/>
      <c r="J42" s="41"/>
      <c r="K42" s="41"/>
      <c r="L42" s="41"/>
      <c r="M42" s="41"/>
    </row>
    <row r="43" spans="1:13" x14ac:dyDescent="0.25">
      <c r="A43" s="44" t="s">
        <v>122</v>
      </c>
      <c r="B43" s="45" t="s">
        <v>124</v>
      </c>
      <c r="C43" s="186" t="s">
        <v>125</v>
      </c>
      <c r="D43" s="187"/>
      <c r="E43" s="187"/>
      <c r="F43" s="187"/>
      <c r="G43" s="187"/>
      <c r="H43" s="187"/>
      <c r="I43" s="187"/>
      <c r="J43" s="187"/>
      <c r="K43" s="187"/>
      <c r="L43" s="187"/>
      <c r="M43" s="188"/>
    </row>
    <row r="44" spans="1:13" x14ac:dyDescent="0.25">
      <c r="A44" s="43" t="s">
        <v>123</v>
      </c>
      <c r="B44" s="48" t="s">
        <v>126</v>
      </c>
      <c r="C44" s="182" t="s">
        <v>221</v>
      </c>
      <c r="D44" s="182"/>
      <c r="E44" s="182"/>
      <c r="F44" s="182"/>
      <c r="G44" s="182"/>
      <c r="H44" s="182"/>
      <c r="I44" s="182"/>
      <c r="J44" s="182"/>
      <c r="K44" s="182"/>
      <c r="L44" s="182"/>
      <c r="M44" s="182"/>
    </row>
    <row r="45" spans="1:13" x14ac:dyDescent="0.25">
      <c r="A45" s="43" t="s">
        <v>123</v>
      </c>
      <c r="B45" s="48" t="s">
        <v>127</v>
      </c>
      <c r="C45" s="182" t="s">
        <v>220</v>
      </c>
      <c r="D45" s="182"/>
      <c r="E45" s="182"/>
      <c r="F45" s="182"/>
      <c r="G45" s="182"/>
      <c r="H45" s="182"/>
      <c r="I45" s="182"/>
      <c r="J45" s="182"/>
      <c r="K45" s="182"/>
      <c r="L45" s="182"/>
      <c r="M45" s="182"/>
    </row>
    <row r="46" spans="1:13" x14ac:dyDescent="0.25">
      <c r="A46" s="43" t="s">
        <v>123</v>
      </c>
      <c r="B46" s="48" t="s">
        <v>128</v>
      </c>
      <c r="C46" s="182" t="s">
        <v>219</v>
      </c>
      <c r="D46" s="182"/>
      <c r="E46" s="182"/>
      <c r="F46" s="182"/>
      <c r="G46" s="182"/>
      <c r="H46" s="182"/>
      <c r="I46" s="182"/>
      <c r="J46" s="182"/>
      <c r="K46" s="182"/>
      <c r="L46" s="182"/>
      <c r="M46" s="182"/>
    </row>
    <row r="47" spans="1:13" x14ac:dyDescent="0.25">
      <c r="A47" s="43" t="s">
        <v>123</v>
      </c>
      <c r="B47" s="48" t="s">
        <v>129</v>
      </c>
      <c r="C47" s="182" t="s">
        <v>218</v>
      </c>
      <c r="D47" s="182"/>
      <c r="E47" s="182"/>
      <c r="F47" s="182"/>
      <c r="G47" s="182"/>
      <c r="H47" s="182"/>
      <c r="I47" s="182"/>
      <c r="J47" s="182"/>
      <c r="K47" s="182"/>
      <c r="L47" s="182"/>
      <c r="M47" s="182"/>
    </row>
    <row r="48" spans="1:13" x14ac:dyDescent="0.25">
      <c r="A48" s="43" t="s">
        <v>123</v>
      </c>
      <c r="B48" s="48" t="s">
        <v>130</v>
      </c>
      <c r="C48" s="182" t="s">
        <v>217</v>
      </c>
      <c r="D48" s="182"/>
      <c r="E48" s="182"/>
      <c r="F48" s="182"/>
      <c r="G48" s="182"/>
      <c r="H48" s="182"/>
      <c r="I48" s="182"/>
      <c r="J48" s="182"/>
      <c r="K48" s="182"/>
      <c r="L48" s="182"/>
      <c r="M48" s="182"/>
    </row>
    <row r="49" spans="1:13" x14ac:dyDescent="0.25">
      <c r="A49" s="43" t="s">
        <v>123</v>
      </c>
      <c r="B49" s="48" t="s">
        <v>215</v>
      </c>
      <c r="C49" s="182" t="s">
        <v>216</v>
      </c>
      <c r="D49" s="182"/>
      <c r="E49" s="182"/>
      <c r="F49" s="182"/>
      <c r="G49" s="182"/>
      <c r="H49" s="182"/>
      <c r="I49" s="182"/>
      <c r="J49" s="182"/>
      <c r="K49" s="182"/>
      <c r="L49" s="182"/>
      <c r="M49" s="182"/>
    </row>
    <row r="50" spans="1:13" x14ac:dyDescent="0.25">
      <c r="A50" s="43" t="s">
        <v>123</v>
      </c>
      <c r="B50" s="48" t="s">
        <v>131</v>
      </c>
      <c r="C50" s="182" t="s">
        <v>214</v>
      </c>
      <c r="D50" s="182"/>
      <c r="E50" s="182"/>
      <c r="F50" s="182"/>
      <c r="G50" s="182"/>
      <c r="H50" s="182"/>
      <c r="I50" s="182"/>
      <c r="J50" s="182"/>
      <c r="K50" s="182"/>
      <c r="L50" s="182"/>
      <c r="M50" s="182"/>
    </row>
    <row r="51" spans="1:13" x14ac:dyDescent="0.25">
      <c r="A51" s="43" t="s">
        <v>123</v>
      </c>
      <c r="B51" s="48" t="s">
        <v>132</v>
      </c>
      <c r="C51" s="182" t="s">
        <v>213</v>
      </c>
      <c r="D51" s="182"/>
      <c r="E51" s="182"/>
      <c r="F51" s="182"/>
      <c r="G51" s="182"/>
      <c r="H51" s="182"/>
      <c r="I51" s="182"/>
      <c r="J51" s="182"/>
      <c r="K51" s="182"/>
      <c r="L51" s="182"/>
      <c r="M51" s="182"/>
    </row>
    <row r="52" spans="1:13" x14ac:dyDescent="0.25">
      <c r="A52" s="43" t="s">
        <v>123</v>
      </c>
      <c r="B52" s="48" t="s">
        <v>133</v>
      </c>
      <c r="C52" s="182" t="s">
        <v>212</v>
      </c>
      <c r="D52" s="182"/>
      <c r="E52" s="182"/>
      <c r="F52" s="182"/>
      <c r="G52" s="182"/>
      <c r="H52" s="182"/>
      <c r="I52" s="182"/>
      <c r="J52" s="182"/>
      <c r="K52" s="182"/>
      <c r="L52" s="182"/>
      <c r="M52" s="182"/>
    </row>
    <row r="53" spans="1:13" x14ac:dyDescent="0.25">
      <c r="A53" s="43" t="s">
        <v>123</v>
      </c>
      <c r="B53" s="38" t="s">
        <v>134</v>
      </c>
      <c r="C53" s="182" t="s">
        <v>211</v>
      </c>
      <c r="D53" s="182"/>
      <c r="E53" s="182"/>
      <c r="F53" s="182"/>
      <c r="G53" s="182"/>
      <c r="H53" s="182"/>
      <c r="I53" s="182"/>
      <c r="J53" s="182"/>
      <c r="K53" s="182"/>
      <c r="L53" s="182"/>
      <c r="M53" s="182"/>
    </row>
    <row r="54" spans="1:13" s="23" customFormat="1" x14ac:dyDescent="0.25">
      <c r="A54" s="43" t="s">
        <v>123</v>
      </c>
      <c r="B54" s="48" t="s">
        <v>210</v>
      </c>
      <c r="C54" s="182" t="s">
        <v>209</v>
      </c>
      <c r="D54" s="182"/>
      <c r="E54" s="182"/>
      <c r="F54" s="182"/>
      <c r="G54" s="182"/>
      <c r="H54" s="182"/>
      <c r="I54" s="182"/>
      <c r="J54" s="182"/>
      <c r="K54" s="182"/>
      <c r="L54" s="182"/>
      <c r="M54" s="182"/>
    </row>
    <row r="55" spans="1:13" x14ac:dyDescent="0.25">
      <c r="A55" s="43" t="s">
        <v>123</v>
      </c>
      <c r="B55" s="48" t="s">
        <v>135</v>
      </c>
      <c r="C55" s="182" t="s">
        <v>208</v>
      </c>
      <c r="D55" s="182"/>
      <c r="E55" s="182"/>
      <c r="F55" s="182"/>
      <c r="G55" s="182"/>
      <c r="H55" s="182"/>
      <c r="I55" s="182"/>
      <c r="J55" s="182"/>
      <c r="K55" s="182"/>
      <c r="L55" s="182"/>
      <c r="M55" s="182"/>
    </row>
    <row r="56" spans="1:13" x14ac:dyDescent="0.25">
      <c r="A56" s="43" t="s">
        <v>123</v>
      </c>
      <c r="B56" s="48" t="s">
        <v>136</v>
      </c>
      <c r="C56" s="182" t="s">
        <v>207</v>
      </c>
      <c r="D56" s="182"/>
      <c r="E56" s="182"/>
      <c r="F56" s="182"/>
      <c r="G56" s="182"/>
      <c r="H56" s="182"/>
      <c r="I56" s="182"/>
      <c r="J56" s="182"/>
      <c r="K56" s="182"/>
      <c r="L56" s="182"/>
      <c r="M56" s="182"/>
    </row>
    <row r="57" spans="1:13" x14ac:dyDescent="0.25">
      <c r="A57" s="43" t="s">
        <v>123</v>
      </c>
      <c r="B57" s="48" t="s">
        <v>137</v>
      </c>
      <c r="C57" s="182" t="s">
        <v>206</v>
      </c>
      <c r="D57" s="182"/>
      <c r="E57" s="182"/>
      <c r="F57" s="182"/>
      <c r="G57" s="182"/>
      <c r="H57" s="182"/>
      <c r="I57" s="182"/>
      <c r="J57" s="182"/>
      <c r="K57" s="182"/>
      <c r="L57" s="182"/>
      <c r="M57" s="182"/>
    </row>
    <row r="58" spans="1:13" x14ac:dyDescent="0.25">
      <c r="A58" s="43" t="s">
        <v>123</v>
      </c>
      <c r="B58" s="48" t="s">
        <v>138</v>
      </c>
      <c r="C58" s="182" t="s">
        <v>205</v>
      </c>
      <c r="D58" s="182"/>
      <c r="E58" s="182"/>
      <c r="F58" s="182"/>
      <c r="G58" s="182"/>
      <c r="H58" s="182"/>
      <c r="I58" s="182"/>
      <c r="J58" s="182"/>
      <c r="K58" s="182"/>
      <c r="L58" s="182"/>
      <c r="M58" s="182"/>
    </row>
    <row r="59" spans="1:13" x14ac:dyDescent="0.25">
      <c r="A59" s="43" t="s">
        <v>139</v>
      </c>
      <c r="B59" s="48" t="s">
        <v>140</v>
      </c>
      <c r="C59" s="182" t="s">
        <v>204</v>
      </c>
      <c r="D59" s="182"/>
      <c r="E59" s="182"/>
      <c r="F59" s="182"/>
      <c r="G59" s="182"/>
      <c r="H59" s="182"/>
      <c r="I59" s="182"/>
      <c r="J59" s="182"/>
      <c r="K59" s="182"/>
      <c r="L59" s="182"/>
      <c r="M59" s="182"/>
    </row>
    <row r="60" spans="1:13" x14ac:dyDescent="0.25">
      <c r="A60" s="43" t="s">
        <v>139</v>
      </c>
      <c r="B60" s="48" t="s">
        <v>141</v>
      </c>
      <c r="C60" s="182" t="s">
        <v>203</v>
      </c>
      <c r="D60" s="182"/>
      <c r="E60" s="182"/>
      <c r="F60" s="182"/>
      <c r="G60" s="182"/>
      <c r="H60" s="182"/>
      <c r="I60" s="182"/>
      <c r="J60" s="182"/>
      <c r="K60" s="182"/>
      <c r="L60" s="182"/>
      <c r="M60" s="182"/>
    </row>
    <row r="61" spans="1:13" ht="33" customHeight="1" x14ac:dyDescent="0.25">
      <c r="A61" s="43" t="s">
        <v>139</v>
      </c>
      <c r="B61" s="48" t="s">
        <v>142</v>
      </c>
      <c r="C61" s="183" t="s">
        <v>202</v>
      </c>
      <c r="D61" s="183"/>
      <c r="E61" s="183"/>
      <c r="F61" s="183"/>
      <c r="G61" s="183"/>
      <c r="H61" s="183"/>
      <c r="I61" s="183"/>
      <c r="J61" s="183"/>
      <c r="K61" s="183"/>
      <c r="L61" s="183"/>
      <c r="M61" s="183"/>
    </row>
    <row r="62" spans="1:13" x14ac:dyDescent="0.25">
      <c r="A62" s="43" t="s">
        <v>139</v>
      </c>
      <c r="B62" s="48" t="s">
        <v>143</v>
      </c>
      <c r="C62" s="182" t="s">
        <v>201</v>
      </c>
      <c r="D62" s="182"/>
      <c r="E62" s="182"/>
      <c r="F62" s="182"/>
      <c r="G62" s="182"/>
      <c r="H62" s="182"/>
      <c r="I62" s="182"/>
      <c r="J62" s="182"/>
      <c r="K62" s="182"/>
      <c r="L62" s="182"/>
      <c r="M62" s="182"/>
    </row>
    <row r="63" spans="1:13" x14ac:dyDescent="0.25">
      <c r="A63" s="43" t="s">
        <v>139</v>
      </c>
      <c r="B63" s="48" t="s">
        <v>144</v>
      </c>
      <c r="C63" s="182" t="s">
        <v>200</v>
      </c>
      <c r="D63" s="182"/>
      <c r="E63" s="182"/>
      <c r="F63" s="182"/>
      <c r="G63" s="182"/>
      <c r="H63" s="182"/>
      <c r="I63" s="182"/>
      <c r="J63" s="182"/>
      <c r="K63" s="182"/>
      <c r="L63" s="182"/>
      <c r="M63" s="182"/>
    </row>
    <row r="64" spans="1:13" x14ac:dyDescent="0.25">
      <c r="A64" s="43" t="s">
        <v>139</v>
      </c>
      <c r="B64" s="48" t="s">
        <v>145</v>
      </c>
      <c r="C64" s="182" t="s">
        <v>199</v>
      </c>
      <c r="D64" s="182"/>
      <c r="E64" s="182"/>
      <c r="F64" s="182"/>
      <c r="G64" s="182"/>
      <c r="H64" s="182"/>
      <c r="I64" s="182"/>
      <c r="J64" s="182"/>
      <c r="K64" s="182"/>
      <c r="L64" s="182"/>
      <c r="M64" s="182"/>
    </row>
    <row r="65" spans="1:13" x14ac:dyDescent="0.25">
      <c r="A65" s="43" t="s">
        <v>139</v>
      </c>
      <c r="B65" s="48" t="s">
        <v>146</v>
      </c>
      <c r="C65" s="182" t="s">
        <v>198</v>
      </c>
      <c r="D65" s="182"/>
      <c r="E65" s="182"/>
      <c r="F65" s="182"/>
      <c r="G65" s="182"/>
      <c r="H65" s="182"/>
      <c r="I65" s="182"/>
      <c r="J65" s="182"/>
      <c r="K65" s="182"/>
      <c r="L65" s="182"/>
      <c r="M65" s="182"/>
    </row>
    <row r="66" spans="1:13" x14ac:dyDescent="0.25">
      <c r="A66" s="43" t="s">
        <v>139</v>
      </c>
      <c r="B66" s="48" t="s">
        <v>147</v>
      </c>
      <c r="C66" s="182" t="s">
        <v>197</v>
      </c>
      <c r="D66" s="182"/>
      <c r="E66" s="182"/>
      <c r="F66" s="182"/>
      <c r="G66" s="182"/>
      <c r="H66" s="182"/>
      <c r="I66" s="182"/>
      <c r="J66" s="182"/>
      <c r="K66" s="182"/>
      <c r="L66" s="182"/>
      <c r="M66" s="182"/>
    </row>
    <row r="67" spans="1:13" x14ac:dyDescent="0.25">
      <c r="A67" s="43" t="s">
        <v>139</v>
      </c>
      <c r="B67" s="48" t="s">
        <v>148</v>
      </c>
      <c r="C67" s="182" t="s">
        <v>196</v>
      </c>
      <c r="D67" s="182"/>
      <c r="E67" s="182"/>
      <c r="F67" s="182"/>
      <c r="G67" s="182"/>
      <c r="H67" s="182"/>
      <c r="I67" s="182"/>
      <c r="J67" s="182"/>
      <c r="K67" s="182"/>
      <c r="L67" s="182"/>
      <c r="M67" s="182"/>
    </row>
    <row r="68" spans="1:13" x14ac:dyDescent="0.25">
      <c r="A68" s="43" t="s">
        <v>139</v>
      </c>
      <c r="B68" s="48" t="s">
        <v>149</v>
      </c>
      <c r="C68" s="182" t="s">
        <v>195</v>
      </c>
      <c r="D68" s="182"/>
      <c r="E68" s="182"/>
      <c r="F68" s="182"/>
      <c r="G68" s="182"/>
      <c r="H68" s="182"/>
      <c r="I68" s="182"/>
      <c r="J68" s="182"/>
      <c r="K68" s="182"/>
      <c r="L68" s="182"/>
      <c r="M68" s="182"/>
    </row>
    <row r="69" spans="1:13" x14ac:dyDescent="0.25">
      <c r="A69" s="43" t="s">
        <v>139</v>
      </c>
      <c r="B69" s="48" t="s">
        <v>150</v>
      </c>
      <c r="C69" s="182" t="s">
        <v>194</v>
      </c>
      <c r="D69" s="182"/>
      <c r="E69" s="182"/>
      <c r="F69" s="182"/>
      <c r="G69" s="182"/>
      <c r="H69" s="182"/>
      <c r="I69" s="182"/>
      <c r="J69" s="182"/>
      <c r="K69" s="182"/>
      <c r="L69" s="182"/>
      <c r="M69" s="182"/>
    </row>
    <row r="70" spans="1:13" x14ac:dyDescent="0.25">
      <c r="A70" s="43" t="s">
        <v>139</v>
      </c>
      <c r="B70" s="48" t="s">
        <v>151</v>
      </c>
      <c r="C70" s="182" t="s">
        <v>193</v>
      </c>
      <c r="D70" s="182"/>
      <c r="E70" s="182"/>
      <c r="F70" s="182"/>
      <c r="G70" s="182"/>
      <c r="H70" s="182"/>
      <c r="I70" s="182"/>
      <c r="J70" s="182"/>
      <c r="K70" s="182"/>
      <c r="L70" s="182"/>
      <c r="M70" s="182"/>
    </row>
    <row r="71" spans="1:13" x14ac:dyDescent="0.25">
      <c r="A71" s="43" t="s">
        <v>139</v>
      </c>
      <c r="B71" s="48" t="s">
        <v>152</v>
      </c>
      <c r="C71" s="182" t="s">
        <v>192</v>
      </c>
      <c r="D71" s="182"/>
      <c r="E71" s="182"/>
      <c r="F71" s="182"/>
      <c r="G71" s="182"/>
      <c r="H71" s="182"/>
      <c r="I71" s="182"/>
      <c r="J71" s="182"/>
      <c r="K71" s="182"/>
      <c r="L71" s="182"/>
      <c r="M71" s="182"/>
    </row>
    <row r="72" spans="1:13" x14ac:dyDescent="0.25">
      <c r="A72" s="43" t="s">
        <v>139</v>
      </c>
      <c r="B72" s="48" t="s">
        <v>153</v>
      </c>
      <c r="C72" s="182" t="s">
        <v>191</v>
      </c>
      <c r="D72" s="182"/>
      <c r="E72" s="182"/>
      <c r="F72" s="182"/>
      <c r="G72" s="182"/>
      <c r="H72" s="182"/>
      <c r="I72" s="182"/>
      <c r="J72" s="182"/>
      <c r="K72" s="182"/>
      <c r="L72" s="182"/>
      <c r="M72" s="182"/>
    </row>
    <row r="73" spans="1:13" x14ac:dyDescent="0.25">
      <c r="A73" s="43" t="s">
        <v>139</v>
      </c>
      <c r="B73" s="48" t="s">
        <v>154</v>
      </c>
      <c r="C73" s="182" t="s">
        <v>190</v>
      </c>
      <c r="D73" s="182"/>
      <c r="E73" s="182"/>
      <c r="F73" s="182"/>
      <c r="G73" s="182"/>
      <c r="H73" s="182"/>
      <c r="I73" s="182"/>
      <c r="J73" s="182"/>
      <c r="K73" s="182"/>
      <c r="L73" s="182"/>
      <c r="M73" s="182"/>
    </row>
    <row r="74" spans="1:13" x14ac:dyDescent="0.25">
      <c r="A74" s="43" t="s">
        <v>139</v>
      </c>
      <c r="B74" s="48" t="s">
        <v>155</v>
      </c>
      <c r="C74" s="182" t="s">
        <v>189</v>
      </c>
      <c r="D74" s="182"/>
      <c r="E74" s="182"/>
      <c r="F74" s="182"/>
      <c r="G74" s="182"/>
      <c r="H74" s="182"/>
      <c r="I74" s="182"/>
      <c r="J74" s="182"/>
      <c r="K74" s="182"/>
      <c r="L74" s="182"/>
      <c r="M74" s="182"/>
    </row>
    <row r="75" spans="1:13" x14ac:dyDescent="0.25">
      <c r="A75" s="43" t="s">
        <v>139</v>
      </c>
      <c r="B75" s="48" t="s">
        <v>156</v>
      </c>
      <c r="C75" s="182" t="s">
        <v>188</v>
      </c>
      <c r="D75" s="182"/>
      <c r="E75" s="182"/>
      <c r="F75" s="182"/>
      <c r="G75" s="182"/>
      <c r="H75" s="182"/>
      <c r="I75" s="182"/>
      <c r="J75" s="182"/>
      <c r="K75" s="182"/>
      <c r="L75" s="182"/>
      <c r="M75" s="182"/>
    </row>
    <row r="76" spans="1:13" x14ac:dyDescent="0.25">
      <c r="A76" s="43" t="s">
        <v>139</v>
      </c>
      <c r="B76" s="48" t="s">
        <v>157</v>
      </c>
      <c r="C76" s="182" t="s">
        <v>187</v>
      </c>
      <c r="D76" s="182"/>
      <c r="E76" s="182"/>
      <c r="F76" s="182"/>
      <c r="G76" s="182"/>
      <c r="H76" s="182"/>
      <c r="I76" s="182"/>
      <c r="J76" s="182"/>
      <c r="K76" s="182"/>
      <c r="L76" s="182"/>
      <c r="M76" s="182"/>
    </row>
    <row r="77" spans="1:13" s="23" customFormat="1" x14ac:dyDescent="0.25">
      <c r="A77" s="43" t="s">
        <v>139</v>
      </c>
      <c r="B77" s="48" t="s">
        <v>425</v>
      </c>
      <c r="C77" s="192" t="s">
        <v>426</v>
      </c>
      <c r="D77" s="193"/>
      <c r="E77" s="193"/>
      <c r="F77" s="193"/>
      <c r="G77" s="193"/>
      <c r="H77" s="193"/>
      <c r="I77" s="193"/>
      <c r="J77" s="193"/>
      <c r="K77" s="193"/>
      <c r="L77" s="193"/>
      <c r="M77" s="194"/>
    </row>
    <row r="78" spans="1:13" x14ac:dyDescent="0.25">
      <c r="A78" s="43" t="s">
        <v>139</v>
      </c>
      <c r="B78" s="48" t="s">
        <v>158</v>
      </c>
      <c r="C78" s="182" t="s">
        <v>186</v>
      </c>
      <c r="D78" s="182"/>
      <c r="E78" s="182"/>
      <c r="F78" s="182"/>
      <c r="G78" s="182"/>
      <c r="H78" s="182"/>
      <c r="I78" s="182"/>
      <c r="J78" s="182"/>
      <c r="K78" s="182"/>
      <c r="L78" s="182"/>
      <c r="M78" s="182"/>
    </row>
    <row r="79" spans="1:13" ht="29.25" customHeight="1" x14ac:dyDescent="0.25">
      <c r="A79" s="43" t="s">
        <v>139</v>
      </c>
      <c r="B79" s="48" t="s">
        <v>159</v>
      </c>
      <c r="C79" s="183" t="s">
        <v>185</v>
      </c>
      <c r="D79" s="183"/>
      <c r="E79" s="183"/>
      <c r="F79" s="183"/>
      <c r="G79" s="183"/>
      <c r="H79" s="183"/>
      <c r="I79" s="183"/>
      <c r="J79" s="183"/>
      <c r="K79" s="183"/>
      <c r="L79" s="183"/>
      <c r="M79" s="183"/>
    </row>
    <row r="80" spans="1:13" x14ac:dyDescent="0.25">
      <c r="A80" s="43" t="s">
        <v>139</v>
      </c>
      <c r="B80" s="48" t="s">
        <v>183</v>
      </c>
      <c r="C80" s="182" t="s">
        <v>184</v>
      </c>
      <c r="D80" s="182"/>
      <c r="E80" s="182"/>
      <c r="F80" s="182"/>
      <c r="G80" s="182"/>
      <c r="H80" s="182"/>
      <c r="I80" s="182"/>
      <c r="J80" s="182"/>
      <c r="K80" s="182"/>
      <c r="L80" s="182"/>
      <c r="M80" s="182"/>
    </row>
    <row r="81" spans="1:13" x14ac:dyDescent="0.25">
      <c r="A81" s="43" t="s">
        <v>139</v>
      </c>
      <c r="B81" s="48" t="s">
        <v>160</v>
      </c>
      <c r="C81" s="182" t="s">
        <v>182</v>
      </c>
      <c r="D81" s="182"/>
      <c r="E81" s="182"/>
      <c r="F81" s="182"/>
      <c r="G81" s="182"/>
      <c r="H81" s="182"/>
      <c r="I81" s="182"/>
      <c r="J81" s="182"/>
      <c r="K81" s="182"/>
      <c r="L81" s="182"/>
      <c r="M81" s="182"/>
    </row>
    <row r="82" spans="1:13" x14ac:dyDescent="0.25">
      <c r="A82" s="43" t="s">
        <v>139</v>
      </c>
      <c r="B82" s="49" t="s">
        <v>161</v>
      </c>
      <c r="C82" s="182" t="s">
        <v>181</v>
      </c>
      <c r="D82" s="182"/>
      <c r="E82" s="182"/>
      <c r="F82" s="182"/>
      <c r="G82" s="182"/>
      <c r="H82" s="182"/>
      <c r="I82" s="182"/>
      <c r="J82" s="182"/>
      <c r="K82" s="182"/>
      <c r="L82" s="182"/>
      <c r="M82" s="182"/>
    </row>
    <row r="83" spans="1:13" x14ac:dyDescent="0.25">
      <c r="A83" s="43" t="s">
        <v>139</v>
      </c>
      <c r="B83" s="49" t="s">
        <v>162</v>
      </c>
      <c r="C83" s="182" t="s">
        <v>180</v>
      </c>
      <c r="D83" s="182"/>
      <c r="E83" s="182"/>
      <c r="F83" s="182"/>
      <c r="G83" s="182"/>
      <c r="H83" s="182"/>
      <c r="I83" s="182"/>
      <c r="J83" s="182"/>
      <c r="K83" s="182"/>
      <c r="L83" s="182"/>
      <c r="M83" s="182"/>
    </row>
    <row r="84" spans="1:13" s="23" customFormat="1" x14ac:dyDescent="0.25">
      <c r="A84" s="43" t="s">
        <v>139</v>
      </c>
      <c r="B84" s="49" t="s">
        <v>179</v>
      </c>
      <c r="C84" s="182" t="s">
        <v>178</v>
      </c>
      <c r="D84" s="182"/>
      <c r="E84" s="182"/>
      <c r="F84" s="182"/>
      <c r="G84" s="182"/>
      <c r="H84" s="182"/>
      <c r="I84" s="182"/>
      <c r="J84" s="182"/>
      <c r="K84" s="182"/>
      <c r="L84" s="182"/>
      <c r="M84" s="182"/>
    </row>
    <row r="85" spans="1:13" x14ac:dyDescent="0.25">
      <c r="A85" s="43" t="s">
        <v>139</v>
      </c>
      <c r="B85" s="49" t="s">
        <v>163</v>
      </c>
      <c r="C85" s="182" t="s">
        <v>177</v>
      </c>
      <c r="D85" s="182"/>
      <c r="E85" s="182"/>
      <c r="F85" s="182"/>
      <c r="G85" s="182"/>
      <c r="H85" s="182"/>
      <c r="I85" s="182"/>
      <c r="J85" s="182"/>
      <c r="K85" s="182"/>
      <c r="L85" s="182"/>
      <c r="M85" s="182"/>
    </row>
    <row r="86" spans="1:13" x14ac:dyDescent="0.25">
      <c r="A86" s="43" t="s">
        <v>139</v>
      </c>
      <c r="B86" s="49" t="s">
        <v>164</v>
      </c>
      <c r="C86" s="182" t="s">
        <v>176</v>
      </c>
      <c r="D86" s="182"/>
      <c r="E86" s="182"/>
      <c r="F86" s="182"/>
      <c r="G86" s="182"/>
      <c r="H86" s="182"/>
      <c r="I86" s="182"/>
      <c r="J86" s="182"/>
      <c r="K86" s="182"/>
      <c r="L86" s="182"/>
      <c r="M86" s="182"/>
    </row>
    <row r="87" spans="1:13" s="23" customFormat="1" x14ac:dyDescent="0.25">
      <c r="A87" s="43" t="s">
        <v>139</v>
      </c>
      <c r="B87" s="49" t="s">
        <v>427</v>
      </c>
      <c r="C87" s="182" t="s">
        <v>428</v>
      </c>
      <c r="D87" s="182"/>
      <c r="E87" s="182"/>
      <c r="F87" s="182"/>
      <c r="G87" s="182"/>
      <c r="H87" s="182"/>
      <c r="I87" s="182"/>
      <c r="J87" s="182"/>
      <c r="K87" s="182"/>
      <c r="L87" s="182"/>
      <c r="M87" s="182"/>
    </row>
    <row r="88" spans="1:13" s="23" customFormat="1" x14ac:dyDescent="0.25">
      <c r="A88" s="43" t="s">
        <v>139</v>
      </c>
      <c r="B88" s="49" t="s">
        <v>429</v>
      </c>
      <c r="C88" s="182" t="s">
        <v>430</v>
      </c>
      <c r="D88" s="182"/>
      <c r="E88" s="182"/>
      <c r="F88" s="182"/>
      <c r="G88" s="182"/>
      <c r="H88" s="182"/>
      <c r="I88" s="182"/>
      <c r="J88" s="182"/>
      <c r="K88" s="182"/>
      <c r="L88" s="182"/>
      <c r="M88" s="182"/>
    </row>
    <row r="89" spans="1:13" s="23" customFormat="1" x14ac:dyDescent="0.25">
      <c r="A89" s="43" t="s">
        <v>139</v>
      </c>
      <c r="B89" s="49" t="s">
        <v>431</v>
      </c>
      <c r="C89" s="182" t="s">
        <v>434</v>
      </c>
      <c r="D89" s="182"/>
      <c r="E89" s="182"/>
      <c r="F89" s="182"/>
      <c r="G89" s="182"/>
      <c r="H89" s="182"/>
      <c r="I89" s="182"/>
      <c r="J89" s="182"/>
      <c r="K89" s="182"/>
      <c r="L89" s="182"/>
      <c r="M89" s="182"/>
    </row>
    <row r="90" spans="1:13" s="23" customFormat="1" x14ac:dyDescent="0.25">
      <c r="A90" s="43" t="s">
        <v>139</v>
      </c>
      <c r="B90" s="49" t="s">
        <v>432</v>
      </c>
      <c r="C90" s="182" t="s">
        <v>433</v>
      </c>
      <c r="D90" s="182"/>
      <c r="E90" s="182"/>
      <c r="F90" s="182"/>
      <c r="G90" s="182"/>
      <c r="H90" s="182"/>
      <c r="I90" s="182"/>
      <c r="J90" s="182"/>
      <c r="K90" s="182"/>
      <c r="L90" s="182"/>
      <c r="M90" s="182"/>
    </row>
    <row r="91" spans="1:13" x14ac:dyDescent="0.25">
      <c r="A91" s="43" t="s">
        <v>139</v>
      </c>
      <c r="B91" s="49" t="s">
        <v>165</v>
      </c>
      <c r="C91" s="182" t="s">
        <v>175</v>
      </c>
      <c r="D91" s="182"/>
      <c r="E91" s="182"/>
      <c r="F91" s="182"/>
      <c r="G91" s="182"/>
      <c r="H91" s="182"/>
      <c r="I91" s="182"/>
      <c r="J91" s="182"/>
      <c r="K91" s="182"/>
      <c r="L91" s="182"/>
      <c r="M91" s="182"/>
    </row>
    <row r="92" spans="1:13" x14ac:dyDescent="0.25">
      <c r="A92" s="43" t="s">
        <v>139</v>
      </c>
      <c r="B92" s="49" t="s">
        <v>166</v>
      </c>
      <c r="C92" s="182" t="s">
        <v>173</v>
      </c>
      <c r="D92" s="182"/>
      <c r="E92" s="182"/>
      <c r="F92" s="182"/>
      <c r="G92" s="182"/>
      <c r="H92" s="182"/>
      <c r="I92" s="182"/>
      <c r="J92" s="182"/>
      <c r="K92" s="182"/>
      <c r="L92" s="182"/>
      <c r="M92" s="182"/>
    </row>
    <row r="93" spans="1:13" x14ac:dyDescent="0.25">
      <c r="A93" s="43" t="s">
        <v>139</v>
      </c>
      <c r="B93" s="49" t="s">
        <v>167</v>
      </c>
      <c r="C93" s="182" t="s">
        <v>174</v>
      </c>
      <c r="D93" s="182"/>
      <c r="E93" s="182"/>
      <c r="F93" s="182"/>
      <c r="G93" s="182"/>
      <c r="H93" s="182"/>
      <c r="I93" s="182"/>
      <c r="J93" s="182"/>
      <c r="K93" s="182"/>
      <c r="L93" s="182"/>
      <c r="M93" s="182"/>
    </row>
    <row r="94" spans="1:13" x14ac:dyDescent="0.25">
      <c r="A94" s="43" t="s">
        <v>139</v>
      </c>
      <c r="B94" s="49" t="s">
        <v>168</v>
      </c>
      <c r="C94" s="182" t="s">
        <v>172</v>
      </c>
      <c r="D94" s="182"/>
      <c r="E94" s="182"/>
      <c r="F94" s="182"/>
      <c r="G94" s="182"/>
      <c r="H94" s="182"/>
      <c r="I94" s="182"/>
      <c r="J94" s="182"/>
      <c r="K94" s="182"/>
      <c r="L94" s="182"/>
      <c r="M94" s="182"/>
    </row>
    <row r="95" spans="1:13" x14ac:dyDescent="0.25">
      <c r="A95" s="43" t="s">
        <v>169</v>
      </c>
      <c r="B95" s="49" t="s">
        <v>170</v>
      </c>
      <c r="C95" s="182" t="s">
        <v>171</v>
      </c>
      <c r="D95" s="182"/>
      <c r="E95" s="182"/>
      <c r="F95" s="182"/>
      <c r="G95" s="182"/>
      <c r="H95" s="182"/>
      <c r="I95" s="182"/>
      <c r="J95" s="182"/>
      <c r="K95" s="182"/>
      <c r="L95" s="182"/>
      <c r="M95" s="182"/>
    </row>
  </sheetData>
  <mergeCells count="59">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 ref="C70:M70"/>
    <mergeCell ref="C71:M71"/>
    <mergeCell ref="C72:M72"/>
    <mergeCell ref="C73:M73"/>
    <mergeCell ref="C82:M82"/>
    <mergeCell ref="C85:M85"/>
    <mergeCell ref="C86:M86"/>
    <mergeCell ref="C75:M75"/>
    <mergeCell ref="C76:M76"/>
    <mergeCell ref="C78:M78"/>
    <mergeCell ref="C79:M79"/>
    <mergeCell ref="C80:M80"/>
    <mergeCell ref="C81:M81"/>
    <mergeCell ref="C77:M77"/>
    <mergeCell ref="C45:M45"/>
    <mergeCell ref="C46:M46"/>
    <mergeCell ref="C47:M47"/>
    <mergeCell ref="C48:M48"/>
    <mergeCell ref="C49:M49"/>
    <mergeCell ref="A1:M1"/>
    <mergeCell ref="A5:D5"/>
    <mergeCell ref="A12:M23"/>
    <mergeCell ref="A32:M32"/>
    <mergeCell ref="C44:M44"/>
    <mergeCell ref="C43:M43"/>
    <mergeCell ref="D8:E8"/>
    <mergeCell ref="A29:M2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s>
  <hyperlinks>
    <hyperlink ref="C9" location="'Copyright &amp; License'!A1" display="Click here"/>
    <hyperlink ref="F33" location="BearRiverNetwork!A1" display="Lower Bear River Network"/>
    <hyperlink ref="B44" location="SubInd!A1" display="s"/>
    <hyperlink ref="B45" location="Nodes!A1" display="j"/>
    <hyperlink ref="B46" location="Demand!A1" display="dem"/>
    <hyperlink ref="B47" location="Reservoirs!A1" display="v"/>
    <hyperlink ref="B48" location="FishSpp!A1" display="y"/>
    <hyperlink ref="B49" location="VegSpp!A1" display="n"/>
    <hyperlink ref="B50" location="Month!A1" display="t"/>
    <hyperlink ref="B51" location="R_indx!A1" display="RA_par_indx"/>
    <hyperlink ref="B52" location="sf_indx!A1" display="sf_par_indx"/>
    <hyperlink ref="B53" location="wf_indx!A1" display="wf_par_indx"/>
    <hyperlink ref="B54" location="wsi_indx!A1" display="wsi_par_indx"/>
    <hyperlink ref="B55" location="rsiIndex!A1" display="rsi_indx"/>
    <hyperlink ref="B56" location="fciIndex!A1" display="fci_indx"/>
    <hyperlink ref="B57" location="NodesNotDemand!A1" display="NodeNotDemandSite"/>
    <hyperlink ref="B58" location="NodeNotHeadwater!A1" display="NodeNotHeadwater"/>
    <hyperlink ref="B59" location="LinkName!A1" display="LinkID"/>
    <hyperlink ref="B60" location="Connect!A1" display="linkexist"/>
    <hyperlink ref="B61" location="EnvSite!A1" display="envSiteExist"/>
    <hyperlink ref="B62" location="ReturnFlow!A1" display="returnFlowExist"/>
    <hyperlink ref="B63" location="Diversions!A1" display="DiversionExist"/>
    <hyperlink ref="B64" location="WetlandsSites!A1" display="WetlandsExist"/>
    <hyperlink ref="B65" location="LinktoReservoir!A1" display="LinktoReservoir"/>
    <hyperlink ref="B66" location="LinkOutReservoir!A1" display="LinkOutReservoir"/>
    <hyperlink ref="B67" location="weights!A1" display="wght"/>
    <hyperlink ref="B68" location="HeadFlow!A1" display="reachGain"/>
    <hyperlink ref="B69" location="aw!A1" display="aw"/>
    <hyperlink ref="B71" location="evap!A1" display="evap"/>
    <hyperlink ref="B70" location="lss!A1" display="lss"/>
    <hyperlink ref="B72" location="Cons!A1" display="cons"/>
    <hyperlink ref="B73" location="Length!A1" display="lng"/>
    <hyperlink ref="B74" location="inactive!A1" display="minstor"/>
    <hyperlink ref="B75" location="capacity!A1" display="maxstor"/>
    <hyperlink ref="B76" location="demandReq!A1" display="dReq"/>
    <hyperlink ref="B78" location="divCap!A1" display="dCap"/>
    <hyperlink ref="B79" location="Instream!A1" display="instreamReq"/>
    <hyperlink ref="B80" location="UnitCost!A1" display="cst"/>
    <hyperlink ref="B81" location="ResElevVol!A1" display="RA_par"/>
    <hyperlink ref="B82" location="StageFlow!A1" display="sf_par"/>
    <hyperlink ref="B83" location="WidthFlow!A1" display="wf_par"/>
    <hyperlink ref="B84" location="wp!A1" display="wsi_par"/>
    <hyperlink ref="B85" location="rsiEQ!A1" display="rsi_par"/>
    <hyperlink ref="B86" location="fciEQ!A1" display="fci_par"/>
    <hyperlink ref="B91" location="InStor!A1" display="initSTOR"/>
    <hyperlink ref="B92" location="InitD!A1" display="InitD"/>
    <hyperlink ref="B93" location="InitC!A1" display="InitC"/>
    <hyperlink ref="B94" location="Revegetate!A1" display="rv"/>
    <hyperlink ref="B95" location="Budget!A1" display="b"/>
    <hyperlink ref="A29" r:id="rId1"/>
    <hyperlink ref="B77" location="linkEvap!A1" display="linkevap"/>
    <hyperlink ref="B88" location="MaxVegCover!A1" display="CMax"/>
    <hyperlink ref="B89" location="DemandRuns!A1" display="Dvalue"/>
    <hyperlink ref="B90" location="QRunValues!A1" display="Qloop"/>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B1"/>
  <sheetViews>
    <sheetView workbookViewId="0">
      <selection sqref="A1:A28"/>
    </sheetView>
  </sheetViews>
  <sheetFormatPr defaultColWidth="9.125" defaultRowHeight="15" x14ac:dyDescent="0.25"/>
  <cols>
    <col min="1" max="1" width="23" style="23" customWidth="1"/>
    <col min="2" max="2" width="8.875"/>
    <col min="3" max="5" width="9.125" style="23"/>
    <col min="6" max="6" width="15.875" style="23" bestFit="1" customWidth="1"/>
    <col min="7" max="16384" width="9.125" style="23"/>
  </cols>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2"/>
  <sheetViews>
    <sheetView zoomScale="115" zoomScaleNormal="115" workbookViewId="0">
      <selection activeCell="E19" sqref="E19"/>
    </sheetView>
  </sheetViews>
  <sheetFormatPr defaultColWidth="9.125" defaultRowHeight="15" x14ac:dyDescent="0.25"/>
  <cols>
    <col min="1" max="1" width="12.375" style="23" bestFit="1" customWidth="1"/>
    <col min="2" max="2" width="23" style="23" customWidth="1"/>
    <col min="3" max="5" width="9.125" style="23"/>
    <col min="6" max="6" width="15.875" style="23" bestFit="1" customWidth="1"/>
    <col min="7" max="16384" width="9.125" style="23"/>
  </cols>
  <sheetData>
    <row r="1" spans="1:1" x14ac:dyDescent="0.25">
      <c r="A1" s="23" t="s">
        <v>32</v>
      </c>
    </row>
    <row r="2" spans="1:1" x14ac:dyDescent="0.25">
      <c r="A2" s="23" t="s">
        <v>33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workbookViewId="0">
      <selection activeCell="A5" sqref="A1:A5"/>
    </sheetView>
  </sheetViews>
  <sheetFormatPr defaultRowHeight="15" x14ac:dyDescent="0.25"/>
  <cols>
    <col min="1" max="1" width="10.25" bestFit="1" customWidth="1"/>
  </cols>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heetViews>
  <sheetFormatPr defaultRowHeight="15" x14ac:dyDescent="0.25"/>
  <sheetData>
    <row r="1" spans="1:1" x14ac:dyDescent="0.25">
      <c r="A1" s="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workbookViewId="0">
      <selection activeCell="B8" sqref="B8"/>
    </sheetView>
  </sheetViews>
  <sheetFormatPr defaultRowHeight="15" x14ac:dyDescent="0.25"/>
  <cols>
    <col min="2" max="2" width="24.375" bestFit="1" customWidth="1"/>
    <col min="6" max="6" width="15.625"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A3"/>
  <sheetViews>
    <sheetView workbookViewId="0">
      <selection activeCell="C19" sqref="C19"/>
    </sheetView>
  </sheetViews>
  <sheetFormatPr defaultRowHeight="15" x14ac:dyDescent="0.25"/>
  <sheetData>
    <row r="1" spans="1:1" x14ac:dyDescent="0.25">
      <c r="A1" t="s">
        <v>13</v>
      </c>
    </row>
    <row r="2" spans="1:1" x14ac:dyDescent="0.25">
      <c r="A2" t="s">
        <v>14</v>
      </c>
    </row>
    <row r="3" spans="1:1" x14ac:dyDescent="0.25">
      <c r="A3" s="23" t="s">
        <v>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A2"/>
  <sheetViews>
    <sheetView workbookViewId="0"/>
  </sheetViews>
  <sheetFormatPr defaultRowHeight="15" x14ac:dyDescent="0.25"/>
  <sheetData>
    <row r="1" spans="1:1" x14ac:dyDescent="0.25">
      <c r="A1" t="s">
        <v>15</v>
      </c>
    </row>
    <row r="2" spans="1:1" x14ac:dyDescent="0.25">
      <c r="A2" t="s">
        <v>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A3"/>
  <sheetViews>
    <sheetView workbookViewId="0">
      <selection activeCell="I17" sqref="I17"/>
    </sheetView>
  </sheetViews>
  <sheetFormatPr defaultRowHeight="15" x14ac:dyDescent="0.25"/>
  <sheetData>
    <row r="1" spans="1:1" x14ac:dyDescent="0.25">
      <c r="A1" t="s">
        <v>17</v>
      </c>
    </row>
    <row r="2" spans="1:1" x14ac:dyDescent="0.25">
      <c r="A2" t="s">
        <v>18</v>
      </c>
    </row>
    <row r="3" spans="1:1" x14ac:dyDescent="0.25">
      <c r="A3" s="2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A2"/>
  <sheetViews>
    <sheetView workbookViewId="0">
      <selection activeCell="A3" sqref="A3"/>
    </sheetView>
  </sheetViews>
  <sheetFormatPr defaultRowHeight="15" x14ac:dyDescent="0.25"/>
  <sheetData>
    <row r="1" spans="1:1" x14ac:dyDescent="0.25">
      <c r="A1" t="s">
        <v>11</v>
      </c>
    </row>
    <row r="2" spans="1:1" x14ac:dyDescent="0.25">
      <c r="A2" t="s">
        <v>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2"/>
  <sheetViews>
    <sheetView zoomScale="85" zoomScaleNormal="85" workbookViewId="0">
      <selection activeCell="B2" sqref="B2"/>
    </sheetView>
  </sheetViews>
  <sheetFormatPr defaultRowHeight="15" x14ac:dyDescent="0.25"/>
  <cols>
    <col min="1" max="38" width="5.625" customWidth="1"/>
    <col min="39" max="39" width="4.875" customWidth="1"/>
  </cols>
  <sheetData>
    <row r="1" spans="1:2" x14ac:dyDescent="0.25">
      <c r="B1" t="s">
        <v>33</v>
      </c>
    </row>
    <row r="2" spans="1:2" x14ac:dyDescent="0.25">
      <c r="A2" t="s">
        <v>32</v>
      </c>
      <c r="B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35"/>
  <sheetViews>
    <sheetView showGridLines="0" workbookViewId="0">
      <selection sqref="A1:J1"/>
    </sheetView>
  </sheetViews>
  <sheetFormatPr defaultColWidth="9.125" defaultRowHeight="15" x14ac:dyDescent="0.25"/>
  <cols>
    <col min="1" max="9" width="9.125" style="23"/>
    <col min="10" max="10" width="22" style="23" customWidth="1"/>
    <col min="11" max="16384" width="9.125" style="23"/>
  </cols>
  <sheetData>
    <row r="1" spans="1:12" ht="15.75" x14ac:dyDescent="0.25">
      <c r="A1" s="195" t="s">
        <v>109</v>
      </c>
      <c r="B1" s="195"/>
      <c r="C1" s="195"/>
      <c r="D1" s="195"/>
      <c r="E1" s="195"/>
      <c r="F1" s="195"/>
      <c r="G1" s="195"/>
      <c r="H1" s="195"/>
      <c r="I1" s="195"/>
      <c r="J1" s="195"/>
    </row>
    <row r="2" spans="1:12" ht="15.75" customHeight="1" x14ac:dyDescent="0.25">
      <c r="A2" s="195" t="s">
        <v>108</v>
      </c>
      <c r="B2" s="195"/>
      <c r="C2" s="195"/>
      <c r="D2" s="195"/>
      <c r="E2" s="195"/>
      <c r="F2" s="195"/>
      <c r="G2" s="195"/>
      <c r="H2" s="195"/>
      <c r="I2" s="195"/>
      <c r="J2" s="195"/>
    </row>
    <row r="3" spans="1:12" ht="15.75" customHeight="1" x14ac:dyDescent="0.25">
      <c r="A3" s="196" t="s">
        <v>107</v>
      </c>
      <c r="B3" s="196"/>
      <c r="C3" s="196"/>
      <c r="D3" s="196"/>
      <c r="E3" s="196"/>
      <c r="F3" s="196"/>
      <c r="G3" s="196"/>
      <c r="H3" s="196"/>
      <c r="I3" s="196"/>
      <c r="J3" s="196"/>
      <c r="K3" s="196"/>
      <c r="L3" s="196"/>
    </row>
    <row r="4" spans="1:12" ht="15.75" customHeight="1" x14ac:dyDescent="0.25">
      <c r="A4" s="196"/>
      <c r="B4" s="196"/>
      <c r="C4" s="196"/>
      <c r="D4" s="196"/>
      <c r="E4" s="196"/>
      <c r="F4" s="196"/>
      <c r="G4" s="196"/>
      <c r="H4" s="196"/>
      <c r="I4" s="196"/>
      <c r="J4" s="196"/>
      <c r="K4" s="196"/>
      <c r="L4" s="196"/>
    </row>
    <row r="5" spans="1:12" ht="15.75" customHeight="1" x14ac:dyDescent="0.25">
      <c r="A5" s="196"/>
      <c r="B5" s="196"/>
      <c r="C5" s="196"/>
      <c r="D5" s="196"/>
      <c r="E5" s="196"/>
      <c r="F5" s="196"/>
      <c r="G5" s="196"/>
      <c r="H5" s="196"/>
      <c r="I5" s="196"/>
      <c r="J5" s="196"/>
      <c r="K5" s="196"/>
      <c r="L5" s="196"/>
    </row>
    <row r="6" spans="1:12" ht="15.75" customHeight="1" x14ac:dyDescent="0.25">
      <c r="A6" s="196"/>
      <c r="B6" s="196"/>
      <c r="C6" s="196"/>
      <c r="D6" s="196"/>
      <c r="E6" s="196"/>
      <c r="F6" s="196"/>
      <c r="G6" s="196"/>
      <c r="H6" s="196"/>
      <c r="I6" s="196"/>
      <c r="J6" s="196"/>
      <c r="K6" s="196"/>
      <c r="L6" s="196"/>
    </row>
    <row r="7" spans="1:12" ht="15.75" customHeight="1" x14ac:dyDescent="0.25">
      <c r="A7" s="196"/>
      <c r="B7" s="196"/>
      <c r="C7" s="196"/>
      <c r="D7" s="196"/>
      <c r="E7" s="196"/>
      <c r="F7" s="196"/>
      <c r="G7" s="196"/>
      <c r="H7" s="196"/>
      <c r="I7" s="196"/>
      <c r="J7" s="196"/>
      <c r="K7" s="196"/>
      <c r="L7" s="196"/>
    </row>
    <row r="8" spans="1:12" ht="15.75" customHeight="1" x14ac:dyDescent="0.25">
      <c r="A8" s="196"/>
      <c r="B8" s="196"/>
      <c r="C8" s="196"/>
      <c r="D8" s="196"/>
      <c r="E8" s="196"/>
      <c r="F8" s="196"/>
      <c r="G8" s="196"/>
      <c r="H8" s="196"/>
      <c r="I8" s="196"/>
      <c r="J8" s="196"/>
      <c r="K8" s="196"/>
      <c r="L8" s="196"/>
    </row>
    <row r="9" spans="1:12" ht="15.75" customHeight="1" x14ac:dyDescent="0.25">
      <c r="A9" s="196"/>
      <c r="B9" s="196"/>
      <c r="C9" s="196"/>
      <c r="D9" s="196"/>
      <c r="E9" s="196"/>
      <c r="F9" s="196"/>
      <c r="G9" s="196"/>
      <c r="H9" s="196"/>
      <c r="I9" s="196"/>
      <c r="J9" s="196"/>
      <c r="K9" s="196"/>
      <c r="L9" s="196"/>
    </row>
    <row r="10" spans="1:12" ht="15.75" customHeight="1" x14ac:dyDescent="0.25">
      <c r="A10" s="196"/>
      <c r="B10" s="196"/>
      <c r="C10" s="196"/>
      <c r="D10" s="196"/>
      <c r="E10" s="196"/>
      <c r="F10" s="196"/>
      <c r="G10" s="196"/>
      <c r="H10" s="196"/>
      <c r="I10" s="196"/>
      <c r="J10" s="196"/>
      <c r="K10" s="196"/>
      <c r="L10" s="196"/>
    </row>
    <row r="11" spans="1:12" ht="15.75" customHeight="1" x14ac:dyDescent="0.25">
      <c r="A11" s="196"/>
      <c r="B11" s="196"/>
      <c r="C11" s="196"/>
      <c r="D11" s="196"/>
      <c r="E11" s="196"/>
      <c r="F11" s="196"/>
      <c r="G11" s="196"/>
      <c r="H11" s="196"/>
      <c r="I11" s="196"/>
      <c r="J11" s="196"/>
      <c r="K11" s="196"/>
      <c r="L11" s="196"/>
    </row>
    <row r="12" spans="1:12" ht="15.75" customHeight="1" x14ac:dyDescent="0.25">
      <c r="A12" s="196"/>
      <c r="B12" s="196"/>
      <c r="C12" s="196"/>
      <c r="D12" s="196"/>
      <c r="E12" s="196"/>
      <c r="F12" s="196"/>
      <c r="G12" s="196"/>
      <c r="H12" s="196"/>
      <c r="I12" s="196"/>
      <c r="J12" s="196"/>
      <c r="K12" s="196"/>
      <c r="L12" s="196"/>
    </row>
    <row r="13" spans="1:12" ht="15.75" customHeight="1" x14ac:dyDescent="0.25">
      <c r="A13" s="196"/>
      <c r="B13" s="196"/>
      <c r="C13" s="196"/>
      <c r="D13" s="196"/>
      <c r="E13" s="196"/>
      <c r="F13" s="196"/>
      <c r="G13" s="196"/>
      <c r="H13" s="196"/>
      <c r="I13" s="196"/>
      <c r="J13" s="196"/>
      <c r="K13" s="196"/>
      <c r="L13" s="196"/>
    </row>
    <row r="14" spans="1:12" ht="15" customHeight="1" x14ac:dyDescent="0.25">
      <c r="A14" s="196"/>
      <c r="B14" s="196"/>
      <c r="C14" s="196"/>
      <c r="D14" s="196"/>
      <c r="E14" s="196"/>
      <c r="F14" s="196"/>
      <c r="G14" s="196"/>
      <c r="H14" s="196"/>
      <c r="I14" s="196"/>
      <c r="J14" s="196"/>
      <c r="K14" s="196"/>
      <c r="L14" s="196"/>
    </row>
    <row r="15" spans="1:12" ht="15" customHeight="1" x14ac:dyDescent="0.25">
      <c r="A15" s="196"/>
      <c r="B15" s="196"/>
      <c r="C15" s="196"/>
      <c r="D15" s="196"/>
      <c r="E15" s="196"/>
      <c r="F15" s="196"/>
      <c r="G15" s="196"/>
      <c r="H15" s="196"/>
      <c r="I15" s="196"/>
      <c r="J15" s="196"/>
      <c r="K15" s="196"/>
      <c r="L15" s="196"/>
    </row>
    <row r="16" spans="1:12" ht="15" customHeight="1" x14ac:dyDescent="0.25">
      <c r="A16" s="196"/>
      <c r="B16" s="196"/>
      <c r="C16" s="196"/>
      <c r="D16" s="196"/>
      <c r="E16" s="196"/>
      <c r="F16" s="196"/>
      <c r="G16" s="196"/>
      <c r="H16" s="196"/>
      <c r="I16" s="196"/>
      <c r="J16" s="196"/>
      <c r="K16" s="196"/>
      <c r="L16" s="196"/>
    </row>
    <row r="17" spans="1:12" ht="15" customHeight="1" x14ac:dyDescent="0.25">
      <c r="A17" s="196"/>
      <c r="B17" s="196"/>
      <c r="C17" s="196"/>
      <c r="D17" s="196"/>
      <c r="E17" s="196"/>
      <c r="F17" s="196"/>
      <c r="G17" s="196"/>
      <c r="H17" s="196"/>
      <c r="I17" s="196"/>
      <c r="J17" s="196"/>
      <c r="K17" s="196"/>
      <c r="L17" s="196"/>
    </row>
    <row r="18" spans="1:12" ht="15" customHeight="1" x14ac:dyDescent="0.25">
      <c r="A18" s="196"/>
      <c r="B18" s="196"/>
      <c r="C18" s="196"/>
      <c r="D18" s="196"/>
      <c r="E18" s="196"/>
      <c r="F18" s="196"/>
      <c r="G18" s="196"/>
      <c r="H18" s="196"/>
      <c r="I18" s="196"/>
      <c r="J18" s="196"/>
      <c r="K18" s="196"/>
      <c r="L18" s="196"/>
    </row>
    <row r="19" spans="1:12" ht="15" customHeight="1" x14ac:dyDescent="0.25">
      <c r="A19" s="196"/>
      <c r="B19" s="196"/>
      <c r="C19" s="196"/>
      <c r="D19" s="196"/>
      <c r="E19" s="196"/>
      <c r="F19" s="196"/>
      <c r="G19" s="196"/>
      <c r="H19" s="196"/>
      <c r="I19" s="196"/>
      <c r="J19" s="196"/>
      <c r="K19" s="196"/>
      <c r="L19" s="196"/>
    </row>
    <row r="20" spans="1:12" ht="15" customHeight="1" x14ac:dyDescent="0.25">
      <c r="A20" s="196"/>
      <c r="B20" s="196"/>
      <c r="C20" s="196"/>
      <c r="D20" s="196"/>
      <c r="E20" s="196"/>
      <c r="F20" s="196"/>
      <c r="G20" s="196"/>
      <c r="H20" s="196"/>
      <c r="I20" s="196"/>
      <c r="J20" s="196"/>
      <c r="K20" s="196"/>
      <c r="L20" s="196"/>
    </row>
    <row r="21" spans="1:12" ht="15" customHeight="1" x14ac:dyDescent="0.25">
      <c r="A21" s="196"/>
      <c r="B21" s="196"/>
      <c r="C21" s="196"/>
      <c r="D21" s="196"/>
      <c r="E21" s="196"/>
      <c r="F21" s="196"/>
      <c r="G21" s="196"/>
      <c r="H21" s="196"/>
      <c r="I21" s="196"/>
      <c r="J21" s="196"/>
      <c r="K21" s="196"/>
      <c r="L21" s="196"/>
    </row>
    <row r="22" spans="1:12" ht="15" customHeight="1" x14ac:dyDescent="0.25">
      <c r="A22" s="196"/>
      <c r="B22" s="196"/>
      <c r="C22" s="196"/>
      <c r="D22" s="196"/>
      <c r="E22" s="196"/>
      <c r="F22" s="196"/>
      <c r="G22" s="196"/>
      <c r="H22" s="196"/>
      <c r="I22" s="196"/>
      <c r="J22" s="196"/>
      <c r="K22" s="196"/>
      <c r="L22" s="196"/>
    </row>
    <row r="23" spans="1:12" ht="15" customHeight="1" x14ac:dyDescent="0.25">
      <c r="A23" s="196"/>
      <c r="B23" s="196"/>
      <c r="C23" s="196"/>
      <c r="D23" s="196"/>
      <c r="E23" s="196"/>
      <c r="F23" s="196"/>
      <c r="G23" s="196"/>
      <c r="H23" s="196"/>
      <c r="I23" s="196"/>
      <c r="J23" s="196"/>
      <c r="K23" s="196"/>
      <c r="L23" s="196"/>
    </row>
    <row r="24" spans="1:12" ht="15" customHeight="1" x14ac:dyDescent="0.25">
      <c r="A24" s="196"/>
      <c r="B24" s="196"/>
      <c r="C24" s="196"/>
      <c r="D24" s="196"/>
      <c r="E24" s="196"/>
      <c r="F24" s="196"/>
      <c r="G24" s="196"/>
      <c r="H24" s="196"/>
      <c r="I24" s="196"/>
      <c r="J24" s="196"/>
      <c r="K24" s="196"/>
      <c r="L24" s="196"/>
    </row>
    <row r="25" spans="1:12" ht="15" customHeight="1" x14ac:dyDescent="0.25">
      <c r="A25" s="196"/>
      <c r="B25" s="196"/>
      <c r="C25" s="196"/>
      <c r="D25" s="196"/>
      <c r="E25" s="196"/>
      <c r="F25" s="196"/>
      <c r="G25" s="196"/>
      <c r="H25" s="196"/>
      <c r="I25" s="196"/>
      <c r="J25" s="196"/>
      <c r="K25" s="196"/>
      <c r="L25" s="196"/>
    </row>
    <row r="26" spans="1:12" ht="15" customHeight="1" x14ac:dyDescent="0.25">
      <c r="A26" s="196"/>
      <c r="B26" s="196"/>
      <c r="C26" s="196"/>
      <c r="D26" s="196"/>
      <c r="E26" s="196"/>
      <c r="F26" s="196"/>
      <c r="G26" s="196"/>
      <c r="H26" s="196"/>
      <c r="I26" s="196"/>
      <c r="J26" s="196"/>
      <c r="K26" s="196"/>
      <c r="L26" s="196"/>
    </row>
    <row r="27" spans="1:12" ht="15" customHeight="1" x14ac:dyDescent="0.25">
      <c r="A27" s="196"/>
      <c r="B27" s="196"/>
      <c r="C27" s="196"/>
      <c r="D27" s="196"/>
      <c r="E27" s="196"/>
      <c r="F27" s="196"/>
      <c r="G27" s="196"/>
      <c r="H27" s="196"/>
      <c r="I27" s="196"/>
      <c r="J27" s="196"/>
      <c r="K27" s="196"/>
      <c r="L27" s="196"/>
    </row>
    <row r="28" spans="1:12" x14ac:dyDescent="0.25">
      <c r="A28" s="196"/>
      <c r="B28" s="196"/>
      <c r="C28" s="196"/>
      <c r="D28" s="196"/>
      <c r="E28" s="196"/>
      <c r="F28" s="196"/>
      <c r="G28" s="196"/>
      <c r="H28" s="196"/>
      <c r="I28" s="196"/>
      <c r="J28" s="196"/>
      <c r="K28" s="196"/>
      <c r="L28" s="196"/>
    </row>
    <row r="29" spans="1:12" x14ac:dyDescent="0.25">
      <c r="A29" s="196"/>
      <c r="B29" s="196"/>
      <c r="C29" s="196"/>
      <c r="D29" s="196"/>
      <c r="E29" s="196"/>
      <c r="F29" s="196"/>
      <c r="G29" s="196"/>
      <c r="H29" s="196"/>
      <c r="I29" s="196"/>
      <c r="J29" s="196"/>
      <c r="K29" s="196"/>
      <c r="L29" s="196"/>
    </row>
    <row r="30" spans="1:12" x14ac:dyDescent="0.25">
      <c r="A30" s="196"/>
      <c r="B30" s="196"/>
      <c r="C30" s="196"/>
      <c r="D30" s="196"/>
      <c r="E30" s="196"/>
      <c r="F30" s="196"/>
      <c r="G30" s="196"/>
      <c r="H30" s="196"/>
      <c r="I30" s="196"/>
      <c r="J30" s="196"/>
      <c r="K30" s="196"/>
      <c r="L30" s="196"/>
    </row>
    <row r="31" spans="1:12" x14ac:dyDescent="0.25">
      <c r="A31" s="196"/>
      <c r="B31" s="196"/>
      <c r="C31" s="196"/>
      <c r="D31" s="196"/>
      <c r="E31" s="196"/>
      <c r="F31" s="196"/>
      <c r="G31" s="196"/>
      <c r="H31" s="196"/>
      <c r="I31" s="196"/>
      <c r="J31" s="196"/>
      <c r="K31" s="196"/>
      <c r="L31" s="196"/>
    </row>
    <row r="32" spans="1:12" x14ac:dyDescent="0.25">
      <c r="A32" s="196"/>
      <c r="B32" s="196"/>
      <c r="C32" s="196"/>
      <c r="D32" s="196"/>
      <c r="E32" s="196"/>
      <c r="F32" s="196"/>
      <c r="G32" s="196"/>
      <c r="H32" s="196"/>
      <c r="I32" s="196"/>
      <c r="J32" s="196"/>
      <c r="K32" s="196"/>
      <c r="L32" s="196"/>
    </row>
    <row r="33" spans="1:12" x14ac:dyDescent="0.25">
      <c r="A33" s="196"/>
      <c r="B33" s="196"/>
      <c r="C33" s="196"/>
      <c r="D33" s="196"/>
      <c r="E33" s="196"/>
      <c r="F33" s="196"/>
      <c r="G33" s="196"/>
      <c r="H33" s="196"/>
      <c r="I33" s="196"/>
      <c r="J33" s="196"/>
      <c r="K33" s="196"/>
      <c r="L33" s="196"/>
    </row>
    <row r="34" spans="1:12" x14ac:dyDescent="0.25">
      <c r="A34" s="196"/>
      <c r="B34" s="196"/>
      <c r="C34" s="196"/>
      <c r="D34" s="196"/>
      <c r="E34" s="196"/>
      <c r="F34" s="196"/>
      <c r="G34" s="196"/>
      <c r="H34" s="196"/>
      <c r="I34" s="196"/>
      <c r="J34" s="196"/>
      <c r="K34" s="196"/>
      <c r="L34" s="196"/>
    </row>
    <row r="35" spans="1:12" x14ac:dyDescent="0.25">
      <c r="A35" s="196"/>
      <c r="B35" s="196"/>
      <c r="C35" s="196"/>
      <c r="D35" s="196"/>
      <c r="E35" s="196"/>
      <c r="F35" s="196"/>
      <c r="G35" s="196"/>
      <c r="H35" s="196"/>
      <c r="I35" s="196"/>
      <c r="J35" s="196"/>
      <c r="K35" s="196"/>
      <c r="L35" s="196"/>
    </row>
  </sheetData>
  <mergeCells count="3">
    <mergeCell ref="A1:J1"/>
    <mergeCell ref="A3:L35"/>
    <mergeCell ref="A2:J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2"/>
  <sheetViews>
    <sheetView tabSelected="1" workbookViewId="0">
      <selection activeCell="M11" sqref="M11"/>
    </sheetView>
  </sheetViews>
  <sheetFormatPr defaultRowHeight="15" x14ac:dyDescent="0.25"/>
  <cols>
    <col min="1" max="38" width="5.625" style="202" customWidth="1"/>
    <col min="39" max="39" width="4.875" style="202" customWidth="1"/>
    <col min="40" max="16384" width="9" style="202"/>
  </cols>
  <sheetData>
    <row r="1" spans="1:2" x14ac:dyDescent="0.25">
      <c r="B1" s="202" t="s">
        <v>33</v>
      </c>
    </row>
    <row r="2" spans="1:2" x14ac:dyDescent="0.25">
      <c r="A2" s="202" t="s">
        <v>32</v>
      </c>
      <c r="B2" s="202">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
  <sheetViews>
    <sheetView workbookViewId="0">
      <selection sqref="A1:XFD1048576"/>
    </sheetView>
  </sheetViews>
  <sheetFormatPr defaultRowHeight="15" x14ac:dyDescent="0.25"/>
  <cols>
    <col min="1" max="37" width="5.625" customWidth="1"/>
    <col min="38" max="38" width="7.625" customWidth="1"/>
  </cols>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zoomScale="85" zoomScaleNormal="85" workbookViewId="0">
      <selection sqref="A1:XFD1048576"/>
    </sheetView>
  </sheetViews>
  <sheetFormatPr defaultRowHeight="15" x14ac:dyDescent="0.25"/>
  <cols>
    <col min="1" max="35" width="5.625" customWidth="1"/>
  </cols>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
  <sheetViews>
    <sheetView workbookViewId="0">
      <selection sqref="A1:XFD1048576"/>
    </sheetView>
  </sheetViews>
  <sheetFormatPr defaultRowHeight="15" x14ac:dyDescent="0.25"/>
  <cols>
    <col min="1" max="37" width="5.625" customWidth="1"/>
  </cols>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
  <sheetViews>
    <sheetView zoomScale="85" zoomScaleNormal="85" workbookViewId="0">
      <selection sqref="A1:XFD1048576"/>
    </sheetView>
  </sheetViews>
  <sheetFormatPr defaultRowHeight="15" x14ac:dyDescent="0.25"/>
  <cols>
    <col min="1" max="35" width="5.625" customWidth="1"/>
    <col min="36" max="36" width="6.125" customWidth="1"/>
  </cols>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
  <sheetViews>
    <sheetView workbookViewId="0">
      <selection sqref="A1:XFD1048576"/>
    </sheetView>
  </sheetViews>
  <sheetFormatPr defaultRowHeight="15" x14ac:dyDescent="0.25"/>
  <cols>
    <col min="1" max="35" width="5.625" customWidth="1"/>
    <col min="36" max="36" width="6.125" customWidth="1"/>
  </cols>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4"/>
  <sheetViews>
    <sheetView workbookViewId="0">
      <selection activeCell="D15" sqref="D15"/>
    </sheetView>
  </sheetViews>
  <sheetFormatPr defaultRowHeight="15" x14ac:dyDescent="0.25"/>
  <sheetData>
    <row r="1" spans="1:1" x14ac:dyDescent="0.25">
      <c r="A1" s="3" t="s">
        <v>62</v>
      </c>
    </row>
    <row r="2" spans="1:1" x14ac:dyDescent="0.25">
      <c r="A2" s="3" t="s">
        <v>63</v>
      </c>
    </row>
    <row r="3" spans="1:1" x14ac:dyDescent="0.25">
      <c r="A3" s="3" t="s">
        <v>64</v>
      </c>
    </row>
    <row r="4" spans="1:1" x14ac:dyDescent="0.25">
      <c r="A4" s="3" t="s">
        <v>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D337"/>
  <sheetViews>
    <sheetView workbookViewId="0">
      <selection activeCell="A13" sqref="A13"/>
    </sheetView>
  </sheetViews>
  <sheetFormatPr defaultColWidth="9.125" defaultRowHeight="15" x14ac:dyDescent="0.25"/>
  <cols>
    <col min="1" max="2" width="9.125" style="23"/>
    <col min="3" max="9" width="9.125" style="3"/>
    <col min="10" max="11" width="9.125" style="23"/>
    <col min="12" max="16384" width="9.125" style="3"/>
  </cols>
  <sheetData>
    <row r="1" spans="1:30" x14ac:dyDescent="0.25">
      <c r="C1" s="4"/>
      <c r="D1" s="4" t="s">
        <v>62</v>
      </c>
      <c r="E1" s="4" t="s">
        <v>63</v>
      </c>
      <c r="F1" s="4" t="s">
        <v>64</v>
      </c>
      <c r="G1" s="4" t="s">
        <v>65</v>
      </c>
      <c r="M1" s="3" t="s">
        <v>418</v>
      </c>
      <c r="U1" s="3" t="s">
        <v>417</v>
      </c>
      <c r="AA1" s="3" t="s">
        <v>422</v>
      </c>
    </row>
    <row r="2" spans="1:30" x14ac:dyDescent="0.25">
      <c r="A2" s="23" t="s">
        <v>32</v>
      </c>
      <c r="B2" s="23" t="s">
        <v>33</v>
      </c>
      <c r="C2" s="4" t="s">
        <v>19</v>
      </c>
      <c r="D2" s="23">
        <v>2.7072261111004303E-2</v>
      </c>
      <c r="E2" s="23">
        <v>0.99326974021417935</v>
      </c>
      <c r="F2" s="23">
        <v>0.42271430694594797</v>
      </c>
      <c r="G2" s="23">
        <v>5.0595078365627634E-2</v>
      </c>
      <c r="M2" s="3" t="s">
        <v>394</v>
      </c>
      <c r="N2" s="3" t="s">
        <v>269</v>
      </c>
      <c r="O2" s="23" t="s">
        <v>62</v>
      </c>
      <c r="P2" s="23" t="s">
        <v>63</v>
      </c>
      <c r="Q2" s="23" t="s">
        <v>64</v>
      </c>
      <c r="R2" s="23" t="s">
        <v>65</v>
      </c>
      <c r="U2" s="23">
        <v>2.7072261111004303E-2</v>
      </c>
      <c r="V2" s="23">
        <v>0.99326974021417935</v>
      </c>
      <c r="W2" s="23">
        <v>0.42271430694594797</v>
      </c>
      <c r="X2" s="23">
        <v>5.0595078365627634E-2</v>
      </c>
      <c r="AA2" s="23">
        <v>2.7072261111004303E-2</v>
      </c>
      <c r="AB2" s="23">
        <v>0.99326974021417935</v>
      </c>
      <c r="AC2" s="23">
        <v>0.42271430694594797</v>
      </c>
      <c r="AD2" s="23">
        <v>5.0595078365627634E-2</v>
      </c>
    </row>
    <row r="3" spans="1:30" x14ac:dyDescent="0.25">
      <c r="A3" s="23" t="s">
        <v>32</v>
      </c>
      <c r="B3" s="23" t="s">
        <v>33</v>
      </c>
      <c r="C3" s="4" t="s">
        <v>20</v>
      </c>
      <c r="D3" s="23">
        <v>2.7072261111004303E-2</v>
      </c>
      <c r="E3" s="23">
        <v>0.99326974021417935</v>
      </c>
      <c r="F3" s="23">
        <v>0.42271430694594797</v>
      </c>
      <c r="G3" s="23">
        <v>5.0595078365627634E-2</v>
      </c>
      <c r="L3" s="3" t="s">
        <v>421</v>
      </c>
      <c r="M3" s="3" t="s">
        <v>396</v>
      </c>
      <c r="N3" s="3">
        <v>0.75</v>
      </c>
      <c r="O3" s="3">
        <v>2.7072261111004303E-2</v>
      </c>
      <c r="P3" s="3">
        <v>0.99326974021417935</v>
      </c>
      <c r="Q3" s="23">
        <v>0.42271430694594797</v>
      </c>
      <c r="R3" s="23">
        <v>5.0595078365627634E-2</v>
      </c>
      <c r="U3" s="23">
        <v>2.7072261111004303E-2</v>
      </c>
      <c r="V3" s="23">
        <v>0.99326974021417935</v>
      </c>
      <c r="W3" s="23">
        <v>0.42271430694594797</v>
      </c>
      <c r="X3" s="23">
        <v>5.0595078365627634E-2</v>
      </c>
      <c r="AA3" s="23">
        <v>2.7072261111004303E-2</v>
      </c>
      <c r="AB3" s="23">
        <v>0.99326974021417935</v>
      </c>
      <c r="AC3" s="23">
        <v>0.42271430694594797</v>
      </c>
      <c r="AD3" s="23">
        <v>5.0595078365627634E-2</v>
      </c>
    </row>
    <row r="4" spans="1:30" x14ac:dyDescent="0.25">
      <c r="A4" s="23" t="s">
        <v>32</v>
      </c>
      <c r="B4" s="23" t="s">
        <v>33</v>
      </c>
      <c r="C4" s="4" t="s">
        <v>21</v>
      </c>
      <c r="D4" s="23">
        <v>2.7072261111004303E-2</v>
      </c>
      <c r="E4" s="23">
        <v>0.99326974021417935</v>
      </c>
      <c r="F4" s="23">
        <v>0.42271430694594797</v>
      </c>
      <c r="G4" s="23">
        <v>5.0595078365627634E-2</v>
      </c>
      <c r="L4" s="3" t="s">
        <v>420</v>
      </c>
      <c r="M4" s="3" t="s">
        <v>395</v>
      </c>
      <c r="N4" s="3">
        <v>0.45</v>
      </c>
      <c r="O4" s="3">
        <v>2.9313504447006252E-2</v>
      </c>
      <c r="P4" s="3">
        <v>0.98886830769118483</v>
      </c>
      <c r="Q4" s="3">
        <v>0.24676177603351304</v>
      </c>
      <c r="R4" s="3">
        <v>2.4946823585895402E-2</v>
      </c>
      <c r="U4" s="23">
        <v>2.7072261111004303E-2</v>
      </c>
      <c r="V4" s="23">
        <v>0.99326974021417935</v>
      </c>
      <c r="W4" s="23">
        <v>0.42271430694594797</v>
      </c>
      <c r="X4" s="23">
        <v>5.0595078365627634E-2</v>
      </c>
      <c r="AA4" s="23">
        <v>2.7072261111004303E-2</v>
      </c>
      <c r="AB4" s="23">
        <v>0.99326974021417935</v>
      </c>
      <c r="AC4" s="23">
        <v>0.42271430694594797</v>
      </c>
      <c r="AD4" s="23">
        <v>5.0595078365627634E-2</v>
      </c>
    </row>
    <row r="5" spans="1:30" x14ac:dyDescent="0.25">
      <c r="A5" s="23" t="s">
        <v>32</v>
      </c>
      <c r="B5" s="23" t="s">
        <v>33</v>
      </c>
      <c r="C5" s="4" t="s">
        <v>22</v>
      </c>
      <c r="D5" s="23">
        <v>2.9313504447006252E-2</v>
      </c>
      <c r="E5" s="23">
        <v>0.98886830769118483</v>
      </c>
      <c r="F5" s="23">
        <v>0.24676177603351304</v>
      </c>
      <c r="G5" s="23">
        <v>2.4946823585895402E-2</v>
      </c>
      <c r="O5" s="23"/>
      <c r="P5" s="23"/>
      <c r="U5" s="23">
        <v>2.9313504447006252E-2</v>
      </c>
      <c r="V5" s="23">
        <v>0.98886830769118483</v>
      </c>
      <c r="W5" s="23">
        <v>0.24676177603351304</v>
      </c>
      <c r="X5" s="23">
        <v>2.4946823585895402E-2</v>
      </c>
      <c r="AA5" s="23">
        <v>2.9313504447006252E-2</v>
      </c>
      <c r="AB5" s="23">
        <v>0.98886830769118483</v>
      </c>
      <c r="AC5" s="23">
        <v>0.24676177603351304</v>
      </c>
      <c r="AD5" s="23">
        <v>2.4946823585895402E-2</v>
      </c>
    </row>
    <row r="6" spans="1:30" x14ac:dyDescent="0.25">
      <c r="A6" s="23" t="s">
        <v>32</v>
      </c>
      <c r="B6" s="23" t="s">
        <v>33</v>
      </c>
      <c r="C6" s="4" t="s">
        <v>23</v>
      </c>
      <c r="D6" s="23">
        <v>2.9313504447006252E-2</v>
      </c>
      <c r="E6" s="23">
        <v>0.98886830769118483</v>
      </c>
      <c r="F6" s="23">
        <v>0.24676177603351304</v>
      </c>
      <c r="G6" s="23">
        <v>2.4946823585895402E-2</v>
      </c>
      <c r="U6" s="23">
        <v>2.9313504447006252E-2</v>
      </c>
      <c r="V6" s="23">
        <v>0.98886830769118483</v>
      </c>
      <c r="W6" s="23">
        <v>0.24676177603351304</v>
      </c>
      <c r="X6" s="23">
        <v>2.4946823585895402E-2</v>
      </c>
      <c r="AA6" s="23">
        <v>2.9313504447006252E-2</v>
      </c>
      <c r="AB6" s="23">
        <v>0.98886830769118483</v>
      </c>
      <c r="AC6" s="23">
        <v>0.24676177603351304</v>
      </c>
      <c r="AD6" s="23">
        <v>2.4946823585895402E-2</v>
      </c>
    </row>
    <row r="7" spans="1:30" x14ac:dyDescent="0.25">
      <c r="A7" s="23" t="s">
        <v>32</v>
      </c>
      <c r="B7" s="23" t="s">
        <v>33</v>
      </c>
      <c r="C7" s="4" t="s">
        <v>24</v>
      </c>
      <c r="D7" s="23">
        <v>2.9313504447006252E-2</v>
      </c>
      <c r="E7" s="23">
        <v>0.98886830769118483</v>
      </c>
      <c r="F7" s="23">
        <v>0.24676177603351304</v>
      </c>
      <c r="G7" s="23">
        <v>2.4946823585895402E-2</v>
      </c>
      <c r="U7" s="23">
        <v>2.9313504447006252E-2</v>
      </c>
      <c r="V7" s="23">
        <v>0.98886830769118483</v>
      </c>
      <c r="W7" s="23">
        <v>0.24676177603351304</v>
      </c>
      <c r="X7" s="23">
        <v>2.4946823585895402E-2</v>
      </c>
      <c r="AA7" s="23">
        <v>2.9313504447006252E-2</v>
      </c>
      <c r="AB7" s="23">
        <v>0.98886830769118483</v>
      </c>
      <c r="AC7" s="23">
        <v>0.24676177603351304</v>
      </c>
      <c r="AD7" s="23">
        <v>2.4946823585895402E-2</v>
      </c>
    </row>
    <row r="8" spans="1:30" x14ac:dyDescent="0.25">
      <c r="A8" s="23" t="s">
        <v>32</v>
      </c>
      <c r="B8" s="23" t="s">
        <v>33</v>
      </c>
      <c r="C8" s="4" t="s">
        <v>25</v>
      </c>
      <c r="D8" s="23">
        <v>2.9313504447006252E-2</v>
      </c>
      <c r="E8" s="23">
        <v>0.98886830769118483</v>
      </c>
      <c r="F8" s="23">
        <v>0.24676177603351304</v>
      </c>
      <c r="G8" s="23">
        <v>2.4946823585895402E-2</v>
      </c>
      <c r="M8" s="3" t="s">
        <v>419</v>
      </c>
      <c r="U8" s="23">
        <v>2.9313504447006252E-2</v>
      </c>
      <c r="V8" s="23">
        <v>0.98886830769118483</v>
      </c>
      <c r="W8" s="23">
        <v>0.24676177603351304</v>
      </c>
      <c r="X8" s="23">
        <v>2.4946823585895402E-2</v>
      </c>
      <c r="AA8" s="23">
        <v>2.9313504447006252E-2</v>
      </c>
      <c r="AB8" s="23">
        <v>0.98886830769118483</v>
      </c>
      <c r="AC8" s="23">
        <v>0.24676177603351304</v>
      </c>
      <c r="AD8" s="23">
        <v>2.4946823585895402E-2</v>
      </c>
    </row>
    <row r="9" spans="1:30" x14ac:dyDescent="0.25">
      <c r="A9" s="23" t="s">
        <v>32</v>
      </c>
      <c r="B9" s="23" t="s">
        <v>33</v>
      </c>
      <c r="C9" s="4" t="s">
        <v>26</v>
      </c>
      <c r="D9" s="23">
        <v>2.9313504447006252E-2</v>
      </c>
      <c r="E9" s="23">
        <v>0.98886830769118483</v>
      </c>
      <c r="F9" s="23">
        <v>0.24676177603351304</v>
      </c>
      <c r="G9" s="23">
        <v>2.4946823585895402E-2</v>
      </c>
      <c r="M9" s="23" t="s">
        <v>394</v>
      </c>
      <c r="N9" s="23" t="s">
        <v>269</v>
      </c>
      <c r="O9" s="23" t="s">
        <v>62</v>
      </c>
      <c r="P9" s="23" t="s">
        <v>63</v>
      </c>
      <c r="Q9" s="23" t="s">
        <v>64</v>
      </c>
      <c r="R9" s="23" t="s">
        <v>65</v>
      </c>
      <c r="U9" s="23">
        <v>2.9313504447006252E-2</v>
      </c>
      <c r="V9" s="23">
        <v>0.98886830769118483</v>
      </c>
      <c r="W9" s="23">
        <v>0.24676177603351304</v>
      </c>
      <c r="X9" s="23">
        <v>2.4946823585895402E-2</v>
      </c>
      <c r="AA9" s="23">
        <v>2.9313504447006252E-2</v>
      </c>
      <c r="AB9" s="23">
        <v>0.98886830769118483</v>
      </c>
      <c r="AC9" s="23">
        <v>0.24676177603351304</v>
      </c>
      <c r="AD9" s="23">
        <v>2.4946823585895402E-2</v>
      </c>
    </row>
    <row r="10" spans="1:30" x14ac:dyDescent="0.25">
      <c r="A10" s="23" t="s">
        <v>32</v>
      </c>
      <c r="B10" s="23" t="s">
        <v>33</v>
      </c>
      <c r="C10" s="4" t="s">
        <v>27</v>
      </c>
      <c r="D10" s="23">
        <v>2.7072261111004303E-2</v>
      </c>
      <c r="E10" s="23">
        <v>0.99326974021417935</v>
      </c>
      <c r="F10" s="23">
        <v>0.42271430694594797</v>
      </c>
      <c r="G10" s="23">
        <v>5.0595078365627634E-2</v>
      </c>
      <c r="L10" s="23" t="s">
        <v>421</v>
      </c>
      <c r="M10" s="23" t="s">
        <v>396</v>
      </c>
      <c r="N10" s="23">
        <v>1</v>
      </c>
      <c r="O10" s="23">
        <v>1.1877607920541323E-3</v>
      </c>
      <c r="P10" s="23">
        <v>1.0039966489678811</v>
      </c>
      <c r="Q10" s="23">
        <v>0.48147111034433049</v>
      </c>
      <c r="R10" s="23">
        <v>0.10105983856283134</v>
      </c>
      <c r="U10" s="23">
        <v>2.7072261111004303E-2</v>
      </c>
      <c r="V10" s="23">
        <v>0.99326974021417935</v>
      </c>
      <c r="W10" s="23">
        <v>0.42271430694594797</v>
      </c>
      <c r="X10" s="23">
        <v>5.0595078365627634E-2</v>
      </c>
      <c r="AA10" s="23">
        <v>2.7072261111004303E-2</v>
      </c>
      <c r="AB10" s="23">
        <v>0.99326974021417935</v>
      </c>
      <c r="AC10" s="23">
        <v>0.42271430694594797</v>
      </c>
      <c r="AD10" s="23">
        <v>5.0595078365627634E-2</v>
      </c>
    </row>
    <row r="11" spans="1:30" x14ac:dyDescent="0.25">
      <c r="A11" s="23" t="s">
        <v>32</v>
      </c>
      <c r="B11" s="23" t="s">
        <v>33</v>
      </c>
      <c r="C11" s="4" t="s">
        <v>28</v>
      </c>
      <c r="D11" s="23">
        <v>2.7072261111004303E-2</v>
      </c>
      <c r="E11" s="23">
        <v>0.99326974021417935</v>
      </c>
      <c r="F11" s="23">
        <v>0.42271430694594797</v>
      </c>
      <c r="G11" s="23">
        <v>5.0595078365627634E-2</v>
      </c>
      <c r="L11" s="23" t="s">
        <v>420</v>
      </c>
      <c r="M11" s="23" t="s">
        <v>395</v>
      </c>
      <c r="N11" s="23">
        <v>0.3</v>
      </c>
      <c r="O11" s="23">
        <v>1.5942437461412402E-2</v>
      </c>
      <c r="P11" s="23">
        <v>0.99091357130520463</v>
      </c>
      <c r="Q11" s="23">
        <v>0.16772169711848881</v>
      </c>
      <c r="R11" s="23">
        <v>3.1354216893132524E-2</v>
      </c>
      <c r="U11" s="23">
        <v>2.7072261111004303E-2</v>
      </c>
      <c r="V11" s="23">
        <v>0.99326974021417935</v>
      </c>
      <c r="W11" s="23">
        <v>0.42271430694594797</v>
      </c>
      <c r="X11" s="23">
        <v>5.0595078365627634E-2</v>
      </c>
      <c r="AA11" s="23">
        <v>2.7072261111004303E-2</v>
      </c>
      <c r="AB11" s="23">
        <v>0.99326974021417935</v>
      </c>
      <c r="AC11" s="23">
        <v>0.42271430694594797</v>
      </c>
      <c r="AD11" s="23">
        <v>5.0595078365627634E-2</v>
      </c>
    </row>
    <row r="12" spans="1:30" x14ac:dyDescent="0.25">
      <c r="A12" s="23" t="s">
        <v>32</v>
      </c>
      <c r="B12" s="23" t="s">
        <v>33</v>
      </c>
      <c r="C12" s="4" t="s">
        <v>29</v>
      </c>
      <c r="D12" s="23">
        <v>2.7072261111004303E-2</v>
      </c>
      <c r="E12" s="23">
        <v>0.99326974021417935</v>
      </c>
      <c r="F12" s="23">
        <v>0.42271430694594797</v>
      </c>
      <c r="G12" s="23">
        <v>5.0595078365627634E-2</v>
      </c>
      <c r="U12" s="23">
        <v>2.7072261111004303E-2</v>
      </c>
      <c r="V12" s="23">
        <v>0.99326974021417935</v>
      </c>
      <c r="W12" s="23">
        <v>0.42271430694594797</v>
      </c>
      <c r="X12" s="23">
        <v>5.0595078365627634E-2</v>
      </c>
      <c r="AA12" s="23">
        <v>2.7072261111004303E-2</v>
      </c>
      <c r="AB12" s="23">
        <v>0.99326974021417935</v>
      </c>
      <c r="AC12" s="23">
        <v>0.42271430694594797</v>
      </c>
      <c r="AD12" s="23">
        <v>5.0595078365627634E-2</v>
      </c>
    </row>
    <row r="13" spans="1:30" x14ac:dyDescent="0.25">
      <c r="A13" s="23" t="s">
        <v>32</v>
      </c>
      <c r="B13" s="23" t="s">
        <v>33</v>
      </c>
      <c r="C13" s="4" t="s">
        <v>30</v>
      </c>
      <c r="D13" s="23">
        <v>2.7072261111004303E-2</v>
      </c>
      <c r="E13" s="23">
        <v>0.99326974021417935</v>
      </c>
      <c r="F13" s="23">
        <v>0.42271430694594797</v>
      </c>
      <c r="G13" s="23">
        <v>5.0595078365627634E-2</v>
      </c>
      <c r="U13" s="23">
        <v>2.7072261111004303E-2</v>
      </c>
      <c r="V13" s="23">
        <v>0.99326974021417935</v>
      </c>
      <c r="W13" s="23">
        <v>0.42271430694594797</v>
      </c>
      <c r="X13" s="23">
        <v>5.0595078365627634E-2</v>
      </c>
      <c r="AA13" s="23">
        <v>2.7072261111004303E-2</v>
      </c>
      <c r="AB13" s="23">
        <v>0.99326974021417935</v>
      </c>
      <c r="AC13" s="23">
        <v>0.42271430694594797</v>
      </c>
      <c r="AD13" s="23">
        <v>5.0595078365627634E-2</v>
      </c>
    </row>
    <row r="14" spans="1:30" x14ac:dyDescent="0.25">
      <c r="C14" s="23"/>
      <c r="D14" s="23"/>
      <c r="E14" s="23"/>
      <c r="F14" s="23"/>
      <c r="G14" s="23"/>
      <c r="U14" s="23">
        <v>2.7072261111004303E-2</v>
      </c>
      <c r="V14" s="23">
        <v>0.99326974021417935</v>
      </c>
      <c r="W14" s="23">
        <v>0.42271430694594797</v>
      </c>
      <c r="X14" s="23">
        <v>5.0595078365627634E-2</v>
      </c>
      <c r="AA14" s="23">
        <v>2.7072261111004303E-2</v>
      </c>
      <c r="AB14" s="23">
        <v>0.99326974021417935</v>
      </c>
      <c r="AC14" s="23">
        <v>0.42271430694594797</v>
      </c>
      <c r="AD14" s="23">
        <v>5.0595078365627634E-2</v>
      </c>
    </row>
    <row r="15" spans="1:30" x14ac:dyDescent="0.25">
      <c r="C15" s="23"/>
      <c r="D15" s="23"/>
      <c r="E15" s="23"/>
      <c r="F15" s="23"/>
      <c r="G15" s="23"/>
      <c r="U15" s="23">
        <v>2.7072261111004303E-2</v>
      </c>
      <c r="V15" s="23">
        <v>0.99326974021417935</v>
      </c>
      <c r="W15" s="23">
        <v>0.42271430694594797</v>
      </c>
      <c r="X15" s="23">
        <v>5.0595078365627634E-2</v>
      </c>
      <c r="AA15" s="23">
        <v>2.7072261111004303E-2</v>
      </c>
      <c r="AB15" s="23">
        <v>0.99326974021417935</v>
      </c>
      <c r="AC15" s="23">
        <v>0.42271430694594797</v>
      </c>
      <c r="AD15" s="23">
        <v>5.0595078365627634E-2</v>
      </c>
    </row>
    <row r="16" spans="1:30" x14ac:dyDescent="0.25">
      <c r="C16" s="23"/>
      <c r="D16" s="23"/>
      <c r="E16" s="23"/>
      <c r="F16" s="23"/>
      <c r="G16" s="23"/>
      <c r="U16" s="23">
        <v>2.7072261111004303E-2</v>
      </c>
      <c r="V16" s="23">
        <v>0.99326974021417935</v>
      </c>
      <c r="W16" s="23">
        <v>0.42271430694594797</v>
      </c>
      <c r="X16" s="23">
        <v>5.0595078365627634E-2</v>
      </c>
      <c r="AA16" s="23">
        <v>2.7072261111004303E-2</v>
      </c>
      <c r="AB16" s="23">
        <v>0.99326974021417935</v>
      </c>
      <c r="AC16" s="23">
        <v>0.42271430694594797</v>
      </c>
      <c r="AD16" s="23">
        <v>5.0595078365627634E-2</v>
      </c>
    </row>
    <row r="17" spans="3:30" x14ac:dyDescent="0.25">
      <c r="C17" s="23"/>
      <c r="D17" s="23"/>
      <c r="E17" s="23"/>
      <c r="F17" s="23"/>
      <c r="G17" s="23"/>
      <c r="U17" s="23">
        <v>2.9313504447006252E-2</v>
      </c>
      <c r="V17" s="23">
        <v>0.98886830769118483</v>
      </c>
      <c r="W17" s="23">
        <v>0.24676177603351304</v>
      </c>
      <c r="X17" s="23">
        <v>2.4946823585895402E-2</v>
      </c>
      <c r="AA17" s="23">
        <v>2.9313504447006252E-2</v>
      </c>
      <c r="AB17" s="23">
        <v>0.98886830769118483</v>
      </c>
      <c r="AC17" s="23">
        <v>0.24676177603351304</v>
      </c>
      <c r="AD17" s="23">
        <v>2.4946823585895402E-2</v>
      </c>
    </row>
    <row r="18" spans="3:30" x14ac:dyDescent="0.25">
      <c r="C18" s="23"/>
      <c r="D18" s="23"/>
      <c r="E18" s="23"/>
      <c r="F18" s="23"/>
      <c r="G18" s="23"/>
      <c r="U18" s="23">
        <v>2.9313504447006252E-2</v>
      </c>
      <c r="V18" s="23">
        <v>0.98886830769118483</v>
      </c>
      <c r="W18" s="23">
        <v>0.24676177603351304</v>
      </c>
      <c r="X18" s="23">
        <v>2.4946823585895402E-2</v>
      </c>
      <c r="AA18" s="23">
        <v>2.9313504447006252E-2</v>
      </c>
      <c r="AB18" s="23">
        <v>0.98886830769118483</v>
      </c>
      <c r="AC18" s="23">
        <v>0.24676177603351304</v>
      </c>
      <c r="AD18" s="23">
        <v>2.4946823585895402E-2</v>
      </c>
    </row>
    <row r="19" spans="3:30" x14ac:dyDescent="0.25">
      <c r="C19" s="23"/>
      <c r="D19" s="23"/>
      <c r="E19" s="23"/>
      <c r="F19" s="23"/>
      <c r="G19" s="23"/>
      <c r="U19" s="23">
        <v>2.9313504447006252E-2</v>
      </c>
      <c r="V19" s="23">
        <v>0.98886830769118483</v>
      </c>
      <c r="W19" s="23">
        <v>0.24676177603351304</v>
      </c>
      <c r="X19" s="23">
        <v>2.4946823585895402E-2</v>
      </c>
      <c r="AA19" s="23">
        <v>2.9313504447006252E-2</v>
      </c>
      <c r="AB19" s="23">
        <v>0.98886830769118483</v>
      </c>
      <c r="AC19" s="23">
        <v>0.24676177603351304</v>
      </c>
      <c r="AD19" s="23">
        <v>2.4946823585895402E-2</v>
      </c>
    </row>
    <row r="20" spans="3:30" x14ac:dyDescent="0.25">
      <c r="C20" s="23"/>
      <c r="D20" s="23"/>
      <c r="E20" s="23"/>
      <c r="F20" s="23"/>
      <c r="G20" s="23"/>
      <c r="U20" s="23">
        <v>2.9313504447006252E-2</v>
      </c>
      <c r="V20" s="23">
        <v>0.98886830769118483</v>
      </c>
      <c r="W20" s="23">
        <v>0.24676177603351304</v>
      </c>
      <c r="X20" s="23">
        <v>2.4946823585895402E-2</v>
      </c>
      <c r="AA20" s="23">
        <v>2.9313504447006252E-2</v>
      </c>
      <c r="AB20" s="23">
        <v>0.98886830769118483</v>
      </c>
      <c r="AC20" s="23">
        <v>0.24676177603351304</v>
      </c>
      <c r="AD20" s="23">
        <v>2.4946823585895402E-2</v>
      </c>
    </row>
    <row r="21" spans="3:30" x14ac:dyDescent="0.25">
      <c r="C21" s="23"/>
      <c r="D21" s="23"/>
      <c r="E21" s="23"/>
      <c r="F21" s="23"/>
      <c r="G21" s="23"/>
      <c r="U21" s="23">
        <v>2.9313504447006252E-2</v>
      </c>
      <c r="V21" s="23">
        <v>0.98886830769118483</v>
      </c>
      <c r="W21" s="23">
        <v>0.24676177603351304</v>
      </c>
      <c r="X21" s="23">
        <v>2.4946823585895402E-2</v>
      </c>
      <c r="AA21" s="23">
        <v>2.9313504447006252E-2</v>
      </c>
      <c r="AB21" s="23">
        <v>0.98886830769118483</v>
      </c>
      <c r="AC21" s="23">
        <v>0.24676177603351304</v>
      </c>
      <c r="AD21" s="23">
        <v>2.4946823585895402E-2</v>
      </c>
    </row>
    <row r="22" spans="3:30" x14ac:dyDescent="0.25">
      <c r="C22" s="23"/>
      <c r="D22" s="23"/>
      <c r="E22" s="23"/>
      <c r="F22" s="23"/>
      <c r="G22" s="23"/>
      <c r="U22" s="23">
        <v>2.7072261111004303E-2</v>
      </c>
      <c r="V22" s="23">
        <v>0.99326974021417935</v>
      </c>
      <c r="W22" s="23">
        <v>0.42271430694594797</v>
      </c>
      <c r="X22" s="23">
        <v>5.0595078365627634E-2</v>
      </c>
      <c r="AA22" s="23">
        <v>2.7072261111004303E-2</v>
      </c>
      <c r="AB22" s="23">
        <v>0.99326974021417935</v>
      </c>
      <c r="AC22" s="23">
        <v>0.42271430694594797</v>
      </c>
      <c r="AD22" s="23">
        <v>5.0595078365627634E-2</v>
      </c>
    </row>
    <row r="23" spans="3:30" x14ac:dyDescent="0.25">
      <c r="C23" s="23"/>
      <c r="D23" s="23"/>
      <c r="E23" s="23"/>
      <c r="F23" s="23"/>
      <c r="G23" s="23"/>
      <c r="U23" s="23">
        <v>2.7072261111004303E-2</v>
      </c>
      <c r="V23" s="23">
        <v>0.99326974021417935</v>
      </c>
      <c r="W23" s="23">
        <v>0.42271430694594797</v>
      </c>
      <c r="X23" s="23">
        <v>5.0595078365627634E-2</v>
      </c>
      <c r="AA23" s="23">
        <v>2.7072261111004303E-2</v>
      </c>
      <c r="AB23" s="23">
        <v>0.99326974021417935</v>
      </c>
      <c r="AC23" s="23">
        <v>0.42271430694594797</v>
      </c>
      <c r="AD23" s="23">
        <v>5.0595078365627634E-2</v>
      </c>
    </row>
    <row r="24" spans="3:30" x14ac:dyDescent="0.25">
      <c r="C24" s="23"/>
      <c r="D24" s="23"/>
      <c r="E24" s="23"/>
      <c r="F24" s="23"/>
      <c r="G24" s="23"/>
      <c r="U24" s="23">
        <v>2.7072261111004303E-2</v>
      </c>
      <c r="V24" s="23">
        <v>0.99326974021417935</v>
      </c>
      <c r="W24" s="23">
        <v>0.42271430694594797</v>
      </c>
      <c r="X24" s="23">
        <v>5.0595078365627634E-2</v>
      </c>
      <c r="AA24" s="23">
        <v>2.7072261111004303E-2</v>
      </c>
      <c r="AB24" s="23">
        <v>0.99326974021417935</v>
      </c>
      <c r="AC24" s="23">
        <v>0.42271430694594797</v>
      </c>
      <c r="AD24" s="23">
        <v>5.0595078365627634E-2</v>
      </c>
    </row>
    <row r="25" spans="3:30" x14ac:dyDescent="0.25">
      <c r="C25" s="23"/>
      <c r="D25" s="23"/>
      <c r="E25" s="23"/>
      <c r="F25" s="23"/>
      <c r="G25" s="23"/>
      <c r="U25" s="23">
        <v>2.7072261111004303E-2</v>
      </c>
      <c r="V25" s="23">
        <v>0.99326974021417935</v>
      </c>
      <c r="W25" s="23">
        <v>0.42271430694594797</v>
      </c>
      <c r="X25" s="23">
        <v>5.0595078365627634E-2</v>
      </c>
      <c r="AA25" s="23">
        <v>2.7072261111004303E-2</v>
      </c>
      <c r="AB25" s="23">
        <v>0.99326974021417935</v>
      </c>
      <c r="AC25" s="23">
        <v>0.42271430694594797</v>
      </c>
      <c r="AD25" s="23">
        <v>5.0595078365627634E-2</v>
      </c>
    </row>
    <row r="26" spans="3:30" x14ac:dyDescent="0.25">
      <c r="C26" s="23"/>
      <c r="D26" s="23"/>
      <c r="E26" s="23"/>
      <c r="F26" s="23"/>
      <c r="G26" s="23"/>
      <c r="U26" s="23">
        <v>2.7072261111004303E-2</v>
      </c>
      <c r="V26" s="23">
        <v>0.99326974021417935</v>
      </c>
      <c r="W26" s="23">
        <v>0.42271430694594797</v>
      </c>
      <c r="X26" s="23">
        <v>5.0595078365627634E-2</v>
      </c>
      <c r="AA26" s="23">
        <v>2.7072261111004303E-2</v>
      </c>
      <c r="AB26" s="23">
        <v>0.99326974021417935</v>
      </c>
      <c r="AC26" s="23">
        <v>0.42271430694594797</v>
      </c>
      <c r="AD26" s="23">
        <v>5.0595078365627634E-2</v>
      </c>
    </row>
    <row r="27" spans="3:30" x14ac:dyDescent="0.25">
      <c r="C27" s="23"/>
      <c r="D27" s="23"/>
      <c r="E27" s="23"/>
      <c r="F27" s="23"/>
      <c r="G27" s="23"/>
      <c r="U27" s="23">
        <v>2.7072261111004303E-2</v>
      </c>
      <c r="V27" s="23">
        <v>0.99326974021417935</v>
      </c>
      <c r="W27" s="23">
        <v>0.42271430694594797</v>
      </c>
      <c r="X27" s="23">
        <v>5.0595078365627634E-2</v>
      </c>
      <c r="AA27" s="23">
        <v>2.7072261111004303E-2</v>
      </c>
      <c r="AB27" s="23">
        <v>0.99326974021417935</v>
      </c>
      <c r="AC27" s="23">
        <v>0.42271430694594797</v>
      </c>
      <c r="AD27" s="23">
        <v>5.0595078365627634E-2</v>
      </c>
    </row>
    <row r="28" spans="3:30" x14ac:dyDescent="0.25">
      <c r="C28" s="23"/>
      <c r="D28" s="23"/>
      <c r="E28" s="23"/>
      <c r="F28" s="23"/>
      <c r="G28" s="23"/>
      <c r="U28" s="23">
        <v>2.7072261111004303E-2</v>
      </c>
      <c r="V28" s="23">
        <v>0.99326974021417935</v>
      </c>
      <c r="W28" s="23">
        <v>0.42271430694594797</v>
      </c>
      <c r="X28" s="23">
        <v>5.0595078365627634E-2</v>
      </c>
      <c r="AA28" s="23">
        <v>2.7072261111004303E-2</v>
      </c>
      <c r="AB28" s="23">
        <v>0.99326974021417935</v>
      </c>
      <c r="AC28" s="23">
        <v>0.42271430694594797</v>
      </c>
      <c r="AD28" s="23">
        <v>5.0595078365627634E-2</v>
      </c>
    </row>
    <row r="29" spans="3:30" x14ac:dyDescent="0.25">
      <c r="C29" s="23"/>
      <c r="D29" s="23"/>
      <c r="E29" s="23"/>
      <c r="F29" s="23"/>
      <c r="G29" s="23"/>
      <c r="U29" s="23">
        <v>2.9313504447006252E-2</v>
      </c>
      <c r="V29" s="23">
        <v>0.98886830769118483</v>
      </c>
      <c r="W29" s="23">
        <v>0.24676177603351304</v>
      </c>
      <c r="X29" s="23">
        <v>2.4946823585895402E-2</v>
      </c>
      <c r="AA29" s="23">
        <v>2.9313504447006252E-2</v>
      </c>
      <c r="AB29" s="23">
        <v>0.98886830769118483</v>
      </c>
      <c r="AC29" s="23">
        <v>0.24676177603351304</v>
      </c>
      <c r="AD29" s="23">
        <v>2.4946823585895402E-2</v>
      </c>
    </row>
    <row r="30" spans="3:30" x14ac:dyDescent="0.25">
      <c r="C30" s="23"/>
      <c r="D30" s="23"/>
      <c r="E30" s="23"/>
      <c r="F30" s="23"/>
      <c r="G30" s="23"/>
      <c r="U30" s="23">
        <v>2.9313504447006252E-2</v>
      </c>
      <c r="V30" s="23">
        <v>0.98886830769118483</v>
      </c>
      <c r="W30" s="23">
        <v>0.24676177603351304</v>
      </c>
      <c r="X30" s="23">
        <v>2.4946823585895402E-2</v>
      </c>
      <c r="AA30" s="23">
        <v>2.9313504447006252E-2</v>
      </c>
      <c r="AB30" s="23">
        <v>0.98886830769118483</v>
      </c>
      <c r="AC30" s="23">
        <v>0.24676177603351304</v>
      </c>
      <c r="AD30" s="23">
        <v>2.4946823585895402E-2</v>
      </c>
    </row>
    <row r="31" spans="3:30" x14ac:dyDescent="0.25">
      <c r="C31" s="23"/>
      <c r="D31" s="23"/>
      <c r="E31" s="23"/>
      <c r="F31" s="23"/>
      <c r="G31" s="23"/>
      <c r="U31" s="23">
        <v>2.9313504447006252E-2</v>
      </c>
      <c r="V31" s="23">
        <v>0.98886830769118483</v>
      </c>
      <c r="W31" s="23">
        <v>0.24676177603351304</v>
      </c>
      <c r="X31" s="23">
        <v>2.4946823585895402E-2</v>
      </c>
      <c r="AA31" s="23">
        <v>2.9313504447006252E-2</v>
      </c>
      <c r="AB31" s="23">
        <v>0.98886830769118483</v>
      </c>
      <c r="AC31" s="23">
        <v>0.24676177603351304</v>
      </c>
      <c r="AD31" s="23">
        <v>2.4946823585895402E-2</v>
      </c>
    </row>
    <row r="32" spans="3:30" x14ac:dyDescent="0.25">
      <c r="C32" s="23"/>
      <c r="D32" s="23"/>
      <c r="E32" s="23"/>
      <c r="F32" s="23"/>
      <c r="G32" s="23"/>
      <c r="U32" s="23">
        <v>2.9313504447006252E-2</v>
      </c>
      <c r="V32" s="23">
        <v>0.98886830769118483</v>
      </c>
      <c r="W32" s="23">
        <v>0.24676177603351304</v>
      </c>
      <c r="X32" s="23">
        <v>2.4946823585895402E-2</v>
      </c>
      <c r="AA32" s="23">
        <v>2.9313504447006252E-2</v>
      </c>
      <c r="AB32" s="23">
        <v>0.98886830769118483</v>
      </c>
      <c r="AC32" s="23">
        <v>0.24676177603351304</v>
      </c>
      <c r="AD32" s="23">
        <v>2.4946823585895402E-2</v>
      </c>
    </row>
    <row r="33" spans="3:30" x14ac:dyDescent="0.25">
      <c r="C33" s="23"/>
      <c r="D33" s="23"/>
      <c r="E33" s="23"/>
      <c r="F33" s="23"/>
      <c r="G33" s="23"/>
      <c r="U33" s="23">
        <v>2.9313504447006252E-2</v>
      </c>
      <c r="V33" s="23">
        <v>0.98886830769118483</v>
      </c>
      <c r="W33" s="23">
        <v>0.24676177603351304</v>
      </c>
      <c r="X33" s="23">
        <v>2.4946823585895402E-2</v>
      </c>
      <c r="AA33" s="23">
        <v>2.9313504447006252E-2</v>
      </c>
      <c r="AB33" s="23">
        <v>0.98886830769118483</v>
      </c>
      <c r="AC33" s="23">
        <v>0.24676177603351304</v>
      </c>
      <c r="AD33" s="23">
        <v>2.4946823585895402E-2</v>
      </c>
    </row>
    <row r="34" spans="3:30" x14ac:dyDescent="0.25">
      <c r="C34" s="23"/>
      <c r="D34" s="23"/>
      <c r="E34" s="23"/>
      <c r="F34" s="23"/>
      <c r="G34" s="23"/>
      <c r="U34" s="23">
        <v>2.7072261111004303E-2</v>
      </c>
      <c r="V34" s="23">
        <v>0.99326974021417935</v>
      </c>
      <c r="W34" s="23">
        <v>0.42271430694594797</v>
      </c>
      <c r="X34" s="23">
        <v>5.0595078365627634E-2</v>
      </c>
      <c r="AA34" s="23">
        <v>2.7072261111004303E-2</v>
      </c>
      <c r="AB34" s="23">
        <v>0.99326974021417935</v>
      </c>
      <c r="AC34" s="23">
        <v>0.42271430694594797</v>
      </c>
      <c r="AD34" s="23">
        <v>5.0595078365627634E-2</v>
      </c>
    </row>
    <row r="35" spans="3:30" x14ac:dyDescent="0.25">
      <c r="C35" s="23"/>
      <c r="D35" s="23"/>
      <c r="E35" s="23"/>
      <c r="F35" s="23"/>
      <c r="G35" s="23"/>
      <c r="U35" s="23">
        <v>2.7072261111004303E-2</v>
      </c>
      <c r="V35" s="23">
        <v>0.99326974021417935</v>
      </c>
      <c r="W35" s="23">
        <v>0.42271430694594797</v>
      </c>
      <c r="X35" s="23">
        <v>5.0595078365627634E-2</v>
      </c>
      <c r="AA35" s="23">
        <v>2.7072261111004303E-2</v>
      </c>
      <c r="AB35" s="23">
        <v>0.99326974021417935</v>
      </c>
      <c r="AC35" s="23">
        <v>0.42271430694594797</v>
      </c>
      <c r="AD35" s="23">
        <v>5.0595078365627634E-2</v>
      </c>
    </row>
    <row r="36" spans="3:30" x14ac:dyDescent="0.25">
      <c r="C36" s="23"/>
      <c r="D36" s="23"/>
      <c r="E36" s="23"/>
      <c r="F36" s="23"/>
      <c r="G36" s="23"/>
      <c r="U36" s="23">
        <v>2.7072261111004303E-2</v>
      </c>
      <c r="V36" s="23">
        <v>0.99326974021417935</v>
      </c>
      <c r="W36" s="23">
        <v>0.42271430694594797</v>
      </c>
      <c r="X36" s="23">
        <v>5.0595078365627634E-2</v>
      </c>
      <c r="AA36" s="23">
        <v>2.7072261111004303E-2</v>
      </c>
      <c r="AB36" s="23">
        <v>0.99326974021417935</v>
      </c>
      <c r="AC36" s="23">
        <v>0.42271430694594797</v>
      </c>
      <c r="AD36" s="23">
        <v>5.0595078365627634E-2</v>
      </c>
    </row>
    <row r="37" spans="3:30" x14ac:dyDescent="0.25">
      <c r="C37" s="23"/>
      <c r="D37" s="23"/>
      <c r="E37" s="23"/>
      <c r="F37" s="23"/>
      <c r="G37" s="23"/>
      <c r="U37" s="23">
        <v>2.7072261111004303E-2</v>
      </c>
      <c r="V37" s="23">
        <v>0.99326974021417935</v>
      </c>
      <c r="W37" s="23">
        <v>0.42271430694594797</v>
      </c>
      <c r="X37" s="23">
        <v>5.0595078365627634E-2</v>
      </c>
      <c r="AA37" s="23">
        <v>2.7072261111004303E-2</v>
      </c>
      <c r="AB37" s="23">
        <v>0.99326974021417935</v>
      </c>
      <c r="AC37" s="23">
        <v>0.42271430694594797</v>
      </c>
      <c r="AD37" s="23">
        <v>5.0595078365627634E-2</v>
      </c>
    </row>
    <row r="38" spans="3:30" x14ac:dyDescent="0.25">
      <c r="C38" s="23"/>
      <c r="D38" s="23"/>
      <c r="E38" s="23"/>
      <c r="F38" s="23"/>
      <c r="G38" s="23"/>
      <c r="U38" s="23">
        <v>2.7072261111004303E-2</v>
      </c>
      <c r="V38" s="23">
        <v>0.99326974021417935</v>
      </c>
      <c r="W38" s="23">
        <v>0.42271430694594797</v>
      </c>
      <c r="X38" s="23">
        <v>5.0595078365627634E-2</v>
      </c>
      <c r="AA38" s="23">
        <v>2.7072261111004303E-2</v>
      </c>
      <c r="AB38" s="23">
        <v>0.99326974021417935</v>
      </c>
      <c r="AC38" s="23">
        <v>0.42271430694594797</v>
      </c>
      <c r="AD38" s="23">
        <v>5.0595078365627634E-2</v>
      </c>
    </row>
    <row r="39" spans="3:30" x14ac:dyDescent="0.25">
      <c r="C39" s="23"/>
      <c r="D39" s="23"/>
      <c r="E39" s="23"/>
      <c r="F39" s="23"/>
      <c r="G39" s="23"/>
      <c r="U39" s="23">
        <v>2.7072261111004303E-2</v>
      </c>
      <c r="V39" s="23">
        <v>0.99326974021417935</v>
      </c>
      <c r="W39" s="23">
        <v>0.42271430694594797</v>
      </c>
      <c r="X39" s="23">
        <v>5.0595078365627634E-2</v>
      </c>
      <c r="AA39" s="23">
        <v>2.7072261111004303E-2</v>
      </c>
      <c r="AB39" s="23">
        <v>0.99326974021417935</v>
      </c>
      <c r="AC39" s="23">
        <v>0.42271430694594797</v>
      </c>
      <c r="AD39" s="23">
        <v>5.0595078365627634E-2</v>
      </c>
    </row>
    <row r="40" spans="3:30" x14ac:dyDescent="0.25">
      <c r="C40" s="23"/>
      <c r="D40" s="23"/>
      <c r="E40" s="23"/>
      <c r="F40" s="23"/>
      <c r="G40" s="23"/>
      <c r="U40" s="23">
        <v>2.7072261111004303E-2</v>
      </c>
      <c r="V40" s="23">
        <v>0.99326974021417935</v>
      </c>
      <c r="W40" s="23">
        <v>0.42271430694594797</v>
      </c>
      <c r="X40" s="23">
        <v>5.0595078365627634E-2</v>
      </c>
      <c r="AA40" s="23">
        <v>2.7072261111004303E-2</v>
      </c>
      <c r="AB40" s="23">
        <v>0.99326974021417935</v>
      </c>
      <c r="AC40" s="23">
        <v>0.42271430694594797</v>
      </c>
      <c r="AD40" s="23">
        <v>5.0595078365627634E-2</v>
      </c>
    </row>
    <row r="41" spans="3:30" x14ac:dyDescent="0.25">
      <c r="C41" s="23"/>
      <c r="D41" s="23"/>
      <c r="E41" s="23"/>
      <c r="F41" s="23"/>
      <c r="G41" s="23"/>
      <c r="U41" s="23">
        <v>2.9313504447006252E-2</v>
      </c>
      <c r="V41" s="23">
        <v>0.98886830769118483</v>
      </c>
      <c r="W41" s="23">
        <v>0.24676177603351304</v>
      </c>
      <c r="X41" s="23">
        <v>2.4946823585895402E-2</v>
      </c>
      <c r="AA41" s="23">
        <v>2.9313504447006252E-2</v>
      </c>
      <c r="AB41" s="23">
        <v>0.98886830769118483</v>
      </c>
      <c r="AC41" s="23">
        <v>0.24676177603351304</v>
      </c>
      <c r="AD41" s="23">
        <v>2.4946823585895402E-2</v>
      </c>
    </row>
    <row r="42" spans="3:30" x14ac:dyDescent="0.25">
      <c r="C42" s="23"/>
      <c r="D42" s="23"/>
      <c r="E42" s="23"/>
      <c r="F42" s="23"/>
      <c r="G42" s="23"/>
      <c r="U42" s="23">
        <v>2.9313504447006252E-2</v>
      </c>
      <c r="V42" s="23">
        <v>0.98886830769118483</v>
      </c>
      <c r="W42" s="23">
        <v>0.24676177603351304</v>
      </c>
      <c r="X42" s="23">
        <v>2.4946823585895402E-2</v>
      </c>
      <c r="AA42" s="23">
        <v>2.9313504447006252E-2</v>
      </c>
      <c r="AB42" s="23">
        <v>0.98886830769118483</v>
      </c>
      <c r="AC42" s="23">
        <v>0.24676177603351304</v>
      </c>
      <c r="AD42" s="23">
        <v>2.4946823585895402E-2</v>
      </c>
    </row>
    <row r="43" spans="3:30" x14ac:dyDescent="0.25">
      <c r="C43" s="23"/>
      <c r="D43" s="23"/>
      <c r="E43" s="23"/>
      <c r="F43" s="23"/>
      <c r="G43" s="23"/>
      <c r="U43" s="23">
        <v>2.9313504447006252E-2</v>
      </c>
      <c r="V43" s="23">
        <v>0.98886830769118483</v>
      </c>
      <c r="W43" s="23">
        <v>0.24676177603351304</v>
      </c>
      <c r="X43" s="23">
        <v>2.4946823585895402E-2</v>
      </c>
      <c r="AA43" s="23">
        <v>2.9313504447006252E-2</v>
      </c>
      <c r="AB43" s="23">
        <v>0.98886830769118483</v>
      </c>
      <c r="AC43" s="23">
        <v>0.24676177603351304</v>
      </c>
      <c r="AD43" s="23">
        <v>2.4946823585895402E-2</v>
      </c>
    </row>
    <row r="44" spans="3:30" x14ac:dyDescent="0.25">
      <c r="C44" s="23"/>
      <c r="D44" s="23"/>
      <c r="E44" s="23"/>
      <c r="F44" s="23"/>
      <c r="G44" s="23"/>
      <c r="U44" s="23">
        <v>2.9313504447006252E-2</v>
      </c>
      <c r="V44" s="23">
        <v>0.98886830769118483</v>
      </c>
      <c r="W44" s="23">
        <v>0.24676177603351304</v>
      </c>
      <c r="X44" s="23">
        <v>2.4946823585895402E-2</v>
      </c>
      <c r="AA44" s="23">
        <v>2.9313504447006252E-2</v>
      </c>
      <c r="AB44" s="23">
        <v>0.98886830769118483</v>
      </c>
      <c r="AC44" s="23">
        <v>0.24676177603351304</v>
      </c>
      <c r="AD44" s="23">
        <v>2.4946823585895402E-2</v>
      </c>
    </row>
    <row r="45" spans="3:30" x14ac:dyDescent="0.25">
      <c r="C45" s="23"/>
      <c r="D45" s="23"/>
      <c r="E45" s="23"/>
      <c r="F45" s="23"/>
      <c r="G45" s="23"/>
      <c r="U45" s="23">
        <v>2.9313504447006252E-2</v>
      </c>
      <c r="V45" s="23">
        <v>0.98886830769118483</v>
      </c>
      <c r="W45" s="23">
        <v>0.24676177603351304</v>
      </c>
      <c r="X45" s="23">
        <v>2.4946823585895402E-2</v>
      </c>
      <c r="AA45" s="23">
        <v>2.9313504447006252E-2</v>
      </c>
      <c r="AB45" s="23">
        <v>0.98886830769118483</v>
      </c>
      <c r="AC45" s="23">
        <v>0.24676177603351304</v>
      </c>
      <c r="AD45" s="23">
        <v>2.4946823585895402E-2</v>
      </c>
    </row>
    <row r="46" spans="3:30" x14ac:dyDescent="0.25">
      <c r="C46" s="23"/>
      <c r="D46" s="23"/>
      <c r="E46" s="23"/>
      <c r="F46" s="23"/>
      <c r="G46" s="23"/>
      <c r="U46" s="23">
        <v>2.7072261111004303E-2</v>
      </c>
      <c r="V46" s="23">
        <v>0.99326974021417935</v>
      </c>
      <c r="W46" s="23">
        <v>0.42271430694594797</v>
      </c>
      <c r="X46" s="23">
        <v>5.0595078365627634E-2</v>
      </c>
      <c r="AA46" s="23">
        <v>2.7072261111004303E-2</v>
      </c>
      <c r="AB46" s="23">
        <v>0.99326974021417935</v>
      </c>
      <c r="AC46" s="23">
        <v>0.42271430694594797</v>
      </c>
      <c r="AD46" s="23">
        <v>5.0595078365627634E-2</v>
      </c>
    </row>
    <row r="47" spans="3:30" x14ac:dyDescent="0.25">
      <c r="C47" s="23"/>
      <c r="D47" s="23"/>
      <c r="E47" s="23"/>
      <c r="F47" s="23"/>
      <c r="G47" s="23"/>
      <c r="U47" s="23">
        <v>2.7072261111004303E-2</v>
      </c>
      <c r="V47" s="23">
        <v>0.99326974021417935</v>
      </c>
      <c r="W47" s="23">
        <v>0.42271430694594797</v>
      </c>
      <c r="X47" s="23">
        <v>5.0595078365627634E-2</v>
      </c>
      <c r="AA47" s="23">
        <v>2.7072261111004303E-2</v>
      </c>
      <c r="AB47" s="23">
        <v>0.99326974021417935</v>
      </c>
      <c r="AC47" s="23">
        <v>0.42271430694594797</v>
      </c>
      <c r="AD47" s="23">
        <v>5.0595078365627634E-2</v>
      </c>
    </row>
    <row r="48" spans="3:30" x14ac:dyDescent="0.25">
      <c r="C48" s="23"/>
      <c r="D48" s="23"/>
      <c r="E48" s="23"/>
      <c r="F48" s="23"/>
      <c r="G48" s="23"/>
      <c r="U48" s="23">
        <v>2.7072261111004303E-2</v>
      </c>
      <c r="V48" s="23">
        <v>0.99326974021417935</v>
      </c>
      <c r="W48" s="23">
        <v>0.42271430694594797</v>
      </c>
      <c r="X48" s="23">
        <v>5.0595078365627634E-2</v>
      </c>
      <c r="AA48" s="23">
        <v>2.7072261111004303E-2</v>
      </c>
      <c r="AB48" s="23">
        <v>0.99326974021417935</v>
      </c>
      <c r="AC48" s="23">
        <v>0.42271430694594797</v>
      </c>
      <c r="AD48" s="23">
        <v>5.0595078365627634E-2</v>
      </c>
    </row>
    <row r="49" spans="3:30" x14ac:dyDescent="0.25">
      <c r="C49" s="23"/>
      <c r="D49" s="23"/>
      <c r="E49" s="23"/>
      <c r="F49" s="23"/>
      <c r="G49" s="23"/>
      <c r="U49" s="23">
        <v>2.7072261111004303E-2</v>
      </c>
      <c r="V49" s="23">
        <v>0.99326974021417935</v>
      </c>
      <c r="W49" s="23">
        <v>0.42271430694594797</v>
      </c>
      <c r="X49" s="23">
        <v>5.0595078365627634E-2</v>
      </c>
      <c r="AA49" s="23">
        <v>2.7072261111004303E-2</v>
      </c>
      <c r="AB49" s="23">
        <v>0.99326974021417935</v>
      </c>
      <c r="AC49" s="23">
        <v>0.42271430694594797</v>
      </c>
      <c r="AD49" s="23">
        <v>5.0595078365627634E-2</v>
      </c>
    </row>
    <row r="50" spans="3:30" x14ac:dyDescent="0.25">
      <c r="C50" s="23"/>
      <c r="D50" s="23"/>
      <c r="E50" s="23"/>
      <c r="F50" s="23"/>
      <c r="G50" s="23"/>
      <c r="U50" s="23">
        <v>2.7072261111004303E-2</v>
      </c>
      <c r="V50" s="23">
        <v>0.99326974021417935</v>
      </c>
      <c r="W50" s="23">
        <v>0.42271430694594797</v>
      </c>
      <c r="X50" s="23">
        <v>5.0595078365627634E-2</v>
      </c>
      <c r="AA50" s="23">
        <v>2.7072261111004303E-2</v>
      </c>
      <c r="AB50" s="23">
        <v>0.99326974021417935</v>
      </c>
      <c r="AC50" s="23">
        <v>0.42271430694594797</v>
      </c>
      <c r="AD50" s="23">
        <v>5.0595078365627634E-2</v>
      </c>
    </row>
    <row r="51" spans="3:30" x14ac:dyDescent="0.25">
      <c r="C51" s="23"/>
      <c r="D51" s="23"/>
      <c r="E51" s="23"/>
      <c r="F51" s="23"/>
      <c r="G51" s="23"/>
      <c r="U51" s="23">
        <v>2.7072261111004303E-2</v>
      </c>
      <c r="V51" s="23">
        <v>0.99326974021417935</v>
      </c>
      <c r="W51" s="23">
        <v>0.42271430694594797</v>
      </c>
      <c r="X51" s="23">
        <v>5.0595078365627634E-2</v>
      </c>
      <c r="AA51" s="23">
        <v>2.7072261111004303E-2</v>
      </c>
      <c r="AB51" s="23">
        <v>0.99326974021417935</v>
      </c>
      <c r="AC51" s="23">
        <v>0.42271430694594797</v>
      </c>
      <c r="AD51" s="23">
        <v>5.0595078365627634E-2</v>
      </c>
    </row>
    <row r="52" spans="3:30" x14ac:dyDescent="0.25">
      <c r="C52" s="23"/>
      <c r="D52" s="23"/>
      <c r="E52" s="23"/>
      <c r="F52" s="23"/>
      <c r="G52" s="23"/>
      <c r="U52" s="23">
        <v>2.7072261111004303E-2</v>
      </c>
      <c r="V52" s="23">
        <v>0.99326974021417935</v>
      </c>
      <c r="W52" s="23">
        <v>0.42271430694594797</v>
      </c>
      <c r="X52" s="23">
        <v>5.0595078365627634E-2</v>
      </c>
      <c r="AA52" s="23">
        <v>2.7072261111004303E-2</v>
      </c>
      <c r="AB52" s="23">
        <v>0.99326974021417935</v>
      </c>
      <c r="AC52" s="23">
        <v>0.42271430694594797</v>
      </c>
      <c r="AD52" s="23">
        <v>5.0595078365627634E-2</v>
      </c>
    </row>
    <row r="53" spans="3:30" x14ac:dyDescent="0.25">
      <c r="C53" s="23"/>
      <c r="D53" s="23"/>
      <c r="E53" s="23"/>
      <c r="F53" s="23"/>
      <c r="G53" s="23"/>
      <c r="U53" s="23">
        <v>2.9313504447006252E-2</v>
      </c>
      <c r="V53" s="23">
        <v>0.98886830769118483</v>
      </c>
      <c r="W53" s="23">
        <v>0.24676177603351304</v>
      </c>
      <c r="X53" s="23">
        <v>2.4946823585895402E-2</v>
      </c>
      <c r="AA53" s="23">
        <v>2.9313504447006252E-2</v>
      </c>
      <c r="AB53" s="23">
        <v>0.98886830769118483</v>
      </c>
      <c r="AC53" s="23">
        <v>0.24676177603351304</v>
      </c>
      <c r="AD53" s="23">
        <v>2.4946823585895402E-2</v>
      </c>
    </row>
    <row r="54" spans="3:30" x14ac:dyDescent="0.25">
      <c r="C54" s="23"/>
      <c r="D54" s="23"/>
      <c r="E54" s="23"/>
      <c r="F54" s="23"/>
      <c r="G54" s="23"/>
      <c r="U54" s="23">
        <v>2.9313504447006252E-2</v>
      </c>
      <c r="V54" s="23">
        <v>0.98886830769118483</v>
      </c>
      <c r="W54" s="23">
        <v>0.24676177603351304</v>
      </c>
      <c r="X54" s="23">
        <v>2.4946823585895402E-2</v>
      </c>
      <c r="AA54" s="23">
        <v>2.9313504447006252E-2</v>
      </c>
      <c r="AB54" s="23">
        <v>0.98886830769118483</v>
      </c>
      <c r="AC54" s="23">
        <v>0.24676177603351304</v>
      </c>
      <c r="AD54" s="23">
        <v>2.4946823585895402E-2</v>
      </c>
    </row>
    <row r="55" spans="3:30" x14ac:dyDescent="0.25">
      <c r="C55" s="23"/>
      <c r="D55" s="23"/>
      <c r="E55" s="23"/>
      <c r="F55" s="23"/>
      <c r="G55" s="23"/>
      <c r="U55" s="23">
        <v>2.9313504447006252E-2</v>
      </c>
      <c r="V55" s="23">
        <v>0.98886830769118483</v>
      </c>
      <c r="W55" s="23">
        <v>0.24676177603351304</v>
      </c>
      <c r="X55" s="23">
        <v>2.4946823585895402E-2</v>
      </c>
      <c r="AA55" s="23">
        <v>2.9313504447006252E-2</v>
      </c>
      <c r="AB55" s="23">
        <v>0.98886830769118483</v>
      </c>
      <c r="AC55" s="23">
        <v>0.24676177603351304</v>
      </c>
      <c r="AD55" s="23">
        <v>2.4946823585895402E-2</v>
      </c>
    </row>
    <row r="56" spans="3:30" x14ac:dyDescent="0.25">
      <c r="C56" s="23"/>
      <c r="D56" s="23"/>
      <c r="E56" s="23"/>
      <c r="F56" s="23"/>
      <c r="G56" s="23"/>
      <c r="U56" s="23">
        <v>2.9313504447006252E-2</v>
      </c>
      <c r="V56" s="23">
        <v>0.98886830769118483</v>
      </c>
      <c r="W56" s="23">
        <v>0.24676177603351304</v>
      </c>
      <c r="X56" s="23">
        <v>2.4946823585895402E-2</v>
      </c>
      <c r="AA56" s="23">
        <v>2.9313504447006252E-2</v>
      </c>
      <c r="AB56" s="23">
        <v>0.98886830769118483</v>
      </c>
      <c r="AC56" s="23">
        <v>0.24676177603351304</v>
      </c>
      <c r="AD56" s="23">
        <v>2.4946823585895402E-2</v>
      </c>
    </row>
    <row r="57" spans="3:30" x14ac:dyDescent="0.25">
      <c r="C57" s="23"/>
      <c r="D57" s="23"/>
      <c r="E57" s="23"/>
      <c r="F57" s="23"/>
      <c r="G57" s="23"/>
      <c r="U57" s="23">
        <v>2.9313504447006252E-2</v>
      </c>
      <c r="V57" s="23">
        <v>0.98886830769118483</v>
      </c>
      <c r="W57" s="23">
        <v>0.24676177603351304</v>
      </c>
      <c r="X57" s="23">
        <v>2.4946823585895402E-2</v>
      </c>
      <c r="AA57" s="23">
        <v>2.9313504447006252E-2</v>
      </c>
      <c r="AB57" s="23">
        <v>0.98886830769118483</v>
      </c>
      <c r="AC57" s="23">
        <v>0.24676177603351304</v>
      </c>
      <c r="AD57" s="23">
        <v>2.4946823585895402E-2</v>
      </c>
    </row>
    <row r="58" spans="3:30" x14ac:dyDescent="0.25">
      <c r="C58" s="23"/>
      <c r="D58" s="23"/>
      <c r="E58" s="23"/>
      <c r="F58" s="23"/>
      <c r="G58" s="23"/>
      <c r="U58" s="23">
        <v>2.7072261111004303E-2</v>
      </c>
      <c r="V58" s="23">
        <v>0.99326974021417935</v>
      </c>
      <c r="W58" s="23">
        <v>0.42271430694594797</v>
      </c>
      <c r="X58" s="23">
        <v>5.0595078365627634E-2</v>
      </c>
      <c r="AA58" s="23">
        <v>2.7072261111004303E-2</v>
      </c>
      <c r="AB58" s="23">
        <v>0.99326974021417935</v>
      </c>
      <c r="AC58" s="23">
        <v>0.42271430694594797</v>
      </c>
      <c r="AD58" s="23">
        <v>5.0595078365627634E-2</v>
      </c>
    </row>
    <row r="59" spans="3:30" x14ac:dyDescent="0.25">
      <c r="C59" s="23"/>
      <c r="D59" s="23"/>
      <c r="E59" s="23"/>
      <c r="F59" s="23"/>
      <c r="G59" s="23"/>
      <c r="U59" s="23">
        <v>2.7072261111004303E-2</v>
      </c>
      <c r="V59" s="23">
        <v>0.99326974021417935</v>
      </c>
      <c r="W59" s="23">
        <v>0.42271430694594797</v>
      </c>
      <c r="X59" s="23">
        <v>5.0595078365627634E-2</v>
      </c>
      <c r="AA59" s="23">
        <v>2.7072261111004303E-2</v>
      </c>
      <c r="AB59" s="23">
        <v>0.99326974021417935</v>
      </c>
      <c r="AC59" s="23">
        <v>0.42271430694594797</v>
      </c>
      <c r="AD59" s="23">
        <v>5.0595078365627634E-2</v>
      </c>
    </row>
    <row r="60" spans="3:30" x14ac:dyDescent="0.25">
      <c r="C60" s="23"/>
      <c r="D60" s="23"/>
      <c r="E60" s="23"/>
      <c r="F60" s="23"/>
      <c r="G60" s="23"/>
      <c r="U60" s="23">
        <v>2.7072261111004303E-2</v>
      </c>
      <c r="V60" s="23">
        <v>0.99326974021417935</v>
      </c>
      <c r="W60" s="23">
        <v>0.42271430694594797</v>
      </c>
      <c r="X60" s="23">
        <v>5.0595078365627634E-2</v>
      </c>
      <c r="AA60" s="23">
        <v>2.7072261111004303E-2</v>
      </c>
      <c r="AB60" s="23">
        <v>0.99326974021417935</v>
      </c>
      <c r="AC60" s="23">
        <v>0.42271430694594797</v>
      </c>
      <c r="AD60" s="23">
        <v>5.0595078365627634E-2</v>
      </c>
    </row>
    <row r="61" spans="3:30" x14ac:dyDescent="0.25">
      <c r="C61" s="23"/>
      <c r="D61" s="23"/>
      <c r="E61" s="23"/>
      <c r="F61" s="23"/>
      <c r="G61" s="23"/>
      <c r="U61" s="23">
        <v>2.7072261111004303E-2</v>
      </c>
      <c r="V61" s="23">
        <v>0.99326974021417935</v>
      </c>
      <c r="W61" s="23">
        <v>0.42271430694594797</v>
      </c>
      <c r="X61" s="23">
        <v>5.0595078365627634E-2</v>
      </c>
      <c r="AA61" s="23">
        <v>2.7072261111004303E-2</v>
      </c>
      <c r="AB61" s="23">
        <v>0.99326974021417935</v>
      </c>
      <c r="AC61" s="23">
        <v>0.42271430694594797</v>
      </c>
      <c r="AD61" s="23">
        <v>5.0595078365627634E-2</v>
      </c>
    </row>
    <row r="62" spans="3:30" x14ac:dyDescent="0.25">
      <c r="C62" s="23"/>
      <c r="D62" s="23"/>
      <c r="E62" s="23"/>
      <c r="F62" s="23"/>
      <c r="G62" s="23"/>
      <c r="U62" s="23">
        <v>2.7072261111004303E-2</v>
      </c>
      <c r="V62" s="23">
        <v>0.99326974021417935</v>
      </c>
      <c r="W62" s="23">
        <v>0.42271430694594797</v>
      </c>
      <c r="X62" s="23">
        <v>5.0595078365627634E-2</v>
      </c>
      <c r="AA62" s="23">
        <v>1.1877607920541323E-3</v>
      </c>
      <c r="AB62" s="23">
        <v>1.0039966489678811</v>
      </c>
      <c r="AC62" s="23">
        <v>0.48147111034433049</v>
      </c>
      <c r="AD62" s="23">
        <v>0.10105983856283134</v>
      </c>
    </row>
    <row r="63" spans="3:30" x14ac:dyDescent="0.25">
      <c r="C63" s="23"/>
      <c r="D63" s="23"/>
      <c r="E63" s="23"/>
      <c r="F63" s="23"/>
      <c r="G63" s="23"/>
      <c r="U63" s="23">
        <v>2.7072261111004303E-2</v>
      </c>
      <c r="V63" s="23">
        <v>0.99326974021417935</v>
      </c>
      <c r="W63" s="23">
        <v>0.42271430694594797</v>
      </c>
      <c r="X63" s="23">
        <v>5.0595078365627634E-2</v>
      </c>
      <c r="AA63" s="23">
        <v>1.1877607920541323E-3</v>
      </c>
      <c r="AB63" s="23">
        <v>1.0039966489678811</v>
      </c>
      <c r="AC63" s="23">
        <v>0.48147111034433049</v>
      </c>
      <c r="AD63" s="23">
        <v>0.10105983856283134</v>
      </c>
    </row>
    <row r="64" spans="3:30" x14ac:dyDescent="0.25">
      <c r="C64" s="23"/>
      <c r="D64" s="23"/>
      <c r="E64" s="23"/>
      <c r="F64" s="23"/>
      <c r="G64" s="23"/>
      <c r="U64" s="23">
        <v>2.7072261111004303E-2</v>
      </c>
      <c r="V64" s="23">
        <v>0.99326974021417935</v>
      </c>
      <c r="W64" s="23">
        <v>0.42271430694594797</v>
      </c>
      <c r="X64" s="23">
        <v>5.0595078365627634E-2</v>
      </c>
      <c r="AA64" s="23">
        <v>1.1877607920541323E-3</v>
      </c>
      <c r="AB64" s="23">
        <v>1.0039966489678811</v>
      </c>
      <c r="AC64" s="23">
        <v>0.48147111034433049</v>
      </c>
      <c r="AD64" s="23">
        <v>0.10105983856283134</v>
      </c>
    </row>
    <row r="65" spans="3:30" x14ac:dyDescent="0.25">
      <c r="C65" s="23"/>
      <c r="D65" s="23"/>
      <c r="E65" s="23"/>
      <c r="F65" s="23"/>
      <c r="G65" s="23"/>
      <c r="U65" s="23">
        <v>2.9313504447006252E-2</v>
      </c>
      <c r="V65" s="23">
        <v>0.98886830769118483</v>
      </c>
      <c r="W65" s="23">
        <v>0.24676177603351304</v>
      </c>
      <c r="X65" s="23">
        <v>2.4946823585895402E-2</v>
      </c>
      <c r="AA65" s="23">
        <v>1.5942437461412402E-2</v>
      </c>
      <c r="AB65" s="23">
        <v>0.99091357130520463</v>
      </c>
      <c r="AC65" s="23">
        <v>0.16772169711848881</v>
      </c>
      <c r="AD65" s="23">
        <v>3.1354216893132524E-2</v>
      </c>
    </row>
    <row r="66" spans="3:30" x14ac:dyDescent="0.25">
      <c r="C66" s="23"/>
      <c r="D66" s="23"/>
      <c r="E66" s="23"/>
      <c r="F66" s="23"/>
      <c r="G66" s="23"/>
      <c r="U66" s="23">
        <v>2.9313504447006252E-2</v>
      </c>
      <c r="V66" s="23">
        <v>0.98886830769118483</v>
      </c>
      <c r="W66" s="23">
        <v>0.24676177603351304</v>
      </c>
      <c r="X66" s="23">
        <v>2.4946823585895402E-2</v>
      </c>
      <c r="AA66" s="23">
        <v>1.5942437461412402E-2</v>
      </c>
      <c r="AB66" s="23">
        <v>0.99091357130520463</v>
      </c>
      <c r="AC66" s="23">
        <v>0.16772169711848881</v>
      </c>
      <c r="AD66" s="23">
        <v>3.1354216893132524E-2</v>
      </c>
    </row>
    <row r="67" spans="3:30" x14ac:dyDescent="0.25">
      <c r="C67" s="23"/>
      <c r="D67" s="23"/>
      <c r="E67" s="23"/>
      <c r="F67" s="23"/>
      <c r="G67" s="23"/>
      <c r="U67" s="23">
        <v>2.9313504447006252E-2</v>
      </c>
      <c r="V67" s="23">
        <v>0.98886830769118483</v>
      </c>
      <c r="W67" s="23">
        <v>0.24676177603351304</v>
      </c>
      <c r="X67" s="23">
        <v>2.4946823585895402E-2</v>
      </c>
      <c r="AA67" s="23">
        <v>1.5942437461412402E-2</v>
      </c>
      <c r="AB67" s="23">
        <v>0.99091357130520463</v>
      </c>
      <c r="AC67" s="23">
        <v>0.16772169711848881</v>
      </c>
      <c r="AD67" s="23">
        <v>3.1354216893132524E-2</v>
      </c>
    </row>
    <row r="68" spans="3:30" x14ac:dyDescent="0.25">
      <c r="C68" s="23"/>
      <c r="D68" s="23"/>
      <c r="E68" s="23"/>
      <c r="F68" s="23"/>
      <c r="G68" s="23"/>
      <c r="U68" s="23">
        <v>2.9313504447006252E-2</v>
      </c>
      <c r="V68" s="23">
        <v>0.98886830769118483</v>
      </c>
      <c r="W68" s="23">
        <v>0.24676177603351304</v>
      </c>
      <c r="X68" s="23">
        <v>2.4946823585895402E-2</v>
      </c>
      <c r="AA68" s="23">
        <v>1.5942437461412402E-2</v>
      </c>
      <c r="AB68" s="23">
        <v>0.99091357130520463</v>
      </c>
      <c r="AC68" s="23">
        <v>0.16772169711848881</v>
      </c>
      <c r="AD68" s="23">
        <v>3.1354216893132524E-2</v>
      </c>
    </row>
    <row r="69" spans="3:30" x14ac:dyDescent="0.25">
      <c r="C69" s="23"/>
      <c r="D69" s="23"/>
      <c r="E69" s="23"/>
      <c r="F69" s="23"/>
      <c r="G69" s="23"/>
      <c r="U69" s="23">
        <v>2.9313504447006252E-2</v>
      </c>
      <c r="V69" s="23">
        <v>0.98886830769118483</v>
      </c>
      <c r="W69" s="23">
        <v>0.24676177603351304</v>
      </c>
      <c r="X69" s="23">
        <v>2.4946823585895402E-2</v>
      </c>
      <c r="AA69" s="23">
        <v>1.5942437461412402E-2</v>
      </c>
      <c r="AB69" s="23">
        <v>0.99091357130520463</v>
      </c>
      <c r="AC69" s="23">
        <v>0.16772169711848881</v>
      </c>
      <c r="AD69" s="23">
        <v>3.1354216893132524E-2</v>
      </c>
    </row>
    <row r="70" spans="3:30" x14ac:dyDescent="0.25">
      <c r="C70" s="23"/>
      <c r="D70" s="23"/>
      <c r="E70" s="23"/>
      <c r="F70" s="23"/>
      <c r="G70" s="23"/>
      <c r="U70" s="23">
        <v>2.7072261111004303E-2</v>
      </c>
      <c r="V70" s="23">
        <v>0.99326974021417935</v>
      </c>
      <c r="W70" s="23">
        <v>0.42271430694594797</v>
      </c>
      <c r="X70" s="23">
        <v>5.0595078365627634E-2</v>
      </c>
      <c r="AA70" s="23">
        <v>1.1877607920541323E-3</v>
      </c>
      <c r="AB70" s="23">
        <v>1.0039966489678811</v>
      </c>
      <c r="AC70" s="23">
        <v>0.48147111034433049</v>
      </c>
      <c r="AD70" s="23">
        <v>0.10105983856283134</v>
      </c>
    </row>
    <row r="71" spans="3:30" x14ac:dyDescent="0.25">
      <c r="C71" s="23"/>
      <c r="D71" s="23"/>
      <c r="E71" s="23"/>
      <c r="F71" s="23"/>
      <c r="G71" s="23"/>
      <c r="U71" s="23">
        <v>2.7072261111004303E-2</v>
      </c>
      <c r="V71" s="23">
        <v>0.99326974021417935</v>
      </c>
      <c r="W71" s="23">
        <v>0.42271430694594797</v>
      </c>
      <c r="X71" s="23">
        <v>5.0595078365627634E-2</v>
      </c>
      <c r="AA71" s="23">
        <v>1.1877607920541323E-3</v>
      </c>
      <c r="AB71" s="23">
        <v>1.0039966489678811</v>
      </c>
      <c r="AC71" s="23">
        <v>0.48147111034433049</v>
      </c>
      <c r="AD71" s="23">
        <v>0.10105983856283134</v>
      </c>
    </row>
    <row r="72" spans="3:30" x14ac:dyDescent="0.25">
      <c r="C72" s="23"/>
      <c r="D72" s="23"/>
      <c r="E72" s="23"/>
      <c r="F72" s="23"/>
      <c r="G72" s="23"/>
      <c r="U72" s="23">
        <v>2.7072261111004303E-2</v>
      </c>
      <c r="V72" s="23">
        <v>0.99326974021417935</v>
      </c>
      <c r="W72" s="23">
        <v>0.42271430694594797</v>
      </c>
      <c r="X72" s="23">
        <v>5.0595078365627634E-2</v>
      </c>
      <c r="AA72" s="23">
        <v>1.1877607920541323E-3</v>
      </c>
      <c r="AB72" s="23">
        <v>1.0039966489678811</v>
      </c>
      <c r="AC72" s="23">
        <v>0.48147111034433049</v>
      </c>
      <c r="AD72" s="23">
        <v>0.10105983856283134</v>
      </c>
    </row>
    <row r="73" spans="3:30" x14ac:dyDescent="0.25">
      <c r="C73" s="23"/>
      <c r="D73" s="23"/>
      <c r="E73" s="23"/>
      <c r="F73" s="23"/>
      <c r="G73" s="23"/>
      <c r="U73" s="23">
        <v>2.7072261111004303E-2</v>
      </c>
      <c r="V73" s="23">
        <v>0.99326974021417935</v>
      </c>
      <c r="W73" s="23">
        <v>0.42271430694594797</v>
      </c>
      <c r="X73" s="23">
        <v>5.0595078365627634E-2</v>
      </c>
      <c r="AA73" s="23">
        <v>1.1877607920541323E-3</v>
      </c>
      <c r="AB73" s="23">
        <v>1.0039966489678811</v>
      </c>
      <c r="AC73" s="23">
        <v>0.48147111034433049</v>
      </c>
      <c r="AD73" s="23">
        <v>0.10105983856283134</v>
      </c>
    </row>
    <row r="74" spans="3:30" x14ac:dyDescent="0.25">
      <c r="C74" s="23"/>
      <c r="D74" s="23"/>
      <c r="E74" s="23"/>
      <c r="F74" s="23"/>
      <c r="G74" s="23"/>
      <c r="U74" s="23">
        <v>2.7072261111004303E-2</v>
      </c>
      <c r="V74" s="23">
        <v>0.99326974021417935</v>
      </c>
      <c r="W74" s="23">
        <v>0.42271430694594797</v>
      </c>
      <c r="X74" s="23">
        <v>5.0595078365627634E-2</v>
      </c>
      <c r="AA74" s="23">
        <v>2.7072261111004303E-2</v>
      </c>
      <c r="AB74" s="23">
        <v>0.99326974021417935</v>
      </c>
      <c r="AC74" s="23">
        <v>0.42271430694594797</v>
      </c>
      <c r="AD74" s="23">
        <v>5.0595078365627634E-2</v>
      </c>
    </row>
    <row r="75" spans="3:30" x14ac:dyDescent="0.25">
      <c r="C75" s="23"/>
      <c r="D75" s="23"/>
      <c r="E75" s="23"/>
      <c r="F75" s="23"/>
      <c r="G75" s="23"/>
      <c r="U75" s="23">
        <v>2.7072261111004303E-2</v>
      </c>
      <c r="V75" s="23">
        <v>0.99326974021417935</v>
      </c>
      <c r="W75" s="23">
        <v>0.42271430694594797</v>
      </c>
      <c r="X75" s="23">
        <v>5.0595078365627634E-2</v>
      </c>
      <c r="AA75" s="23">
        <v>2.7072261111004303E-2</v>
      </c>
      <c r="AB75" s="23">
        <v>0.99326974021417935</v>
      </c>
      <c r="AC75" s="23">
        <v>0.42271430694594797</v>
      </c>
      <c r="AD75" s="23">
        <v>5.0595078365627634E-2</v>
      </c>
    </row>
    <row r="76" spans="3:30" x14ac:dyDescent="0.25">
      <c r="C76" s="23"/>
      <c r="D76" s="23"/>
      <c r="E76" s="23"/>
      <c r="F76" s="23"/>
      <c r="G76" s="23"/>
      <c r="U76" s="23">
        <v>2.7072261111004303E-2</v>
      </c>
      <c r="V76" s="23">
        <v>0.99326974021417935</v>
      </c>
      <c r="W76" s="23">
        <v>0.42271430694594797</v>
      </c>
      <c r="X76" s="23">
        <v>5.0595078365627634E-2</v>
      </c>
      <c r="AA76" s="23">
        <v>2.7072261111004303E-2</v>
      </c>
      <c r="AB76" s="23">
        <v>0.99326974021417935</v>
      </c>
      <c r="AC76" s="23">
        <v>0.42271430694594797</v>
      </c>
      <c r="AD76" s="23">
        <v>5.0595078365627634E-2</v>
      </c>
    </row>
    <row r="77" spans="3:30" x14ac:dyDescent="0.25">
      <c r="C77" s="23"/>
      <c r="D77" s="23"/>
      <c r="E77" s="23"/>
      <c r="F77" s="23"/>
      <c r="G77" s="23"/>
      <c r="U77" s="23">
        <v>2.9313504447006252E-2</v>
      </c>
      <c r="V77" s="23">
        <v>0.98886830769118483</v>
      </c>
      <c r="W77" s="23">
        <v>0.24676177603351304</v>
      </c>
      <c r="X77" s="23">
        <v>2.4946823585895402E-2</v>
      </c>
      <c r="AA77" s="23">
        <v>2.9313504447006252E-2</v>
      </c>
      <c r="AB77" s="23">
        <v>0.98886830769118483</v>
      </c>
      <c r="AC77" s="23">
        <v>0.24676177603351304</v>
      </c>
      <c r="AD77" s="23">
        <v>2.4946823585895402E-2</v>
      </c>
    </row>
    <row r="78" spans="3:30" x14ac:dyDescent="0.25">
      <c r="C78" s="23"/>
      <c r="D78" s="23"/>
      <c r="E78" s="23"/>
      <c r="F78" s="23"/>
      <c r="G78" s="23"/>
      <c r="U78" s="23">
        <v>2.9313504447006252E-2</v>
      </c>
      <c r="V78" s="23">
        <v>0.98886830769118483</v>
      </c>
      <c r="W78" s="23">
        <v>0.24676177603351304</v>
      </c>
      <c r="X78" s="23">
        <v>2.4946823585895402E-2</v>
      </c>
      <c r="AA78" s="23">
        <v>2.9313504447006252E-2</v>
      </c>
      <c r="AB78" s="23">
        <v>0.98886830769118483</v>
      </c>
      <c r="AC78" s="23">
        <v>0.24676177603351304</v>
      </c>
      <c r="AD78" s="23">
        <v>2.4946823585895402E-2</v>
      </c>
    </row>
    <row r="79" spans="3:30" x14ac:dyDescent="0.25">
      <c r="C79" s="23"/>
      <c r="D79" s="23"/>
      <c r="E79" s="23"/>
      <c r="F79" s="23"/>
      <c r="G79" s="23"/>
      <c r="U79" s="23">
        <v>2.9313504447006252E-2</v>
      </c>
      <c r="V79" s="23">
        <v>0.98886830769118483</v>
      </c>
      <c r="W79" s="23">
        <v>0.24676177603351304</v>
      </c>
      <c r="X79" s="23">
        <v>2.4946823585895402E-2</v>
      </c>
      <c r="AA79" s="23">
        <v>2.9313504447006252E-2</v>
      </c>
      <c r="AB79" s="23">
        <v>0.98886830769118483</v>
      </c>
      <c r="AC79" s="23">
        <v>0.24676177603351304</v>
      </c>
      <c r="AD79" s="23">
        <v>2.4946823585895402E-2</v>
      </c>
    </row>
    <row r="80" spans="3:30" x14ac:dyDescent="0.25">
      <c r="C80" s="23"/>
      <c r="D80" s="23"/>
      <c r="E80" s="23"/>
      <c r="F80" s="23"/>
      <c r="G80" s="23"/>
      <c r="U80" s="23">
        <v>2.9313504447006252E-2</v>
      </c>
      <c r="V80" s="23">
        <v>0.98886830769118483</v>
      </c>
      <c r="W80" s="23">
        <v>0.24676177603351304</v>
      </c>
      <c r="X80" s="23">
        <v>2.4946823585895402E-2</v>
      </c>
      <c r="AA80" s="23">
        <v>2.9313504447006252E-2</v>
      </c>
      <c r="AB80" s="23">
        <v>0.98886830769118483</v>
      </c>
      <c r="AC80" s="23">
        <v>0.24676177603351304</v>
      </c>
      <c r="AD80" s="23">
        <v>2.4946823585895402E-2</v>
      </c>
    </row>
    <row r="81" spans="3:30" x14ac:dyDescent="0.25">
      <c r="C81" s="23"/>
      <c r="D81" s="23"/>
      <c r="E81" s="23"/>
      <c r="F81" s="23"/>
      <c r="G81" s="23"/>
      <c r="U81" s="23">
        <v>2.9313504447006252E-2</v>
      </c>
      <c r="V81" s="23">
        <v>0.98886830769118483</v>
      </c>
      <c r="W81" s="23">
        <v>0.24676177603351304</v>
      </c>
      <c r="X81" s="23">
        <v>2.4946823585895402E-2</v>
      </c>
      <c r="AA81" s="23">
        <v>2.9313504447006252E-2</v>
      </c>
      <c r="AB81" s="23">
        <v>0.98886830769118483</v>
      </c>
      <c r="AC81" s="23">
        <v>0.24676177603351304</v>
      </c>
      <c r="AD81" s="23">
        <v>2.4946823585895402E-2</v>
      </c>
    </row>
    <row r="82" spans="3:30" x14ac:dyDescent="0.25">
      <c r="C82" s="23"/>
      <c r="D82" s="23"/>
      <c r="E82" s="23"/>
      <c r="F82" s="23"/>
      <c r="G82" s="23"/>
      <c r="U82" s="23">
        <v>2.7072261111004303E-2</v>
      </c>
      <c r="V82" s="23">
        <v>0.99326974021417935</v>
      </c>
      <c r="W82" s="23">
        <v>0.42271430694594797</v>
      </c>
      <c r="X82" s="23">
        <v>5.0595078365627634E-2</v>
      </c>
      <c r="AA82" s="23">
        <v>2.7072261111004303E-2</v>
      </c>
      <c r="AB82" s="23">
        <v>0.99326974021417935</v>
      </c>
      <c r="AC82" s="23">
        <v>0.42271430694594797</v>
      </c>
      <c r="AD82" s="23">
        <v>5.0595078365627634E-2</v>
      </c>
    </row>
    <row r="83" spans="3:30" x14ac:dyDescent="0.25">
      <c r="C83" s="23"/>
      <c r="D83" s="23"/>
      <c r="E83" s="23"/>
      <c r="F83" s="23"/>
      <c r="G83" s="23"/>
      <c r="U83" s="23">
        <v>2.7072261111004303E-2</v>
      </c>
      <c r="V83" s="23">
        <v>0.99326974021417935</v>
      </c>
      <c r="W83" s="23">
        <v>0.42271430694594797</v>
      </c>
      <c r="X83" s="23">
        <v>5.0595078365627634E-2</v>
      </c>
      <c r="AA83" s="23">
        <v>2.7072261111004303E-2</v>
      </c>
      <c r="AB83" s="23">
        <v>0.99326974021417935</v>
      </c>
      <c r="AC83" s="23">
        <v>0.42271430694594797</v>
      </c>
      <c r="AD83" s="23">
        <v>5.0595078365627634E-2</v>
      </c>
    </row>
    <row r="84" spans="3:30" x14ac:dyDescent="0.25">
      <c r="C84" s="23"/>
      <c r="D84" s="23"/>
      <c r="E84" s="23"/>
      <c r="F84" s="23"/>
      <c r="G84" s="23"/>
      <c r="U84" s="23">
        <v>2.7072261111004303E-2</v>
      </c>
      <c r="V84" s="23">
        <v>0.99326974021417935</v>
      </c>
      <c r="W84" s="23">
        <v>0.42271430694594797</v>
      </c>
      <c r="X84" s="23">
        <v>5.0595078365627634E-2</v>
      </c>
      <c r="AA84" s="23">
        <v>2.7072261111004303E-2</v>
      </c>
      <c r="AB84" s="23">
        <v>0.99326974021417935</v>
      </c>
      <c r="AC84" s="23">
        <v>0.42271430694594797</v>
      </c>
      <c r="AD84" s="23">
        <v>5.0595078365627634E-2</v>
      </c>
    </row>
    <row r="85" spans="3:30" x14ac:dyDescent="0.25">
      <c r="C85" s="23"/>
      <c r="D85" s="23"/>
      <c r="E85" s="23"/>
      <c r="F85" s="23"/>
      <c r="G85" s="23"/>
      <c r="U85" s="23">
        <v>2.7072261111004303E-2</v>
      </c>
      <c r="V85" s="23">
        <v>0.99326974021417935</v>
      </c>
      <c r="W85" s="23">
        <v>0.42271430694594797</v>
      </c>
      <c r="X85" s="23">
        <v>5.0595078365627634E-2</v>
      </c>
      <c r="AA85" s="23">
        <v>2.7072261111004303E-2</v>
      </c>
      <c r="AB85" s="23">
        <v>0.99326974021417935</v>
      </c>
      <c r="AC85" s="23">
        <v>0.42271430694594797</v>
      </c>
      <c r="AD85" s="23">
        <v>5.0595078365627634E-2</v>
      </c>
    </row>
    <row r="86" spans="3:30" x14ac:dyDescent="0.25">
      <c r="C86" s="23"/>
      <c r="D86" s="23"/>
      <c r="E86" s="23"/>
      <c r="F86" s="23"/>
      <c r="G86" s="23"/>
      <c r="U86" s="23">
        <v>2.7072261111004303E-2</v>
      </c>
      <c r="V86" s="23">
        <v>0.99326974021417935</v>
      </c>
      <c r="W86" s="23">
        <v>0.42271430694594797</v>
      </c>
      <c r="X86" s="23">
        <v>5.0595078365627634E-2</v>
      </c>
      <c r="AA86" s="23">
        <v>1.1877607920541323E-3</v>
      </c>
      <c r="AB86" s="23">
        <v>1.0039966489678811</v>
      </c>
      <c r="AC86" s="23">
        <v>0.48147111034433049</v>
      </c>
      <c r="AD86" s="23">
        <v>0.10105983856283134</v>
      </c>
    </row>
    <row r="87" spans="3:30" x14ac:dyDescent="0.25">
      <c r="C87" s="23"/>
      <c r="D87" s="23"/>
      <c r="E87" s="23"/>
      <c r="F87" s="23"/>
      <c r="G87" s="23"/>
      <c r="U87" s="23">
        <v>2.7072261111004303E-2</v>
      </c>
      <c r="V87" s="23">
        <v>0.99326974021417935</v>
      </c>
      <c r="W87" s="23">
        <v>0.42271430694594797</v>
      </c>
      <c r="X87" s="23">
        <v>5.0595078365627634E-2</v>
      </c>
      <c r="AA87" s="23">
        <v>1.1877607920541323E-3</v>
      </c>
      <c r="AB87" s="23">
        <v>1.0039966489678811</v>
      </c>
      <c r="AC87" s="23">
        <v>0.48147111034433049</v>
      </c>
      <c r="AD87" s="23">
        <v>0.10105983856283134</v>
      </c>
    </row>
    <row r="88" spans="3:30" x14ac:dyDescent="0.25">
      <c r="C88" s="23"/>
      <c r="D88" s="23"/>
      <c r="E88" s="23"/>
      <c r="F88" s="23"/>
      <c r="G88" s="23"/>
      <c r="U88" s="23">
        <v>2.7072261111004303E-2</v>
      </c>
      <c r="V88" s="23">
        <v>0.99326974021417935</v>
      </c>
      <c r="W88" s="23">
        <v>0.42271430694594797</v>
      </c>
      <c r="X88" s="23">
        <v>5.0595078365627634E-2</v>
      </c>
      <c r="AA88" s="23">
        <v>1.1877607920541323E-3</v>
      </c>
      <c r="AB88" s="23">
        <v>1.0039966489678811</v>
      </c>
      <c r="AC88" s="23">
        <v>0.48147111034433049</v>
      </c>
      <c r="AD88" s="23">
        <v>0.10105983856283134</v>
      </c>
    </row>
    <row r="89" spans="3:30" x14ac:dyDescent="0.25">
      <c r="C89" s="23"/>
      <c r="D89" s="23"/>
      <c r="E89" s="23"/>
      <c r="F89" s="23"/>
      <c r="G89" s="23"/>
      <c r="U89" s="23">
        <v>2.9313504447006252E-2</v>
      </c>
      <c r="V89" s="23">
        <v>0.98886830769118483</v>
      </c>
      <c r="W89" s="23">
        <v>0.24676177603351304</v>
      </c>
      <c r="X89" s="23">
        <v>2.4946823585895402E-2</v>
      </c>
      <c r="AA89" s="23">
        <v>1.5942437461412402E-2</v>
      </c>
      <c r="AB89" s="23">
        <v>0.99091357130520463</v>
      </c>
      <c r="AC89" s="23">
        <v>0.16772169711848881</v>
      </c>
      <c r="AD89" s="23">
        <v>3.1354216893132524E-2</v>
      </c>
    </row>
    <row r="90" spans="3:30" x14ac:dyDescent="0.25">
      <c r="C90" s="23"/>
      <c r="D90" s="23"/>
      <c r="E90" s="23"/>
      <c r="F90" s="23"/>
      <c r="G90" s="23"/>
      <c r="U90" s="23">
        <v>2.9313504447006252E-2</v>
      </c>
      <c r="V90" s="23">
        <v>0.98886830769118483</v>
      </c>
      <c r="W90" s="23">
        <v>0.24676177603351304</v>
      </c>
      <c r="X90" s="23">
        <v>2.4946823585895402E-2</v>
      </c>
      <c r="AA90" s="23">
        <v>1.5942437461412402E-2</v>
      </c>
      <c r="AB90" s="23">
        <v>0.99091357130520463</v>
      </c>
      <c r="AC90" s="23">
        <v>0.16772169711848881</v>
      </c>
      <c r="AD90" s="23">
        <v>3.1354216893132524E-2</v>
      </c>
    </row>
    <row r="91" spans="3:30" x14ac:dyDescent="0.25">
      <c r="C91" s="23"/>
      <c r="D91" s="23"/>
      <c r="E91" s="23"/>
      <c r="F91" s="23"/>
      <c r="G91" s="23"/>
      <c r="U91" s="23">
        <v>2.9313504447006252E-2</v>
      </c>
      <c r="V91" s="23">
        <v>0.98886830769118483</v>
      </c>
      <c r="W91" s="23">
        <v>0.24676177603351304</v>
      </c>
      <c r="X91" s="23">
        <v>2.4946823585895402E-2</v>
      </c>
      <c r="AA91" s="23">
        <v>1.5942437461412402E-2</v>
      </c>
      <c r="AB91" s="23">
        <v>0.99091357130520463</v>
      </c>
      <c r="AC91" s="23">
        <v>0.16772169711848881</v>
      </c>
      <c r="AD91" s="23">
        <v>3.1354216893132524E-2</v>
      </c>
    </row>
    <row r="92" spans="3:30" x14ac:dyDescent="0.25">
      <c r="C92" s="23"/>
      <c r="D92" s="23"/>
      <c r="E92" s="23"/>
      <c r="F92" s="23"/>
      <c r="G92" s="23"/>
      <c r="U92" s="23">
        <v>2.9313504447006252E-2</v>
      </c>
      <c r="V92" s="23">
        <v>0.98886830769118483</v>
      </c>
      <c r="W92" s="23">
        <v>0.24676177603351304</v>
      </c>
      <c r="X92" s="23">
        <v>2.4946823585895402E-2</v>
      </c>
      <c r="AA92" s="23">
        <v>1.5942437461412402E-2</v>
      </c>
      <c r="AB92" s="23">
        <v>0.99091357130520463</v>
      </c>
      <c r="AC92" s="23">
        <v>0.16772169711848881</v>
      </c>
      <c r="AD92" s="23">
        <v>3.1354216893132524E-2</v>
      </c>
    </row>
    <row r="93" spans="3:30" x14ac:dyDescent="0.25">
      <c r="C93" s="23"/>
      <c r="D93" s="23"/>
      <c r="E93" s="23"/>
      <c r="F93" s="23"/>
      <c r="G93" s="23"/>
      <c r="U93" s="23">
        <v>2.9313504447006252E-2</v>
      </c>
      <c r="V93" s="23">
        <v>0.98886830769118483</v>
      </c>
      <c r="W93" s="23">
        <v>0.24676177603351304</v>
      </c>
      <c r="X93" s="23">
        <v>2.4946823585895402E-2</v>
      </c>
      <c r="AA93" s="23">
        <v>1.5942437461412402E-2</v>
      </c>
      <c r="AB93" s="23">
        <v>0.99091357130520463</v>
      </c>
      <c r="AC93" s="23">
        <v>0.16772169711848881</v>
      </c>
      <c r="AD93" s="23">
        <v>3.1354216893132524E-2</v>
      </c>
    </row>
    <row r="94" spans="3:30" x14ac:dyDescent="0.25">
      <c r="C94" s="23"/>
      <c r="D94" s="23"/>
      <c r="E94" s="23"/>
      <c r="F94" s="23"/>
      <c r="G94" s="23"/>
      <c r="U94" s="23">
        <v>2.7072261111004303E-2</v>
      </c>
      <c r="V94" s="23">
        <v>0.99326974021417935</v>
      </c>
      <c r="W94" s="23">
        <v>0.42271430694594797</v>
      </c>
      <c r="X94" s="23">
        <v>5.0595078365627634E-2</v>
      </c>
      <c r="AA94" s="23">
        <v>1.1877607920541323E-3</v>
      </c>
      <c r="AB94" s="23">
        <v>1.0039966489678811</v>
      </c>
      <c r="AC94" s="23">
        <v>0.48147111034433049</v>
      </c>
      <c r="AD94" s="23">
        <v>0.10105983856283134</v>
      </c>
    </row>
    <row r="95" spans="3:30" x14ac:dyDescent="0.25">
      <c r="C95" s="23"/>
      <c r="D95" s="23"/>
      <c r="E95" s="23"/>
      <c r="F95" s="23"/>
      <c r="G95" s="23"/>
      <c r="U95" s="23">
        <v>2.7072261111004303E-2</v>
      </c>
      <c r="V95" s="23">
        <v>0.99326974021417935</v>
      </c>
      <c r="W95" s="23">
        <v>0.42271430694594797</v>
      </c>
      <c r="X95" s="23">
        <v>5.0595078365627634E-2</v>
      </c>
      <c r="AA95" s="23">
        <v>1.1877607920541323E-3</v>
      </c>
      <c r="AB95" s="23">
        <v>1.0039966489678811</v>
      </c>
      <c r="AC95" s="23">
        <v>0.48147111034433049</v>
      </c>
      <c r="AD95" s="23">
        <v>0.10105983856283134</v>
      </c>
    </row>
    <row r="96" spans="3:30" x14ac:dyDescent="0.25">
      <c r="C96" s="23"/>
      <c r="D96" s="23"/>
      <c r="E96" s="23"/>
      <c r="F96" s="23"/>
      <c r="G96" s="23"/>
      <c r="U96" s="23">
        <v>2.7072261111004303E-2</v>
      </c>
      <c r="V96" s="23">
        <v>0.99326974021417935</v>
      </c>
      <c r="W96" s="23">
        <v>0.42271430694594797</v>
      </c>
      <c r="X96" s="23">
        <v>5.0595078365627634E-2</v>
      </c>
      <c r="AA96" s="23">
        <v>1.1877607920541323E-3</v>
      </c>
      <c r="AB96" s="23">
        <v>1.0039966489678811</v>
      </c>
      <c r="AC96" s="23">
        <v>0.48147111034433049</v>
      </c>
      <c r="AD96" s="23">
        <v>0.10105983856283134</v>
      </c>
    </row>
    <row r="97" spans="3:30" x14ac:dyDescent="0.25">
      <c r="C97" s="23"/>
      <c r="D97" s="23"/>
      <c r="E97" s="23"/>
      <c r="F97" s="23"/>
      <c r="G97" s="23"/>
      <c r="U97" s="23">
        <v>2.7072261111004303E-2</v>
      </c>
      <c r="V97" s="23">
        <v>0.99326974021417935</v>
      </c>
      <c r="W97" s="23">
        <v>0.42271430694594797</v>
      </c>
      <c r="X97" s="23">
        <v>5.0595078365627634E-2</v>
      </c>
      <c r="AA97" s="23">
        <v>1.1877607920541323E-3</v>
      </c>
      <c r="AB97" s="23">
        <v>1.0039966489678811</v>
      </c>
      <c r="AC97" s="23">
        <v>0.48147111034433049</v>
      </c>
      <c r="AD97" s="23">
        <v>0.10105983856283134</v>
      </c>
    </row>
    <row r="98" spans="3:30" x14ac:dyDescent="0.25">
      <c r="C98" s="23"/>
      <c r="D98" s="23"/>
      <c r="E98" s="23"/>
      <c r="F98" s="23"/>
      <c r="G98" s="23"/>
      <c r="U98" s="23">
        <v>2.7072261111004303E-2</v>
      </c>
      <c r="V98" s="23">
        <v>0.99326974021417935</v>
      </c>
      <c r="W98" s="23">
        <v>0.42271430694594797</v>
      </c>
      <c r="X98" s="23">
        <v>5.0595078365627634E-2</v>
      </c>
      <c r="AA98" s="23">
        <v>1.1877607920541323E-3</v>
      </c>
      <c r="AB98" s="23">
        <v>1.0039966489678811</v>
      </c>
      <c r="AC98" s="23">
        <v>0.48147111034433049</v>
      </c>
      <c r="AD98" s="23">
        <v>0.10105983856283134</v>
      </c>
    </row>
    <row r="99" spans="3:30" x14ac:dyDescent="0.25">
      <c r="C99" s="23"/>
      <c r="D99" s="23"/>
      <c r="E99" s="23"/>
      <c r="F99" s="23"/>
      <c r="G99" s="23"/>
      <c r="U99" s="23">
        <v>2.7072261111004303E-2</v>
      </c>
      <c r="V99" s="23">
        <v>0.99326974021417935</v>
      </c>
      <c r="W99" s="23">
        <v>0.42271430694594797</v>
      </c>
      <c r="X99" s="23">
        <v>5.0595078365627634E-2</v>
      </c>
      <c r="AA99" s="23">
        <v>1.1877607920541323E-3</v>
      </c>
      <c r="AB99" s="23">
        <v>1.0039966489678811</v>
      </c>
      <c r="AC99" s="23">
        <v>0.48147111034433049</v>
      </c>
      <c r="AD99" s="23">
        <v>0.10105983856283134</v>
      </c>
    </row>
    <row r="100" spans="3:30" x14ac:dyDescent="0.25">
      <c r="C100" s="23"/>
      <c r="D100" s="23"/>
      <c r="E100" s="23"/>
      <c r="F100" s="23"/>
      <c r="G100" s="23"/>
      <c r="U100" s="23">
        <v>2.7072261111004303E-2</v>
      </c>
      <c r="V100" s="23">
        <v>0.99326974021417935</v>
      </c>
      <c r="W100" s="23">
        <v>0.42271430694594797</v>
      </c>
      <c r="X100" s="23">
        <v>5.0595078365627634E-2</v>
      </c>
      <c r="AA100" s="23">
        <v>1.1877607920541323E-3</v>
      </c>
      <c r="AB100" s="23">
        <v>1.0039966489678811</v>
      </c>
      <c r="AC100" s="23">
        <v>0.48147111034433049</v>
      </c>
      <c r="AD100" s="23">
        <v>0.10105983856283134</v>
      </c>
    </row>
    <row r="101" spans="3:30" x14ac:dyDescent="0.25">
      <c r="C101" s="23"/>
      <c r="D101" s="23"/>
      <c r="E101" s="23"/>
      <c r="F101" s="23"/>
      <c r="G101" s="23"/>
      <c r="U101" s="23">
        <v>2.9313504447006252E-2</v>
      </c>
      <c r="V101" s="23">
        <v>0.98886830769118483</v>
      </c>
      <c r="W101" s="23">
        <v>0.24676177603351304</v>
      </c>
      <c r="X101" s="23">
        <v>2.4946823585895402E-2</v>
      </c>
      <c r="AA101" s="23">
        <v>1.5942437461412402E-2</v>
      </c>
      <c r="AB101" s="23">
        <v>0.99091357130520463</v>
      </c>
      <c r="AC101" s="23">
        <v>0.16772169711848881</v>
      </c>
      <c r="AD101" s="23">
        <v>3.1354216893132524E-2</v>
      </c>
    </row>
    <row r="102" spans="3:30" x14ac:dyDescent="0.25">
      <c r="C102" s="23"/>
      <c r="D102" s="23"/>
      <c r="E102" s="23"/>
      <c r="F102" s="23"/>
      <c r="G102" s="23"/>
      <c r="U102" s="23">
        <v>2.9313504447006252E-2</v>
      </c>
      <c r="V102" s="23">
        <v>0.98886830769118483</v>
      </c>
      <c r="W102" s="23">
        <v>0.24676177603351304</v>
      </c>
      <c r="X102" s="23">
        <v>2.4946823585895402E-2</v>
      </c>
      <c r="AA102" s="23">
        <v>1.5942437461412402E-2</v>
      </c>
      <c r="AB102" s="23">
        <v>0.99091357130520463</v>
      </c>
      <c r="AC102" s="23">
        <v>0.16772169711848881</v>
      </c>
      <c r="AD102" s="23">
        <v>3.1354216893132524E-2</v>
      </c>
    </row>
    <row r="103" spans="3:30" x14ac:dyDescent="0.25">
      <c r="C103" s="23"/>
      <c r="D103" s="23"/>
      <c r="E103" s="23"/>
      <c r="F103" s="23"/>
      <c r="G103" s="23"/>
      <c r="U103" s="23">
        <v>2.9313504447006252E-2</v>
      </c>
      <c r="V103" s="23">
        <v>0.98886830769118483</v>
      </c>
      <c r="W103" s="23">
        <v>0.24676177603351304</v>
      </c>
      <c r="X103" s="23">
        <v>2.4946823585895402E-2</v>
      </c>
      <c r="AA103" s="23">
        <v>1.5942437461412402E-2</v>
      </c>
      <c r="AB103" s="23">
        <v>0.99091357130520463</v>
      </c>
      <c r="AC103" s="23">
        <v>0.16772169711848881</v>
      </c>
      <c r="AD103" s="23">
        <v>3.1354216893132524E-2</v>
      </c>
    </row>
    <row r="104" spans="3:30" x14ac:dyDescent="0.25">
      <c r="C104" s="23"/>
      <c r="D104" s="23"/>
      <c r="E104" s="23"/>
      <c r="F104" s="23"/>
      <c r="G104" s="23"/>
      <c r="U104" s="23">
        <v>2.9313504447006252E-2</v>
      </c>
      <c r="V104" s="23">
        <v>0.98886830769118483</v>
      </c>
      <c r="W104" s="23">
        <v>0.24676177603351304</v>
      </c>
      <c r="X104" s="23">
        <v>2.4946823585895402E-2</v>
      </c>
      <c r="AA104" s="23">
        <v>1.5942437461412402E-2</v>
      </c>
      <c r="AB104" s="23">
        <v>0.99091357130520463</v>
      </c>
      <c r="AC104" s="23">
        <v>0.16772169711848881</v>
      </c>
      <c r="AD104" s="23">
        <v>3.1354216893132524E-2</v>
      </c>
    </row>
    <row r="105" spans="3:30" x14ac:dyDescent="0.25">
      <c r="C105" s="23"/>
      <c r="D105" s="23"/>
      <c r="E105" s="23"/>
      <c r="F105" s="23"/>
      <c r="G105" s="23"/>
      <c r="U105" s="23">
        <v>2.9313504447006252E-2</v>
      </c>
      <c r="V105" s="23">
        <v>0.98886830769118483</v>
      </c>
      <c r="W105" s="23">
        <v>0.24676177603351304</v>
      </c>
      <c r="X105" s="23">
        <v>2.4946823585895402E-2</v>
      </c>
      <c r="AA105" s="23">
        <v>1.5942437461412402E-2</v>
      </c>
      <c r="AB105" s="23">
        <v>0.99091357130520463</v>
      </c>
      <c r="AC105" s="23">
        <v>0.16772169711848881</v>
      </c>
      <c r="AD105" s="23">
        <v>3.1354216893132524E-2</v>
      </c>
    </row>
    <row r="106" spans="3:30" x14ac:dyDescent="0.25">
      <c r="C106" s="23"/>
      <c r="D106" s="23"/>
      <c r="E106" s="23"/>
      <c r="F106" s="23"/>
      <c r="G106" s="23"/>
      <c r="U106" s="23">
        <v>2.7072261111004303E-2</v>
      </c>
      <c r="V106" s="23">
        <v>0.99326974021417935</v>
      </c>
      <c r="W106" s="23">
        <v>0.42271430694594797</v>
      </c>
      <c r="X106" s="23">
        <v>5.0595078365627634E-2</v>
      </c>
      <c r="AA106" s="23">
        <v>1.1877607920541323E-3</v>
      </c>
      <c r="AB106" s="23">
        <v>1.0039966489678811</v>
      </c>
      <c r="AC106" s="23">
        <v>0.48147111034433049</v>
      </c>
      <c r="AD106" s="23">
        <v>0.10105983856283134</v>
      </c>
    </row>
    <row r="107" spans="3:30" x14ac:dyDescent="0.25">
      <c r="C107" s="23"/>
      <c r="D107" s="23"/>
      <c r="E107" s="23"/>
      <c r="F107" s="23"/>
      <c r="G107" s="23"/>
      <c r="U107" s="23">
        <v>2.7072261111004303E-2</v>
      </c>
      <c r="V107" s="23">
        <v>0.99326974021417935</v>
      </c>
      <c r="W107" s="23">
        <v>0.42271430694594797</v>
      </c>
      <c r="X107" s="23">
        <v>5.0595078365627634E-2</v>
      </c>
      <c r="AA107" s="23">
        <v>1.1877607920541323E-3</v>
      </c>
      <c r="AB107" s="23">
        <v>1.0039966489678811</v>
      </c>
      <c r="AC107" s="23">
        <v>0.48147111034433049</v>
      </c>
      <c r="AD107" s="23">
        <v>0.10105983856283134</v>
      </c>
    </row>
    <row r="108" spans="3:30" x14ac:dyDescent="0.25">
      <c r="C108" s="23"/>
      <c r="D108" s="23"/>
      <c r="E108" s="23"/>
      <c r="F108" s="23"/>
      <c r="G108" s="23"/>
      <c r="U108" s="23">
        <v>2.7072261111004303E-2</v>
      </c>
      <c r="V108" s="23">
        <v>0.99326974021417935</v>
      </c>
      <c r="W108" s="23">
        <v>0.42271430694594797</v>
      </c>
      <c r="X108" s="23">
        <v>5.0595078365627634E-2</v>
      </c>
      <c r="AA108" s="23">
        <v>1.1877607920541323E-3</v>
      </c>
      <c r="AB108" s="23">
        <v>1.0039966489678811</v>
      </c>
      <c r="AC108" s="23">
        <v>0.48147111034433049</v>
      </c>
      <c r="AD108" s="23">
        <v>0.10105983856283134</v>
      </c>
    </row>
    <row r="109" spans="3:30" x14ac:dyDescent="0.25">
      <c r="C109" s="23"/>
      <c r="D109" s="23"/>
      <c r="E109" s="23"/>
      <c r="F109" s="23"/>
      <c r="G109" s="23"/>
      <c r="U109" s="23">
        <v>2.7072261111004303E-2</v>
      </c>
      <c r="V109" s="23">
        <v>0.99326974021417935</v>
      </c>
      <c r="W109" s="23">
        <v>0.42271430694594797</v>
      </c>
      <c r="X109" s="23">
        <v>5.0595078365627634E-2</v>
      </c>
      <c r="AA109" s="23">
        <v>1.1877607920541323E-3</v>
      </c>
      <c r="AB109" s="23">
        <v>1.0039966489678811</v>
      </c>
      <c r="AC109" s="23">
        <v>0.48147111034433049</v>
      </c>
      <c r="AD109" s="23">
        <v>0.10105983856283134</v>
      </c>
    </row>
    <row r="110" spans="3:30" x14ac:dyDescent="0.25">
      <c r="C110" s="23"/>
      <c r="D110" s="23"/>
      <c r="E110" s="23"/>
      <c r="F110" s="23"/>
      <c r="G110" s="23"/>
      <c r="U110" s="23">
        <v>2.7072261111004303E-2</v>
      </c>
      <c r="V110" s="23">
        <v>0.99326974021417935</v>
      </c>
      <c r="W110" s="23">
        <v>0.42271430694594797</v>
      </c>
      <c r="X110" s="23">
        <v>5.0595078365627634E-2</v>
      </c>
      <c r="AA110" s="23">
        <v>1.1877607920541323E-3</v>
      </c>
      <c r="AB110" s="23">
        <v>1.0039966489678811</v>
      </c>
      <c r="AC110" s="23">
        <v>0.48147111034433049</v>
      </c>
      <c r="AD110" s="23">
        <v>0.10105983856283134</v>
      </c>
    </row>
    <row r="111" spans="3:30" x14ac:dyDescent="0.25">
      <c r="C111" s="23"/>
      <c r="D111" s="23"/>
      <c r="E111" s="23"/>
      <c r="F111" s="23"/>
      <c r="G111" s="23"/>
      <c r="U111" s="23">
        <v>2.7072261111004303E-2</v>
      </c>
      <c r="V111" s="23">
        <v>0.99326974021417935</v>
      </c>
      <c r="W111" s="23">
        <v>0.42271430694594797</v>
      </c>
      <c r="X111" s="23">
        <v>5.0595078365627634E-2</v>
      </c>
      <c r="AA111" s="23">
        <v>1.1877607920541323E-3</v>
      </c>
      <c r="AB111" s="23">
        <v>1.0039966489678811</v>
      </c>
      <c r="AC111" s="23">
        <v>0.48147111034433049</v>
      </c>
      <c r="AD111" s="23">
        <v>0.10105983856283134</v>
      </c>
    </row>
    <row r="112" spans="3:30" x14ac:dyDescent="0.25">
      <c r="C112" s="23"/>
      <c r="D112" s="23"/>
      <c r="E112" s="23"/>
      <c r="F112" s="23"/>
      <c r="G112" s="23"/>
      <c r="U112" s="23">
        <v>2.7072261111004303E-2</v>
      </c>
      <c r="V112" s="23">
        <v>0.99326974021417935</v>
      </c>
      <c r="W112" s="23">
        <v>0.42271430694594797</v>
      </c>
      <c r="X112" s="23">
        <v>5.0595078365627634E-2</v>
      </c>
      <c r="AA112" s="23">
        <v>1.1877607920541323E-3</v>
      </c>
      <c r="AB112" s="23">
        <v>1.0039966489678811</v>
      </c>
      <c r="AC112" s="23">
        <v>0.48147111034433049</v>
      </c>
      <c r="AD112" s="23">
        <v>0.10105983856283134</v>
      </c>
    </row>
    <row r="113" spans="3:30" x14ac:dyDescent="0.25">
      <c r="C113" s="23"/>
      <c r="D113" s="23"/>
      <c r="E113" s="23"/>
      <c r="F113" s="23"/>
      <c r="G113" s="23"/>
      <c r="U113" s="23">
        <v>2.9313504447006252E-2</v>
      </c>
      <c r="V113" s="23">
        <v>0.98886830769118483</v>
      </c>
      <c r="W113" s="23">
        <v>0.24676177603351304</v>
      </c>
      <c r="X113" s="23">
        <v>2.4946823585895402E-2</v>
      </c>
      <c r="AA113" s="23">
        <v>1.5942437461412402E-2</v>
      </c>
      <c r="AB113" s="23">
        <v>0.99091357130520463</v>
      </c>
      <c r="AC113" s="23">
        <v>0.16772169711848881</v>
      </c>
      <c r="AD113" s="23">
        <v>3.1354216893132524E-2</v>
      </c>
    </row>
    <row r="114" spans="3:30" x14ac:dyDescent="0.25">
      <c r="C114" s="23"/>
      <c r="D114" s="23"/>
      <c r="E114" s="23"/>
      <c r="F114" s="23"/>
      <c r="G114" s="23"/>
      <c r="U114" s="23">
        <v>2.9313504447006252E-2</v>
      </c>
      <c r="V114" s="23">
        <v>0.98886830769118483</v>
      </c>
      <c r="W114" s="23">
        <v>0.24676177603351304</v>
      </c>
      <c r="X114" s="23">
        <v>2.4946823585895402E-2</v>
      </c>
      <c r="AA114" s="23">
        <v>1.5942437461412402E-2</v>
      </c>
      <c r="AB114" s="23">
        <v>0.99091357130520463</v>
      </c>
      <c r="AC114" s="23">
        <v>0.16772169711848881</v>
      </c>
      <c r="AD114" s="23">
        <v>3.1354216893132524E-2</v>
      </c>
    </row>
    <row r="115" spans="3:30" x14ac:dyDescent="0.25">
      <c r="C115" s="23"/>
      <c r="D115" s="23"/>
      <c r="E115" s="23"/>
      <c r="F115" s="23"/>
      <c r="G115" s="23"/>
      <c r="U115" s="23">
        <v>2.9313504447006252E-2</v>
      </c>
      <c r="V115" s="23">
        <v>0.98886830769118483</v>
      </c>
      <c r="W115" s="23">
        <v>0.24676177603351304</v>
      </c>
      <c r="X115" s="23">
        <v>2.4946823585895402E-2</v>
      </c>
      <c r="AA115" s="23">
        <v>1.5942437461412402E-2</v>
      </c>
      <c r="AB115" s="23">
        <v>0.99091357130520463</v>
      </c>
      <c r="AC115" s="23">
        <v>0.16772169711848881</v>
      </c>
      <c r="AD115" s="23">
        <v>3.1354216893132524E-2</v>
      </c>
    </row>
    <row r="116" spans="3:30" x14ac:dyDescent="0.25">
      <c r="C116" s="23"/>
      <c r="D116" s="23"/>
      <c r="E116" s="23"/>
      <c r="F116" s="23"/>
      <c r="G116" s="23"/>
      <c r="U116" s="23">
        <v>2.9313504447006252E-2</v>
      </c>
      <c r="V116" s="23">
        <v>0.98886830769118483</v>
      </c>
      <c r="W116" s="23">
        <v>0.24676177603351304</v>
      </c>
      <c r="X116" s="23">
        <v>2.4946823585895402E-2</v>
      </c>
      <c r="AA116" s="23">
        <v>1.5942437461412402E-2</v>
      </c>
      <c r="AB116" s="23">
        <v>0.99091357130520463</v>
      </c>
      <c r="AC116" s="23">
        <v>0.16772169711848881</v>
      </c>
      <c r="AD116" s="23">
        <v>3.1354216893132524E-2</v>
      </c>
    </row>
    <row r="117" spans="3:30" x14ac:dyDescent="0.25">
      <c r="C117" s="23"/>
      <c r="D117" s="23"/>
      <c r="E117" s="23"/>
      <c r="F117" s="23"/>
      <c r="G117" s="23"/>
      <c r="U117" s="23">
        <v>2.9313504447006252E-2</v>
      </c>
      <c r="V117" s="23">
        <v>0.98886830769118483</v>
      </c>
      <c r="W117" s="23">
        <v>0.24676177603351304</v>
      </c>
      <c r="X117" s="23">
        <v>2.4946823585895402E-2</v>
      </c>
      <c r="AA117" s="23">
        <v>1.5942437461412402E-2</v>
      </c>
      <c r="AB117" s="23">
        <v>0.99091357130520463</v>
      </c>
      <c r="AC117" s="23">
        <v>0.16772169711848881</v>
      </c>
      <c r="AD117" s="23">
        <v>3.1354216893132524E-2</v>
      </c>
    </row>
    <row r="118" spans="3:30" x14ac:dyDescent="0.25">
      <c r="C118" s="23"/>
      <c r="D118" s="23"/>
      <c r="E118" s="23"/>
      <c r="F118" s="23"/>
      <c r="G118" s="23"/>
      <c r="U118" s="23">
        <v>2.7072261111004303E-2</v>
      </c>
      <c r="V118" s="23">
        <v>0.99326974021417935</v>
      </c>
      <c r="W118" s="23">
        <v>0.42271430694594797</v>
      </c>
      <c r="X118" s="23">
        <v>5.0595078365627634E-2</v>
      </c>
      <c r="AA118" s="23">
        <v>1.1877607920541323E-3</v>
      </c>
      <c r="AB118" s="23">
        <v>1.0039966489678811</v>
      </c>
      <c r="AC118" s="23">
        <v>0.48147111034433049</v>
      </c>
      <c r="AD118" s="23">
        <v>0.10105983856283134</v>
      </c>
    </row>
    <row r="119" spans="3:30" x14ac:dyDescent="0.25">
      <c r="C119" s="23"/>
      <c r="D119" s="23"/>
      <c r="E119" s="23"/>
      <c r="F119" s="23"/>
      <c r="G119" s="23"/>
      <c r="U119" s="23">
        <v>2.7072261111004303E-2</v>
      </c>
      <c r="V119" s="23">
        <v>0.99326974021417935</v>
      </c>
      <c r="W119" s="23">
        <v>0.42271430694594797</v>
      </c>
      <c r="X119" s="23">
        <v>5.0595078365627634E-2</v>
      </c>
      <c r="AA119" s="23">
        <v>1.1877607920541323E-3</v>
      </c>
      <c r="AB119" s="23">
        <v>1.0039966489678811</v>
      </c>
      <c r="AC119" s="23">
        <v>0.48147111034433049</v>
      </c>
      <c r="AD119" s="23">
        <v>0.10105983856283134</v>
      </c>
    </row>
    <row r="120" spans="3:30" x14ac:dyDescent="0.25">
      <c r="C120" s="23"/>
      <c r="D120" s="23"/>
      <c r="E120" s="23"/>
      <c r="F120" s="23"/>
      <c r="G120" s="23"/>
      <c r="U120" s="23">
        <v>2.7072261111004303E-2</v>
      </c>
      <c r="V120" s="23">
        <v>0.99326974021417935</v>
      </c>
      <c r="W120" s="23">
        <v>0.42271430694594797</v>
      </c>
      <c r="X120" s="23">
        <v>5.0595078365627634E-2</v>
      </c>
      <c r="AA120" s="23">
        <v>1.1877607920541323E-3</v>
      </c>
      <c r="AB120" s="23">
        <v>1.0039966489678811</v>
      </c>
      <c r="AC120" s="23">
        <v>0.48147111034433049</v>
      </c>
      <c r="AD120" s="23">
        <v>0.10105983856283134</v>
      </c>
    </row>
    <row r="121" spans="3:30" x14ac:dyDescent="0.25">
      <c r="C121" s="23"/>
      <c r="D121" s="23"/>
      <c r="E121" s="23"/>
      <c r="F121" s="23"/>
      <c r="G121" s="23"/>
      <c r="U121" s="23">
        <v>2.7072261111004303E-2</v>
      </c>
      <c r="V121" s="23">
        <v>0.99326974021417935</v>
      </c>
      <c r="W121" s="23">
        <v>0.42271430694594797</v>
      </c>
      <c r="X121" s="23">
        <v>5.0595078365627634E-2</v>
      </c>
      <c r="AA121" s="23">
        <v>1.1877607920541323E-3</v>
      </c>
      <c r="AB121" s="23">
        <v>1.0039966489678811</v>
      </c>
      <c r="AC121" s="23">
        <v>0.48147111034433049</v>
      </c>
      <c r="AD121" s="23">
        <v>0.10105983856283134</v>
      </c>
    </row>
    <row r="122" spans="3:30" x14ac:dyDescent="0.25">
      <c r="C122" s="23"/>
      <c r="D122" s="23"/>
      <c r="E122" s="23"/>
      <c r="F122" s="23"/>
      <c r="G122" s="23"/>
      <c r="U122" s="23">
        <v>2.7072261111004303E-2</v>
      </c>
      <c r="V122" s="23">
        <v>0.99326974021417935</v>
      </c>
      <c r="W122" s="23">
        <v>0.42271430694594797</v>
      </c>
      <c r="X122" s="23">
        <v>5.0595078365627634E-2</v>
      </c>
      <c r="AA122" s="23">
        <v>2.7072261111004303E-2</v>
      </c>
      <c r="AB122" s="23">
        <v>0.99326974021417935</v>
      </c>
      <c r="AC122" s="23">
        <v>0.42271430694594797</v>
      </c>
      <c r="AD122" s="23">
        <v>5.0595078365627634E-2</v>
      </c>
    </row>
    <row r="123" spans="3:30" x14ac:dyDescent="0.25">
      <c r="C123" s="23"/>
      <c r="D123" s="23"/>
      <c r="E123" s="23"/>
      <c r="F123" s="23"/>
      <c r="G123" s="23"/>
      <c r="U123" s="23">
        <v>2.7072261111004303E-2</v>
      </c>
      <c r="V123" s="23">
        <v>0.99326974021417935</v>
      </c>
      <c r="W123" s="23">
        <v>0.42271430694594797</v>
      </c>
      <c r="X123" s="23">
        <v>5.0595078365627634E-2</v>
      </c>
      <c r="AA123" s="23">
        <v>2.7072261111004303E-2</v>
      </c>
      <c r="AB123" s="23">
        <v>0.99326974021417935</v>
      </c>
      <c r="AC123" s="23">
        <v>0.42271430694594797</v>
      </c>
      <c r="AD123" s="23">
        <v>5.0595078365627634E-2</v>
      </c>
    </row>
    <row r="124" spans="3:30" x14ac:dyDescent="0.25">
      <c r="C124" s="23"/>
      <c r="D124" s="23"/>
      <c r="E124" s="23"/>
      <c r="F124" s="23"/>
      <c r="G124" s="23"/>
      <c r="U124" s="23">
        <v>2.7072261111004303E-2</v>
      </c>
      <c r="V124" s="23">
        <v>0.99326974021417935</v>
      </c>
      <c r="W124" s="23">
        <v>0.42271430694594797</v>
      </c>
      <c r="X124" s="23">
        <v>5.0595078365627634E-2</v>
      </c>
      <c r="AA124" s="23">
        <v>2.7072261111004303E-2</v>
      </c>
      <c r="AB124" s="23">
        <v>0.99326974021417935</v>
      </c>
      <c r="AC124" s="23">
        <v>0.42271430694594797</v>
      </c>
      <c r="AD124" s="23">
        <v>5.0595078365627634E-2</v>
      </c>
    </row>
    <row r="125" spans="3:30" x14ac:dyDescent="0.25">
      <c r="C125" s="23"/>
      <c r="D125" s="23"/>
      <c r="E125" s="23"/>
      <c r="F125" s="23"/>
      <c r="G125" s="23"/>
      <c r="U125" s="23">
        <v>2.9313504447006252E-2</v>
      </c>
      <c r="V125" s="23">
        <v>0.98886830769118483</v>
      </c>
      <c r="W125" s="23">
        <v>0.24676177603351304</v>
      </c>
      <c r="X125" s="23">
        <v>2.4946823585895402E-2</v>
      </c>
      <c r="AA125" s="23">
        <v>2.9313504447006252E-2</v>
      </c>
      <c r="AB125" s="23">
        <v>0.98886830769118483</v>
      </c>
      <c r="AC125" s="23">
        <v>0.24676177603351304</v>
      </c>
      <c r="AD125" s="23">
        <v>2.4946823585895402E-2</v>
      </c>
    </row>
    <row r="126" spans="3:30" x14ac:dyDescent="0.25">
      <c r="C126" s="23"/>
      <c r="D126" s="23"/>
      <c r="E126" s="23"/>
      <c r="F126" s="23"/>
      <c r="G126" s="23"/>
      <c r="U126" s="23">
        <v>2.9313504447006252E-2</v>
      </c>
      <c r="V126" s="23">
        <v>0.98886830769118483</v>
      </c>
      <c r="W126" s="23">
        <v>0.24676177603351304</v>
      </c>
      <c r="X126" s="23">
        <v>2.4946823585895402E-2</v>
      </c>
      <c r="AA126" s="23">
        <v>2.9313504447006252E-2</v>
      </c>
      <c r="AB126" s="23">
        <v>0.98886830769118483</v>
      </c>
      <c r="AC126" s="23">
        <v>0.24676177603351304</v>
      </c>
      <c r="AD126" s="23">
        <v>2.4946823585895402E-2</v>
      </c>
    </row>
    <row r="127" spans="3:30" x14ac:dyDescent="0.25">
      <c r="C127" s="23"/>
      <c r="D127" s="23"/>
      <c r="E127" s="23"/>
      <c r="F127" s="23"/>
      <c r="G127" s="23"/>
      <c r="U127" s="23">
        <v>2.9313504447006252E-2</v>
      </c>
      <c r="V127" s="23">
        <v>0.98886830769118483</v>
      </c>
      <c r="W127" s="23">
        <v>0.24676177603351304</v>
      </c>
      <c r="X127" s="23">
        <v>2.4946823585895402E-2</v>
      </c>
      <c r="AA127" s="23">
        <v>2.9313504447006252E-2</v>
      </c>
      <c r="AB127" s="23">
        <v>0.98886830769118483</v>
      </c>
      <c r="AC127" s="23">
        <v>0.24676177603351304</v>
      </c>
      <c r="AD127" s="23">
        <v>2.4946823585895402E-2</v>
      </c>
    </row>
    <row r="128" spans="3:30" x14ac:dyDescent="0.25">
      <c r="C128" s="23"/>
      <c r="D128" s="23"/>
      <c r="E128" s="23"/>
      <c r="F128" s="23"/>
      <c r="G128" s="23"/>
      <c r="U128" s="23">
        <v>2.9313504447006252E-2</v>
      </c>
      <c r="V128" s="23">
        <v>0.98886830769118483</v>
      </c>
      <c r="W128" s="23">
        <v>0.24676177603351304</v>
      </c>
      <c r="X128" s="23">
        <v>2.4946823585895402E-2</v>
      </c>
      <c r="AA128" s="23">
        <v>2.9313504447006252E-2</v>
      </c>
      <c r="AB128" s="23">
        <v>0.98886830769118483</v>
      </c>
      <c r="AC128" s="23">
        <v>0.24676177603351304</v>
      </c>
      <c r="AD128" s="23">
        <v>2.4946823585895402E-2</v>
      </c>
    </row>
    <row r="129" spans="3:30" x14ac:dyDescent="0.25">
      <c r="C129" s="23"/>
      <c r="D129" s="23"/>
      <c r="E129" s="23"/>
      <c r="F129" s="23"/>
      <c r="G129" s="23"/>
      <c r="U129" s="23">
        <v>2.9313504447006252E-2</v>
      </c>
      <c r="V129" s="23">
        <v>0.98886830769118483</v>
      </c>
      <c r="W129" s="23">
        <v>0.24676177603351304</v>
      </c>
      <c r="X129" s="23">
        <v>2.4946823585895402E-2</v>
      </c>
      <c r="AA129" s="23">
        <v>2.9313504447006252E-2</v>
      </c>
      <c r="AB129" s="23">
        <v>0.98886830769118483</v>
      </c>
      <c r="AC129" s="23">
        <v>0.24676177603351304</v>
      </c>
      <c r="AD129" s="23">
        <v>2.4946823585895402E-2</v>
      </c>
    </row>
    <row r="130" spans="3:30" x14ac:dyDescent="0.25">
      <c r="C130" s="23"/>
      <c r="D130" s="23"/>
      <c r="E130" s="23"/>
      <c r="F130" s="23"/>
      <c r="G130" s="23"/>
      <c r="U130" s="23">
        <v>2.7072261111004303E-2</v>
      </c>
      <c r="V130" s="23">
        <v>0.99326974021417935</v>
      </c>
      <c r="W130" s="23">
        <v>0.42271430694594797</v>
      </c>
      <c r="X130" s="23">
        <v>5.0595078365627634E-2</v>
      </c>
      <c r="AA130" s="23">
        <v>2.7072261111004303E-2</v>
      </c>
      <c r="AB130" s="23">
        <v>0.99326974021417935</v>
      </c>
      <c r="AC130" s="23">
        <v>0.42271430694594797</v>
      </c>
      <c r="AD130" s="23">
        <v>5.0595078365627634E-2</v>
      </c>
    </row>
    <row r="131" spans="3:30" x14ac:dyDescent="0.25">
      <c r="C131" s="23"/>
      <c r="D131" s="23"/>
      <c r="E131" s="23"/>
      <c r="F131" s="23"/>
      <c r="G131" s="23"/>
      <c r="U131" s="23">
        <v>2.7072261111004303E-2</v>
      </c>
      <c r="V131" s="23">
        <v>0.99326974021417935</v>
      </c>
      <c r="W131" s="23">
        <v>0.42271430694594797</v>
      </c>
      <c r="X131" s="23">
        <v>5.0595078365627634E-2</v>
      </c>
      <c r="AA131" s="23">
        <v>2.7072261111004303E-2</v>
      </c>
      <c r="AB131" s="23">
        <v>0.99326974021417935</v>
      </c>
      <c r="AC131" s="23">
        <v>0.42271430694594797</v>
      </c>
      <c r="AD131" s="23">
        <v>5.0595078365627634E-2</v>
      </c>
    </row>
    <row r="132" spans="3:30" x14ac:dyDescent="0.25">
      <c r="C132" s="23"/>
      <c r="D132" s="23"/>
      <c r="E132" s="23"/>
      <c r="F132" s="23"/>
      <c r="G132" s="23"/>
      <c r="U132" s="23">
        <v>2.7072261111004303E-2</v>
      </c>
      <c r="V132" s="23">
        <v>0.99326974021417935</v>
      </c>
      <c r="W132" s="23">
        <v>0.42271430694594797</v>
      </c>
      <c r="X132" s="23">
        <v>5.0595078365627634E-2</v>
      </c>
      <c r="AA132" s="23">
        <v>2.7072261111004303E-2</v>
      </c>
      <c r="AB132" s="23">
        <v>0.99326974021417935</v>
      </c>
      <c r="AC132" s="23">
        <v>0.42271430694594797</v>
      </c>
      <c r="AD132" s="23">
        <v>5.0595078365627634E-2</v>
      </c>
    </row>
    <row r="133" spans="3:30" x14ac:dyDescent="0.25">
      <c r="C133" s="23"/>
      <c r="D133" s="23"/>
      <c r="E133" s="23"/>
      <c r="F133" s="23"/>
      <c r="G133" s="23"/>
      <c r="U133" s="23">
        <v>2.7072261111004303E-2</v>
      </c>
      <c r="V133" s="23">
        <v>0.99326974021417935</v>
      </c>
      <c r="W133" s="23">
        <v>0.42271430694594797</v>
      </c>
      <c r="X133" s="23">
        <v>5.0595078365627634E-2</v>
      </c>
      <c r="AA133" s="23">
        <v>2.7072261111004303E-2</v>
      </c>
      <c r="AB133" s="23">
        <v>0.99326974021417935</v>
      </c>
      <c r="AC133" s="23">
        <v>0.42271430694594797</v>
      </c>
      <c r="AD133" s="23">
        <v>5.0595078365627634E-2</v>
      </c>
    </row>
    <row r="134" spans="3:30" x14ac:dyDescent="0.25">
      <c r="C134" s="23"/>
      <c r="D134" s="23"/>
      <c r="E134" s="23"/>
      <c r="F134" s="23"/>
      <c r="G134" s="23"/>
      <c r="U134" s="23">
        <v>2.7072261111004303E-2</v>
      </c>
      <c r="V134" s="23">
        <v>0.99326974021417935</v>
      </c>
      <c r="W134" s="23">
        <v>0.42271430694594797</v>
      </c>
      <c r="X134" s="23">
        <v>5.0595078365627634E-2</v>
      </c>
      <c r="AA134" s="23">
        <v>1.1877607920541323E-3</v>
      </c>
      <c r="AB134" s="23">
        <v>1.0039966489678811</v>
      </c>
      <c r="AC134" s="23">
        <v>0.48147111034433049</v>
      </c>
      <c r="AD134" s="23">
        <v>0.10105983856283134</v>
      </c>
    </row>
    <row r="135" spans="3:30" x14ac:dyDescent="0.25">
      <c r="C135" s="23"/>
      <c r="D135" s="23"/>
      <c r="E135" s="23"/>
      <c r="F135" s="23"/>
      <c r="G135" s="23"/>
      <c r="U135" s="23">
        <v>2.7072261111004303E-2</v>
      </c>
      <c r="V135" s="23">
        <v>0.99326974021417935</v>
      </c>
      <c r="W135" s="23">
        <v>0.42271430694594797</v>
      </c>
      <c r="X135" s="23">
        <v>5.0595078365627634E-2</v>
      </c>
      <c r="AA135" s="23">
        <v>1.1877607920541323E-3</v>
      </c>
      <c r="AB135" s="23">
        <v>1.0039966489678811</v>
      </c>
      <c r="AC135" s="23">
        <v>0.48147111034433049</v>
      </c>
      <c r="AD135" s="23">
        <v>0.10105983856283134</v>
      </c>
    </row>
    <row r="136" spans="3:30" x14ac:dyDescent="0.25">
      <c r="C136" s="23"/>
      <c r="D136" s="23"/>
      <c r="E136" s="23"/>
      <c r="F136" s="23"/>
      <c r="G136" s="23"/>
      <c r="U136" s="23">
        <v>2.7072261111004303E-2</v>
      </c>
      <c r="V136" s="23">
        <v>0.99326974021417935</v>
      </c>
      <c r="W136" s="23">
        <v>0.42271430694594797</v>
      </c>
      <c r="X136" s="23">
        <v>5.0595078365627634E-2</v>
      </c>
      <c r="AA136" s="23">
        <v>1.1877607920541323E-3</v>
      </c>
      <c r="AB136" s="23">
        <v>1.0039966489678811</v>
      </c>
      <c r="AC136" s="23">
        <v>0.48147111034433049</v>
      </c>
      <c r="AD136" s="23">
        <v>0.10105983856283134</v>
      </c>
    </row>
    <row r="137" spans="3:30" x14ac:dyDescent="0.25">
      <c r="C137" s="23"/>
      <c r="D137" s="23"/>
      <c r="E137" s="23"/>
      <c r="F137" s="23"/>
      <c r="G137" s="23"/>
      <c r="U137" s="23">
        <v>2.9313504447006252E-2</v>
      </c>
      <c r="V137" s="23">
        <v>0.98886830769118483</v>
      </c>
      <c r="W137" s="23">
        <v>0.24676177603351304</v>
      </c>
      <c r="X137" s="23">
        <v>2.4946823585895402E-2</v>
      </c>
      <c r="AA137" s="23">
        <v>1.5942437461412402E-2</v>
      </c>
      <c r="AB137" s="23">
        <v>0.99091357130520463</v>
      </c>
      <c r="AC137" s="23">
        <v>0.16772169711848881</v>
      </c>
      <c r="AD137" s="23">
        <v>3.1354216893132524E-2</v>
      </c>
    </row>
    <row r="138" spans="3:30" x14ac:dyDescent="0.25">
      <c r="C138" s="23"/>
      <c r="D138" s="23"/>
      <c r="E138" s="23"/>
      <c r="F138" s="23"/>
      <c r="G138" s="23"/>
      <c r="U138" s="23">
        <v>2.9313504447006252E-2</v>
      </c>
      <c r="V138" s="23">
        <v>0.98886830769118483</v>
      </c>
      <c r="W138" s="23">
        <v>0.24676177603351304</v>
      </c>
      <c r="X138" s="23">
        <v>2.4946823585895402E-2</v>
      </c>
      <c r="AA138" s="23">
        <v>1.5942437461412402E-2</v>
      </c>
      <c r="AB138" s="23">
        <v>0.99091357130520463</v>
      </c>
      <c r="AC138" s="23">
        <v>0.16772169711848881</v>
      </c>
      <c r="AD138" s="23">
        <v>3.1354216893132524E-2</v>
      </c>
    </row>
    <row r="139" spans="3:30" x14ac:dyDescent="0.25">
      <c r="C139" s="23"/>
      <c r="D139" s="23"/>
      <c r="E139" s="23"/>
      <c r="F139" s="23"/>
      <c r="G139" s="23"/>
      <c r="U139" s="23">
        <v>2.9313504447006252E-2</v>
      </c>
      <c r="V139" s="23">
        <v>0.98886830769118483</v>
      </c>
      <c r="W139" s="23">
        <v>0.24676177603351304</v>
      </c>
      <c r="X139" s="23">
        <v>2.4946823585895402E-2</v>
      </c>
      <c r="AA139" s="23">
        <v>1.5942437461412402E-2</v>
      </c>
      <c r="AB139" s="23">
        <v>0.99091357130520463</v>
      </c>
      <c r="AC139" s="23">
        <v>0.16772169711848881</v>
      </c>
      <c r="AD139" s="23">
        <v>3.1354216893132524E-2</v>
      </c>
    </row>
    <row r="140" spans="3:30" x14ac:dyDescent="0.25">
      <c r="C140" s="23"/>
      <c r="D140" s="23"/>
      <c r="E140" s="23"/>
      <c r="F140" s="23"/>
      <c r="G140" s="23"/>
      <c r="U140" s="23">
        <v>2.9313504447006252E-2</v>
      </c>
      <c r="V140" s="23">
        <v>0.98886830769118483</v>
      </c>
      <c r="W140" s="23">
        <v>0.24676177603351304</v>
      </c>
      <c r="X140" s="23">
        <v>2.4946823585895402E-2</v>
      </c>
      <c r="AA140" s="23">
        <v>1.5942437461412402E-2</v>
      </c>
      <c r="AB140" s="23">
        <v>0.99091357130520463</v>
      </c>
      <c r="AC140" s="23">
        <v>0.16772169711848881</v>
      </c>
      <c r="AD140" s="23">
        <v>3.1354216893132524E-2</v>
      </c>
    </row>
    <row r="141" spans="3:30" x14ac:dyDescent="0.25">
      <c r="C141" s="23"/>
      <c r="D141" s="23"/>
      <c r="E141" s="23"/>
      <c r="F141" s="23"/>
      <c r="G141" s="23"/>
      <c r="U141" s="23">
        <v>2.9313504447006252E-2</v>
      </c>
      <c r="V141" s="23">
        <v>0.98886830769118483</v>
      </c>
      <c r="W141" s="23">
        <v>0.24676177603351304</v>
      </c>
      <c r="X141" s="23">
        <v>2.4946823585895402E-2</v>
      </c>
      <c r="AA141" s="23">
        <v>1.5942437461412402E-2</v>
      </c>
      <c r="AB141" s="23">
        <v>0.99091357130520463</v>
      </c>
      <c r="AC141" s="23">
        <v>0.16772169711848881</v>
      </c>
      <c r="AD141" s="23">
        <v>3.1354216893132524E-2</v>
      </c>
    </row>
    <row r="142" spans="3:30" x14ac:dyDescent="0.25">
      <c r="C142" s="23"/>
      <c r="D142" s="23"/>
      <c r="E142" s="23"/>
      <c r="F142" s="23"/>
      <c r="G142" s="23"/>
      <c r="U142" s="23">
        <v>2.7072261111004303E-2</v>
      </c>
      <c r="V142" s="23">
        <v>0.99326974021417935</v>
      </c>
      <c r="W142" s="23">
        <v>0.42271430694594797</v>
      </c>
      <c r="X142" s="23">
        <v>5.0595078365627634E-2</v>
      </c>
      <c r="AA142" s="23">
        <v>1.1877607920541323E-3</v>
      </c>
      <c r="AB142" s="23">
        <v>1.0039966489678811</v>
      </c>
      <c r="AC142" s="23">
        <v>0.48147111034433049</v>
      </c>
      <c r="AD142" s="23">
        <v>0.10105983856283134</v>
      </c>
    </row>
    <row r="143" spans="3:30" x14ac:dyDescent="0.25">
      <c r="C143" s="23"/>
      <c r="D143" s="23"/>
      <c r="E143" s="23"/>
      <c r="F143" s="23"/>
      <c r="G143" s="23"/>
      <c r="U143" s="23">
        <v>2.7072261111004303E-2</v>
      </c>
      <c r="V143" s="23">
        <v>0.99326974021417935</v>
      </c>
      <c r="W143" s="23">
        <v>0.42271430694594797</v>
      </c>
      <c r="X143" s="23">
        <v>5.0595078365627634E-2</v>
      </c>
      <c r="AA143" s="23">
        <v>1.1877607920541323E-3</v>
      </c>
      <c r="AB143" s="23">
        <v>1.0039966489678811</v>
      </c>
      <c r="AC143" s="23">
        <v>0.48147111034433049</v>
      </c>
      <c r="AD143" s="23">
        <v>0.10105983856283134</v>
      </c>
    </row>
    <row r="144" spans="3:30" x14ac:dyDescent="0.25">
      <c r="C144" s="23"/>
      <c r="D144" s="23"/>
      <c r="E144" s="23"/>
      <c r="F144" s="23"/>
      <c r="G144" s="23"/>
      <c r="U144" s="23">
        <v>2.7072261111004303E-2</v>
      </c>
      <c r="V144" s="23">
        <v>0.99326974021417935</v>
      </c>
      <c r="W144" s="23">
        <v>0.42271430694594797</v>
      </c>
      <c r="X144" s="23">
        <v>5.0595078365627634E-2</v>
      </c>
      <c r="AA144" s="23">
        <v>1.1877607920541323E-3</v>
      </c>
      <c r="AB144" s="23">
        <v>1.0039966489678811</v>
      </c>
      <c r="AC144" s="23">
        <v>0.48147111034433049</v>
      </c>
      <c r="AD144" s="23">
        <v>0.10105983856283134</v>
      </c>
    </row>
    <row r="145" spans="3:30" x14ac:dyDescent="0.25">
      <c r="C145" s="23"/>
      <c r="D145" s="23"/>
      <c r="E145" s="23"/>
      <c r="F145" s="23"/>
      <c r="G145" s="23"/>
      <c r="U145" s="23">
        <v>2.7072261111004303E-2</v>
      </c>
      <c r="V145" s="23">
        <v>0.99326974021417935</v>
      </c>
      <c r="W145" s="23">
        <v>0.42271430694594797</v>
      </c>
      <c r="X145" s="23">
        <v>5.0595078365627634E-2</v>
      </c>
      <c r="AA145" s="23">
        <v>1.1877607920541323E-3</v>
      </c>
      <c r="AB145" s="23">
        <v>1.0039966489678811</v>
      </c>
      <c r="AC145" s="23">
        <v>0.48147111034433049</v>
      </c>
      <c r="AD145" s="23">
        <v>0.10105983856283134</v>
      </c>
    </row>
    <row r="146" spans="3:30" x14ac:dyDescent="0.25">
      <c r="C146" s="23"/>
      <c r="D146" s="23"/>
      <c r="E146" s="23"/>
      <c r="F146" s="23"/>
      <c r="G146" s="23"/>
      <c r="U146" s="23">
        <v>2.7072261111004303E-2</v>
      </c>
      <c r="V146" s="23">
        <v>0.99326974021417935</v>
      </c>
      <c r="W146" s="23">
        <v>0.42271430694594797</v>
      </c>
      <c r="X146" s="23">
        <v>5.0595078365627634E-2</v>
      </c>
      <c r="AA146" s="23">
        <v>2.7072261111004303E-2</v>
      </c>
      <c r="AB146" s="23">
        <v>0.99326974021417935</v>
      </c>
      <c r="AC146" s="23">
        <v>0.42271430694594797</v>
      </c>
      <c r="AD146" s="23">
        <v>5.0595078365627634E-2</v>
      </c>
    </row>
    <row r="147" spans="3:30" x14ac:dyDescent="0.25">
      <c r="C147" s="23"/>
      <c r="D147" s="23"/>
      <c r="E147" s="23"/>
      <c r="F147" s="23"/>
      <c r="G147" s="23"/>
      <c r="U147" s="23">
        <v>2.7072261111004303E-2</v>
      </c>
      <c r="V147" s="23">
        <v>0.99326974021417935</v>
      </c>
      <c r="W147" s="23">
        <v>0.42271430694594797</v>
      </c>
      <c r="X147" s="23">
        <v>5.0595078365627634E-2</v>
      </c>
      <c r="AA147" s="23">
        <v>2.7072261111004303E-2</v>
      </c>
      <c r="AB147" s="23">
        <v>0.99326974021417935</v>
      </c>
      <c r="AC147" s="23">
        <v>0.42271430694594797</v>
      </c>
      <c r="AD147" s="23">
        <v>5.0595078365627634E-2</v>
      </c>
    </row>
    <row r="148" spans="3:30" x14ac:dyDescent="0.25">
      <c r="C148" s="23"/>
      <c r="D148" s="23"/>
      <c r="E148" s="23"/>
      <c r="F148" s="23"/>
      <c r="G148" s="23"/>
      <c r="U148" s="23">
        <v>2.7072261111004303E-2</v>
      </c>
      <c r="V148" s="23">
        <v>0.99326974021417935</v>
      </c>
      <c r="W148" s="23">
        <v>0.42271430694594797</v>
      </c>
      <c r="X148" s="23">
        <v>5.0595078365627634E-2</v>
      </c>
      <c r="AA148" s="23">
        <v>2.7072261111004303E-2</v>
      </c>
      <c r="AB148" s="23">
        <v>0.99326974021417935</v>
      </c>
      <c r="AC148" s="23">
        <v>0.42271430694594797</v>
      </c>
      <c r="AD148" s="23">
        <v>5.0595078365627634E-2</v>
      </c>
    </row>
    <row r="149" spans="3:30" x14ac:dyDescent="0.25">
      <c r="C149" s="23"/>
      <c r="D149" s="23"/>
      <c r="E149" s="23"/>
      <c r="F149" s="23"/>
      <c r="G149" s="23"/>
      <c r="U149" s="23">
        <v>2.9313504447006252E-2</v>
      </c>
      <c r="V149" s="23">
        <v>0.98886830769118483</v>
      </c>
      <c r="W149" s="23">
        <v>0.24676177603351304</v>
      </c>
      <c r="X149" s="23">
        <v>2.4946823585895402E-2</v>
      </c>
      <c r="AA149" s="23">
        <v>2.9313504447006252E-2</v>
      </c>
      <c r="AB149" s="23">
        <v>0.98886830769118483</v>
      </c>
      <c r="AC149" s="23">
        <v>0.24676177603351304</v>
      </c>
      <c r="AD149" s="23">
        <v>2.4946823585895402E-2</v>
      </c>
    </row>
    <row r="150" spans="3:30" x14ac:dyDescent="0.25">
      <c r="C150" s="23"/>
      <c r="D150" s="23"/>
      <c r="E150" s="23"/>
      <c r="F150" s="23"/>
      <c r="G150" s="23"/>
      <c r="U150" s="23">
        <v>2.9313504447006252E-2</v>
      </c>
      <c r="V150" s="23">
        <v>0.98886830769118483</v>
      </c>
      <c r="W150" s="23">
        <v>0.24676177603351304</v>
      </c>
      <c r="X150" s="23">
        <v>2.4946823585895402E-2</v>
      </c>
      <c r="AA150" s="23">
        <v>2.9313504447006252E-2</v>
      </c>
      <c r="AB150" s="23">
        <v>0.98886830769118483</v>
      </c>
      <c r="AC150" s="23">
        <v>0.24676177603351304</v>
      </c>
      <c r="AD150" s="23">
        <v>2.4946823585895402E-2</v>
      </c>
    </row>
    <row r="151" spans="3:30" x14ac:dyDescent="0.25">
      <c r="C151" s="23"/>
      <c r="D151" s="23"/>
      <c r="E151" s="23"/>
      <c r="F151" s="23"/>
      <c r="G151" s="23"/>
      <c r="U151" s="23">
        <v>2.9313504447006252E-2</v>
      </c>
      <c r="V151" s="23">
        <v>0.98886830769118483</v>
      </c>
      <c r="W151" s="23">
        <v>0.24676177603351304</v>
      </c>
      <c r="X151" s="23">
        <v>2.4946823585895402E-2</v>
      </c>
      <c r="AA151" s="23">
        <v>2.9313504447006252E-2</v>
      </c>
      <c r="AB151" s="23">
        <v>0.98886830769118483</v>
      </c>
      <c r="AC151" s="23">
        <v>0.24676177603351304</v>
      </c>
      <c r="AD151" s="23">
        <v>2.4946823585895402E-2</v>
      </c>
    </row>
    <row r="152" spans="3:30" x14ac:dyDescent="0.25">
      <c r="C152" s="23"/>
      <c r="D152" s="23"/>
      <c r="E152" s="23"/>
      <c r="F152" s="23"/>
      <c r="G152" s="23"/>
      <c r="U152" s="23">
        <v>2.9313504447006252E-2</v>
      </c>
      <c r="V152" s="23">
        <v>0.98886830769118483</v>
      </c>
      <c r="W152" s="23">
        <v>0.24676177603351304</v>
      </c>
      <c r="X152" s="23">
        <v>2.4946823585895402E-2</v>
      </c>
      <c r="AA152" s="23">
        <v>2.9313504447006252E-2</v>
      </c>
      <c r="AB152" s="23">
        <v>0.98886830769118483</v>
      </c>
      <c r="AC152" s="23">
        <v>0.24676177603351304</v>
      </c>
      <c r="AD152" s="23">
        <v>2.4946823585895402E-2</v>
      </c>
    </row>
    <row r="153" spans="3:30" x14ac:dyDescent="0.25">
      <c r="C153" s="23"/>
      <c r="D153" s="23"/>
      <c r="E153" s="23"/>
      <c r="F153" s="23"/>
      <c r="G153" s="23"/>
      <c r="U153" s="23">
        <v>2.9313504447006252E-2</v>
      </c>
      <c r="V153" s="23">
        <v>0.98886830769118483</v>
      </c>
      <c r="W153" s="23">
        <v>0.24676177603351304</v>
      </c>
      <c r="X153" s="23">
        <v>2.4946823585895402E-2</v>
      </c>
      <c r="AA153" s="23">
        <v>2.9313504447006252E-2</v>
      </c>
      <c r="AB153" s="23">
        <v>0.98886830769118483</v>
      </c>
      <c r="AC153" s="23">
        <v>0.24676177603351304</v>
      </c>
      <c r="AD153" s="23">
        <v>2.4946823585895402E-2</v>
      </c>
    </row>
    <row r="154" spans="3:30" x14ac:dyDescent="0.25">
      <c r="C154" s="23"/>
      <c r="D154" s="23"/>
      <c r="E154" s="23"/>
      <c r="F154" s="23"/>
      <c r="G154" s="23"/>
      <c r="U154" s="23">
        <v>2.7072261111004303E-2</v>
      </c>
      <c r="V154" s="23">
        <v>0.99326974021417935</v>
      </c>
      <c r="W154" s="23">
        <v>0.42271430694594797</v>
      </c>
      <c r="X154" s="23">
        <v>5.0595078365627634E-2</v>
      </c>
      <c r="AA154" s="23">
        <v>2.7072261111004303E-2</v>
      </c>
      <c r="AB154" s="23">
        <v>0.99326974021417935</v>
      </c>
      <c r="AC154" s="23">
        <v>0.42271430694594797</v>
      </c>
      <c r="AD154" s="23">
        <v>5.0595078365627634E-2</v>
      </c>
    </row>
    <row r="155" spans="3:30" x14ac:dyDescent="0.25">
      <c r="C155" s="23"/>
      <c r="D155" s="23"/>
      <c r="E155" s="23"/>
      <c r="F155" s="23"/>
      <c r="G155" s="23"/>
      <c r="U155" s="23">
        <v>2.7072261111004303E-2</v>
      </c>
      <c r="V155" s="23">
        <v>0.99326974021417935</v>
      </c>
      <c r="W155" s="23">
        <v>0.42271430694594797</v>
      </c>
      <c r="X155" s="23">
        <v>5.0595078365627634E-2</v>
      </c>
      <c r="AA155" s="23">
        <v>2.7072261111004303E-2</v>
      </c>
      <c r="AB155" s="23">
        <v>0.99326974021417935</v>
      </c>
      <c r="AC155" s="23">
        <v>0.42271430694594797</v>
      </c>
      <c r="AD155" s="23">
        <v>5.0595078365627634E-2</v>
      </c>
    </row>
    <row r="156" spans="3:30" x14ac:dyDescent="0.25">
      <c r="C156" s="23"/>
      <c r="D156" s="23"/>
      <c r="E156" s="23"/>
      <c r="F156" s="23"/>
      <c r="G156" s="23"/>
      <c r="U156" s="23">
        <v>2.7072261111004303E-2</v>
      </c>
      <c r="V156" s="23">
        <v>0.99326974021417935</v>
      </c>
      <c r="W156" s="23">
        <v>0.42271430694594797</v>
      </c>
      <c r="X156" s="23">
        <v>5.0595078365627634E-2</v>
      </c>
      <c r="AA156" s="23">
        <v>2.7072261111004303E-2</v>
      </c>
      <c r="AB156" s="23">
        <v>0.99326974021417935</v>
      </c>
      <c r="AC156" s="23">
        <v>0.42271430694594797</v>
      </c>
      <c r="AD156" s="23">
        <v>5.0595078365627634E-2</v>
      </c>
    </row>
    <row r="157" spans="3:30" x14ac:dyDescent="0.25">
      <c r="C157" s="23"/>
      <c r="D157" s="23"/>
      <c r="E157" s="23"/>
      <c r="F157" s="23"/>
      <c r="G157" s="23"/>
      <c r="U157" s="23">
        <v>2.7072261111004303E-2</v>
      </c>
      <c r="V157" s="23">
        <v>0.99326974021417935</v>
      </c>
      <c r="W157" s="23">
        <v>0.42271430694594797</v>
      </c>
      <c r="X157" s="23">
        <v>5.0595078365627634E-2</v>
      </c>
      <c r="AA157" s="23">
        <v>2.7072261111004303E-2</v>
      </c>
      <c r="AB157" s="23">
        <v>0.99326974021417935</v>
      </c>
      <c r="AC157" s="23">
        <v>0.42271430694594797</v>
      </c>
      <c r="AD157" s="23">
        <v>5.0595078365627634E-2</v>
      </c>
    </row>
    <row r="158" spans="3:30" x14ac:dyDescent="0.25">
      <c r="C158" s="23"/>
      <c r="D158" s="23"/>
      <c r="E158" s="23"/>
      <c r="F158" s="23"/>
      <c r="G158" s="23"/>
      <c r="U158" s="23">
        <v>2.7072261111004303E-2</v>
      </c>
      <c r="V158" s="23">
        <v>0.99326974021417935</v>
      </c>
      <c r="W158" s="23">
        <v>0.42271430694594797</v>
      </c>
      <c r="X158" s="23">
        <v>5.0595078365627634E-2</v>
      </c>
      <c r="AA158" s="23">
        <v>2.7072261111004303E-2</v>
      </c>
      <c r="AB158" s="23">
        <v>0.99326974021417935</v>
      </c>
      <c r="AC158" s="23">
        <v>0.42271430694594797</v>
      </c>
      <c r="AD158" s="23">
        <v>5.0595078365627634E-2</v>
      </c>
    </row>
    <row r="159" spans="3:30" x14ac:dyDescent="0.25">
      <c r="C159" s="23"/>
      <c r="D159" s="23"/>
      <c r="E159" s="23"/>
      <c r="F159" s="23"/>
      <c r="G159" s="23"/>
      <c r="U159" s="23">
        <v>2.7072261111004303E-2</v>
      </c>
      <c r="V159" s="23">
        <v>0.99326974021417935</v>
      </c>
      <c r="W159" s="23">
        <v>0.42271430694594797</v>
      </c>
      <c r="X159" s="23">
        <v>5.0595078365627634E-2</v>
      </c>
      <c r="AA159" s="23">
        <v>2.7072261111004303E-2</v>
      </c>
      <c r="AB159" s="23">
        <v>0.99326974021417935</v>
      </c>
      <c r="AC159" s="23">
        <v>0.42271430694594797</v>
      </c>
      <c r="AD159" s="23">
        <v>5.0595078365627634E-2</v>
      </c>
    </row>
    <row r="160" spans="3:30" x14ac:dyDescent="0.25">
      <c r="C160" s="23"/>
      <c r="D160" s="23"/>
      <c r="E160" s="23"/>
      <c r="F160" s="23"/>
      <c r="G160" s="23"/>
      <c r="U160" s="23">
        <v>2.7072261111004303E-2</v>
      </c>
      <c r="V160" s="23">
        <v>0.99326974021417935</v>
      </c>
      <c r="W160" s="23">
        <v>0.42271430694594797</v>
      </c>
      <c r="X160" s="23">
        <v>5.0595078365627634E-2</v>
      </c>
      <c r="AA160" s="23">
        <v>2.7072261111004303E-2</v>
      </c>
      <c r="AB160" s="23">
        <v>0.99326974021417935</v>
      </c>
      <c r="AC160" s="23">
        <v>0.42271430694594797</v>
      </c>
      <c r="AD160" s="23">
        <v>5.0595078365627634E-2</v>
      </c>
    </row>
    <row r="161" spans="3:30" x14ac:dyDescent="0.25">
      <c r="C161" s="23"/>
      <c r="D161" s="23"/>
      <c r="E161" s="23"/>
      <c r="F161" s="23"/>
      <c r="G161" s="23"/>
      <c r="U161" s="23">
        <v>2.9313504447006252E-2</v>
      </c>
      <c r="V161" s="23">
        <v>0.98886830769118483</v>
      </c>
      <c r="W161" s="23">
        <v>0.24676177603351304</v>
      </c>
      <c r="X161" s="23">
        <v>2.4946823585895402E-2</v>
      </c>
      <c r="AA161" s="23">
        <v>2.9313504447006252E-2</v>
      </c>
      <c r="AB161" s="23">
        <v>0.98886830769118483</v>
      </c>
      <c r="AC161" s="23">
        <v>0.24676177603351304</v>
      </c>
      <c r="AD161" s="23">
        <v>2.4946823585895402E-2</v>
      </c>
    </row>
    <row r="162" spans="3:30" x14ac:dyDescent="0.25">
      <c r="C162" s="23"/>
      <c r="D162" s="23"/>
      <c r="E162" s="23"/>
      <c r="F162" s="23"/>
      <c r="G162" s="23"/>
      <c r="U162" s="23">
        <v>2.9313504447006252E-2</v>
      </c>
      <c r="V162" s="23">
        <v>0.98886830769118483</v>
      </c>
      <c r="W162" s="23">
        <v>0.24676177603351304</v>
      </c>
      <c r="X162" s="23">
        <v>2.4946823585895402E-2</v>
      </c>
      <c r="AA162" s="23">
        <v>2.9313504447006252E-2</v>
      </c>
      <c r="AB162" s="23">
        <v>0.98886830769118483</v>
      </c>
      <c r="AC162" s="23">
        <v>0.24676177603351304</v>
      </c>
      <c r="AD162" s="23">
        <v>2.4946823585895402E-2</v>
      </c>
    </row>
    <row r="163" spans="3:30" x14ac:dyDescent="0.25">
      <c r="C163" s="23"/>
      <c r="D163" s="23"/>
      <c r="E163" s="23"/>
      <c r="F163" s="23"/>
      <c r="G163" s="23"/>
      <c r="U163" s="23">
        <v>2.9313504447006252E-2</v>
      </c>
      <c r="V163" s="23">
        <v>0.98886830769118483</v>
      </c>
      <c r="W163" s="23">
        <v>0.24676177603351304</v>
      </c>
      <c r="X163" s="23">
        <v>2.4946823585895402E-2</v>
      </c>
      <c r="AA163" s="23">
        <v>2.9313504447006252E-2</v>
      </c>
      <c r="AB163" s="23">
        <v>0.98886830769118483</v>
      </c>
      <c r="AC163" s="23">
        <v>0.24676177603351304</v>
      </c>
      <c r="AD163" s="23">
        <v>2.4946823585895402E-2</v>
      </c>
    </row>
    <row r="164" spans="3:30" x14ac:dyDescent="0.25">
      <c r="C164" s="23"/>
      <c r="D164" s="23"/>
      <c r="E164" s="23"/>
      <c r="F164" s="23"/>
      <c r="G164" s="23"/>
      <c r="U164" s="23">
        <v>2.9313504447006252E-2</v>
      </c>
      <c r="V164" s="23">
        <v>0.98886830769118483</v>
      </c>
      <c r="W164" s="23">
        <v>0.24676177603351304</v>
      </c>
      <c r="X164" s="23">
        <v>2.4946823585895402E-2</v>
      </c>
      <c r="AA164" s="23">
        <v>2.9313504447006252E-2</v>
      </c>
      <c r="AB164" s="23">
        <v>0.98886830769118483</v>
      </c>
      <c r="AC164" s="23">
        <v>0.24676177603351304</v>
      </c>
      <c r="AD164" s="23">
        <v>2.4946823585895402E-2</v>
      </c>
    </row>
    <row r="165" spans="3:30" x14ac:dyDescent="0.25">
      <c r="C165" s="23"/>
      <c r="D165" s="23"/>
      <c r="E165" s="23"/>
      <c r="F165" s="23"/>
      <c r="G165" s="23"/>
      <c r="U165" s="23">
        <v>2.9313504447006252E-2</v>
      </c>
      <c r="V165" s="23">
        <v>0.98886830769118483</v>
      </c>
      <c r="W165" s="23">
        <v>0.24676177603351304</v>
      </c>
      <c r="X165" s="23">
        <v>2.4946823585895402E-2</v>
      </c>
      <c r="AA165" s="23">
        <v>2.9313504447006252E-2</v>
      </c>
      <c r="AB165" s="23">
        <v>0.98886830769118483</v>
      </c>
      <c r="AC165" s="23">
        <v>0.24676177603351304</v>
      </c>
      <c r="AD165" s="23">
        <v>2.4946823585895402E-2</v>
      </c>
    </row>
    <row r="166" spans="3:30" x14ac:dyDescent="0.25">
      <c r="C166" s="23"/>
      <c r="D166" s="23"/>
      <c r="E166" s="23"/>
      <c r="F166" s="23"/>
      <c r="G166" s="23"/>
      <c r="U166" s="23">
        <v>2.7072261111004303E-2</v>
      </c>
      <c r="V166" s="23">
        <v>0.99326974021417935</v>
      </c>
      <c r="W166" s="23">
        <v>0.42271430694594797</v>
      </c>
      <c r="X166" s="23">
        <v>5.0595078365627634E-2</v>
      </c>
      <c r="AA166" s="23">
        <v>2.7072261111004303E-2</v>
      </c>
      <c r="AB166" s="23">
        <v>0.99326974021417935</v>
      </c>
      <c r="AC166" s="23">
        <v>0.42271430694594797</v>
      </c>
      <c r="AD166" s="23">
        <v>5.0595078365627634E-2</v>
      </c>
    </row>
    <row r="167" spans="3:30" x14ac:dyDescent="0.25">
      <c r="C167" s="23"/>
      <c r="D167" s="23"/>
      <c r="E167" s="23"/>
      <c r="F167" s="23"/>
      <c r="G167" s="23"/>
      <c r="U167" s="23">
        <v>2.7072261111004303E-2</v>
      </c>
      <c r="V167" s="23">
        <v>0.99326974021417935</v>
      </c>
      <c r="W167" s="23">
        <v>0.42271430694594797</v>
      </c>
      <c r="X167" s="23">
        <v>5.0595078365627634E-2</v>
      </c>
      <c r="AA167" s="23">
        <v>2.7072261111004303E-2</v>
      </c>
      <c r="AB167" s="23">
        <v>0.99326974021417935</v>
      </c>
      <c r="AC167" s="23">
        <v>0.42271430694594797</v>
      </c>
      <c r="AD167" s="23">
        <v>5.0595078365627634E-2</v>
      </c>
    </row>
    <row r="168" spans="3:30" x14ac:dyDescent="0.25">
      <c r="C168" s="23"/>
      <c r="D168" s="23"/>
      <c r="E168" s="23"/>
      <c r="F168" s="23"/>
      <c r="G168" s="23"/>
      <c r="U168" s="23">
        <v>2.7072261111004303E-2</v>
      </c>
      <c r="V168" s="23">
        <v>0.99326974021417935</v>
      </c>
      <c r="W168" s="23">
        <v>0.42271430694594797</v>
      </c>
      <c r="X168" s="23">
        <v>5.0595078365627634E-2</v>
      </c>
      <c r="AA168" s="23">
        <v>2.7072261111004303E-2</v>
      </c>
      <c r="AB168" s="23">
        <v>0.99326974021417935</v>
      </c>
      <c r="AC168" s="23">
        <v>0.42271430694594797</v>
      </c>
      <c r="AD168" s="23">
        <v>5.0595078365627634E-2</v>
      </c>
    </row>
    <row r="169" spans="3:30" x14ac:dyDescent="0.25">
      <c r="C169" s="23"/>
      <c r="D169" s="23"/>
      <c r="E169" s="23"/>
      <c r="F169" s="23"/>
      <c r="G169" s="23"/>
      <c r="U169" s="23">
        <v>2.7072261111004303E-2</v>
      </c>
      <c r="V169" s="23">
        <v>0.99326974021417935</v>
      </c>
      <c r="W169" s="23">
        <v>0.42271430694594797</v>
      </c>
      <c r="X169" s="23">
        <v>5.0595078365627634E-2</v>
      </c>
      <c r="AA169" s="23">
        <v>2.7072261111004303E-2</v>
      </c>
      <c r="AB169" s="23">
        <v>0.99326974021417935</v>
      </c>
      <c r="AC169" s="23">
        <v>0.42271430694594797</v>
      </c>
      <c r="AD169" s="23">
        <v>5.0595078365627634E-2</v>
      </c>
    </row>
    <row r="170" spans="3:30" x14ac:dyDescent="0.25">
      <c r="C170" s="23"/>
      <c r="D170" s="23"/>
      <c r="E170" s="23"/>
      <c r="F170" s="23"/>
      <c r="G170" s="23"/>
      <c r="U170" s="23">
        <v>2.7072261111004303E-2</v>
      </c>
      <c r="V170" s="23">
        <v>0.99326974021417935</v>
      </c>
      <c r="W170" s="23">
        <v>0.42271430694594797</v>
      </c>
      <c r="X170" s="23">
        <v>5.0595078365627634E-2</v>
      </c>
      <c r="AA170" s="23">
        <v>2.7072261111004303E-2</v>
      </c>
      <c r="AB170" s="23">
        <v>0.99326974021417935</v>
      </c>
      <c r="AC170" s="23">
        <v>0.42271430694594797</v>
      </c>
      <c r="AD170" s="23">
        <v>5.0595078365627634E-2</v>
      </c>
    </row>
    <row r="171" spans="3:30" x14ac:dyDescent="0.25">
      <c r="C171" s="23"/>
      <c r="D171" s="23"/>
      <c r="E171" s="23"/>
      <c r="F171" s="23"/>
      <c r="G171" s="23"/>
      <c r="U171" s="23">
        <v>2.7072261111004303E-2</v>
      </c>
      <c r="V171" s="23">
        <v>0.99326974021417935</v>
      </c>
      <c r="W171" s="23">
        <v>0.42271430694594797</v>
      </c>
      <c r="X171" s="23">
        <v>5.0595078365627634E-2</v>
      </c>
      <c r="AA171" s="23">
        <v>2.7072261111004303E-2</v>
      </c>
      <c r="AB171" s="23">
        <v>0.99326974021417935</v>
      </c>
      <c r="AC171" s="23">
        <v>0.42271430694594797</v>
      </c>
      <c r="AD171" s="23">
        <v>5.0595078365627634E-2</v>
      </c>
    </row>
    <row r="172" spans="3:30" x14ac:dyDescent="0.25">
      <c r="C172" s="23"/>
      <c r="D172" s="23"/>
      <c r="E172" s="23"/>
      <c r="F172" s="23"/>
      <c r="G172" s="23"/>
      <c r="U172" s="23">
        <v>2.7072261111004303E-2</v>
      </c>
      <c r="V172" s="23">
        <v>0.99326974021417935</v>
      </c>
      <c r="W172" s="23">
        <v>0.42271430694594797</v>
      </c>
      <c r="X172" s="23">
        <v>5.0595078365627634E-2</v>
      </c>
      <c r="AA172" s="23">
        <v>2.7072261111004303E-2</v>
      </c>
      <c r="AB172" s="23">
        <v>0.99326974021417935</v>
      </c>
      <c r="AC172" s="23">
        <v>0.42271430694594797</v>
      </c>
      <c r="AD172" s="23">
        <v>5.0595078365627634E-2</v>
      </c>
    </row>
    <row r="173" spans="3:30" x14ac:dyDescent="0.25">
      <c r="C173" s="23"/>
      <c r="D173" s="23"/>
      <c r="E173" s="23"/>
      <c r="F173" s="23"/>
      <c r="G173" s="23"/>
      <c r="U173" s="23">
        <v>2.9313504447006252E-2</v>
      </c>
      <c r="V173" s="23">
        <v>0.98886830769118483</v>
      </c>
      <c r="W173" s="23">
        <v>0.24676177603351304</v>
      </c>
      <c r="X173" s="23">
        <v>2.4946823585895402E-2</v>
      </c>
      <c r="AA173" s="23">
        <v>2.9313504447006252E-2</v>
      </c>
      <c r="AB173" s="23">
        <v>0.98886830769118483</v>
      </c>
      <c r="AC173" s="23">
        <v>0.24676177603351304</v>
      </c>
      <c r="AD173" s="23">
        <v>2.4946823585895402E-2</v>
      </c>
    </row>
    <row r="174" spans="3:30" x14ac:dyDescent="0.25">
      <c r="C174" s="23"/>
      <c r="D174" s="23"/>
      <c r="E174" s="23"/>
      <c r="F174" s="23"/>
      <c r="G174" s="23"/>
      <c r="U174" s="23">
        <v>2.9313504447006252E-2</v>
      </c>
      <c r="V174" s="23">
        <v>0.98886830769118483</v>
      </c>
      <c r="W174" s="23">
        <v>0.24676177603351304</v>
      </c>
      <c r="X174" s="23">
        <v>2.4946823585895402E-2</v>
      </c>
      <c r="AA174" s="23">
        <v>2.9313504447006252E-2</v>
      </c>
      <c r="AB174" s="23">
        <v>0.98886830769118483</v>
      </c>
      <c r="AC174" s="23">
        <v>0.24676177603351304</v>
      </c>
      <c r="AD174" s="23">
        <v>2.4946823585895402E-2</v>
      </c>
    </row>
    <row r="175" spans="3:30" x14ac:dyDescent="0.25">
      <c r="C175" s="23"/>
      <c r="D175" s="23"/>
      <c r="E175" s="23"/>
      <c r="F175" s="23"/>
      <c r="G175" s="23"/>
      <c r="U175" s="23">
        <v>2.9313504447006252E-2</v>
      </c>
      <c r="V175" s="23">
        <v>0.98886830769118483</v>
      </c>
      <c r="W175" s="23">
        <v>0.24676177603351304</v>
      </c>
      <c r="X175" s="23">
        <v>2.4946823585895402E-2</v>
      </c>
      <c r="AA175" s="23">
        <v>2.9313504447006252E-2</v>
      </c>
      <c r="AB175" s="23">
        <v>0.98886830769118483</v>
      </c>
      <c r="AC175" s="23">
        <v>0.24676177603351304</v>
      </c>
      <c r="AD175" s="23">
        <v>2.4946823585895402E-2</v>
      </c>
    </row>
    <row r="176" spans="3:30" x14ac:dyDescent="0.25">
      <c r="C176" s="23"/>
      <c r="D176" s="23"/>
      <c r="E176" s="23"/>
      <c r="F176" s="23"/>
      <c r="G176" s="23"/>
      <c r="U176" s="23">
        <v>2.9313504447006252E-2</v>
      </c>
      <c r="V176" s="23">
        <v>0.98886830769118483</v>
      </c>
      <c r="W176" s="23">
        <v>0.24676177603351304</v>
      </c>
      <c r="X176" s="23">
        <v>2.4946823585895402E-2</v>
      </c>
      <c r="AA176" s="23">
        <v>2.9313504447006252E-2</v>
      </c>
      <c r="AB176" s="23">
        <v>0.98886830769118483</v>
      </c>
      <c r="AC176" s="23">
        <v>0.24676177603351304</v>
      </c>
      <c r="AD176" s="23">
        <v>2.4946823585895402E-2</v>
      </c>
    </row>
    <row r="177" spans="3:30" x14ac:dyDescent="0.25">
      <c r="C177" s="23"/>
      <c r="D177" s="23"/>
      <c r="E177" s="23"/>
      <c r="F177" s="23"/>
      <c r="G177" s="23"/>
      <c r="U177" s="23">
        <v>2.9313504447006252E-2</v>
      </c>
      <c r="V177" s="23">
        <v>0.98886830769118483</v>
      </c>
      <c r="W177" s="23">
        <v>0.24676177603351304</v>
      </c>
      <c r="X177" s="23">
        <v>2.4946823585895402E-2</v>
      </c>
      <c r="AA177" s="23">
        <v>2.9313504447006252E-2</v>
      </c>
      <c r="AB177" s="23">
        <v>0.98886830769118483</v>
      </c>
      <c r="AC177" s="23">
        <v>0.24676177603351304</v>
      </c>
      <c r="AD177" s="23">
        <v>2.4946823585895402E-2</v>
      </c>
    </row>
    <row r="178" spans="3:30" x14ac:dyDescent="0.25">
      <c r="C178" s="23"/>
      <c r="D178" s="23"/>
      <c r="E178" s="23"/>
      <c r="F178" s="23"/>
      <c r="G178" s="23"/>
      <c r="U178" s="23">
        <v>2.7072261111004303E-2</v>
      </c>
      <c r="V178" s="23">
        <v>0.99326974021417935</v>
      </c>
      <c r="W178" s="23">
        <v>0.42271430694594797</v>
      </c>
      <c r="X178" s="23">
        <v>5.0595078365627634E-2</v>
      </c>
      <c r="AA178" s="23">
        <v>2.7072261111004303E-2</v>
      </c>
      <c r="AB178" s="23">
        <v>0.99326974021417935</v>
      </c>
      <c r="AC178" s="23">
        <v>0.42271430694594797</v>
      </c>
      <c r="AD178" s="23">
        <v>5.0595078365627634E-2</v>
      </c>
    </row>
    <row r="179" spans="3:30" x14ac:dyDescent="0.25">
      <c r="C179" s="23"/>
      <c r="D179" s="23"/>
      <c r="E179" s="23"/>
      <c r="F179" s="23"/>
      <c r="G179" s="23"/>
      <c r="U179" s="23">
        <v>2.7072261111004303E-2</v>
      </c>
      <c r="V179" s="23">
        <v>0.99326974021417935</v>
      </c>
      <c r="W179" s="23">
        <v>0.42271430694594797</v>
      </c>
      <c r="X179" s="23">
        <v>5.0595078365627634E-2</v>
      </c>
      <c r="AA179" s="23">
        <v>2.7072261111004303E-2</v>
      </c>
      <c r="AB179" s="23">
        <v>0.99326974021417935</v>
      </c>
      <c r="AC179" s="23">
        <v>0.42271430694594797</v>
      </c>
      <c r="AD179" s="23">
        <v>5.0595078365627634E-2</v>
      </c>
    </row>
    <row r="180" spans="3:30" x14ac:dyDescent="0.25">
      <c r="C180" s="23"/>
      <c r="D180" s="23"/>
      <c r="E180" s="23"/>
      <c r="F180" s="23"/>
      <c r="G180" s="23"/>
      <c r="U180" s="23">
        <v>2.7072261111004303E-2</v>
      </c>
      <c r="V180" s="23">
        <v>0.99326974021417935</v>
      </c>
      <c r="W180" s="23">
        <v>0.42271430694594797</v>
      </c>
      <c r="X180" s="23">
        <v>5.0595078365627634E-2</v>
      </c>
      <c r="AA180" s="23">
        <v>2.7072261111004303E-2</v>
      </c>
      <c r="AB180" s="23">
        <v>0.99326974021417935</v>
      </c>
      <c r="AC180" s="23">
        <v>0.42271430694594797</v>
      </c>
      <c r="AD180" s="23">
        <v>5.0595078365627634E-2</v>
      </c>
    </row>
    <row r="181" spans="3:30" x14ac:dyDescent="0.25">
      <c r="C181" s="23"/>
      <c r="D181" s="23"/>
      <c r="E181" s="23"/>
      <c r="F181" s="23"/>
      <c r="G181" s="23"/>
      <c r="U181" s="23">
        <v>2.7072261111004303E-2</v>
      </c>
      <c r="V181" s="23">
        <v>0.99326974021417935</v>
      </c>
      <c r="W181" s="23">
        <v>0.42271430694594797</v>
      </c>
      <c r="X181" s="23">
        <v>5.0595078365627634E-2</v>
      </c>
      <c r="AA181" s="23">
        <v>2.7072261111004303E-2</v>
      </c>
      <c r="AB181" s="23">
        <v>0.99326974021417935</v>
      </c>
      <c r="AC181" s="23">
        <v>0.42271430694594797</v>
      </c>
      <c r="AD181" s="23">
        <v>5.0595078365627634E-2</v>
      </c>
    </row>
    <row r="182" spans="3:30" x14ac:dyDescent="0.25">
      <c r="C182" s="23"/>
      <c r="D182" s="23"/>
      <c r="E182" s="23"/>
      <c r="F182" s="23"/>
      <c r="G182" s="23"/>
      <c r="U182" s="23">
        <v>2.7072261111004303E-2</v>
      </c>
      <c r="V182" s="23">
        <v>0.99326974021417935</v>
      </c>
      <c r="W182" s="23">
        <v>0.42271430694594797</v>
      </c>
      <c r="X182" s="23">
        <v>5.0595078365627634E-2</v>
      </c>
      <c r="AA182" s="23">
        <v>2.7072261111004303E-2</v>
      </c>
      <c r="AB182" s="23">
        <v>0.99326974021417935</v>
      </c>
      <c r="AC182" s="23">
        <v>0.42271430694594797</v>
      </c>
      <c r="AD182" s="23">
        <v>5.0595078365627634E-2</v>
      </c>
    </row>
    <row r="183" spans="3:30" x14ac:dyDescent="0.25">
      <c r="C183" s="23"/>
      <c r="D183" s="23"/>
      <c r="E183" s="23"/>
      <c r="F183" s="23"/>
      <c r="G183" s="23"/>
      <c r="U183" s="23">
        <v>2.7072261111004303E-2</v>
      </c>
      <c r="V183" s="23">
        <v>0.99326974021417935</v>
      </c>
      <c r="W183" s="23">
        <v>0.42271430694594797</v>
      </c>
      <c r="X183" s="23">
        <v>5.0595078365627634E-2</v>
      </c>
      <c r="AA183" s="23">
        <v>2.7072261111004303E-2</v>
      </c>
      <c r="AB183" s="23">
        <v>0.99326974021417935</v>
      </c>
      <c r="AC183" s="23">
        <v>0.42271430694594797</v>
      </c>
      <c r="AD183" s="23">
        <v>5.0595078365627634E-2</v>
      </c>
    </row>
    <row r="184" spans="3:30" x14ac:dyDescent="0.25">
      <c r="C184" s="23"/>
      <c r="D184" s="23"/>
      <c r="E184" s="23"/>
      <c r="F184" s="23"/>
      <c r="G184" s="23"/>
      <c r="U184" s="23">
        <v>2.7072261111004303E-2</v>
      </c>
      <c r="V184" s="23">
        <v>0.99326974021417935</v>
      </c>
      <c r="W184" s="23">
        <v>0.42271430694594797</v>
      </c>
      <c r="X184" s="23">
        <v>5.0595078365627634E-2</v>
      </c>
      <c r="AA184" s="23">
        <v>2.7072261111004303E-2</v>
      </c>
      <c r="AB184" s="23">
        <v>0.99326974021417935</v>
      </c>
      <c r="AC184" s="23">
        <v>0.42271430694594797</v>
      </c>
      <c r="AD184" s="23">
        <v>5.0595078365627634E-2</v>
      </c>
    </row>
    <row r="185" spans="3:30" x14ac:dyDescent="0.25">
      <c r="C185" s="23"/>
      <c r="D185" s="23"/>
      <c r="E185" s="23"/>
      <c r="F185" s="23"/>
      <c r="G185" s="23"/>
      <c r="U185" s="23">
        <v>2.9313504447006252E-2</v>
      </c>
      <c r="V185" s="23">
        <v>0.98886830769118483</v>
      </c>
      <c r="W185" s="23">
        <v>0.24676177603351304</v>
      </c>
      <c r="X185" s="23">
        <v>2.4946823585895402E-2</v>
      </c>
      <c r="AA185" s="23">
        <v>2.9313504447006252E-2</v>
      </c>
      <c r="AB185" s="23">
        <v>0.98886830769118483</v>
      </c>
      <c r="AC185" s="23">
        <v>0.24676177603351304</v>
      </c>
      <c r="AD185" s="23">
        <v>2.4946823585895402E-2</v>
      </c>
    </row>
    <row r="186" spans="3:30" x14ac:dyDescent="0.25">
      <c r="C186" s="23"/>
      <c r="D186" s="23"/>
      <c r="E186" s="23"/>
      <c r="F186" s="23"/>
      <c r="G186" s="23"/>
      <c r="U186" s="23">
        <v>2.9313504447006252E-2</v>
      </c>
      <c r="V186" s="23">
        <v>0.98886830769118483</v>
      </c>
      <c r="W186" s="23">
        <v>0.24676177603351304</v>
      </c>
      <c r="X186" s="23">
        <v>2.4946823585895402E-2</v>
      </c>
      <c r="AA186" s="23">
        <v>2.9313504447006252E-2</v>
      </c>
      <c r="AB186" s="23">
        <v>0.98886830769118483</v>
      </c>
      <c r="AC186" s="23">
        <v>0.24676177603351304</v>
      </c>
      <c r="AD186" s="23">
        <v>2.4946823585895402E-2</v>
      </c>
    </row>
    <row r="187" spans="3:30" x14ac:dyDescent="0.25">
      <c r="C187" s="23"/>
      <c r="D187" s="23"/>
      <c r="E187" s="23"/>
      <c r="F187" s="23"/>
      <c r="G187" s="23"/>
      <c r="U187" s="23">
        <v>2.9313504447006252E-2</v>
      </c>
      <c r="V187" s="23">
        <v>0.98886830769118483</v>
      </c>
      <c r="W187" s="23">
        <v>0.24676177603351304</v>
      </c>
      <c r="X187" s="23">
        <v>2.4946823585895402E-2</v>
      </c>
      <c r="AA187" s="23">
        <v>2.9313504447006252E-2</v>
      </c>
      <c r="AB187" s="23">
        <v>0.98886830769118483</v>
      </c>
      <c r="AC187" s="23">
        <v>0.24676177603351304</v>
      </c>
      <c r="AD187" s="23">
        <v>2.4946823585895402E-2</v>
      </c>
    </row>
    <row r="188" spans="3:30" x14ac:dyDescent="0.25">
      <c r="C188" s="23"/>
      <c r="D188" s="23"/>
      <c r="E188" s="23"/>
      <c r="F188" s="23"/>
      <c r="G188" s="23"/>
      <c r="U188" s="23">
        <v>2.9313504447006252E-2</v>
      </c>
      <c r="V188" s="23">
        <v>0.98886830769118483</v>
      </c>
      <c r="W188" s="23">
        <v>0.24676177603351304</v>
      </c>
      <c r="X188" s="23">
        <v>2.4946823585895402E-2</v>
      </c>
      <c r="AA188" s="23">
        <v>2.9313504447006252E-2</v>
      </c>
      <c r="AB188" s="23">
        <v>0.98886830769118483</v>
      </c>
      <c r="AC188" s="23">
        <v>0.24676177603351304</v>
      </c>
      <c r="AD188" s="23">
        <v>2.4946823585895402E-2</v>
      </c>
    </row>
    <row r="189" spans="3:30" x14ac:dyDescent="0.25">
      <c r="C189" s="23"/>
      <c r="D189" s="23"/>
      <c r="E189" s="23"/>
      <c r="F189" s="23"/>
      <c r="G189" s="23"/>
      <c r="U189" s="23">
        <v>2.9313504447006252E-2</v>
      </c>
      <c r="V189" s="23">
        <v>0.98886830769118483</v>
      </c>
      <c r="W189" s="23">
        <v>0.24676177603351304</v>
      </c>
      <c r="X189" s="23">
        <v>2.4946823585895402E-2</v>
      </c>
      <c r="AA189" s="23">
        <v>2.9313504447006252E-2</v>
      </c>
      <c r="AB189" s="23">
        <v>0.98886830769118483</v>
      </c>
      <c r="AC189" s="23">
        <v>0.24676177603351304</v>
      </c>
      <c r="AD189" s="23">
        <v>2.4946823585895402E-2</v>
      </c>
    </row>
    <row r="190" spans="3:30" x14ac:dyDescent="0.25">
      <c r="C190" s="23"/>
      <c r="D190" s="23"/>
      <c r="E190" s="23"/>
      <c r="F190" s="23"/>
      <c r="G190" s="23"/>
      <c r="U190" s="23">
        <v>2.7072261111004303E-2</v>
      </c>
      <c r="V190" s="23">
        <v>0.99326974021417935</v>
      </c>
      <c r="W190" s="23">
        <v>0.42271430694594797</v>
      </c>
      <c r="X190" s="23">
        <v>5.0595078365627634E-2</v>
      </c>
      <c r="AA190" s="23">
        <v>2.7072261111004303E-2</v>
      </c>
      <c r="AB190" s="23">
        <v>0.99326974021417935</v>
      </c>
      <c r="AC190" s="23">
        <v>0.42271430694594797</v>
      </c>
      <c r="AD190" s="23">
        <v>5.0595078365627634E-2</v>
      </c>
    </row>
    <row r="191" spans="3:30" x14ac:dyDescent="0.25">
      <c r="C191" s="23"/>
      <c r="D191" s="23"/>
      <c r="E191" s="23"/>
      <c r="F191" s="23"/>
      <c r="G191" s="23"/>
      <c r="U191" s="23">
        <v>2.7072261111004303E-2</v>
      </c>
      <c r="V191" s="23">
        <v>0.99326974021417935</v>
      </c>
      <c r="W191" s="23">
        <v>0.42271430694594797</v>
      </c>
      <c r="X191" s="23">
        <v>5.0595078365627634E-2</v>
      </c>
      <c r="AA191" s="23">
        <v>2.7072261111004303E-2</v>
      </c>
      <c r="AB191" s="23">
        <v>0.99326974021417935</v>
      </c>
      <c r="AC191" s="23">
        <v>0.42271430694594797</v>
      </c>
      <c r="AD191" s="23">
        <v>5.0595078365627634E-2</v>
      </c>
    </row>
    <row r="192" spans="3:30" x14ac:dyDescent="0.25">
      <c r="C192" s="23"/>
      <c r="D192" s="23"/>
      <c r="E192" s="23"/>
      <c r="F192" s="23"/>
      <c r="G192" s="23"/>
      <c r="U192" s="23">
        <v>2.7072261111004303E-2</v>
      </c>
      <c r="V192" s="23">
        <v>0.99326974021417935</v>
      </c>
      <c r="W192" s="23">
        <v>0.42271430694594797</v>
      </c>
      <c r="X192" s="23">
        <v>5.0595078365627634E-2</v>
      </c>
      <c r="AA192" s="23">
        <v>2.7072261111004303E-2</v>
      </c>
      <c r="AB192" s="23">
        <v>0.99326974021417935</v>
      </c>
      <c r="AC192" s="23">
        <v>0.42271430694594797</v>
      </c>
      <c r="AD192" s="23">
        <v>5.0595078365627634E-2</v>
      </c>
    </row>
    <row r="193" spans="3:30" x14ac:dyDescent="0.25">
      <c r="C193" s="23"/>
      <c r="D193" s="23"/>
      <c r="E193" s="23"/>
      <c r="F193" s="23"/>
      <c r="G193" s="23"/>
      <c r="U193" s="23">
        <v>2.7072261111004303E-2</v>
      </c>
      <c r="V193" s="23">
        <v>0.99326974021417935</v>
      </c>
      <c r="W193" s="23">
        <v>0.42271430694594797</v>
      </c>
      <c r="X193" s="23">
        <v>5.0595078365627634E-2</v>
      </c>
      <c r="AA193" s="23">
        <v>2.7072261111004303E-2</v>
      </c>
      <c r="AB193" s="23">
        <v>0.99326974021417935</v>
      </c>
      <c r="AC193" s="23">
        <v>0.42271430694594797</v>
      </c>
      <c r="AD193" s="23">
        <v>5.0595078365627634E-2</v>
      </c>
    </row>
    <row r="194" spans="3:30" x14ac:dyDescent="0.25">
      <c r="C194" s="23"/>
      <c r="D194" s="23"/>
      <c r="E194" s="23"/>
      <c r="F194" s="23"/>
      <c r="G194" s="23"/>
      <c r="U194" s="23">
        <v>2.7072261111004303E-2</v>
      </c>
      <c r="V194" s="23">
        <v>0.99326974021417935</v>
      </c>
      <c r="W194" s="23">
        <v>0.42271430694594797</v>
      </c>
      <c r="X194" s="23">
        <v>5.0595078365627634E-2</v>
      </c>
      <c r="AA194" s="23">
        <v>2.7072261111004303E-2</v>
      </c>
      <c r="AB194" s="23">
        <v>0.99326974021417935</v>
      </c>
      <c r="AC194" s="23">
        <v>0.42271430694594797</v>
      </c>
      <c r="AD194" s="23">
        <v>5.0595078365627634E-2</v>
      </c>
    </row>
    <row r="195" spans="3:30" x14ac:dyDescent="0.25">
      <c r="C195" s="23"/>
      <c r="D195" s="23"/>
      <c r="E195" s="23"/>
      <c r="F195" s="23"/>
      <c r="G195" s="23"/>
      <c r="U195" s="23">
        <v>2.7072261111004303E-2</v>
      </c>
      <c r="V195" s="23">
        <v>0.99326974021417935</v>
      </c>
      <c r="W195" s="23">
        <v>0.42271430694594797</v>
      </c>
      <c r="X195" s="23">
        <v>5.0595078365627634E-2</v>
      </c>
      <c r="AA195" s="23">
        <v>2.7072261111004303E-2</v>
      </c>
      <c r="AB195" s="23">
        <v>0.99326974021417935</v>
      </c>
      <c r="AC195" s="23">
        <v>0.42271430694594797</v>
      </c>
      <c r="AD195" s="23">
        <v>5.0595078365627634E-2</v>
      </c>
    </row>
    <row r="196" spans="3:30" x14ac:dyDescent="0.25">
      <c r="C196" s="23"/>
      <c r="D196" s="23"/>
      <c r="E196" s="23"/>
      <c r="F196" s="23"/>
      <c r="G196" s="23"/>
      <c r="U196" s="23">
        <v>2.7072261111004303E-2</v>
      </c>
      <c r="V196" s="23">
        <v>0.99326974021417935</v>
      </c>
      <c r="W196" s="23">
        <v>0.42271430694594797</v>
      </c>
      <c r="X196" s="23">
        <v>5.0595078365627634E-2</v>
      </c>
      <c r="AA196" s="23">
        <v>2.7072261111004303E-2</v>
      </c>
      <c r="AB196" s="23">
        <v>0.99326974021417935</v>
      </c>
      <c r="AC196" s="23">
        <v>0.42271430694594797</v>
      </c>
      <c r="AD196" s="23">
        <v>5.0595078365627634E-2</v>
      </c>
    </row>
    <row r="197" spans="3:30" x14ac:dyDescent="0.25">
      <c r="C197" s="23"/>
      <c r="D197" s="23"/>
      <c r="E197" s="23"/>
      <c r="F197" s="23"/>
      <c r="G197" s="23"/>
      <c r="U197" s="23">
        <v>2.9313504447006252E-2</v>
      </c>
      <c r="V197" s="23">
        <v>0.98886830769118483</v>
      </c>
      <c r="W197" s="23">
        <v>0.24676177603351304</v>
      </c>
      <c r="X197" s="23">
        <v>2.4946823585895402E-2</v>
      </c>
      <c r="AA197" s="23">
        <v>2.9313504447006252E-2</v>
      </c>
      <c r="AB197" s="23">
        <v>0.98886830769118483</v>
      </c>
      <c r="AC197" s="23">
        <v>0.24676177603351304</v>
      </c>
      <c r="AD197" s="23">
        <v>2.4946823585895402E-2</v>
      </c>
    </row>
    <row r="198" spans="3:30" x14ac:dyDescent="0.25">
      <c r="C198" s="23"/>
      <c r="D198" s="23"/>
      <c r="E198" s="23"/>
      <c r="F198" s="23"/>
      <c r="G198" s="23"/>
      <c r="U198" s="23">
        <v>2.9313504447006252E-2</v>
      </c>
      <c r="V198" s="23">
        <v>0.98886830769118483</v>
      </c>
      <c r="W198" s="23">
        <v>0.24676177603351304</v>
      </c>
      <c r="X198" s="23">
        <v>2.4946823585895402E-2</v>
      </c>
      <c r="AA198" s="23">
        <v>2.9313504447006252E-2</v>
      </c>
      <c r="AB198" s="23">
        <v>0.98886830769118483</v>
      </c>
      <c r="AC198" s="23">
        <v>0.24676177603351304</v>
      </c>
      <c r="AD198" s="23">
        <v>2.4946823585895402E-2</v>
      </c>
    </row>
    <row r="199" spans="3:30" x14ac:dyDescent="0.25">
      <c r="C199" s="23"/>
      <c r="D199" s="23"/>
      <c r="E199" s="23"/>
      <c r="F199" s="23"/>
      <c r="G199" s="23"/>
      <c r="U199" s="23">
        <v>2.9313504447006252E-2</v>
      </c>
      <c r="V199" s="23">
        <v>0.98886830769118483</v>
      </c>
      <c r="W199" s="23">
        <v>0.24676177603351304</v>
      </c>
      <c r="X199" s="23">
        <v>2.4946823585895402E-2</v>
      </c>
      <c r="AA199" s="23">
        <v>2.9313504447006252E-2</v>
      </c>
      <c r="AB199" s="23">
        <v>0.98886830769118483</v>
      </c>
      <c r="AC199" s="23">
        <v>0.24676177603351304</v>
      </c>
      <c r="AD199" s="23">
        <v>2.4946823585895402E-2</v>
      </c>
    </row>
    <row r="200" spans="3:30" x14ac:dyDescent="0.25">
      <c r="C200" s="23"/>
      <c r="D200" s="23"/>
      <c r="E200" s="23"/>
      <c r="F200" s="23"/>
      <c r="G200" s="23"/>
      <c r="U200" s="23">
        <v>2.9313504447006252E-2</v>
      </c>
      <c r="V200" s="23">
        <v>0.98886830769118483</v>
      </c>
      <c r="W200" s="23">
        <v>0.24676177603351304</v>
      </c>
      <c r="X200" s="23">
        <v>2.4946823585895402E-2</v>
      </c>
      <c r="AA200" s="23">
        <v>2.9313504447006252E-2</v>
      </c>
      <c r="AB200" s="23">
        <v>0.98886830769118483</v>
      </c>
      <c r="AC200" s="23">
        <v>0.24676177603351304</v>
      </c>
      <c r="AD200" s="23">
        <v>2.4946823585895402E-2</v>
      </c>
    </row>
    <row r="201" spans="3:30" x14ac:dyDescent="0.25">
      <c r="C201" s="23"/>
      <c r="D201" s="23"/>
      <c r="E201" s="23"/>
      <c r="F201" s="23"/>
      <c r="G201" s="23"/>
      <c r="U201" s="23">
        <v>2.9313504447006252E-2</v>
      </c>
      <c r="V201" s="23">
        <v>0.98886830769118483</v>
      </c>
      <c r="W201" s="23">
        <v>0.24676177603351304</v>
      </c>
      <c r="X201" s="23">
        <v>2.4946823585895402E-2</v>
      </c>
      <c r="AA201" s="23">
        <v>2.9313504447006252E-2</v>
      </c>
      <c r="AB201" s="23">
        <v>0.98886830769118483</v>
      </c>
      <c r="AC201" s="23">
        <v>0.24676177603351304</v>
      </c>
      <c r="AD201" s="23">
        <v>2.4946823585895402E-2</v>
      </c>
    </row>
    <row r="202" spans="3:30" x14ac:dyDescent="0.25">
      <c r="C202" s="23"/>
      <c r="D202" s="23"/>
      <c r="E202" s="23"/>
      <c r="F202" s="23"/>
      <c r="G202" s="23"/>
      <c r="U202" s="23">
        <v>2.7072261111004303E-2</v>
      </c>
      <c r="V202" s="23">
        <v>0.99326974021417935</v>
      </c>
      <c r="W202" s="23">
        <v>0.42271430694594797</v>
      </c>
      <c r="X202" s="23">
        <v>5.0595078365627634E-2</v>
      </c>
      <c r="AA202" s="23">
        <v>2.7072261111004303E-2</v>
      </c>
      <c r="AB202" s="23">
        <v>0.99326974021417935</v>
      </c>
      <c r="AC202" s="23">
        <v>0.42271430694594797</v>
      </c>
      <c r="AD202" s="23">
        <v>5.0595078365627634E-2</v>
      </c>
    </row>
    <row r="203" spans="3:30" x14ac:dyDescent="0.25">
      <c r="C203" s="23"/>
      <c r="D203" s="23"/>
      <c r="E203" s="23"/>
      <c r="F203" s="23"/>
      <c r="G203" s="23"/>
      <c r="U203" s="23">
        <v>2.7072261111004303E-2</v>
      </c>
      <c r="V203" s="23">
        <v>0.99326974021417935</v>
      </c>
      <c r="W203" s="23">
        <v>0.42271430694594797</v>
      </c>
      <c r="X203" s="23">
        <v>5.0595078365627634E-2</v>
      </c>
      <c r="AA203" s="23">
        <v>2.7072261111004303E-2</v>
      </c>
      <c r="AB203" s="23">
        <v>0.99326974021417935</v>
      </c>
      <c r="AC203" s="23">
        <v>0.42271430694594797</v>
      </c>
      <c r="AD203" s="23">
        <v>5.0595078365627634E-2</v>
      </c>
    </row>
    <row r="204" spans="3:30" x14ac:dyDescent="0.25">
      <c r="C204" s="23"/>
      <c r="D204" s="23"/>
      <c r="E204" s="23"/>
      <c r="F204" s="23"/>
      <c r="G204" s="23"/>
      <c r="U204" s="23">
        <v>2.7072261111004303E-2</v>
      </c>
      <c r="V204" s="23">
        <v>0.99326974021417935</v>
      </c>
      <c r="W204" s="23">
        <v>0.42271430694594797</v>
      </c>
      <c r="X204" s="23">
        <v>5.0595078365627634E-2</v>
      </c>
      <c r="AA204" s="23">
        <v>2.7072261111004303E-2</v>
      </c>
      <c r="AB204" s="23">
        <v>0.99326974021417935</v>
      </c>
      <c r="AC204" s="23">
        <v>0.42271430694594797</v>
      </c>
      <c r="AD204" s="23">
        <v>5.0595078365627634E-2</v>
      </c>
    </row>
    <row r="205" spans="3:30" x14ac:dyDescent="0.25">
      <c r="C205" s="23"/>
      <c r="D205" s="23"/>
      <c r="E205" s="23"/>
      <c r="F205" s="23"/>
      <c r="G205" s="23"/>
      <c r="U205" s="23">
        <v>2.7072261111004303E-2</v>
      </c>
      <c r="V205" s="23">
        <v>0.99326974021417935</v>
      </c>
      <c r="W205" s="23">
        <v>0.42271430694594797</v>
      </c>
      <c r="X205" s="23">
        <v>5.0595078365627634E-2</v>
      </c>
      <c r="AA205" s="23">
        <v>2.7072261111004303E-2</v>
      </c>
      <c r="AB205" s="23">
        <v>0.99326974021417935</v>
      </c>
      <c r="AC205" s="23">
        <v>0.42271430694594797</v>
      </c>
      <c r="AD205" s="23">
        <v>5.0595078365627634E-2</v>
      </c>
    </row>
    <row r="206" spans="3:30" x14ac:dyDescent="0.25">
      <c r="C206" s="23"/>
      <c r="D206" s="23"/>
      <c r="E206" s="23"/>
      <c r="F206" s="23"/>
      <c r="G206" s="23"/>
      <c r="U206" s="23">
        <v>2.7072261111004303E-2</v>
      </c>
      <c r="V206" s="23">
        <v>0.99326974021417935</v>
      </c>
      <c r="W206" s="23">
        <v>0.42271430694594797</v>
      </c>
      <c r="X206" s="23">
        <v>5.0595078365627634E-2</v>
      </c>
      <c r="AA206" s="23">
        <v>1.1877607920541323E-3</v>
      </c>
      <c r="AB206" s="23">
        <v>1.0039966489678811</v>
      </c>
      <c r="AC206" s="23">
        <v>0.48147111034433049</v>
      </c>
      <c r="AD206" s="23">
        <v>0.10105983856283134</v>
      </c>
    </row>
    <row r="207" spans="3:30" x14ac:dyDescent="0.25">
      <c r="C207" s="23"/>
      <c r="D207" s="23"/>
      <c r="E207" s="23"/>
      <c r="F207" s="23"/>
      <c r="G207" s="23"/>
      <c r="U207" s="23">
        <v>2.7072261111004303E-2</v>
      </c>
      <c r="V207" s="23">
        <v>0.99326974021417935</v>
      </c>
      <c r="W207" s="23">
        <v>0.42271430694594797</v>
      </c>
      <c r="X207" s="23">
        <v>5.0595078365627634E-2</v>
      </c>
      <c r="AA207" s="23">
        <v>1.1877607920541323E-3</v>
      </c>
      <c r="AB207" s="23">
        <v>1.0039966489678811</v>
      </c>
      <c r="AC207" s="23">
        <v>0.48147111034433049</v>
      </c>
      <c r="AD207" s="23">
        <v>0.10105983856283134</v>
      </c>
    </row>
    <row r="208" spans="3:30" x14ac:dyDescent="0.25">
      <c r="C208" s="23"/>
      <c r="D208" s="23"/>
      <c r="E208" s="23"/>
      <c r="F208" s="23"/>
      <c r="G208" s="23"/>
      <c r="U208" s="23">
        <v>2.7072261111004303E-2</v>
      </c>
      <c r="V208" s="23">
        <v>0.99326974021417935</v>
      </c>
      <c r="W208" s="23">
        <v>0.42271430694594797</v>
      </c>
      <c r="X208" s="23">
        <v>5.0595078365627634E-2</v>
      </c>
      <c r="AA208" s="23">
        <v>1.1877607920541323E-3</v>
      </c>
      <c r="AB208" s="23">
        <v>1.0039966489678811</v>
      </c>
      <c r="AC208" s="23">
        <v>0.48147111034433049</v>
      </c>
      <c r="AD208" s="23">
        <v>0.10105983856283134</v>
      </c>
    </row>
    <row r="209" spans="3:30" x14ac:dyDescent="0.25">
      <c r="C209" s="23"/>
      <c r="D209" s="23"/>
      <c r="E209" s="23"/>
      <c r="F209" s="23"/>
      <c r="G209" s="23"/>
      <c r="U209" s="23">
        <v>2.9313504447006252E-2</v>
      </c>
      <c r="V209" s="23">
        <v>0.98886830769118483</v>
      </c>
      <c r="W209" s="23">
        <v>0.24676177603351304</v>
      </c>
      <c r="X209" s="23">
        <v>2.4946823585895402E-2</v>
      </c>
      <c r="AA209" s="23">
        <v>1.5942437461412402E-2</v>
      </c>
      <c r="AB209" s="23">
        <v>0.99091357130520463</v>
      </c>
      <c r="AC209" s="23">
        <v>0.16772169711848881</v>
      </c>
      <c r="AD209" s="23">
        <v>3.1354216893132524E-2</v>
      </c>
    </row>
    <row r="210" spans="3:30" x14ac:dyDescent="0.25">
      <c r="C210" s="23"/>
      <c r="D210" s="23"/>
      <c r="E210" s="23"/>
      <c r="F210" s="23"/>
      <c r="G210" s="23"/>
      <c r="U210" s="23">
        <v>2.9313504447006252E-2</v>
      </c>
      <c r="V210" s="23">
        <v>0.98886830769118483</v>
      </c>
      <c r="W210" s="23">
        <v>0.24676177603351304</v>
      </c>
      <c r="X210" s="23">
        <v>2.4946823585895402E-2</v>
      </c>
      <c r="AA210" s="23">
        <v>1.5942437461412402E-2</v>
      </c>
      <c r="AB210" s="23">
        <v>0.99091357130520463</v>
      </c>
      <c r="AC210" s="23">
        <v>0.16772169711848881</v>
      </c>
      <c r="AD210" s="23">
        <v>3.1354216893132524E-2</v>
      </c>
    </row>
    <row r="211" spans="3:30" x14ac:dyDescent="0.25">
      <c r="C211" s="23"/>
      <c r="D211" s="23"/>
      <c r="E211" s="23"/>
      <c r="F211" s="23"/>
      <c r="G211" s="23"/>
      <c r="U211" s="23">
        <v>2.9313504447006252E-2</v>
      </c>
      <c r="V211" s="23">
        <v>0.98886830769118483</v>
      </c>
      <c r="W211" s="23">
        <v>0.24676177603351304</v>
      </c>
      <c r="X211" s="23">
        <v>2.4946823585895402E-2</v>
      </c>
      <c r="AA211" s="23">
        <v>1.5942437461412402E-2</v>
      </c>
      <c r="AB211" s="23">
        <v>0.99091357130520463</v>
      </c>
      <c r="AC211" s="23">
        <v>0.16772169711848881</v>
      </c>
      <c r="AD211" s="23">
        <v>3.1354216893132524E-2</v>
      </c>
    </row>
    <row r="212" spans="3:30" x14ac:dyDescent="0.25">
      <c r="C212" s="23"/>
      <c r="D212" s="23"/>
      <c r="E212" s="23"/>
      <c r="F212" s="23"/>
      <c r="G212" s="23"/>
      <c r="U212" s="23">
        <v>2.9313504447006252E-2</v>
      </c>
      <c r="V212" s="23">
        <v>0.98886830769118483</v>
      </c>
      <c r="W212" s="23">
        <v>0.24676177603351304</v>
      </c>
      <c r="X212" s="23">
        <v>2.4946823585895402E-2</v>
      </c>
      <c r="AA212" s="23">
        <v>1.5942437461412402E-2</v>
      </c>
      <c r="AB212" s="23">
        <v>0.99091357130520463</v>
      </c>
      <c r="AC212" s="23">
        <v>0.16772169711848881</v>
      </c>
      <c r="AD212" s="23">
        <v>3.1354216893132524E-2</v>
      </c>
    </row>
    <row r="213" spans="3:30" x14ac:dyDescent="0.25">
      <c r="C213" s="23"/>
      <c r="D213" s="23"/>
      <c r="E213" s="23"/>
      <c r="F213" s="23"/>
      <c r="G213" s="23"/>
      <c r="U213" s="23">
        <v>2.9313504447006252E-2</v>
      </c>
      <c r="V213" s="23">
        <v>0.98886830769118483</v>
      </c>
      <c r="W213" s="23">
        <v>0.24676177603351304</v>
      </c>
      <c r="X213" s="23">
        <v>2.4946823585895402E-2</v>
      </c>
      <c r="AA213" s="23">
        <v>1.5942437461412402E-2</v>
      </c>
      <c r="AB213" s="23">
        <v>0.99091357130520463</v>
      </c>
      <c r="AC213" s="23">
        <v>0.16772169711848881</v>
      </c>
      <c r="AD213" s="23">
        <v>3.1354216893132524E-2</v>
      </c>
    </row>
    <row r="214" spans="3:30" x14ac:dyDescent="0.25">
      <c r="C214" s="23"/>
      <c r="D214" s="23"/>
      <c r="E214" s="23"/>
      <c r="F214" s="23"/>
      <c r="G214" s="23"/>
      <c r="U214" s="23">
        <v>2.7072261111004303E-2</v>
      </c>
      <c r="V214" s="23">
        <v>0.99326974021417935</v>
      </c>
      <c r="W214" s="23">
        <v>0.42271430694594797</v>
      </c>
      <c r="X214" s="23">
        <v>5.0595078365627634E-2</v>
      </c>
      <c r="AA214" s="23">
        <v>1.1877607920541323E-3</v>
      </c>
      <c r="AB214" s="23">
        <v>1.0039966489678811</v>
      </c>
      <c r="AC214" s="23">
        <v>0.48147111034433049</v>
      </c>
      <c r="AD214" s="23">
        <v>0.10105983856283134</v>
      </c>
    </row>
    <row r="215" spans="3:30" x14ac:dyDescent="0.25">
      <c r="C215" s="23"/>
      <c r="D215" s="23"/>
      <c r="E215" s="23"/>
      <c r="F215" s="23"/>
      <c r="G215" s="23"/>
      <c r="U215" s="23">
        <v>2.7072261111004303E-2</v>
      </c>
      <c r="V215" s="23">
        <v>0.99326974021417935</v>
      </c>
      <c r="W215" s="23">
        <v>0.42271430694594797</v>
      </c>
      <c r="X215" s="23">
        <v>5.0595078365627634E-2</v>
      </c>
      <c r="AA215" s="23">
        <v>1.1877607920541323E-3</v>
      </c>
      <c r="AB215" s="23">
        <v>1.0039966489678811</v>
      </c>
      <c r="AC215" s="23">
        <v>0.48147111034433049</v>
      </c>
      <c r="AD215" s="23">
        <v>0.10105983856283134</v>
      </c>
    </row>
    <row r="216" spans="3:30" x14ac:dyDescent="0.25">
      <c r="C216" s="23"/>
      <c r="D216" s="23"/>
      <c r="E216" s="23"/>
      <c r="F216" s="23"/>
      <c r="G216" s="23"/>
      <c r="U216" s="23">
        <v>2.7072261111004303E-2</v>
      </c>
      <c r="V216" s="23">
        <v>0.99326974021417935</v>
      </c>
      <c r="W216" s="23">
        <v>0.42271430694594797</v>
      </c>
      <c r="X216" s="23">
        <v>5.0595078365627634E-2</v>
      </c>
      <c r="AA216" s="23">
        <v>1.1877607920541323E-3</v>
      </c>
      <c r="AB216" s="23">
        <v>1.0039966489678811</v>
      </c>
      <c r="AC216" s="23">
        <v>0.48147111034433049</v>
      </c>
      <c r="AD216" s="23">
        <v>0.10105983856283134</v>
      </c>
    </row>
    <row r="217" spans="3:30" x14ac:dyDescent="0.25">
      <c r="C217" s="23"/>
      <c r="D217" s="23"/>
      <c r="E217" s="23"/>
      <c r="F217" s="23"/>
      <c r="G217" s="23"/>
      <c r="U217" s="23">
        <v>2.7072261111004303E-2</v>
      </c>
      <c r="V217" s="23">
        <v>0.99326974021417935</v>
      </c>
      <c r="W217" s="23">
        <v>0.42271430694594797</v>
      </c>
      <c r="X217" s="23">
        <v>5.0595078365627634E-2</v>
      </c>
      <c r="AA217" s="23">
        <v>1.1877607920541323E-3</v>
      </c>
      <c r="AB217" s="23">
        <v>1.0039966489678811</v>
      </c>
      <c r="AC217" s="23">
        <v>0.48147111034433049</v>
      </c>
      <c r="AD217" s="23">
        <v>0.10105983856283134</v>
      </c>
    </row>
    <row r="218" spans="3:30" x14ac:dyDescent="0.25">
      <c r="C218" s="23"/>
      <c r="D218" s="23"/>
      <c r="E218" s="23"/>
      <c r="F218" s="23"/>
      <c r="G218" s="23"/>
      <c r="U218" s="23">
        <v>2.7072261111004303E-2</v>
      </c>
      <c r="V218" s="23">
        <v>0.99326974021417935</v>
      </c>
      <c r="W218" s="23">
        <v>0.42271430694594797</v>
      </c>
      <c r="X218" s="23">
        <v>5.0595078365627634E-2</v>
      </c>
      <c r="AA218" s="23">
        <v>1.1877607920541323E-3</v>
      </c>
      <c r="AB218" s="23">
        <v>1.0039966489678811</v>
      </c>
      <c r="AC218" s="23">
        <v>0.48147111034433049</v>
      </c>
      <c r="AD218" s="23">
        <v>0.10105983856283134</v>
      </c>
    </row>
    <row r="219" spans="3:30" x14ac:dyDescent="0.25">
      <c r="C219" s="23"/>
      <c r="D219" s="23"/>
      <c r="E219" s="23"/>
      <c r="F219" s="23"/>
      <c r="G219" s="23"/>
      <c r="U219" s="23">
        <v>2.7072261111004303E-2</v>
      </c>
      <c r="V219" s="23">
        <v>0.99326974021417935</v>
      </c>
      <c r="W219" s="23">
        <v>0.42271430694594797</v>
      </c>
      <c r="X219" s="23">
        <v>5.0595078365627634E-2</v>
      </c>
      <c r="AA219" s="23">
        <v>1.1877607920541323E-3</v>
      </c>
      <c r="AB219" s="23">
        <v>1.0039966489678811</v>
      </c>
      <c r="AC219" s="23">
        <v>0.48147111034433049</v>
      </c>
      <c r="AD219" s="23">
        <v>0.10105983856283134</v>
      </c>
    </row>
    <row r="220" spans="3:30" x14ac:dyDescent="0.25">
      <c r="C220" s="23"/>
      <c r="D220" s="23"/>
      <c r="E220" s="23"/>
      <c r="F220" s="23"/>
      <c r="G220" s="23"/>
      <c r="U220" s="23">
        <v>2.7072261111004303E-2</v>
      </c>
      <c r="V220" s="23">
        <v>0.99326974021417935</v>
      </c>
      <c r="W220" s="23">
        <v>0.42271430694594797</v>
      </c>
      <c r="X220" s="23">
        <v>5.0595078365627634E-2</v>
      </c>
      <c r="AA220" s="23">
        <v>1.1877607920541323E-3</v>
      </c>
      <c r="AB220" s="23">
        <v>1.0039966489678811</v>
      </c>
      <c r="AC220" s="23">
        <v>0.48147111034433049</v>
      </c>
      <c r="AD220" s="23">
        <v>0.10105983856283134</v>
      </c>
    </row>
    <row r="221" spans="3:30" x14ac:dyDescent="0.25">
      <c r="C221" s="23"/>
      <c r="D221" s="23"/>
      <c r="E221" s="23"/>
      <c r="F221" s="23"/>
      <c r="G221" s="23"/>
      <c r="U221" s="23">
        <v>2.9313504447006252E-2</v>
      </c>
      <c r="V221" s="23">
        <v>0.98886830769118483</v>
      </c>
      <c r="W221" s="23">
        <v>0.24676177603351304</v>
      </c>
      <c r="X221" s="23">
        <v>2.4946823585895402E-2</v>
      </c>
      <c r="AA221" s="23">
        <v>1.5942437461412402E-2</v>
      </c>
      <c r="AB221" s="23">
        <v>0.99091357130520463</v>
      </c>
      <c r="AC221" s="23">
        <v>0.16772169711848881</v>
      </c>
      <c r="AD221" s="23">
        <v>3.1354216893132524E-2</v>
      </c>
    </row>
    <row r="222" spans="3:30" x14ac:dyDescent="0.25">
      <c r="C222" s="23"/>
      <c r="D222" s="23"/>
      <c r="E222" s="23"/>
      <c r="F222" s="23"/>
      <c r="G222" s="23"/>
      <c r="U222" s="23">
        <v>2.9313504447006252E-2</v>
      </c>
      <c r="V222" s="23">
        <v>0.98886830769118483</v>
      </c>
      <c r="W222" s="23">
        <v>0.24676177603351304</v>
      </c>
      <c r="X222" s="23">
        <v>2.4946823585895402E-2</v>
      </c>
      <c r="AA222" s="23">
        <v>1.5942437461412402E-2</v>
      </c>
      <c r="AB222" s="23">
        <v>0.99091357130520463</v>
      </c>
      <c r="AC222" s="23">
        <v>0.16772169711848881</v>
      </c>
      <c r="AD222" s="23">
        <v>3.1354216893132524E-2</v>
      </c>
    </row>
    <row r="223" spans="3:30" x14ac:dyDescent="0.25">
      <c r="C223" s="23"/>
      <c r="D223" s="23"/>
      <c r="E223" s="23"/>
      <c r="F223" s="23"/>
      <c r="G223" s="23"/>
      <c r="U223" s="23">
        <v>2.9313504447006252E-2</v>
      </c>
      <c r="V223" s="23">
        <v>0.98886830769118483</v>
      </c>
      <c r="W223" s="23">
        <v>0.24676177603351304</v>
      </c>
      <c r="X223" s="23">
        <v>2.4946823585895402E-2</v>
      </c>
      <c r="AA223" s="23">
        <v>1.5942437461412402E-2</v>
      </c>
      <c r="AB223" s="23">
        <v>0.99091357130520463</v>
      </c>
      <c r="AC223" s="23">
        <v>0.16772169711848881</v>
      </c>
      <c r="AD223" s="23">
        <v>3.1354216893132524E-2</v>
      </c>
    </row>
    <row r="224" spans="3:30" x14ac:dyDescent="0.25">
      <c r="C224" s="23"/>
      <c r="D224" s="23"/>
      <c r="E224" s="23"/>
      <c r="F224" s="23"/>
      <c r="G224" s="23"/>
      <c r="U224" s="23">
        <v>2.9313504447006252E-2</v>
      </c>
      <c r="V224" s="23">
        <v>0.98886830769118483</v>
      </c>
      <c r="W224" s="23">
        <v>0.24676177603351304</v>
      </c>
      <c r="X224" s="23">
        <v>2.4946823585895402E-2</v>
      </c>
      <c r="AA224" s="23">
        <v>1.5942437461412402E-2</v>
      </c>
      <c r="AB224" s="23">
        <v>0.99091357130520463</v>
      </c>
      <c r="AC224" s="23">
        <v>0.16772169711848881</v>
      </c>
      <c r="AD224" s="23">
        <v>3.1354216893132524E-2</v>
      </c>
    </row>
    <row r="225" spans="3:30" x14ac:dyDescent="0.25">
      <c r="C225" s="23"/>
      <c r="D225" s="23"/>
      <c r="E225" s="23"/>
      <c r="F225" s="23"/>
      <c r="G225" s="23"/>
      <c r="U225" s="23">
        <v>2.9313504447006252E-2</v>
      </c>
      <c r="V225" s="23">
        <v>0.98886830769118483</v>
      </c>
      <c r="W225" s="23">
        <v>0.24676177603351304</v>
      </c>
      <c r="X225" s="23">
        <v>2.4946823585895402E-2</v>
      </c>
      <c r="AA225" s="23">
        <v>1.5942437461412402E-2</v>
      </c>
      <c r="AB225" s="23">
        <v>0.99091357130520463</v>
      </c>
      <c r="AC225" s="23">
        <v>0.16772169711848881</v>
      </c>
      <c r="AD225" s="23">
        <v>3.1354216893132524E-2</v>
      </c>
    </row>
    <row r="226" spans="3:30" x14ac:dyDescent="0.25">
      <c r="C226" s="23"/>
      <c r="D226" s="23"/>
      <c r="E226" s="23"/>
      <c r="F226" s="23"/>
      <c r="G226" s="23"/>
      <c r="U226" s="23">
        <v>2.7072261111004303E-2</v>
      </c>
      <c r="V226" s="23">
        <v>0.99326974021417935</v>
      </c>
      <c r="W226" s="23">
        <v>0.42271430694594797</v>
      </c>
      <c r="X226" s="23">
        <v>5.0595078365627634E-2</v>
      </c>
      <c r="AA226" s="23">
        <v>1.1877607920541323E-3</v>
      </c>
      <c r="AB226" s="23">
        <v>1.0039966489678811</v>
      </c>
      <c r="AC226" s="23">
        <v>0.48147111034433049</v>
      </c>
      <c r="AD226" s="23">
        <v>0.10105983856283134</v>
      </c>
    </row>
    <row r="227" spans="3:30" x14ac:dyDescent="0.25">
      <c r="C227" s="23"/>
      <c r="D227" s="23"/>
      <c r="E227" s="23"/>
      <c r="F227" s="23"/>
      <c r="G227" s="23"/>
      <c r="U227" s="23">
        <v>2.7072261111004303E-2</v>
      </c>
      <c r="V227" s="23">
        <v>0.99326974021417935</v>
      </c>
      <c r="W227" s="23">
        <v>0.42271430694594797</v>
      </c>
      <c r="X227" s="23">
        <v>5.0595078365627634E-2</v>
      </c>
      <c r="AA227" s="23">
        <v>1.1877607920541323E-3</v>
      </c>
      <c r="AB227" s="23">
        <v>1.0039966489678811</v>
      </c>
      <c r="AC227" s="23">
        <v>0.48147111034433049</v>
      </c>
      <c r="AD227" s="23">
        <v>0.10105983856283134</v>
      </c>
    </row>
    <row r="228" spans="3:30" x14ac:dyDescent="0.25">
      <c r="C228" s="23"/>
      <c r="D228" s="23"/>
      <c r="E228" s="23"/>
      <c r="F228" s="23"/>
      <c r="G228" s="23"/>
      <c r="U228" s="23">
        <v>2.7072261111004303E-2</v>
      </c>
      <c r="V228" s="23">
        <v>0.99326974021417935</v>
      </c>
      <c r="W228" s="23">
        <v>0.42271430694594797</v>
      </c>
      <c r="X228" s="23">
        <v>5.0595078365627634E-2</v>
      </c>
      <c r="AA228" s="23">
        <v>1.1877607920541323E-3</v>
      </c>
      <c r="AB228" s="23">
        <v>1.0039966489678811</v>
      </c>
      <c r="AC228" s="23">
        <v>0.48147111034433049</v>
      </c>
      <c r="AD228" s="23">
        <v>0.10105983856283134</v>
      </c>
    </row>
    <row r="229" spans="3:30" x14ac:dyDescent="0.25">
      <c r="C229" s="23"/>
      <c r="D229" s="23"/>
      <c r="E229" s="23"/>
      <c r="F229" s="23"/>
      <c r="G229" s="23"/>
      <c r="U229" s="23">
        <v>2.7072261111004303E-2</v>
      </c>
      <c r="V229" s="23">
        <v>0.99326974021417935</v>
      </c>
      <c r="W229" s="23">
        <v>0.42271430694594797</v>
      </c>
      <c r="X229" s="23">
        <v>5.0595078365627634E-2</v>
      </c>
      <c r="AA229" s="23">
        <v>1.1877607920541323E-3</v>
      </c>
      <c r="AB229" s="23">
        <v>1.0039966489678811</v>
      </c>
      <c r="AC229" s="23">
        <v>0.48147111034433049</v>
      </c>
      <c r="AD229" s="23">
        <v>0.10105983856283134</v>
      </c>
    </row>
    <row r="230" spans="3:30" x14ac:dyDescent="0.25">
      <c r="C230" s="23"/>
    </row>
    <row r="231" spans="3:30" x14ac:dyDescent="0.25">
      <c r="C231" s="23"/>
    </row>
    <row r="232" spans="3:30" x14ac:dyDescent="0.25">
      <c r="C232" s="23"/>
    </row>
    <row r="233" spans="3:30" x14ac:dyDescent="0.25">
      <c r="C233" s="23"/>
    </row>
    <row r="234" spans="3:30" x14ac:dyDescent="0.25">
      <c r="C234" s="23"/>
    </row>
    <row r="235" spans="3:30" x14ac:dyDescent="0.25">
      <c r="C235" s="23"/>
    </row>
    <row r="236" spans="3:30" x14ac:dyDescent="0.25">
      <c r="C236" s="23"/>
    </row>
    <row r="237" spans="3:30" x14ac:dyDescent="0.25">
      <c r="C237" s="23"/>
    </row>
    <row r="238" spans="3:30" x14ac:dyDescent="0.25">
      <c r="C238" s="23"/>
    </row>
    <row r="239" spans="3:30" x14ac:dyDescent="0.25">
      <c r="C239" s="23"/>
    </row>
    <row r="240" spans="3:30" x14ac:dyDescent="0.25">
      <c r="C240" s="23"/>
    </row>
    <row r="241" spans="3:3" x14ac:dyDescent="0.25">
      <c r="C241" s="23"/>
    </row>
    <row r="242" spans="3:3" x14ac:dyDescent="0.25">
      <c r="C242" s="23"/>
    </row>
    <row r="243" spans="3:3" x14ac:dyDescent="0.25">
      <c r="C243" s="23"/>
    </row>
    <row r="244" spans="3:3" x14ac:dyDescent="0.25">
      <c r="C244" s="23"/>
    </row>
    <row r="245" spans="3:3" x14ac:dyDescent="0.25">
      <c r="C245" s="23"/>
    </row>
    <row r="246" spans="3:3" x14ac:dyDescent="0.25">
      <c r="C246" s="23"/>
    </row>
    <row r="247" spans="3:3" x14ac:dyDescent="0.25">
      <c r="C247" s="23"/>
    </row>
    <row r="248" spans="3:3" x14ac:dyDescent="0.25">
      <c r="C248" s="23"/>
    </row>
    <row r="249" spans="3:3" x14ac:dyDescent="0.25">
      <c r="C249" s="23"/>
    </row>
    <row r="250" spans="3:3" x14ac:dyDescent="0.25">
      <c r="C250" s="23"/>
    </row>
    <row r="251" spans="3:3" x14ac:dyDescent="0.25">
      <c r="C251" s="23"/>
    </row>
    <row r="252" spans="3:3" x14ac:dyDescent="0.25">
      <c r="C252" s="23"/>
    </row>
    <row r="253" spans="3:3" x14ac:dyDescent="0.25">
      <c r="C253" s="23"/>
    </row>
    <row r="254" spans="3:3" x14ac:dyDescent="0.25">
      <c r="C254" s="23"/>
    </row>
    <row r="255" spans="3:3" x14ac:dyDescent="0.25">
      <c r="C255" s="23"/>
    </row>
    <row r="256" spans="3:3" x14ac:dyDescent="0.25">
      <c r="C256" s="23"/>
    </row>
    <row r="257" spans="3:3" x14ac:dyDescent="0.25">
      <c r="C257" s="23"/>
    </row>
    <row r="258" spans="3:3" x14ac:dyDescent="0.25">
      <c r="C258" s="23"/>
    </row>
    <row r="259" spans="3:3" x14ac:dyDescent="0.25">
      <c r="C259" s="23"/>
    </row>
    <row r="260" spans="3:3" x14ac:dyDescent="0.25">
      <c r="C260" s="23"/>
    </row>
    <row r="261" spans="3:3" x14ac:dyDescent="0.25">
      <c r="C261" s="23"/>
    </row>
    <row r="262" spans="3:3" x14ac:dyDescent="0.25">
      <c r="C262" s="23"/>
    </row>
    <row r="263" spans="3:3" x14ac:dyDescent="0.25">
      <c r="C263" s="23"/>
    </row>
    <row r="264" spans="3:3" x14ac:dyDescent="0.25">
      <c r="C264" s="23"/>
    </row>
    <row r="265" spans="3:3" x14ac:dyDescent="0.25">
      <c r="C265" s="23"/>
    </row>
    <row r="266" spans="3:3" x14ac:dyDescent="0.25">
      <c r="C266" s="23"/>
    </row>
    <row r="267" spans="3:3" x14ac:dyDescent="0.25">
      <c r="C267" s="23"/>
    </row>
    <row r="268" spans="3:3" x14ac:dyDescent="0.25">
      <c r="C268" s="23"/>
    </row>
    <row r="269" spans="3:3" x14ac:dyDescent="0.25">
      <c r="C269" s="23"/>
    </row>
    <row r="270" spans="3:3" x14ac:dyDescent="0.25">
      <c r="C270" s="23"/>
    </row>
    <row r="271" spans="3:3" x14ac:dyDescent="0.25">
      <c r="C271" s="23"/>
    </row>
    <row r="272" spans="3:3" x14ac:dyDescent="0.25">
      <c r="C272" s="23"/>
    </row>
    <row r="273" spans="3:3" x14ac:dyDescent="0.25">
      <c r="C273" s="23"/>
    </row>
    <row r="274" spans="3:3" x14ac:dyDescent="0.25">
      <c r="C274" s="23"/>
    </row>
    <row r="275" spans="3:3" x14ac:dyDescent="0.25">
      <c r="C275" s="23"/>
    </row>
    <row r="276" spans="3:3" x14ac:dyDescent="0.25">
      <c r="C276" s="23"/>
    </row>
    <row r="277" spans="3:3" x14ac:dyDescent="0.25">
      <c r="C277" s="23"/>
    </row>
    <row r="278" spans="3:3" x14ac:dyDescent="0.25">
      <c r="C278" s="23"/>
    </row>
    <row r="279" spans="3:3" x14ac:dyDescent="0.25">
      <c r="C279" s="23"/>
    </row>
    <row r="280" spans="3:3" x14ac:dyDescent="0.25">
      <c r="C280" s="23"/>
    </row>
    <row r="281" spans="3:3" x14ac:dyDescent="0.25">
      <c r="C281" s="23"/>
    </row>
    <row r="282" spans="3:3" x14ac:dyDescent="0.25">
      <c r="C282" s="23"/>
    </row>
    <row r="283" spans="3:3" x14ac:dyDescent="0.25">
      <c r="C283" s="23"/>
    </row>
    <row r="284" spans="3:3" x14ac:dyDescent="0.25">
      <c r="C284" s="23"/>
    </row>
    <row r="285" spans="3:3" x14ac:dyDescent="0.25">
      <c r="C285" s="23"/>
    </row>
    <row r="286" spans="3:3" x14ac:dyDescent="0.25">
      <c r="C286" s="23"/>
    </row>
    <row r="287" spans="3:3" x14ac:dyDescent="0.25">
      <c r="C287" s="23"/>
    </row>
    <row r="288" spans="3:3" x14ac:dyDescent="0.25">
      <c r="C288" s="23"/>
    </row>
    <row r="289" spans="3:3" x14ac:dyDescent="0.25">
      <c r="C289" s="23"/>
    </row>
    <row r="290" spans="3:3" x14ac:dyDescent="0.25">
      <c r="C290" s="23"/>
    </row>
    <row r="291" spans="3:3" x14ac:dyDescent="0.25">
      <c r="C291" s="23"/>
    </row>
    <row r="292" spans="3:3" x14ac:dyDescent="0.25">
      <c r="C292" s="23"/>
    </row>
    <row r="293" spans="3:3" x14ac:dyDescent="0.25">
      <c r="C293" s="23"/>
    </row>
    <row r="294" spans="3:3" x14ac:dyDescent="0.25">
      <c r="C294" s="23"/>
    </row>
    <row r="295" spans="3:3" x14ac:dyDescent="0.25">
      <c r="C295" s="23"/>
    </row>
    <row r="296" spans="3:3" x14ac:dyDescent="0.25">
      <c r="C296" s="23"/>
    </row>
    <row r="297" spans="3:3" x14ac:dyDescent="0.25">
      <c r="C297" s="23"/>
    </row>
    <row r="298" spans="3:3" x14ac:dyDescent="0.25">
      <c r="C298" s="23"/>
    </row>
    <row r="299" spans="3:3" x14ac:dyDescent="0.25">
      <c r="C299" s="23"/>
    </row>
    <row r="300" spans="3:3" x14ac:dyDescent="0.25">
      <c r="C300" s="23"/>
    </row>
    <row r="301" spans="3:3" x14ac:dyDescent="0.25">
      <c r="C301" s="23"/>
    </row>
    <row r="302" spans="3:3" x14ac:dyDescent="0.25">
      <c r="C302" s="23"/>
    </row>
    <row r="303" spans="3:3" x14ac:dyDescent="0.25">
      <c r="C303" s="23"/>
    </row>
    <row r="304" spans="3:3" x14ac:dyDescent="0.25">
      <c r="C304" s="23"/>
    </row>
    <row r="305" spans="3:3" x14ac:dyDescent="0.25">
      <c r="C305" s="23"/>
    </row>
    <row r="306" spans="3:3" x14ac:dyDescent="0.25">
      <c r="C306" s="23"/>
    </row>
    <row r="307" spans="3:3" x14ac:dyDescent="0.25">
      <c r="C307" s="23"/>
    </row>
    <row r="308" spans="3:3" x14ac:dyDescent="0.25">
      <c r="C308" s="23"/>
    </row>
    <row r="309" spans="3:3" x14ac:dyDescent="0.25">
      <c r="C309" s="23"/>
    </row>
    <row r="310" spans="3:3" x14ac:dyDescent="0.25">
      <c r="C310" s="23"/>
    </row>
    <row r="311" spans="3:3" x14ac:dyDescent="0.25">
      <c r="C311" s="23"/>
    </row>
    <row r="312" spans="3:3" x14ac:dyDescent="0.25">
      <c r="C312" s="23"/>
    </row>
    <row r="313" spans="3:3" x14ac:dyDescent="0.25">
      <c r="C313" s="23"/>
    </row>
    <row r="314" spans="3:3" x14ac:dyDescent="0.25">
      <c r="C314" s="23"/>
    </row>
    <row r="315" spans="3:3" x14ac:dyDescent="0.25">
      <c r="C315" s="23"/>
    </row>
    <row r="316" spans="3:3" x14ac:dyDescent="0.25">
      <c r="C316" s="23"/>
    </row>
    <row r="317" spans="3:3" x14ac:dyDescent="0.25">
      <c r="C317" s="23"/>
    </row>
    <row r="318" spans="3:3" x14ac:dyDescent="0.25">
      <c r="C318" s="23"/>
    </row>
    <row r="319" spans="3:3" x14ac:dyDescent="0.25">
      <c r="C319" s="23"/>
    </row>
    <row r="320" spans="3:3" x14ac:dyDescent="0.25">
      <c r="C320" s="23"/>
    </row>
    <row r="321" spans="3:3" x14ac:dyDescent="0.25">
      <c r="C321" s="23"/>
    </row>
    <row r="322" spans="3:3" x14ac:dyDescent="0.25">
      <c r="C322" s="23"/>
    </row>
    <row r="323" spans="3:3" x14ac:dyDescent="0.25">
      <c r="C323" s="23"/>
    </row>
    <row r="324" spans="3:3" x14ac:dyDescent="0.25">
      <c r="C324" s="23"/>
    </row>
    <row r="325" spans="3:3" x14ac:dyDescent="0.25">
      <c r="C325" s="23"/>
    </row>
    <row r="326" spans="3:3" x14ac:dyDescent="0.25">
      <c r="C326" s="23"/>
    </row>
    <row r="327" spans="3:3" x14ac:dyDescent="0.25">
      <c r="C327" s="23"/>
    </row>
    <row r="328" spans="3:3" x14ac:dyDescent="0.25">
      <c r="C328" s="23"/>
    </row>
    <row r="329" spans="3:3" x14ac:dyDescent="0.25">
      <c r="C329" s="23"/>
    </row>
    <row r="330" spans="3:3" x14ac:dyDescent="0.25">
      <c r="C330" s="23"/>
    </row>
    <row r="331" spans="3:3" x14ac:dyDescent="0.25">
      <c r="C331" s="23"/>
    </row>
    <row r="332" spans="3:3" x14ac:dyDescent="0.25">
      <c r="C332" s="23"/>
    </row>
    <row r="333" spans="3:3" x14ac:dyDescent="0.25">
      <c r="C333" s="23"/>
    </row>
    <row r="334" spans="3:3" x14ac:dyDescent="0.25">
      <c r="C334" s="23"/>
    </row>
    <row r="335" spans="3:3" x14ac:dyDescent="0.25">
      <c r="C335" s="23"/>
    </row>
    <row r="336" spans="3:3" x14ac:dyDescent="0.25">
      <c r="C336" s="23"/>
    </row>
    <row r="337" spans="3:3" x14ac:dyDescent="0.25">
      <c r="C337" s="2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4"/>
  <sheetViews>
    <sheetView workbookViewId="0">
      <selection activeCell="K26" sqref="K26"/>
    </sheetView>
  </sheetViews>
  <sheetFormatPr defaultColWidth="9.125" defaultRowHeight="15" x14ac:dyDescent="0.25"/>
  <cols>
    <col min="1" max="16384" width="9.125" style="4"/>
  </cols>
  <sheetData>
    <row r="1" spans="1:1" x14ac:dyDescent="0.25">
      <c r="A1" s="5" t="s">
        <v>66</v>
      </c>
    </row>
    <row r="2" spans="1:1" x14ac:dyDescent="0.25">
      <c r="A2" s="5" t="s">
        <v>67</v>
      </c>
    </row>
    <row r="3" spans="1:1" x14ac:dyDescent="0.25">
      <c r="A3" s="5" t="s">
        <v>68</v>
      </c>
    </row>
    <row r="4" spans="1:1" x14ac:dyDescent="0.25">
      <c r="A4" s="5" t="s">
        <v>69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S229"/>
  <sheetViews>
    <sheetView workbookViewId="0">
      <selection activeCell="E20" sqref="E20"/>
    </sheetView>
  </sheetViews>
  <sheetFormatPr defaultColWidth="9.125" defaultRowHeight="15" x14ac:dyDescent="0.25"/>
  <cols>
    <col min="1" max="3" width="9.125" style="23"/>
    <col min="4" max="7" width="9.125" style="71"/>
    <col min="8" max="16384" width="9.125" style="4"/>
  </cols>
  <sheetData>
    <row r="1" spans="1:19" x14ac:dyDescent="0.25">
      <c r="D1" s="71" t="s">
        <v>66</v>
      </c>
      <c r="E1" s="71" t="s">
        <v>67</v>
      </c>
      <c r="F1" s="71" t="s">
        <v>68</v>
      </c>
      <c r="G1" s="71" t="s">
        <v>69</v>
      </c>
    </row>
    <row r="2" spans="1:19" x14ac:dyDescent="0.25">
      <c r="A2" s="23" t="s">
        <v>32</v>
      </c>
      <c r="B2" s="23" t="s">
        <v>33</v>
      </c>
      <c r="C2" s="23" t="s">
        <v>19</v>
      </c>
      <c r="D2" s="179">
        <v>1E-3</v>
      </c>
      <c r="E2" s="179">
        <v>1E-3</v>
      </c>
      <c r="F2" s="179">
        <v>1E-3</v>
      </c>
      <c r="G2" s="179">
        <v>1E-3</v>
      </c>
      <c r="P2" s="23"/>
      <c r="Q2" s="23"/>
      <c r="R2" s="23"/>
      <c r="S2" s="23"/>
    </row>
    <row r="3" spans="1:19" x14ac:dyDescent="0.25">
      <c r="A3" s="23" t="s">
        <v>32</v>
      </c>
      <c r="B3" s="23" t="s">
        <v>33</v>
      </c>
      <c r="C3" s="23" t="s">
        <v>20</v>
      </c>
      <c r="D3" s="179">
        <v>1E-3</v>
      </c>
      <c r="E3" s="179">
        <v>1E-3</v>
      </c>
      <c r="F3" s="179">
        <v>1E-3</v>
      </c>
      <c r="G3" s="179">
        <v>1E-3</v>
      </c>
      <c r="P3" s="23"/>
      <c r="Q3" s="23"/>
      <c r="R3" s="23"/>
      <c r="S3" s="23"/>
    </row>
    <row r="4" spans="1:19" x14ac:dyDescent="0.25">
      <c r="A4" s="23" t="s">
        <v>32</v>
      </c>
      <c r="B4" s="23" t="s">
        <v>33</v>
      </c>
      <c r="C4" s="23" t="s">
        <v>21</v>
      </c>
      <c r="D4" s="179">
        <v>1E-3</v>
      </c>
      <c r="E4" s="179">
        <v>1E-3</v>
      </c>
      <c r="F4" s="179">
        <v>1E-3</v>
      </c>
      <c r="G4" s="179">
        <v>1E-3</v>
      </c>
      <c r="P4" s="23"/>
      <c r="Q4" s="23"/>
      <c r="R4" s="23"/>
      <c r="S4" s="23"/>
    </row>
    <row r="5" spans="1:19" x14ac:dyDescent="0.25">
      <c r="A5" s="23" t="s">
        <v>32</v>
      </c>
      <c r="B5" s="23" t="s">
        <v>33</v>
      </c>
      <c r="C5" s="23" t="s">
        <v>22</v>
      </c>
      <c r="D5" s="178">
        <v>1.4870277066636142E-2</v>
      </c>
      <c r="E5" s="178">
        <v>1.0113510720455945</v>
      </c>
      <c r="F5" s="178">
        <v>140.16933289580871</v>
      </c>
      <c r="G5" s="178">
        <v>14.751512004635378</v>
      </c>
      <c r="P5" s="23"/>
      <c r="Q5" s="23"/>
      <c r="R5" s="23"/>
      <c r="S5" s="23"/>
    </row>
    <row r="6" spans="1:19" x14ac:dyDescent="0.25">
      <c r="A6" s="23" t="s">
        <v>32</v>
      </c>
      <c r="B6" s="23" t="s">
        <v>33</v>
      </c>
      <c r="C6" s="23" t="s">
        <v>23</v>
      </c>
      <c r="D6" s="178">
        <v>1.4870277066636142E-2</v>
      </c>
      <c r="E6" s="178">
        <v>1.0113510720455945</v>
      </c>
      <c r="F6" s="178">
        <v>140.16933289580871</v>
      </c>
      <c r="G6" s="178">
        <v>14.751512004635378</v>
      </c>
      <c r="P6" s="23"/>
      <c r="Q6" s="23"/>
      <c r="R6" s="23"/>
      <c r="S6" s="23"/>
    </row>
    <row r="7" spans="1:19" x14ac:dyDescent="0.25">
      <c r="A7" s="23" t="s">
        <v>32</v>
      </c>
      <c r="B7" s="23" t="s">
        <v>33</v>
      </c>
      <c r="C7" s="23" t="s">
        <v>24</v>
      </c>
      <c r="D7" s="178">
        <v>1.4870277066636142E-2</v>
      </c>
      <c r="E7" s="178">
        <v>1.0113510720455945</v>
      </c>
      <c r="F7" s="178">
        <v>140.16933289580871</v>
      </c>
      <c r="G7" s="178">
        <v>14.751512004635378</v>
      </c>
      <c r="P7" s="23"/>
      <c r="Q7" s="23"/>
      <c r="R7" s="23"/>
      <c r="S7" s="23"/>
    </row>
    <row r="8" spans="1:19" x14ac:dyDescent="0.25">
      <c r="A8" s="23" t="s">
        <v>32</v>
      </c>
      <c r="B8" s="23" t="s">
        <v>33</v>
      </c>
      <c r="C8" s="23" t="s">
        <v>25</v>
      </c>
      <c r="D8" s="178">
        <v>1.4870277066636142E-2</v>
      </c>
      <c r="E8" s="178">
        <v>1.0113510720455945</v>
      </c>
      <c r="F8" s="178">
        <v>140.16933289580871</v>
      </c>
      <c r="G8" s="178">
        <v>14.751512004635378</v>
      </c>
      <c r="P8" s="23"/>
      <c r="Q8" s="23"/>
      <c r="R8" s="23"/>
      <c r="S8" s="23"/>
    </row>
    <row r="9" spans="1:19" x14ac:dyDescent="0.25">
      <c r="A9" s="23" t="s">
        <v>32</v>
      </c>
      <c r="B9" s="23" t="s">
        <v>33</v>
      </c>
      <c r="C9" s="23" t="s">
        <v>26</v>
      </c>
      <c r="D9" s="178">
        <v>1.4870277066636142E-2</v>
      </c>
      <c r="E9" s="178">
        <v>1.0113510720455945</v>
      </c>
      <c r="F9" s="178">
        <v>140.16933289580871</v>
      </c>
      <c r="G9" s="178">
        <v>14.751512004635378</v>
      </c>
      <c r="P9" s="23"/>
      <c r="Q9" s="23"/>
      <c r="R9" s="23"/>
      <c r="S9" s="23"/>
    </row>
    <row r="10" spans="1:19" x14ac:dyDescent="0.25">
      <c r="A10" s="23" t="s">
        <v>32</v>
      </c>
      <c r="B10" s="23" t="s">
        <v>33</v>
      </c>
      <c r="C10" s="23" t="s">
        <v>27</v>
      </c>
      <c r="D10" s="179">
        <v>1E-3</v>
      </c>
      <c r="E10" s="179">
        <v>1E-3</v>
      </c>
      <c r="F10" s="179">
        <v>1E-3</v>
      </c>
      <c r="G10" s="179">
        <v>1E-3</v>
      </c>
      <c r="P10" s="23"/>
      <c r="Q10" s="23"/>
      <c r="R10" s="23"/>
      <c r="S10" s="23"/>
    </row>
    <row r="11" spans="1:19" x14ac:dyDescent="0.25">
      <c r="A11" s="23" t="s">
        <v>32</v>
      </c>
      <c r="B11" s="23" t="s">
        <v>33</v>
      </c>
      <c r="C11" s="23" t="s">
        <v>28</v>
      </c>
      <c r="D11" s="179">
        <v>1E-3</v>
      </c>
      <c r="E11" s="179">
        <v>1E-3</v>
      </c>
      <c r="F11" s="179">
        <v>1E-3</v>
      </c>
      <c r="G11" s="179">
        <v>1E-3</v>
      </c>
      <c r="P11" s="23"/>
      <c r="Q11" s="23"/>
      <c r="R11" s="23"/>
      <c r="S11" s="23"/>
    </row>
    <row r="12" spans="1:19" x14ac:dyDescent="0.25">
      <c r="A12" s="23" t="s">
        <v>32</v>
      </c>
      <c r="B12" s="23" t="s">
        <v>33</v>
      </c>
      <c r="C12" s="23" t="s">
        <v>29</v>
      </c>
      <c r="D12" s="179">
        <v>1E-3</v>
      </c>
      <c r="E12" s="179">
        <v>1E-3</v>
      </c>
      <c r="F12" s="179">
        <v>1E-3</v>
      </c>
      <c r="G12" s="179">
        <v>1E-3</v>
      </c>
      <c r="P12" s="23"/>
      <c r="Q12" s="23"/>
      <c r="R12" s="23"/>
      <c r="S12" s="23"/>
    </row>
    <row r="13" spans="1:19" x14ac:dyDescent="0.25">
      <c r="A13" s="23" t="s">
        <v>32</v>
      </c>
      <c r="B13" s="23" t="s">
        <v>33</v>
      </c>
      <c r="C13" s="23" t="s">
        <v>30</v>
      </c>
      <c r="D13" s="179">
        <v>1E-3</v>
      </c>
      <c r="E13" s="179">
        <v>1E-3</v>
      </c>
      <c r="F13" s="179">
        <v>1E-3</v>
      </c>
      <c r="G13" s="179">
        <v>1E-3</v>
      </c>
      <c r="P13" s="23"/>
      <c r="Q13" s="23"/>
      <c r="R13" s="23"/>
      <c r="S13" s="23"/>
    </row>
    <row r="14" spans="1:19" x14ac:dyDescent="0.25">
      <c r="D14" s="179"/>
      <c r="E14" s="179"/>
      <c r="F14" s="179"/>
      <c r="G14" s="179"/>
    </row>
    <row r="15" spans="1:19" x14ac:dyDescent="0.25">
      <c r="D15" s="179"/>
      <c r="E15" s="179"/>
      <c r="F15" s="179"/>
      <c r="G15" s="179"/>
    </row>
    <row r="16" spans="1:19" x14ac:dyDescent="0.25">
      <c r="D16" s="179"/>
      <c r="E16" s="179"/>
      <c r="F16" s="179"/>
      <c r="G16" s="179"/>
    </row>
    <row r="17" spans="4:7" x14ac:dyDescent="0.25">
      <c r="D17" s="178"/>
      <c r="E17" s="178"/>
      <c r="F17" s="178"/>
      <c r="G17" s="178"/>
    </row>
    <row r="18" spans="4:7" x14ac:dyDescent="0.25">
      <c r="D18" s="178"/>
      <c r="E18" s="178"/>
      <c r="F18" s="178"/>
      <c r="G18" s="178"/>
    </row>
    <row r="19" spans="4:7" x14ac:dyDescent="0.25">
      <c r="D19" s="178"/>
      <c r="E19" s="178"/>
      <c r="F19" s="178"/>
      <c r="G19" s="178"/>
    </row>
    <row r="20" spans="4:7" x14ac:dyDescent="0.25">
      <c r="D20" s="178"/>
      <c r="E20" s="178"/>
      <c r="F20" s="178"/>
      <c r="G20" s="178"/>
    </row>
    <row r="21" spans="4:7" x14ac:dyDescent="0.25">
      <c r="D21" s="178"/>
      <c r="E21" s="178"/>
      <c r="F21" s="178"/>
      <c r="G21" s="178"/>
    </row>
    <row r="22" spans="4:7" x14ac:dyDescent="0.25">
      <c r="D22" s="179"/>
      <c r="E22" s="179"/>
      <c r="F22" s="179"/>
      <c r="G22" s="179"/>
    </row>
    <row r="23" spans="4:7" x14ac:dyDescent="0.25">
      <c r="D23" s="179"/>
      <c r="E23" s="179"/>
      <c r="F23" s="179"/>
      <c r="G23" s="179"/>
    </row>
    <row r="24" spans="4:7" x14ac:dyDescent="0.25">
      <c r="D24" s="179"/>
      <c r="E24" s="179"/>
      <c r="F24" s="179"/>
      <c r="G24" s="179"/>
    </row>
    <row r="25" spans="4:7" x14ac:dyDescent="0.25">
      <c r="D25" s="179"/>
      <c r="E25" s="179"/>
      <c r="F25" s="179"/>
      <c r="G25" s="179"/>
    </row>
    <row r="26" spans="4:7" x14ac:dyDescent="0.25">
      <c r="D26" s="179"/>
      <c r="E26" s="179"/>
      <c r="F26" s="179"/>
      <c r="G26" s="179"/>
    </row>
    <row r="27" spans="4:7" x14ac:dyDescent="0.25">
      <c r="D27" s="179"/>
      <c r="E27" s="179"/>
      <c r="F27" s="179"/>
      <c r="G27" s="179"/>
    </row>
    <row r="28" spans="4:7" x14ac:dyDescent="0.25">
      <c r="D28" s="179"/>
      <c r="E28" s="179"/>
      <c r="F28" s="179"/>
      <c r="G28" s="179"/>
    </row>
    <row r="29" spans="4:7" x14ac:dyDescent="0.25">
      <c r="D29" s="178"/>
      <c r="E29" s="178"/>
      <c r="F29" s="178"/>
      <c r="G29" s="178"/>
    </row>
    <row r="30" spans="4:7" x14ac:dyDescent="0.25">
      <c r="D30" s="178"/>
      <c r="E30" s="178"/>
      <c r="F30" s="178"/>
      <c r="G30" s="178"/>
    </row>
    <row r="31" spans="4:7" x14ac:dyDescent="0.25">
      <c r="D31" s="178"/>
      <c r="E31" s="178"/>
      <c r="F31" s="178"/>
      <c r="G31" s="178"/>
    </row>
    <row r="32" spans="4:7" x14ac:dyDescent="0.25">
      <c r="D32" s="178"/>
      <c r="E32" s="178"/>
      <c r="F32" s="178"/>
      <c r="G32" s="178"/>
    </row>
    <row r="33" spans="4:7" x14ac:dyDescent="0.25">
      <c r="D33" s="178"/>
      <c r="E33" s="178"/>
      <c r="F33" s="178"/>
      <c r="G33" s="178"/>
    </row>
    <row r="34" spans="4:7" x14ac:dyDescent="0.25">
      <c r="D34" s="179"/>
      <c r="E34" s="179"/>
      <c r="F34" s="179"/>
      <c r="G34" s="179"/>
    </row>
    <row r="35" spans="4:7" x14ac:dyDescent="0.25">
      <c r="D35" s="179"/>
      <c r="E35" s="179"/>
      <c r="F35" s="179"/>
      <c r="G35" s="179"/>
    </row>
    <row r="36" spans="4:7" x14ac:dyDescent="0.25">
      <c r="D36" s="179"/>
      <c r="E36" s="179"/>
      <c r="F36" s="179"/>
      <c r="G36" s="179"/>
    </row>
    <row r="37" spans="4:7" x14ac:dyDescent="0.25">
      <c r="D37" s="179"/>
      <c r="E37" s="179"/>
      <c r="F37" s="179"/>
      <c r="G37" s="179"/>
    </row>
    <row r="38" spans="4:7" x14ac:dyDescent="0.25">
      <c r="D38" s="179"/>
      <c r="E38" s="179"/>
      <c r="F38" s="179"/>
      <c r="G38" s="179"/>
    </row>
    <row r="39" spans="4:7" x14ac:dyDescent="0.25">
      <c r="D39" s="179"/>
      <c r="E39" s="179"/>
      <c r="F39" s="179"/>
      <c r="G39" s="179"/>
    </row>
    <row r="40" spans="4:7" x14ac:dyDescent="0.25">
      <c r="D40" s="179"/>
      <c r="E40" s="179"/>
      <c r="F40" s="179"/>
      <c r="G40" s="179"/>
    </row>
    <row r="41" spans="4:7" x14ac:dyDescent="0.25">
      <c r="D41" s="178"/>
      <c r="E41" s="178"/>
      <c r="F41" s="178"/>
      <c r="G41" s="178"/>
    </row>
    <row r="42" spans="4:7" x14ac:dyDescent="0.25">
      <c r="D42" s="178"/>
      <c r="E42" s="178"/>
      <c r="F42" s="178"/>
      <c r="G42" s="178"/>
    </row>
    <row r="43" spans="4:7" x14ac:dyDescent="0.25">
      <c r="D43" s="178"/>
      <c r="E43" s="178"/>
      <c r="F43" s="178"/>
      <c r="G43" s="178"/>
    </row>
    <row r="44" spans="4:7" x14ac:dyDescent="0.25">
      <c r="D44" s="178"/>
      <c r="E44" s="178"/>
      <c r="F44" s="178"/>
      <c r="G44" s="178"/>
    </row>
    <row r="45" spans="4:7" x14ac:dyDescent="0.25">
      <c r="D45" s="178"/>
      <c r="E45" s="178"/>
      <c r="F45" s="178"/>
      <c r="G45" s="178"/>
    </row>
    <row r="46" spans="4:7" x14ac:dyDescent="0.25">
      <c r="D46" s="179"/>
      <c r="E46" s="179"/>
      <c r="F46" s="179"/>
      <c r="G46" s="179"/>
    </row>
    <row r="47" spans="4:7" x14ac:dyDescent="0.25">
      <c r="D47" s="179"/>
      <c r="E47" s="179"/>
      <c r="F47" s="179"/>
      <c r="G47" s="179"/>
    </row>
    <row r="48" spans="4:7" x14ac:dyDescent="0.25">
      <c r="D48" s="179"/>
      <c r="E48" s="179"/>
      <c r="F48" s="179"/>
      <c r="G48" s="179"/>
    </row>
    <row r="49" spans="4:7" x14ac:dyDescent="0.25">
      <c r="D49" s="179"/>
      <c r="E49" s="179"/>
      <c r="F49" s="179"/>
      <c r="G49" s="179"/>
    </row>
    <row r="50" spans="4:7" x14ac:dyDescent="0.25">
      <c r="D50" s="179"/>
      <c r="E50" s="179"/>
      <c r="F50" s="179"/>
      <c r="G50" s="179"/>
    </row>
    <row r="51" spans="4:7" x14ac:dyDescent="0.25">
      <c r="D51" s="179"/>
      <c r="E51" s="179"/>
      <c r="F51" s="179"/>
      <c r="G51" s="179"/>
    </row>
    <row r="52" spans="4:7" x14ac:dyDescent="0.25">
      <c r="D52" s="179"/>
      <c r="E52" s="179"/>
      <c r="F52" s="179"/>
      <c r="G52" s="179"/>
    </row>
    <row r="53" spans="4:7" x14ac:dyDescent="0.25">
      <c r="D53" s="178"/>
      <c r="E53" s="178"/>
      <c r="F53" s="178"/>
      <c r="G53" s="178"/>
    </row>
    <row r="54" spans="4:7" x14ac:dyDescent="0.25">
      <c r="D54" s="178"/>
      <c r="E54" s="178"/>
      <c r="F54" s="178"/>
      <c r="G54" s="178"/>
    </row>
    <row r="55" spans="4:7" x14ac:dyDescent="0.25">
      <c r="D55" s="178"/>
      <c r="E55" s="178"/>
      <c r="F55" s="178"/>
      <c r="G55" s="178"/>
    </row>
    <row r="56" spans="4:7" x14ac:dyDescent="0.25">
      <c r="D56" s="178"/>
      <c r="E56" s="178"/>
      <c r="F56" s="178"/>
      <c r="G56" s="178"/>
    </row>
    <row r="57" spans="4:7" x14ac:dyDescent="0.25">
      <c r="D57" s="178"/>
      <c r="E57" s="178"/>
      <c r="F57" s="178"/>
      <c r="G57" s="178"/>
    </row>
    <row r="58" spans="4:7" x14ac:dyDescent="0.25">
      <c r="D58" s="179"/>
      <c r="E58" s="179"/>
      <c r="F58" s="179"/>
      <c r="G58" s="179"/>
    </row>
    <row r="59" spans="4:7" x14ac:dyDescent="0.25">
      <c r="D59" s="179"/>
      <c r="E59" s="179"/>
      <c r="F59" s="179"/>
      <c r="G59" s="179"/>
    </row>
    <row r="60" spans="4:7" x14ac:dyDescent="0.25">
      <c r="D60" s="179"/>
      <c r="E60" s="179"/>
      <c r="F60" s="179"/>
      <c r="G60" s="179"/>
    </row>
    <row r="61" spans="4:7" x14ac:dyDescent="0.25">
      <c r="D61" s="179"/>
      <c r="E61" s="179"/>
      <c r="F61" s="179"/>
      <c r="G61" s="179"/>
    </row>
    <row r="62" spans="4:7" x14ac:dyDescent="0.25">
      <c r="D62" s="179"/>
      <c r="E62" s="179"/>
      <c r="F62" s="179"/>
      <c r="G62" s="179"/>
    </row>
    <row r="63" spans="4:7" x14ac:dyDescent="0.25">
      <c r="D63" s="179"/>
      <c r="E63" s="179"/>
      <c r="F63" s="179"/>
      <c r="G63" s="179"/>
    </row>
    <row r="64" spans="4:7" x14ac:dyDescent="0.25">
      <c r="D64" s="179"/>
      <c r="E64" s="179"/>
      <c r="F64" s="179"/>
      <c r="G64" s="179"/>
    </row>
    <row r="65" spans="4:7" x14ac:dyDescent="0.25">
      <c r="D65" s="178"/>
      <c r="E65" s="178"/>
      <c r="F65" s="178"/>
      <c r="G65" s="178"/>
    </row>
    <row r="66" spans="4:7" x14ac:dyDescent="0.25">
      <c r="D66" s="178"/>
      <c r="E66" s="178"/>
      <c r="F66" s="178"/>
      <c r="G66" s="178"/>
    </row>
    <row r="67" spans="4:7" x14ac:dyDescent="0.25">
      <c r="D67" s="178"/>
      <c r="E67" s="178"/>
      <c r="F67" s="178"/>
      <c r="G67" s="178"/>
    </row>
    <row r="68" spans="4:7" x14ac:dyDescent="0.25">
      <c r="D68" s="178"/>
      <c r="E68" s="178"/>
      <c r="F68" s="178"/>
      <c r="G68" s="178"/>
    </row>
    <row r="69" spans="4:7" x14ac:dyDescent="0.25">
      <c r="D69" s="178"/>
      <c r="E69" s="178"/>
      <c r="F69" s="178"/>
      <c r="G69" s="178"/>
    </row>
    <row r="70" spans="4:7" x14ac:dyDescent="0.25">
      <c r="D70" s="179"/>
      <c r="E70" s="179"/>
      <c r="F70" s="179"/>
      <c r="G70" s="179"/>
    </row>
    <row r="71" spans="4:7" x14ac:dyDescent="0.25">
      <c r="D71" s="179"/>
      <c r="E71" s="179"/>
      <c r="F71" s="179"/>
      <c r="G71" s="179"/>
    </row>
    <row r="72" spans="4:7" x14ac:dyDescent="0.25">
      <c r="D72" s="179"/>
      <c r="E72" s="179"/>
      <c r="F72" s="179"/>
      <c r="G72" s="179"/>
    </row>
    <row r="73" spans="4:7" x14ac:dyDescent="0.25">
      <c r="D73" s="179"/>
      <c r="E73" s="179"/>
      <c r="F73" s="179"/>
      <c r="G73" s="179"/>
    </row>
    <row r="74" spans="4:7" x14ac:dyDescent="0.25">
      <c r="D74" s="179"/>
      <c r="E74" s="179"/>
      <c r="F74" s="179"/>
      <c r="G74" s="179"/>
    </row>
    <row r="75" spans="4:7" x14ac:dyDescent="0.25">
      <c r="D75" s="179"/>
      <c r="E75" s="179"/>
      <c r="F75" s="179"/>
      <c r="G75" s="179"/>
    </row>
    <row r="76" spans="4:7" x14ac:dyDescent="0.25">
      <c r="D76" s="179"/>
      <c r="E76" s="179"/>
      <c r="F76" s="179"/>
      <c r="G76" s="179"/>
    </row>
    <row r="77" spans="4:7" x14ac:dyDescent="0.25">
      <c r="D77" s="178"/>
      <c r="E77" s="178"/>
      <c r="F77" s="178"/>
      <c r="G77" s="178"/>
    </row>
    <row r="78" spans="4:7" x14ac:dyDescent="0.25">
      <c r="D78" s="178"/>
      <c r="E78" s="178"/>
      <c r="F78" s="178"/>
      <c r="G78" s="178"/>
    </row>
    <row r="79" spans="4:7" x14ac:dyDescent="0.25">
      <c r="D79" s="178"/>
      <c r="E79" s="178"/>
      <c r="F79" s="178"/>
      <c r="G79" s="178"/>
    </row>
    <row r="80" spans="4:7" x14ac:dyDescent="0.25">
      <c r="D80" s="178"/>
      <c r="E80" s="178"/>
      <c r="F80" s="178"/>
      <c r="G80" s="178"/>
    </row>
    <row r="81" spans="4:7" x14ac:dyDescent="0.25">
      <c r="D81" s="178"/>
      <c r="E81" s="178"/>
      <c r="F81" s="178"/>
      <c r="G81" s="178"/>
    </row>
    <row r="82" spans="4:7" x14ac:dyDescent="0.25">
      <c r="D82" s="179"/>
      <c r="E82" s="179"/>
      <c r="F82" s="179"/>
      <c r="G82" s="179"/>
    </row>
    <row r="83" spans="4:7" x14ac:dyDescent="0.25">
      <c r="D83" s="179"/>
      <c r="E83" s="179"/>
      <c r="F83" s="179"/>
      <c r="G83" s="179"/>
    </row>
    <row r="84" spans="4:7" x14ac:dyDescent="0.25">
      <c r="D84" s="179"/>
      <c r="E84" s="179"/>
      <c r="F84" s="179"/>
      <c r="G84" s="179"/>
    </row>
    <row r="85" spans="4:7" x14ac:dyDescent="0.25">
      <c r="D85" s="179"/>
      <c r="E85" s="179"/>
      <c r="F85" s="179"/>
      <c r="G85" s="179"/>
    </row>
    <row r="86" spans="4:7" x14ac:dyDescent="0.25">
      <c r="D86" s="179"/>
      <c r="E86" s="179"/>
      <c r="F86" s="179"/>
      <c r="G86" s="179"/>
    </row>
    <row r="87" spans="4:7" x14ac:dyDescent="0.25">
      <c r="D87" s="179"/>
      <c r="E87" s="179"/>
      <c r="F87" s="179"/>
      <c r="G87" s="179"/>
    </row>
    <row r="88" spans="4:7" x14ac:dyDescent="0.25">
      <c r="D88" s="179"/>
      <c r="E88" s="179"/>
      <c r="F88" s="179"/>
      <c r="G88" s="179"/>
    </row>
    <row r="89" spans="4:7" x14ac:dyDescent="0.25">
      <c r="D89" s="178"/>
      <c r="E89" s="178"/>
      <c r="F89" s="178"/>
      <c r="G89" s="178"/>
    </row>
    <row r="90" spans="4:7" x14ac:dyDescent="0.25">
      <c r="D90" s="178"/>
      <c r="E90" s="178"/>
      <c r="F90" s="178"/>
      <c r="G90" s="178"/>
    </row>
    <row r="91" spans="4:7" x14ac:dyDescent="0.25">
      <c r="D91" s="178"/>
      <c r="E91" s="178"/>
      <c r="F91" s="178"/>
      <c r="G91" s="178"/>
    </row>
    <row r="92" spans="4:7" x14ac:dyDescent="0.25">
      <c r="D92" s="178"/>
      <c r="E92" s="178"/>
      <c r="F92" s="178"/>
      <c r="G92" s="178"/>
    </row>
    <row r="93" spans="4:7" x14ac:dyDescent="0.25">
      <c r="D93" s="178"/>
      <c r="E93" s="178"/>
      <c r="F93" s="178"/>
      <c r="G93" s="178"/>
    </row>
    <row r="94" spans="4:7" x14ac:dyDescent="0.25">
      <c r="D94" s="179"/>
      <c r="E94" s="179"/>
      <c r="F94" s="179"/>
      <c r="G94" s="179"/>
    </row>
    <row r="95" spans="4:7" x14ac:dyDescent="0.25">
      <c r="D95" s="179"/>
      <c r="E95" s="179"/>
      <c r="F95" s="179"/>
      <c r="G95" s="179"/>
    </row>
    <row r="96" spans="4:7" x14ac:dyDescent="0.25">
      <c r="D96" s="179"/>
      <c r="E96" s="179"/>
      <c r="F96" s="179"/>
      <c r="G96" s="179"/>
    </row>
    <row r="97" spans="4:7" x14ac:dyDescent="0.25">
      <c r="D97" s="179"/>
      <c r="E97" s="179"/>
      <c r="F97" s="179"/>
      <c r="G97" s="179"/>
    </row>
    <row r="98" spans="4:7" x14ac:dyDescent="0.25">
      <c r="D98" s="179"/>
      <c r="E98" s="179"/>
      <c r="F98" s="179"/>
      <c r="G98" s="179"/>
    </row>
    <row r="99" spans="4:7" x14ac:dyDescent="0.25">
      <c r="D99" s="179"/>
      <c r="E99" s="179"/>
      <c r="F99" s="179"/>
      <c r="G99" s="179"/>
    </row>
    <row r="100" spans="4:7" x14ac:dyDescent="0.25">
      <c r="D100" s="179"/>
      <c r="E100" s="179"/>
      <c r="F100" s="179"/>
      <c r="G100" s="179"/>
    </row>
    <row r="101" spans="4:7" x14ac:dyDescent="0.25">
      <c r="D101" s="178"/>
      <c r="E101" s="178"/>
      <c r="F101" s="178"/>
      <c r="G101" s="178"/>
    </row>
    <row r="102" spans="4:7" x14ac:dyDescent="0.25">
      <c r="D102" s="178"/>
      <c r="E102" s="178"/>
      <c r="F102" s="178"/>
      <c r="G102" s="178"/>
    </row>
    <row r="103" spans="4:7" x14ac:dyDescent="0.25">
      <c r="D103" s="178"/>
      <c r="E103" s="178"/>
      <c r="F103" s="178"/>
      <c r="G103" s="178"/>
    </row>
    <row r="104" spans="4:7" x14ac:dyDescent="0.25">
      <c r="D104" s="178"/>
      <c r="E104" s="178"/>
      <c r="F104" s="178"/>
      <c r="G104" s="178"/>
    </row>
    <row r="105" spans="4:7" x14ac:dyDescent="0.25">
      <c r="D105" s="178"/>
      <c r="E105" s="178"/>
      <c r="F105" s="178"/>
      <c r="G105" s="178"/>
    </row>
    <row r="106" spans="4:7" x14ac:dyDescent="0.25">
      <c r="D106" s="179"/>
      <c r="E106" s="179"/>
      <c r="F106" s="179"/>
      <c r="G106" s="179"/>
    </row>
    <row r="107" spans="4:7" x14ac:dyDescent="0.25">
      <c r="D107" s="179"/>
      <c r="E107" s="179"/>
      <c r="F107" s="179"/>
      <c r="G107" s="179"/>
    </row>
    <row r="108" spans="4:7" x14ac:dyDescent="0.25">
      <c r="D108" s="179"/>
      <c r="E108" s="179"/>
      <c r="F108" s="179"/>
      <c r="G108" s="179"/>
    </row>
    <row r="109" spans="4:7" x14ac:dyDescent="0.25">
      <c r="D109" s="179"/>
      <c r="E109" s="179"/>
      <c r="F109" s="179"/>
      <c r="G109" s="179"/>
    </row>
    <row r="110" spans="4:7" x14ac:dyDescent="0.25">
      <c r="D110" s="179"/>
      <c r="E110" s="179"/>
      <c r="F110" s="179"/>
      <c r="G110" s="179"/>
    </row>
    <row r="111" spans="4:7" x14ac:dyDescent="0.25">
      <c r="D111" s="179"/>
      <c r="E111" s="179"/>
      <c r="F111" s="179"/>
      <c r="G111" s="179"/>
    </row>
    <row r="112" spans="4:7" x14ac:dyDescent="0.25">
      <c r="D112" s="179"/>
      <c r="E112" s="179"/>
      <c r="F112" s="179"/>
      <c r="G112" s="179"/>
    </row>
    <row r="113" spans="4:7" x14ac:dyDescent="0.25">
      <c r="D113" s="178"/>
      <c r="E113" s="178"/>
      <c r="F113" s="178"/>
      <c r="G113" s="178"/>
    </row>
    <row r="114" spans="4:7" x14ac:dyDescent="0.25">
      <c r="D114" s="178"/>
      <c r="E114" s="178"/>
      <c r="F114" s="178"/>
      <c r="G114" s="178"/>
    </row>
    <row r="115" spans="4:7" x14ac:dyDescent="0.25">
      <c r="D115" s="178"/>
      <c r="E115" s="178"/>
      <c r="F115" s="178"/>
      <c r="G115" s="178"/>
    </row>
    <row r="116" spans="4:7" x14ac:dyDescent="0.25">
      <c r="D116" s="178"/>
      <c r="E116" s="178"/>
      <c r="F116" s="178"/>
      <c r="G116" s="178"/>
    </row>
    <row r="117" spans="4:7" x14ac:dyDescent="0.25">
      <c r="D117" s="178"/>
      <c r="E117" s="178"/>
      <c r="F117" s="178"/>
      <c r="G117" s="178"/>
    </row>
    <row r="118" spans="4:7" x14ac:dyDescent="0.25">
      <c r="D118" s="179"/>
      <c r="E118" s="179"/>
      <c r="F118" s="179"/>
      <c r="G118" s="179"/>
    </row>
    <row r="119" spans="4:7" x14ac:dyDescent="0.25">
      <c r="D119" s="179"/>
      <c r="E119" s="179"/>
      <c r="F119" s="179"/>
      <c r="G119" s="179"/>
    </row>
    <row r="120" spans="4:7" x14ac:dyDescent="0.25">
      <c r="D120" s="179"/>
      <c r="E120" s="179"/>
      <c r="F120" s="179"/>
      <c r="G120" s="179"/>
    </row>
    <row r="121" spans="4:7" x14ac:dyDescent="0.25">
      <c r="D121" s="179"/>
      <c r="E121" s="179"/>
      <c r="F121" s="179"/>
      <c r="G121" s="179"/>
    </row>
    <row r="122" spans="4:7" x14ac:dyDescent="0.25">
      <c r="D122" s="179"/>
      <c r="E122" s="179"/>
      <c r="F122" s="179"/>
      <c r="G122" s="179"/>
    </row>
    <row r="123" spans="4:7" x14ac:dyDescent="0.25">
      <c r="D123" s="179"/>
      <c r="E123" s="179"/>
      <c r="F123" s="179"/>
      <c r="G123" s="179"/>
    </row>
    <row r="124" spans="4:7" x14ac:dyDescent="0.25">
      <c r="D124" s="179"/>
      <c r="E124" s="179"/>
      <c r="F124" s="179"/>
      <c r="G124" s="179"/>
    </row>
    <row r="125" spans="4:7" x14ac:dyDescent="0.25">
      <c r="D125" s="178"/>
      <c r="E125" s="178"/>
      <c r="F125" s="178"/>
      <c r="G125" s="178"/>
    </row>
    <row r="126" spans="4:7" x14ac:dyDescent="0.25">
      <c r="D126" s="178"/>
      <c r="E126" s="178"/>
      <c r="F126" s="178"/>
      <c r="G126" s="178"/>
    </row>
    <row r="127" spans="4:7" x14ac:dyDescent="0.25">
      <c r="D127" s="178"/>
      <c r="E127" s="178"/>
      <c r="F127" s="178"/>
      <c r="G127" s="178"/>
    </row>
    <row r="128" spans="4:7" x14ac:dyDescent="0.25">
      <c r="D128" s="178"/>
      <c r="E128" s="178"/>
      <c r="F128" s="178"/>
      <c r="G128" s="178"/>
    </row>
    <row r="129" spans="4:7" x14ac:dyDescent="0.25">
      <c r="D129" s="178"/>
      <c r="E129" s="178"/>
      <c r="F129" s="178"/>
      <c r="G129" s="178"/>
    </row>
    <row r="130" spans="4:7" x14ac:dyDescent="0.25">
      <c r="D130" s="179"/>
      <c r="E130" s="179"/>
      <c r="F130" s="179"/>
      <c r="G130" s="179"/>
    </row>
    <row r="131" spans="4:7" x14ac:dyDescent="0.25">
      <c r="D131" s="179"/>
      <c r="E131" s="179"/>
      <c r="F131" s="179"/>
      <c r="G131" s="179"/>
    </row>
    <row r="132" spans="4:7" x14ac:dyDescent="0.25">
      <c r="D132" s="179"/>
      <c r="E132" s="179"/>
      <c r="F132" s="179"/>
      <c r="G132" s="179"/>
    </row>
    <row r="133" spans="4:7" x14ac:dyDescent="0.25">
      <c r="D133" s="179"/>
      <c r="E133" s="179"/>
      <c r="F133" s="179"/>
      <c r="G133" s="179"/>
    </row>
    <row r="134" spans="4:7" x14ac:dyDescent="0.25">
      <c r="D134" s="179"/>
      <c r="E134" s="179"/>
      <c r="F134" s="179"/>
      <c r="G134" s="179"/>
    </row>
    <row r="135" spans="4:7" x14ac:dyDescent="0.25">
      <c r="D135" s="179"/>
      <c r="E135" s="179"/>
      <c r="F135" s="179"/>
      <c r="G135" s="179"/>
    </row>
    <row r="136" spans="4:7" x14ac:dyDescent="0.25">
      <c r="D136" s="179"/>
      <c r="E136" s="179"/>
      <c r="F136" s="179"/>
      <c r="G136" s="179"/>
    </row>
    <row r="137" spans="4:7" x14ac:dyDescent="0.25">
      <c r="D137" s="178"/>
      <c r="E137" s="178"/>
      <c r="F137" s="178"/>
      <c r="G137" s="178"/>
    </row>
    <row r="138" spans="4:7" x14ac:dyDescent="0.25">
      <c r="D138" s="178"/>
      <c r="E138" s="178"/>
      <c r="F138" s="178"/>
      <c r="G138" s="178"/>
    </row>
    <row r="139" spans="4:7" x14ac:dyDescent="0.25">
      <c r="D139" s="178"/>
      <c r="E139" s="178"/>
      <c r="F139" s="178"/>
      <c r="G139" s="178"/>
    </row>
    <row r="140" spans="4:7" x14ac:dyDescent="0.25">
      <c r="D140" s="178"/>
      <c r="E140" s="178"/>
      <c r="F140" s="178"/>
      <c r="G140" s="178"/>
    </row>
    <row r="141" spans="4:7" x14ac:dyDescent="0.25">
      <c r="D141" s="178"/>
      <c r="E141" s="178"/>
      <c r="F141" s="178"/>
      <c r="G141" s="178"/>
    </row>
    <row r="142" spans="4:7" x14ac:dyDescent="0.25">
      <c r="D142" s="179"/>
      <c r="E142" s="179"/>
      <c r="F142" s="179"/>
      <c r="G142" s="179"/>
    </row>
    <row r="143" spans="4:7" x14ac:dyDescent="0.25">
      <c r="D143" s="179"/>
      <c r="E143" s="179"/>
      <c r="F143" s="179"/>
      <c r="G143" s="179"/>
    </row>
    <row r="144" spans="4:7" x14ac:dyDescent="0.25">
      <c r="D144" s="179"/>
      <c r="E144" s="179"/>
      <c r="F144" s="179"/>
      <c r="G144" s="179"/>
    </row>
    <row r="145" spans="4:7" x14ac:dyDescent="0.25">
      <c r="D145" s="179"/>
      <c r="E145" s="179"/>
      <c r="F145" s="179"/>
      <c r="G145" s="179"/>
    </row>
    <row r="146" spans="4:7" x14ac:dyDescent="0.25">
      <c r="D146" s="179"/>
      <c r="E146" s="179"/>
      <c r="F146" s="179"/>
      <c r="G146" s="179"/>
    </row>
    <row r="147" spans="4:7" x14ac:dyDescent="0.25">
      <c r="D147" s="179"/>
      <c r="E147" s="179"/>
      <c r="F147" s="179"/>
      <c r="G147" s="179"/>
    </row>
    <row r="148" spans="4:7" x14ac:dyDescent="0.25">
      <c r="D148" s="179"/>
      <c r="E148" s="179"/>
      <c r="F148" s="179"/>
      <c r="G148" s="179"/>
    </row>
    <row r="149" spans="4:7" x14ac:dyDescent="0.25">
      <c r="D149" s="178"/>
      <c r="E149" s="178"/>
      <c r="F149" s="178"/>
      <c r="G149" s="178"/>
    </row>
    <row r="150" spans="4:7" x14ac:dyDescent="0.25">
      <c r="D150" s="178"/>
      <c r="E150" s="178"/>
      <c r="F150" s="178"/>
      <c r="G150" s="178"/>
    </row>
    <row r="151" spans="4:7" x14ac:dyDescent="0.25">
      <c r="D151" s="178"/>
      <c r="E151" s="178"/>
      <c r="F151" s="178"/>
      <c r="G151" s="178"/>
    </row>
    <row r="152" spans="4:7" x14ac:dyDescent="0.25">
      <c r="D152" s="178"/>
      <c r="E152" s="178"/>
      <c r="F152" s="178"/>
      <c r="G152" s="178"/>
    </row>
    <row r="153" spans="4:7" x14ac:dyDescent="0.25">
      <c r="D153" s="178"/>
      <c r="E153" s="178"/>
      <c r="F153" s="178"/>
      <c r="G153" s="178"/>
    </row>
    <row r="154" spans="4:7" x14ac:dyDescent="0.25">
      <c r="D154" s="179"/>
      <c r="E154" s="179"/>
      <c r="F154" s="179"/>
      <c r="G154" s="179"/>
    </row>
    <row r="155" spans="4:7" x14ac:dyDescent="0.25">
      <c r="D155" s="179"/>
      <c r="E155" s="179"/>
      <c r="F155" s="179"/>
      <c r="G155" s="179"/>
    </row>
    <row r="156" spans="4:7" x14ac:dyDescent="0.25">
      <c r="D156" s="179"/>
      <c r="E156" s="179"/>
      <c r="F156" s="179"/>
      <c r="G156" s="179"/>
    </row>
    <row r="157" spans="4:7" x14ac:dyDescent="0.25">
      <c r="D157" s="179"/>
      <c r="E157" s="179"/>
      <c r="F157" s="179"/>
      <c r="G157" s="179"/>
    </row>
    <row r="158" spans="4:7" x14ac:dyDescent="0.25">
      <c r="D158" s="179"/>
      <c r="E158" s="179"/>
      <c r="F158" s="179"/>
      <c r="G158" s="179"/>
    </row>
    <row r="159" spans="4:7" x14ac:dyDescent="0.25">
      <c r="D159" s="179"/>
      <c r="E159" s="179"/>
      <c r="F159" s="179"/>
      <c r="G159" s="179"/>
    </row>
    <row r="160" spans="4:7" x14ac:dyDescent="0.25">
      <c r="D160" s="179"/>
      <c r="E160" s="179"/>
      <c r="F160" s="179"/>
      <c r="G160" s="179"/>
    </row>
    <row r="161" spans="4:7" x14ac:dyDescent="0.25">
      <c r="D161" s="178"/>
      <c r="E161" s="178"/>
      <c r="F161" s="178"/>
      <c r="G161" s="178"/>
    </row>
    <row r="162" spans="4:7" x14ac:dyDescent="0.25">
      <c r="D162" s="178"/>
      <c r="E162" s="178"/>
      <c r="F162" s="178"/>
      <c r="G162" s="178"/>
    </row>
    <row r="163" spans="4:7" x14ac:dyDescent="0.25">
      <c r="D163" s="178"/>
      <c r="E163" s="178"/>
      <c r="F163" s="178"/>
      <c r="G163" s="178"/>
    </row>
    <row r="164" spans="4:7" x14ac:dyDescent="0.25">
      <c r="D164" s="178"/>
      <c r="E164" s="178"/>
      <c r="F164" s="178"/>
      <c r="G164" s="178"/>
    </row>
    <row r="165" spans="4:7" x14ac:dyDescent="0.25">
      <c r="D165" s="178"/>
      <c r="E165" s="178"/>
      <c r="F165" s="178"/>
      <c r="G165" s="178"/>
    </row>
    <row r="166" spans="4:7" x14ac:dyDescent="0.25">
      <c r="D166" s="179"/>
      <c r="E166" s="179"/>
      <c r="F166" s="179"/>
      <c r="G166" s="179"/>
    </row>
    <row r="167" spans="4:7" x14ac:dyDescent="0.25">
      <c r="D167" s="179"/>
      <c r="E167" s="179"/>
      <c r="F167" s="179"/>
      <c r="G167" s="179"/>
    </row>
    <row r="168" spans="4:7" x14ac:dyDescent="0.25">
      <c r="D168" s="179"/>
      <c r="E168" s="179"/>
      <c r="F168" s="179"/>
      <c r="G168" s="179"/>
    </row>
    <row r="169" spans="4:7" x14ac:dyDescent="0.25">
      <c r="D169" s="179"/>
      <c r="E169" s="179"/>
      <c r="F169" s="179"/>
      <c r="G169" s="179"/>
    </row>
    <row r="170" spans="4:7" x14ac:dyDescent="0.25">
      <c r="D170" s="179"/>
      <c r="E170" s="179"/>
      <c r="F170" s="179"/>
      <c r="G170" s="179"/>
    </row>
    <row r="171" spans="4:7" x14ac:dyDescent="0.25">
      <c r="D171" s="179"/>
      <c r="E171" s="179"/>
      <c r="F171" s="179"/>
      <c r="G171" s="179"/>
    </row>
    <row r="172" spans="4:7" x14ac:dyDescent="0.25">
      <c r="D172" s="179"/>
      <c r="E172" s="179"/>
      <c r="F172" s="179"/>
      <c r="G172" s="179"/>
    </row>
    <row r="173" spans="4:7" x14ac:dyDescent="0.25">
      <c r="D173" s="178"/>
      <c r="E173" s="178"/>
      <c r="F173" s="178"/>
      <c r="G173" s="178"/>
    </row>
    <row r="174" spans="4:7" x14ac:dyDescent="0.25">
      <c r="D174" s="178"/>
      <c r="E174" s="178"/>
      <c r="F174" s="178"/>
      <c r="G174" s="178"/>
    </row>
    <row r="175" spans="4:7" x14ac:dyDescent="0.25">
      <c r="D175" s="178"/>
      <c r="E175" s="178"/>
      <c r="F175" s="178"/>
      <c r="G175" s="178"/>
    </row>
    <row r="176" spans="4:7" x14ac:dyDescent="0.25">
      <c r="D176" s="178"/>
      <c r="E176" s="178"/>
      <c r="F176" s="178"/>
      <c r="G176" s="178"/>
    </row>
    <row r="177" spans="4:7" x14ac:dyDescent="0.25">
      <c r="D177" s="178"/>
      <c r="E177" s="178"/>
      <c r="F177" s="178"/>
      <c r="G177" s="178"/>
    </row>
    <row r="178" spans="4:7" x14ac:dyDescent="0.25">
      <c r="D178" s="179"/>
      <c r="E178" s="179"/>
      <c r="F178" s="179"/>
      <c r="G178" s="179"/>
    </row>
    <row r="179" spans="4:7" x14ac:dyDescent="0.25">
      <c r="D179" s="179"/>
      <c r="E179" s="179"/>
      <c r="F179" s="179"/>
      <c r="G179" s="179"/>
    </row>
    <row r="180" spans="4:7" x14ac:dyDescent="0.25">
      <c r="D180" s="179"/>
      <c r="E180" s="179"/>
      <c r="F180" s="179"/>
      <c r="G180" s="179"/>
    </row>
    <row r="181" spans="4:7" x14ac:dyDescent="0.25">
      <c r="D181" s="179"/>
      <c r="E181" s="179"/>
      <c r="F181" s="179"/>
      <c r="G181" s="179"/>
    </row>
    <row r="182" spans="4:7" x14ac:dyDescent="0.25">
      <c r="D182" s="179"/>
      <c r="E182" s="179"/>
      <c r="F182" s="179"/>
      <c r="G182" s="179"/>
    </row>
    <row r="183" spans="4:7" x14ac:dyDescent="0.25">
      <c r="D183" s="179"/>
      <c r="E183" s="179"/>
      <c r="F183" s="179"/>
      <c r="G183" s="179"/>
    </row>
    <row r="184" spans="4:7" x14ac:dyDescent="0.25">
      <c r="D184" s="179"/>
      <c r="E184" s="179"/>
      <c r="F184" s="179"/>
      <c r="G184" s="179"/>
    </row>
    <row r="185" spans="4:7" x14ac:dyDescent="0.25">
      <c r="D185" s="178"/>
      <c r="E185" s="178"/>
      <c r="F185" s="178"/>
      <c r="G185" s="178"/>
    </row>
    <row r="186" spans="4:7" x14ac:dyDescent="0.25">
      <c r="D186" s="178"/>
      <c r="E186" s="178"/>
      <c r="F186" s="178"/>
      <c r="G186" s="178"/>
    </row>
    <row r="187" spans="4:7" x14ac:dyDescent="0.25">
      <c r="D187" s="178"/>
      <c r="E187" s="178"/>
      <c r="F187" s="178"/>
      <c r="G187" s="178"/>
    </row>
    <row r="188" spans="4:7" x14ac:dyDescent="0.25">
      <c r="D188" s="178"/>
      <c r="E188" s="178"/>
      <c r="F188" s="178"/>
      <c r="G188" s="178"/>
    </row>
    <row r="189" spans="4:7" x14ac:dyDescent="0.25">
      <c r="D189" s="178"/>
      <c r="E189" s="178"/>
      <c r="F189" s="178"/>
      <c r="G189" s="178"/>
    </row>
    <row r="190" spans="4:7" x14ac:dyDescent="0.25">
      <c r="D190" s="179"/>
      <c r="E190" s="179"/>
      <c r="F190" s="179"/>
      <c r="G190" s="179"/>
    </row>
    <row r="191" spans="4:7" x14ac:dyDescent="0.25">
      <c r="D191" s="179"/>
      <c r="E191" s="179"/>
      <c r="F191" s="179"/>
      <c r="G191" s="179"/>
    </row>
    <row r="192" spans="4:7" x14ac:dyDescent="0.25">
      <c r="D192" s="179"/>
      <c r="E192" s="179"/>
      <c r="F192" s="179"/>
      <c r="G192" s="179"/>
    </row>
    <row r="193" spans="4:7" x14ac:dyDescent="0.25">
      <c r="D193" s="179"/>
      <c r="E193" s="179"/>
      <c r="F193" s="179"/>
      <c r="G193" s="179"/>
    </row>
    <row r="194" spans="4:7" x14ac:dyDescent="0.25">
      <c r="D194" s="179"/>
      <c r="E194" s="179"/>
      <c r="F194" s="179"/>
      <c r="G194" s="179"/>
    </row>
    <row r="195" spans="4:7" x14ac:dyDescent="0.25">
      <c r="D195" s="179"/>
      <c r="E195" s="179"/>
      <c r="F195" s="179"/>
      <c r="G195" s="179"/>
    </row>
    <row r="196" spans="4:7" x14ac:dyDescent="0.25">
      <c r="D196" s="179"/>
      <c r="E196" s="179"/>
      <c r="F196" s="179"/>
      <c r="G196" s="179"/>
    </row>
    <row r="197" spans="4:7" x14ac:dyDescent="0.25">
      <c r="D197" s="178"/>
      <c r="E197" s="178"/>
      <c r="F197" s="178"/>
      <c r="G197" s="178"/>
    </row>
    <row r="198" spans="4:7" x14ac:dyDescent="0.25">
      <c r="D198" s="178"/>
      <c r="E198" s="178"/>
      <c r="F198" s="178"/>
      <c r="G198" s="178"/>
    </row>
    <row r="199" spans="4:7" x14ac:dyDescent="0.25">
      <c r="D199" s="178"/>
      <c r="E199" s="178"/>
      <c r="F199" s="178"/>
      <c r="G199" s="178"/>
    </row>
    <row r="200" spans="4:7" x14ac:dyDescent="0.25">
      <c r="D200" s="178"/>
      <c r="E200" s="178"/>
      <c r="F200" s="178"/>
      <c r="G200" s="178"/>
    </row>
    <row r="201" spans="4:7" x14ac:dyDescent="0.25">
      <c r="D201" s="178"/>
      <c r="E201" s="178"/>
      <c r="F201" s="178"/>
      <c r="G201" s="178"/>
    </row>
    <row r="202" spans="4:7" x14ac:dyDescent="0.25">
      <c r="D202" s="179"/>
      <c r="E202" s="179"/>
      <c r="F202" s="179"/>
      <c r="G202" s="179"/>
    </row>
    <row r="203" spans="4:7" x14ac:dyDescent="0.25">
      <c r="D203" s="179"/>
      <c r="E203" s="179"/>
      <c r="F203" s="179"/>
      <c r="G203" s="179"/>
    </row>
    <row r="204" spans="4:7" x14ac:dyDescent="0.25">
      <c r="D204" s="179"/>
      <c r="E204" s="179"/>
      <c r="F204" s="179"/>
      <c r="G204" s="179"/>
    </row>
    <row r="205" spans="4:7" x14ac:dyDescent="0.25">
      <c r="D205" s="179"/>
      <c r="E205" s="179"/>
      <c r="F205" s="179"/>
      <c r="G205" s="179"/>
    </row>
    <row r="206" spans="4:7" x14ac:dyDescent="0.25">
      <c r="D206" s="179"/>
      <c r="E206" s="179"/>
      <c r="F206" s="179"/>
      <c r="G206" s="179"/>
    </row>
    <row r="207" spans="4:7" x14ac:dyDescent="0.25">
      <c r="D207" s="179"/>
      <c r="E207" s="179"/>
      <c r="F207" s="179"/>
      <c r="G207" s="179"/>
    </row>
    <row r="208" spans="4:7" x14ac:dyDescent="0.25">
      <c r="D208" s="179"/>
      <c r="E208" s="179"/>
      <c r="F208" s="179"/>
      <c r="G208" s="179"/>
    </row>
    <row r="209" spans="4:7" x14ac:dyDescent="0.25">
      <c r="D209" s="178"/>
      <c r="E209" s="178"/>
      <c r="F209" s="178"/>
      <c r="G209" s="178"/>
    </row>
    <row r="210" spans="4:7" x14ac:dyDescent="0.25">
      <c r="D210" s="178"/>
      <c r="E210" s="178"/>
      <c r="F210" s="178"/>
      <c r="G210" s="178"/>
    </row>
    <row r="211" spans="4:7" x14ac:dyDescent="0.25">
      <c r="D211" s="178"/>
      <c r="E211" s="178"/>
      <c r="F211" s="178"/>
      <c r="G211" s="178"/>
    </row>
    <row r="212" spans="4:7" x14ac:dyDescent="0.25">
      <c r="D212" s="178"/>
      <c r="E212" s="178"/>
      <c r="F212" s="178"/>
      <c r="G212" s="178"/>
    </row>
    <row r="213" spans="4:7" x14ac:dyDescent="0.25">
      <c r="D213" s="178"/>
      <c r="E213" s="178"/>
      <c r="F213" s="178"/>
      <c r="G213" s="178"/>
    </row>
    <row r="214" spans="4:7" x14ac:dyDescent="0.25">
      <c r="D214" s="179"/>
      <c r="E214" s="179"/>
      <c r="F214" s="179"/>
      <c r="G214" s="179"/>
    </row>
    <row r="215" spans="4:7" x14ac:dyDescent="0.25">
      <c r="D215" s="179"/>
      <c r="E215" s="179"/>
      <c r="F215" s="179"/>
      <c r="G215" s="179"/>
    </row>
    <row r="216" spans="4:7" x14ac:dyDescent="0.25">
      <c r="D216" s="179"/>
      <c r="E216" s="179"/>
      <c r="F216" s="179"/>
      <c r="G216" s="179"/>
    </row>
    <row r="217" spans="4:7" x14ac:dyDescent="0.25">
      <c r="D217" s="179"/>
      <c r="E217" s="179"/>
      <c r="F217" s="179"/>
      <c r="G217" s="179"/>
    </row>
    <row r="218" spans="4:7" x14ac:dyDescent="0.25">
      <c r="D218" s="179"/>
      <c r="E218" s="179"/>
      <c r="F218" s="179"/>
      <c r="G218" s="179"/>
    </row>
    <row r="219" spans="4:7" x14ac:dyDescent="0.25">
      <c r="D219" s="179"/>
      <c r="E219" s="179"/>
      <c r="F219" s="179"/>
      <c r="G219" s="179"/>
    </row>
    <row r="220" spans="4:7" x14ac:dyDescent="0.25">
      <c r="D220" s="179"/>
      <c r="E220" s="179"/>
      <c r="F220" s="179"/>
      <c r="G220" s="179"/>
    </row>
    <row r="221" spans="4:7" x14ac:dyDescent="0.25">
      <c r="D221" s="178"/>
      <c r="E221" s="178"/>
      <c r="F221" s="178"/>
      <c r="G221" s="178"/>
    </row>
    <row r="222" spans="4:7" x14ac:dyDescent="0.25">
      <c r="D222" s="178"/>
      <c r="E222" s="178"/>
      <c r="F222" s="178"/>
      <c r="G222" s="178"/>
    </row>
    <row r="223" spans="4:7" x14ac:dyDescent="0.25">
      <c r="D223" s="178"/>
      <c r="E223" s="178"/>
      <c r="F223" s="178"/>
      <c r="G223" s="178"/>
    </row>
    <row r="224" spans="4:7" x14ac:dyDescent="0.25">
      <c r="D224" s="178"/>
      <c r="E224" s="178"/>
      <c r="F224" s="178"/>
      <c r="G224" s="178"/>
    </row>
    <row r="225" spans="4:7" x14ac:dyDescent="0.25">
      <c r="D225" s="178"/>
      <c r="E225" s="178"/>
      <c r="F225" s="178"/>
      <c r="G225" s="178"/>
    </row>
    <row r="226" spans="4:7" x14ac:dyDescent="0.25">
      <c r="D226" s="179"/>
      <c r="E226" s="179"/>
      <c r="F226" s="179"/>
      <c r="G226" s="179"/>
    </row>
    <row r="227" spans="4:7" x14ac:dyDescent="0.25">
      <c r="D227" s="179"/>
      <c r="E227" s="179"/>
      <c r="F227" s="179"/>
      <c r="G227" s="179"/>
    </row>
    <row r="228" spans="4:7" x14ac:dyDescent="0.25">
      <c r="D228" s="179"/>
      <c r="E228" s="179"/>
      <c r="F228" s="179"/>
      <c r="G228" s="179"/>
    </row>
    <row r="229" spans="4:7" x14ac:dyDescent="0.25">
      <c r="D229" s="179"/>
      <c r="E229" s="179"/>
      <c r="F229" s="179"/>
      <c r="G229" s="17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V35"/>
  <sheetViews>
    <sheetView showGridLines="0" zoomScale="85" zoomScaleNormal="85" workbookViewId="0">
      <selection activeCell="O28" sqref="O28"/>
    </sheetView>
  </sheetViews>
  <sheetFormatPr defaultColWidth="9.125" defaultRowHeight="15" x14ac:dyDescent="0.25"/>
  <cols>
    <col min="1" max="9" width="9.125" style="23"/>
    <col min="10" max="10" width="22" style="23" customWidth="1"/>
    <col min="11" max="16384" width="9.125" style="23"/>
  </cols>
  <sheetData>
    <row r="1" spans="1:22" ht="15.75" x14ac:dyDescent="0.25">
      <c r="A1" s="195"/>
      <c r="B1" s="195"/>
      <c r="C1" s="195"/>
      <c r="D1" s="195"/>
      <c r="E1" s="195"/>
      <c r="F1" s="195"/>
      <c r="G1" s="195"/>
      <c r="H1" s="195"/>
      <c r="I1" s="195"/>
      <c r="J1" s="195"/>
    </row>
    <row r="2" spans="1:22" ht="15.75" customHeight="1" x14ac:dyDescent="0.25">
      <c r="A2" s="39"/>
      <c r="B2" s="39"/>
      <c r="C2" s="39"/>
      <c r="D2" s="197" t="s">
        <v>114</v>
      </c>
      <c r="E2" s="197"/>
      <c r="F2" s="197"/>
      <c r="G2" s="197"/>
      <c r="H2" s="197"/>
      <c r="I2" s="197"/>
      <c r="J2" s="197"/>
      <c r="P2" s="197" t="s">
        <v>115</v>
      </c>
      <c r="Q2" s="197"/>
      <c r="R2" s="197"/>
      <c r="S2" s="197"/>
      <c r="T2" s="197"/>
      <c r="U2" s="197"/>
      <c r="V2" s="197"/>
    </row>
    <row r="3" spans="1:22" ht="15.75" customHeight="1" x14ac:dyDescent="0.25">
      <c r="A3" s="36"/>
      <c r="B3" s="36"/>
      <c r="C3" s="36"/>
      <c r="D3" s="36"/>
      <c r="E3" s="36"/>
      <c r="F3" s="36"/>
      <c r="G3" s="36"/>
      <c r="H3" s="36"/>
      <c r="I3" s="36"/>
      <c r="J3" s="36"/>
      <c r="K3" s="36"/>
      <c r="L3" s="36"/>
    </row>
    <row r="4" spans="1:22" ht="15.75" customHeight="1" x14ac:dyDescent="0.25">
      <c r="A4" s="36"/>
      <c r="B4" s="36"/>
      <c r="C4" s="36"/>
      <c r="D4" s="36"/>
      <c r="E4" s="36"/>
      <c r="F4" s="36"/>
      <c r="G4" s="36"/>
      <c r="H4" s="36"/>
      <c r="I4" s="36"/>
      <c r="J4" s="36"/>
      <c r="K4" s="36"/>
      <c r="L4" s="36"/>
    </row>
    <row r="5" spans="1:22" ht="15.75" customHeight="1" x14ac:dyDescent="0.25">
      <c r="A5" s="36"/>
      <c r="B5" s="36"/>
      <c r="C5" s="36"/>
      <c r="D5" s="36"/>
      <c r="E5" s="36"/>
      <c r="F5" s="36"/>
      <c r="G5" s="36"/>
      <c r="H5" s="36"/>
      <c r="I5" s="36"/>
      <c r="J5" s="36"/>
      <c r="K5" s="36"/>
      <c r="L5" s="36"/>
    </row>
    <row r="6" spans="1:22" ht="15.75" customHeight="1" x14ac:dyDescent="0.25">
      <c r="A6" s="36"/>
      <c r="B6" s="36"/>
      <c r="C6" s="36"/>
      <c r="D6" s="36"/>
      <c r="E6" s="36"/>
      <c r="F6"/>
      <c r="G6" s="36"/>
      <c r="H6" s="36"/>
      <c r="I6" s="36"/>
      <c r="J6" s="36"/>
      <c r="K6" s="36"/>
      <c r="L6" s="36"/>
    </row>
    <row r="7" spans="1:22" ht="15.75" customHeight="1" x14ac:dyDescent="0.25">
      <c r="A7" s="36"/>
      <c r="B7" s="36"/>
      <c r="C7" s="36"/>
      <c r="D7" s="36"/>
      <c r="E7" s="36"/>
      <c r="F7" s="36"/>
      <c r="G7" s="36"/>
      <c r="H7" s="36"/>
      <c r="I7" s="36"/>
      <c r="J7" s="36"/>
      <c r="K7" s="36"/>
      <c r="L7" s="36"/>
    </row>
    <row r="8" spans="1:22" ht="15.75" customHeight="1" x14ac:dyDescent="0.25">
      <c r="A8" s="36"/>
      <c r="B8" s="36"/>
      <c r="C8" s="36"/>
      <c r="D8" s="36"/>
      <c r="E8" s="36"/>
      <c r="F8" s="36"/>
      <c r="G8" s="36"/>
      <c r="H8" s="36"/>
      <c r="I8" s="36"/>
      <c r="J8" s="36"/>
      <c r="K8" s="36"/>
      <c r="L8" s="36"/>
    </row>
    <row r="9" spans="1:22" ht="15.75" customHeight="1" x14ac:dyDescent="0.25">
      <c r="A9" s="36"/>
      <c r="B9" s="36"/>
      <c r="C9" s="36"/>
      <c r="D9" s="36"/>
      <c r="E9" s="36"/>
      <c r="F9" s="36"/>
      <c r="G9" s="36"/>
      <c r="H9" s="36"/>
      <c r="I9" s="36"/>
      <c r="J9" s="36"/>
      <c r="K9" s="36"/>
      <c r="L9" s="36"/>
    </row>
    <row r="10" spans="1:22" ht="15.75" customHeight="1" x14ac:dyDescent="0.25">
      <c r="A10" s="36"/>
      <c r="B10" s="36"/>
      <c r="C10" s="36"/>
      <c r="D10" s="36"/>
      <c r="E10" s="36"/>
      <c r="F10" s="36"/>
      <c r="G10" s="36"/>
      <c r="H10" s="36"/>
      <c r="I10" s="36"/>
      <c r="J10" s="36"/>
      <c r="K10" s="36"/>
      <c r="L10" s="36"/>
    </row>
    <row r="11" spans="1:22" ht="15.75" customHeight="1" x14ac:dyDescent="0.25">
      <c r="A11" s="36"/>
      <c r="B11" s="36"/>
      <c r="C11" s="36"/>
      <c r="D11" s="36"/>
      <c r="E11" s="36"/>
      <c r="F11" s="36"/>
      <c r="G11" s="36"/>
      <c r="H11" s="36"/>
      <c r="I11" s="36"/>
      <c r="J11" s="36"/>
      <c r="K11" s="36"/>
      <c r="L11" s="36"/>
    </row>
    <row r="12" spans="1:22" ht="15.75" customHeight="1" x14ac:dyDescent="0.25">
      <c r="A12" s="36"/>
      <c r="B12" s="36"/>
      <c r="C12" s="36"/>
      <c r="D12" s="36"/>
      <c r="E12" s="36"/>
      <c r="F12" s="36"/>
      <c r="G12" s="36"/>
      <c r="H12" s="36"/>
      <c r="I12" s="36"/>
      <c r="J12" s="36"/>
      <c r="K12" s="36"/>
      <c r="L12" s="36"/>
    </row>
    <row r="13" spans="1:22" ht="15.75" customHeight="1" x14ac:dyDescent="0.25">
      <c r="A13" s="36"/>
      <c r="B13" s="36"/>
      <c r="C13" s="36"/>
      <c r="D13" s="36"/>
      <c r="E13" s="36"/>
      <c r="F13" s="36"/>
      <c r="G13" s="36"/>
      <c r="H13" s="36"/>
      <c r="I13" s="36"/>
      <c r="J13" s="36"/>
      <c r="K13" s="36"/>
      <c r="L13" s="36"/>
    </row>
    <row r="14" spans="1:22" ht="15" customHeight="1" x14ac:dyDescent="0.25">
      <c r="A14" s="36"/>
      <c r="B14" s="36"/>
      <c r="C14" s="36"/>
      <c r="D14" s="36"/>
      <c r="E14" s="36"/>
      <c r="F14" s="36"/>
      <c r="G14" s="36"/>
      <c r="H14" s="36"/>
      <c r="I14" s="36"/>
      <c r="J14" s="36"/>
      <c r="K14" s="36"/>
      <c r="L14" s="36"/>
    </row>
    <row r="15" spans="1:22" ht="15" customHeight="1" x14ac:dyDescent="0.25">
      <c r="A15" s="36"/>
      <c r="B15" s="36"/>
      <c r="C15" s="36"/>
      <c r="D15" s="36"/>
      <c r="E15" s="36"/>
      <c r="F15" s="36"/>
      <c r="G15" s="36"/>
      <c r="H15" s="36"/>
      <c r="I15" s="36"/>
      <c r="J15" s="36"/>
      <c r="K15" s="36"/>
      <c r="L15" s="36"/>
    </row>
    <row r="16" spans="1:22" ht="15" customHeight="1" x14ac:dyDescent="0.25">
      <c r="A16" s="36"/>
      <c r="B16" s="36"/>
      <c r="C16" s="36"/>
      <c r="D16" s="36"/>
      <c r="E16" s="36"/>
      <c r="F16" s="36"/>
      <c r="G16" s="36"/>
      <c r="H16" s="36"/>
      <c r="I16" s="36"/>
      <c r="J16" s="36"/>
      <c r="K16" s="36"/>
      <c r="L16" s="36"/>
    </row>
    <row r="17" spans="1:12" ht="15" customHeight="1" x14ac:dyDescent="0.25">
      <c r="A17" s="36"/>
      <c r="B17" s="36"/>
      <c r="C17" s="36"/>
      <c r="D17" s="36"/>
      <c r="E17" s="36"/>
      <c r="F17" s="36"/>
      <c r="G17" s="36"/>
      <c r="H17" s="36"/>
      <c r="I17" s="36"/>
      <c r="J17" s="36"/>
      <c r="K17" s="36"/>
      <c r="L17" s="36"/>
    </row>
    <row r="18" spans="1:12" ht="15" customHeight="1" x14ac:dyDescent="0.25">
      <c r="A18" s="36"/>
      <c r="B18" s="36"/>
      <c r="C18" s="36"/>
      <c r="D18" s="36"/>
      <c r="E18" s="36"/>
      <c r="F18" s="36"/>
      <c r="G18" s="36"/>
      <c r="H18" s="36"/>
      <c r="I18" s="36"/>
      <c r="J18" s="36"/>
      <c r="K18" s="36"/>
      <c r="L18" s="36"/>
    </row>
    <row r="19" spans="1:12" ht="15" customHeight="1" x14ac:dyDescent="0.25">
      <c r="A19" s="36"/>
      <c r="B19" s="36"/>
      <c r="C19" s="36"/>
      <c r="D19" s="36"/>
      <c r="E19" s="36"/>
      <c r="F19" s="36"/>
      <c r="G19" s="36"/>
      <c r="H19" s="36"/>
      <c r="I19" s="36"/>
      <c r="J19" s="36"/>
      <c r="K19" s="36"/>
      <c r="L19" s="36"/>
    </row>
    <row r="20" spans="1:12" ht="15" customHeight="1" x14ac:dyDescent="0.25">
      <c r="A20" s="36"/>
      <c r="B20" s="36"/>
      <c r="C20" s="36"/>
      <c r="D20" s="36"/>
      <c r="E20" s="36"/>
      <c r="F20" s="36"/>
      <c r="G20" s="36"/>
      <c r="H20" s="36"/>
      <c r="I20" s="36"/>
      <c r="J20" s="36"/>
      <c r="K20" s="36"/>
      <c r="L20" s="36"/>
    </row>
    <row r="21" spans="1:12" ht="15" customHeight="1" x14ac:dyDescent="0.25">
      <c r="A21" s="36"/>
      <c r="B21" s="36"/>
      <c r="C21" s="36"/>
      <c r="D21" s="36"/>
      <c r="E21" s="36"/>
      <c r="F21" s="36"/>
      <c r="G21" s="36"/>
      <c r="H21" s="36"/>
      <c r="I21" s="36"/>
      <c r="J21" s="36"/>
      <c r="K21" s="36"/>
      <c r="L21" s="36"/>
    </row>
    <row r="22" spans="1:12" ht="15" customHeight="1" x14ac:dyDescent="0.25">
      <c r="A22" s="36"/>
      <c r="B22" s="36"/>
      <c r="C22" s="36"/>
      <c r="D22" s="36"/>
      <c r="E22" s="36"/>
      <c r="F22" s="36"/>
      <c r="G22" s="36"/>
      <c r="H22" s="36"/>
      <c r="I22" s="36"/>
      <c r="J22" s="36"/>
      <c r="K22" s="36"/>
      <c r="L22" s="36"/>
    </row>
    <row r="23" spans="1:12" ht="15" customHeight="1" x14ac:dyDescent="0.25">
      <c r="A23" s="36"/>
      <c r="B23" s="36"/>
      <c r="C23" s="36"/>
      <c r="D23" s="36"/>
      <c r="E23" s="36"/>
      <c r="F23" s="36"/>
      <c r="G23" s="36"/>
      <c r="H23" s="36"/>
      <c r="I23" s="36"/>
      <c r="J23" s="36"/>
      <c r="K23" s="36"/>
      <c r="L23" s="36"/>
    </row>
    <row r="24" spans="1:12" ht="15" customHeight="1" x14ac:dyDescent="0.25">
      <c r="A24" s="36"/>
      <c r="B24" s="36"/>
      <c r="C24" s="36"/>
      <c r="D24" s="36"/>
      <c r="E24" s="36"/>
      <c r="F24" s="36"/>
      <c r="G24" s="36"/>
      <c r="H24" s="36"/>
      <c r="I24" s="36"/>
      <c r="J24" s="36"/>
      <c r="K24" s="36"/>
      <c r="L24" s="36"/>
    </row>
    <row r="25" spans="1:12" ht="15" customHeight="1" x14ac:dyDescent="0.25">
      <c r="A25" s="36"/>
      <c r="B25" s="36"/>
      <c r="C25" s="36"/>
      <c r="D25" s="36"/>
      <c r="E25" s="36"/>
      <c r="F25" s="36"/>
      <c r="G25" s="36"/>
      <c r="H25" s="36"/>
      <c r="I25" s="36"/>
      <c r="J25" s="36"/>
      <c r="K25" s="36"/>
      <c r="L25" s="36"/>
    </row>
    <row r="26" spans="1:12" ht="15" customHeight="1" x14ac:dyDescent="0.25">
      <c r="A26" s="36"/>
      <c r="B26" s="36"/>
      <c r="C26" s="36"/>
      <c r="D26" s="36"/>
      <c r="E26" s="36"/>
      <c r="F26" s="36"/>
      <c r="G26" s="36"/>
      <c r="H26" s="36"/>
      <c r="I26" s="36"/>
      <c r="J26" s="36"/>
      <c r="K26" s="36"/>
      <c r="L26" s="36"/>
    </row>
    <row r="27" spans="1:12" ht="15" customHeight="1" x14ac:dyDescent="0.25">
      <c r="A27" s="36"/>
      <c r="B27" s="36"/>
      <c r="C27" s="36"/>
      <c r="D27" s="36"/>
      <c r="E27" s="36"/>
      <c r="F27" s="36"/>
      <c r="G27" s="36"/>
      <c r="H27" s="36"/>
      <c r="I27" s="36"/>
      <c r="J27" s="36"/>
      <c r="K27" s="36"/>
      <c r="L27" s="36"/>
    </row>
    <row r="28" spans="1:12" ht="15" customHeight="1" x14ac:dyDescent="0.25">
      <c r="A28" s="36"/>
      <c r="B28" s="36"/>
      <c r="C28" s="36"/>
      <c r="D28" s="36"/>
      <c r="E28" s="36"/>
      <c r="F28" s="36"/>
      <c r="G28" s="36"/>
      <c r="H28" s="36"/>
      <c r="I28" s="36"/>
      <c r="J28" s="36"/>
      <c r="K28" s="36"/>
      <c r="L28" s="36"/>
    </row>
    <row r="29" spans="1:12" ht="15" customHeight="1" x14ac:dyDescent="0.25">
      <c r="A29" s="36"/>
      <c r="B29" s="36"/>
      <c r="C29" s="36"/>
      <c r="D29" s="36"/>
      <c r="E29" s="36"/>
      <c r="F29" s="36"/>
      <c r="G29" s="36"/>
      <c r="H29" s="36"/>
      <c r="I29" s="36"/>
      <c r="J29" s="36"/>
      <c r="K29" s="36"/>
      <c r="L29" s="36"/>
    </row>
    <row r="30" spans="1:12" ht="15" customHeight="1" x14ac:dyDescent="0.25">
      <c r="A30" s="36"/>
      <c r="B30" s="36"/>
      <c r="C30" s="36"/>
      <c r="D30" s="36"/>
      <c r="E30" s="36"/>
      <c r="F30" s="36"/>
      <c r="G30" s="36"/>
      <c r="H30" s="36"/>
      <c r="I30" s="36"/>
      <c r="J30" s="36"/>
      <c r="K30" s="36"/>
      <c r="L30" s="36"/>
    </row>
    <row r="31" spans="1:12" ht="15" customHeight="1" x14ac:dyDescent="0.25">
      <c r="A31" s="36"/>
      <c r="B31" s="36"/>
      <c r="C31" s="36"/>
      <c r="D31" s="36"/>
      <c r="E31" s="36"/>
      <c r="F31" s="36"/>
      <c r="G31" s="36"/>
      <c r="H31" s="36"/>
      <c r="I31" s="36"/>
      <c r="J31" s="36"/>
      <c r="K31" s="36"/>
      <c r="L31" s="36"/>
    </row>
    <row r="32" spans="1:12" ht="15" customHeight="1" x14ac:dyDescent="0.25">
      <c r="A32" s="36"/>
      <c r="B32" s="36"/>
      <c r="C32" s="36"/>
      <c r="D32" s="36"/>
      <c r="E32" s="36"/>
      <c r="F32" s="36"/>
      <c r="G32" s="36"/>
      <c r="H32" s="36"/>
      <c r="I32" s="36"/>
      <c r="J32" s="36"/>
      <c r="K32" s="36"/>
      <c r="L32" s="36"/>
    </row>
    <row r="33" spans="1:12" ht="15" customHeight="1" x14ac:dyDescent="0.25">
      <c r="A33" s="36"/>
      <c r="B33" s="36"/>
      <c r="C33" s="36"/>
      <c r="D33" s="36"/>
      <c r="E33" s="36"/>
      <c r="F33" s="36"/>
      <c r="G33" s="36"/>
      <c r="H33" s="36"/>
      <c r="I33" s="36"/>
      <c r="J33" s="36"/>
      <c r="K33" s="36"/>
      <c r="L33" s="36"/>
    </row>
    <row r="34" spans="1:12" ht="15" customHeight="1" x14ac:dyDescent="0.25">
      <c r="A34" s="36"/>
      <c r="B34" s="36"/>
      <c r="C34" s="36"/>
      <c r="D34" s="36"/>
      <c r="E34" s="36"/>
      <c r="F34" s="36"/>
      <c r="G34" s="36"/>
      <c r="H34" s="36"/>
      <c r="I34" s="36"/>
      <c r="J34" s="36"/>
      <c r="K34" s="36"/>
      <c r="L34" s="36"/>
    </row>
    <row r="35" spans="1:12" ht="15" customHeight="1" x14ac:dyDescent="0.25">
      <c r="A35" s="36"/>
      <c r="B35" s="36"/>
      <c r="C35" s="36"/>
      <c r="D35" s="36"/>
      <c r="E35" s="36"/>
      <c r="F35" s="36"/>
      <c r="G35" s="36"/>
      <c r="H35" s="36"/>
      <c r="I35" s="36"/>
      <c r="J35" s="36"/>
      <c r="K35" s="36"/>
      <c r="L35" s="36"/>
    </row>
  </sheetData>
  <mergeCells count="3">
    <mergeCell ref="A1:J1"/>
    <mergeCell ref="D2:J2"/>
    <mergeCell ref="P2:V2"/>
  </mergeCells>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54278" r:id="rId4">
          <objectPr defaultSize="0" autoPict="0" r:id="rId5">
            <anchor moveWithCells="1">
              <from>
                <xdr:col>1</xdr:col>
                <xdr:colOff>47625</xdr:colOff>
                <xdr:row>3</xdr:row>
                <xdr:rowOff>0</xdr:rowOff>
              </from>
              <to>
                <xdr:col>11</xdr:col>
                <xdr:colOff>495300</xdr:colOff>
                <xdr:row>52</xdr:row>
                <xdr:rowOff>180975</xdr:rowOff>
              </to>
            </anchor>
          </objectPr>
        </oleObject>
      </mc:Choice>
      <mc:Fallback>
        <oleObject progId="Visio.Drawing.15" shapeId="54278" r:id="rId4"/>
      </mc:Fallback>
    </mc:AlternateContent>
  </oleObjec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E25"/>
  <sheetViews>
    <sheetView workbookViewId="0">
      <selection sqref="A1:XFD1048576"/>
    </sheetView>
  </sheetViews>
  <sheetFormatPr defaultRowHeight="15" x14ac:dyDescent="0.25"/>
  <cols>
    <col min="3" max="3" width="17.625" customWidth="1"/>
  </cols>
  <sheetData>
    <row r="1" spans="1:5" x14ac:dyDescent="0.25">
      <c r="A1" s="21"/>
      <c r="B1" s="21"/>
      <c r="C1" s="21"/>
      <c r="D1" s="21"/>
      <c r="E1" s="21"/>
    </row>
    <row r="2" spans="1:5" x14ac:dyDescent="0.25">
      <c r="A2" s="23"/>
      <c r="B2" s="23"/>
      <c r="C2" s="23"/>
      <c r="D2" s="150"/>
      <c r="E2" s="25"/>
    </row>
    <row r="3" spans="1:5" x14ac:dyDescent="0.25">
      <c r="A3" s="23"/>
      <c r="B3" s="23"/>
      <c r="C3" s="23"/>
      <c r="D3" s="150"/>
      <c r="E3" s="25"/>
    </row>
    <row r="4" spans="1:5" x14ac:dyDescent="0.25">
      <c r="A4" s="23"/>
      <c r="B4" s="23"/>
      <c r="C4" s="23"/>
      <c r="D4" s="150"/>
      <c r="E4" s="25"/>
    </row>
    <row r="5" spans="1:5" x14ac:dyDescent="0.25">
      <c r="A5" s="23"/>
      <c r="B5" s="23"/>
      <c r="C5" s="23"/>
      <c r="D5" s="150"/>
      <c r="E5" s="25"/>
    </row>
    <row r="6" spans="1:5" x14ac:dyDescent="0.25">
      <c r="A6" s="23"/>
      <c r="B6" s="23"/>
      <c r="C6" s="23"/>
      <c r="D6" s="150"/>
      <c r="E6" s="25"/>
    </row>
    <row r="7" spans="1:5" x14ac:dyDescent="0.25">
      <c r="A7" s="23"/>
      <c r="B7" s="23"/>
      <c r="C7" s="23"/>
      <c r="D7" s="150"/>
      <c r="E7" s="25"/>
    </row>
    <row r="8" spans="1:5" x14ac:dyDescent="0.25">
      <c r="A8" s="23"/>
      <c r="B8" s="23"/>
      <c r="C8" s="23"/>
      <c r="D8" s="151"/>
      <c r="E8" s="151"/>
    </row>
    <row r="9" spans="1:5" x14ac:dyDescent="0.25">
      <c r="A9" s="23"/>
      <c r="B9" s="23"/>
      <c r="C9" s="23"/>
      <c r="D9" s="151"/>
      <c r="E9" s="151"/>
    </row>
    <row r="10" spans="1:5" x14ac:dyDescent="0.25">
      <c r="A10" s="23"/>
      <c r="B10" s="23"/>
      <c r="C10" s="23"/>
      <c r="D10" s="151"/>
      <c r="E10" s="151"/>
    </row>
    <row r="11" spans="1:5" x14ac:dyDescent="0.25">
      <c r="A11" s="23"/>
      <c r="B11" s="23"/>
      <c r="C11" s="23"/>
      <c r="D11" s="151"/>
      <c r="E11" s="151"/>
    </row>
    <row r="12" spans="1:5" x14ac:dyDescent="0.25">
      <c r="A12" s="23"/>
      <c r="B12" s="23"/>
      <c r="C12" s="23"/>
      <c r="D12" s="151"/>
      <c r="E12" s="151"/>
    </row>
    <row r="13" spans="1:5" x14ac:dyDescent="0.25">
      <c r="A13" s="23"/>
      <c r="B13" s="23"/>
      <c r="C13" s="23"/>
      <c r="D13" s="151"/>
      <c r="E13" s="151"/>
    </row>
    <row r="14" spans="1:5" x14ac:dyDescent="0.25">
      <c r="A14" s="23"/>
      <c r="B14" s="23"/>
      <c r="C14" s="23"/>
      <c r="D14" s="150"/>
      <c r="E14" s="25"/>
    </row>
    <row r="15" spans="1:5" x14ac:dyDescent="0.25">
      <c r="A15" s="23"/>
      <c r="B15" s="23"/>
      <c r="C15" s="23"/>
      <c r="D15" s="150"/>
      <c r="E15" s="25"/>
    </row>
    <row r="16" spans="1:5" x14ac:dyDescent="0.25">
      <c r="A16" s="23"/>
      <c r="B16" s="23"/>
      <c r="C16" s="23"/>
      <c r="D16" s="150"/>
      <c r="E16" s="25"/>
    </row>
    <row r="17" spans="1:5" x14ac:dyDescent="0.25">
      <c r="A17" s="23"/>
      <c r="B17" s="23"/>
      <c r="C17" s="23"/>
      <c r="D17" s="150"/>
      <c r="E17" s="25"/>
    </row>
    <row r="18" spans="1:5" x14ac:dyDescent="0.25">
      <c r="A18" s="23"/>
      <c r="B18" s="23"/>
      <c r="C18" s="23"/>
      <c r="D18" s="150"/>
      <c r="E18" s="25"/>
    </row>
    <row r="19" spans="1:5" x14ac:dyDescent="0.25">
      <c r="A19" s="23"/>
      <c r="B19" s="23"/>
      <c r="C19" s="23"/>
      <c r="D19" s="150"/>
      <c r="E19" s="25"/>
    </row>
    <row r="20" spans="1:5" x14ac:dyDescent="0.25">
      <c r="A20" s="23"/>
      <c r="B20" s="23"/>
      <c r="C20" s="23"/>
      <c r="D20" s="151"/>
      <c r="E20" s="151"/>
    </row>
    <row r="21" spans="1:5" x14ac:dyDescent="0.25">
      <c r="A21" s="23"/>
      <c r="B21" s="23"/>
      <c r="C21" s="23"/>
      <c r="D21" s="151"/>
      <c r="E21" s="151"/>
    </row>
    <row r="22" spans="1:5" x14ac:dyDescent="0.25">
      <c r="A22" s="23"/>
      <c r="B22" s="23"/>
      <c r="C22" s="23"/>
      <c r="D22" s="151"/>
      <c r="E22" s="151"/>
    </row>
    <row r="23" spans="1:5" x14ac:dyDescent="0.25">
      <c r="A23" s="23"/>
      <c r="B23" s="23"/>
      <c r="C23" s="23"/>
      <c r="D23" s="151"/>
      <c r="E23" s="151"/>
    </row>
    <row r="24" spans="1:5" x14ac:dyDescent="0.25">
      <c r="A24" s="23"/>
      <c r="B24" s="23"/>
      <c r="C24" s="23"/>
      <c r="D24" s="151"/>
      <c r="E24" s="151"/>
    </row>
    <row r="25" spans="1:5" x14ac:dyDescent="0.25">
      <c r="A25" s="23"/>
      <c r="B25" s="23"/>
      <c r="C25" s="23"/>
      <c r="D25" s="151"/>
      <c r="E25" s="15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21"/>
  <sheetViews>
    <sheetView workbookViewId="0">
      <selection activeCell="A2" sqref="A2:C19"/>
    </sheetView>
  </sheetViews>
  <sheetFormatPr defaultRowHeight="15" x14ac:dyDescent="0.25"/>
  <sheetData>
    <row r="1" spans="1:8" x14ac:dyDescent="0.25">
      <c r="A1" t="s">
        <v>32</v>
      </c>
      <c r="B1" t="s">
        <v>33</v>
      </c>
      <c r="C1">
        <v>14090</v>
      </c>
    </row>
    <row r="3" spans="1:8" x14ac:dyDescent="0.25">
      <c r="G3" s="23"/>
      <c r="H3" s="23"/>
    </row>
    <row r="4" spans="1:8" x14ac:dyDescent="0.25">
      <c r="G4" s="23"/>
      <c r="H4" s="23"/>
    </row>
    <row r="5" spans="1:8" x14ac:dyDescent="0.25">
      <c r="A5" s="23"/>
      <c r="B5" s="23"/>
      <c r="C5" s="23"/>
      <c r="G5" s="23"/>
      <c r="H5" s="23"/>
    </row>
    <row r="6" spans="1:8" x14ac:dyDescent="0.25">
      <c r="A6" s="23"/>
      <c r="B6" s="23"/>
      <c r="C6" s="23"/>
      <c r="G6" s="23"/>
      <c r="H6" s="23"/>
    </row>
    <row r="7" spans="1:8" x14ac:dyDescent="0.25">
      <c r="A7" s="23"/>
      <c r="B7" s="23"/>
      <c r="C7" s="23"/>
    </row>
    <row r="8" spans="1:8" x14ac:dyDescent="0.25">
      <c r="A8" s="23"/>
      <c r="B8" s="23"/>
      <c r="C8" s="23"/>
    </row>
    <row r="9" spans="1:8" x14ac:dyDescent="0.25">
      <c r="A9" s="23"/>
      <c r="B9" s="23"/>
      <c r="C9" s="23"/>
      <c r="G9" s="23"/>
      <c r="H9" s="23"/>
    </row>
    <row r="10" spans="1:8" x14ac:dyDescent="0.25">
      <c r="A10" s="23"/>
      <c r="B10" s="23"/>
      <c r="C10" s="23"/>
      <c r="G10" s="23"/>
      <c r="H10" s="23"/>
    </row>
    <row r="11" spans="1:8" x14ac:dyDescent="0.25">
      <c r="A11" s="23"/>
      <c r="B11" s="23"/>
      <c r="C11" s="23"/>
    </row>
    <row r="12" spans="1:8" x14ac:dyDescent="0.25">
      <c r="A12" s="23"/>
      <c r="B12" s="23"/>
      <c r="C12" s="23"/>
    </row>
    <row r="13" spans="1:8" x14ac:dyDescent="0.25">
      <c r="A13" s="23"/>
      <c r="B13" s="23"/>
      <c r="C13" s="23"/>
    </row>
    <row r="14" spans="1:8" x14ac:dyDescent="0.25">
      <c r="A14" s="23"/>
      <c r="B14" s="23"/>
      <c r="C14" s="23"/>
    </row>
    <row r="15" spans="1:8" x14ac:dyDescent="0.25">
      <c r="A15" s="23"/>
      <c r="B15" s="23"/>
      <c r="C15" s="23"/>
      <c r="G15" s="23"/>
      <c r="H15" s="23"/>
    </row>
    <row r="16" spans="1:8" x14ac:dyDescent="0.25">
      <c r="A16" s="23"/>
      <c r="B16" s="23"/>
      <c r="C16" s="23"/>
    </row>
    <row r="17" spans="1:8" x14ac:dyDescent="0.25">
      <c r="A17" s="23"/>
      <c r="B17" s="23"/>
      <c r="C17" s="23"/>
    </row>
    <row r="18" spans="1:8" x14ac:dyDescent="0.25">
      <c r="A18" s="23"/>
      <c r="B18" s="23"/>
      <c r="C18" s="23"/>
    </row>
    <row r="19" spans="1:8" x14ac:dyDescent="0.25">
      <c r="C19" s="23"/>
    </row>
    <row r="21" spans="1:8" x14ac:dyDescent="0.25">
      <c r="F21" s="23"/>
      <c r="G21" s="23"/>
      <c r="H21" s="2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12"/>
  <sheetViews>
    <sheetView workbookViewId="0">
      <selection sqref="A1:D24"/>
    </sheetView>
  </sheetViews>
  <sheetFormatPr defaultRowHeight="15" x14ac:dyDescent="0.25"/>
  <cols>
    <col min="1" max="1" width="9.125" style="23"/>
    <col min="4" max="4" width="17.625" customWidth="1"/>
  </cols>
  <sheetData>
    <row r="1" spans="2:4" x14ac:dyDescent="0.25">
      <c r="B1" s="23"/>
      <c r="D1" s="9"/>
    </row>
    <row r="2" spans="2:4" x14ac:dyDescent="0.25">
      <c r="B2" s="23"/>
      <c r="D2" s="9"/>
    </row>
    <row r="3" spans="2:4" x14ac:dyDescent="0.25">
      <c r="B3" s="23"/>
      <c r="D3" s="9"/>
    </row>
    <row r="4" spans="2:4" x14ac:dyDescent="0.25">
      <c r="B4" s="23"/>
      <c r="D4" s="9"/>
    </row>
    <row r="5" spans="2:4" x14ac:dyDescent="0.25">
      <c r="B5" s="23"/>
      <c r="D5" s="9"/>
    </row>
    <row r="6" spans="2:4" x14ac:dyDescent="0.25">
      <c r="B6" s="23"/>
      <c r="D6" s="9"/>
    </row>
    <row r="7" spans="2:4" x14ac:dyDescent="0.25">
      <c r="B7" s="23"/>
      <c r="D7" s="9"/>
    </row>
    <row r="8" spans="2:4" x14ac:dyDescent="0.25">
      <c r="B8" s="23"/>
      <c r="D8" s="9"/>
    </row>
    <row r="9" spans="2:4" x14ac:dyDescent="0.25">
      <c r="B9" s="23"/>
      <c r="D9" s="9"/>
    </row>
    <row r="10" spans="2:4" x14ac:dyDescent="0.25">
      <c r="B10" s="23"/>
      <c r="D10" s="9"/>
    </row>
    <row r="11" spans="2:4" x14ac:dyDescent="0.25">
      <c r="B11" s="23"/>
      <c r="D11" s="9"/>
    </row>
    <row r="12" spans="2:4" x14ac:dyDescent="0.25">
      <c r="B12" s="23"/>
      <c r="D12" s="9"/>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N45"/>
  <sheetViews>
    <sheetView zoomScaleNormal="100" workbookViewId="0">
      <selection activeCell="J21" sqref="J21"/>
    </sheetView>
  </sheetViews>
  <sheetFormatPr defaultRowHeight="15" x14ac:dyDescent="0.25"/>
  <sheetData>
    <row r="1" spans="1:14" x14ac:dyDescent="0.25">
      <c r="C1" t="s">
        <v>19</v>
      </c>
      <c r="D1" t="s">
        <v>20</v>
      </c>
      <c r="E1" t="s">
        <v>21</v>
      </c>
      <c r="F1" t="s">
        <v>22</v>
      </c>
      <c r="G1" t="s">
        <v>23</v>
      </c>
      <c r="H1" t="s">
        <v>24</v>
      </c>
      <c r="I1" t="s">
        <v>25</v>
      </c>
      <c r="J1" t="s">
        <v>26</v>
      </c>
      <c r="K1" t="s">
        <v>27</v>
      </c>
      <c r="L1" t="s">
        <v>28</v>
      </c>
      <c r="M1" t="s">
        <v>29</v>
      </c>
      <c r="N1" t="s">
        <v>30</v>
      </c>
    </row>
    <row r="2" spans="1:14" x14ac:dyDescent="0.25">
      <c r="A2" t="s">
        <v>32</v>
      </c>
      <c r="B2" t="s">
        <v>33</v>
      </c>
      <c r="C2">
        <v>0</v>
      </c>
      <c r="D2">
        <v>0</v>
      </c>
      <c r="E2">
        <v>0</v>
      </c>
      <c r="F2">
        <v>0</v>
      </c>
      <c r="G2">
        <v>0</v>
      </c>
      <c r="H2">
        <v>0</v>
      </c>
      <c r="I2">
        <v>0</v>
      </c>
      <c r="J2">
        <v>0</v>
      </c>
      <c r="K2">
        <v>0</v>
      </c>
      <c r="L2">
        <v>0</v>
      </c>
      <c r="M2">
        <v>0</v>
      </c>
      <c r="N2">
        <v>0</v>
      </c>
    </row>
    <row r="30" spans="3:14" x14ac:dyDescent="0.25">
      <c r="C30" s="11"/>
      <c r="D30" s="11"/>
      <c r="E30" s="11"/>
      <c r="F30" s="11"/>
      <c r="G30" s="11"/>
      <c r="H30" s="11"/>
      <c r="I30" s="11"/>
      <c r="J30" s="11"/>
      <c r="K30" s="11"/>
      <c r="L30" s="11"/>
      <c r="M30" s="11"/>
      <c r="N30" s="11"/>
    </row>
    <row r="31" spans="3:14" x14ac:dyDescent="0.25">
      <c r="C31" s="11"/>
      <c r="D31" s="11"/>
      <c r="E31" s="11"/>
      <c r="F31" s="11"/>
      <c r="G31" s="11"/>
      <c r="H31" s="11"/>
      <c r="I31" s="11"/>
      <c r="J31" s="11"/>
      <c r="K31" s="11"/>
      <c r="L31" s="11"/>
      <c r="M31" s="11"/>
      <c r="N31" s="11"/>
    </row>
    <row r="32" spans="3:14" x14ac:dyDescent="0.25">
      <c r="C32" s="11"/>
      <c r="D32" s="11"/>
      <c r="E32" s="11"/>
      <c r="F32" s="11"/>
      <c r="G32" s="11"/>
      <c r="H32" s="11"/>
      <c r="I32" s="11"/>
      <c r="J32" s="11"/>
      <c r="K32" s="11"/>
      <c r="L32" s="11"/>
      <c r="M32" s="11"/>
      <c r="N32" s="11"/>
    </row>
    <row r="33" spans="3:14" x14ac:dyDescent="0.25">
      <c r="C33" s="11"/>
      <c r="D33" s="11"/>
      <c r="E33" s="11"/>
      <c r="F33" s="11"/>
      <c r="G33" s="11"/>
      <c r="H33" s="11"/>
      <c r="I33" s="11"/>
      <c r="J33" s="11"/>
      <c r="K33" s="11"/>
      <c r="L33" s="11"/>
      <c r="M33" s="11"/>
      <c r="N33" s="11"/>
    </row>
    <row r="45" spans="3:14" x14ac:dyDescent="0.25">
      <c r="C45" s="10"/>
      <c r="D45" s="10"/>
      <c r="E45" s="10"/>
      <c r="F45" s="10"/>
      <c r="G45" s="10"/>
      <c r="H45" s="10"/>
      <c r="I45" s="10"/>
      <c r="J45" s="10"/>
      <c r="K45" s="10"/>
      <c r="L45" s="10"/>
      <c r="M45" s="10"/>
      <c r="N45" s="10"/>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C1"/>
  <sheetViews>
    <sheetView zoomScale="85" zoomScaleNormal="85" workbookViewId="0">
      <selection activeCell="G32" sqref="G32"/>
    </sheetView>
  </sheetViews>
  <sheetFormatPr defaultColWidth="9.125" defaultRowHeight="15" x14ac:dyDescent="0.25"/>
  <cols>
    <col min="1" max="16384" width="9.125" style="23"/>
  </cols>
  <sheetData>
    <row r="1" spans="1:3" x14ac:dyDescent="0.25">
      <c r="A1" s="23" t="s">
        <v>32</v>
      </c>
      <c r="B1" s="23" t="s">
        <v>33</v>
      </c>
      <c r="C1" s="23">
        <v>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2:M16"/>
  <sheetViews>
    <sheetView zoomScale="85" zoomScaleNormal="85" workbookViewId="0">
      <selection sqref="A1:XFD1048576"/>
    </sheetView>
  </sheetViews>
  <sheetFormatPr defaultRowHeight="15" x14ac:dyDescent="0.25"/>
  <sheetData>
    <row r="2" spans="1:13" x14ac:dyDescent="0.25">
      <c r="A2" s="8"/>
      <c r="B2" s="12"/>
      <c r="C2" s="12"/>
      <c r="D2" s="12"/>
      <c r="E2" s="23"/>
      <c r="F2" s="23"/>
      <c r="G2" s="23"/>
      <c r="H2" s="23"/>
      <c r="I2" s="23"/>
      <c r="J2" s="23"/>
      <c r="K2" s="23"/>
      <c r="L2" s="12"/>
      <c r="M2" s="12"/>
    </row>
    <row r="3" spans="1:13" x14ac:dyDescent="0.25">
      <c r="A3" s="8"/>
      <c r="B3" s="12"/>
      <c r="C3" s="12"/>
      <c r="D3" s="23"/>
      <c r="E3" s="23"/>
      <c r="F3" s="23"/>
      <c r="G3" s="23"/>
      <c r="H3" s="23"/>
      <c r="I3" s="23"/>
      <c r="J3" s="23"/>
      <c r="K3" s="23"/>
      <c r="L3" s="12"/>
      <c r="M3" s="12"/>
    </row>
    <row r="4" spans="1:13" x14ac:dyDescent="0.25">
      <c r="A4" s="8"/>
      <c r="B4" s="12"/>
      <c r="C4" s="12"/>
      <c r="D4" s="12"/>
      <c r="E4" s="23"/>
      <c r="F4" s="23"/>
      <c r="G4" s="23"/>
      <c r="H4" s="23"/>
      <c r="I4" s="23"/>
      <c r="J4" s="23"/>
      <c r="K4" s="23"/>
      <c r="L4" s="12"/>
      <c r="M4" s="12"/>
    </row>
    <row r="5" spans="1:13" x14ac:dyDescent="0.25">
      <c r="A5" s="8"/>
      <c r="B5" s="12"/>
      <c r="C5" s="12"/>
      <c r="D5" s="12"/>
      <c r="E5" s="23"/>
      <c r="F5" s="23"/>
      <c r="G5" s="23"/>
      <c r="H5" s="23"/>
      <c r="I5" s="23"/>
      <c r="J5" s="23"/>
      <c r="K5" s="23"/>
      <c r="L5" s="23"/>
      <c r="M5" s="23"/>
    </row>
    <row r="6" spans="1:13" x14ac:dyDescent="0.25">
      <c r="A6" s="8"/>
      <c r="B6" s="12"/>
      <c r="C6" s="12"/>
      <c r="D6" s="12"/>
      <c r="E6" s="23"/>
      <c r="F6" s="23"/>
      <c r="G6" s="23"/>
      <c r="H6" s="23"/>
      <c r="I6" s="23"/>
      <c r="J6" s="23"/>
      <c r="K6" s="23"/>
      <c r="L6" s="23"/>
      <c r="M6" s="23"/>
    </row>
    <row r="16" spans="1:13" x14ac:dyDescent="0.25">
      <c r="E16" s="23"/>
      <c r="F16" s="23"/>
      <c r="G16" s="23"/>
      <c r="H16" s="23"/>
      <c r="I16" s="23"/>
      <c r="J16" s="23"/>
      <c r="K16" s="2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N2"/>
  <sheetViews>
    <sheetView zoomScale="85" zoomScaleNormal="85" workbookViewId="0">
      <selection activeCell="A3" sqref="A3:N48"/>
    </sheetView>
  </sheetViews>
  <sheetFormatPr defaultColWidth="9.125" defaultRowHeight="15" x14ac:dyDescent="0.25"/>
  <cols>
    <col min="1" max="16384" width="9.125" style="23"/>
  </cols>
  <sheetData>
    <row r="1" spans="1:14" x14ac:dyDescent="0.25">
      <c r="C1" s="23" t="s">
        <v>19</v>
      </c>
      <c r="D1" s="23" t="s">
        <v>20</v>
      </c>
      <c r="E1" s="23" t="s">
        <v>21</v>
      </c>
      <c r="F1" s="23" t="s">
        <v>22</v>
      </c>
      <c r="G1" s="23" t="s">
        <v>23</v>
      </c>
      <c r="H1" s="23" t="s">
        <v>24</v>
      </c>
      <c r="I1" s="23" t="s">
        <v>25</v>
      </c>
      <c r="J1" s="23" t="s">
        <v>26</v>
      </c>
      <c r="K1" s="23" t="s">
        <v>27</v>
      </c>
      <c r="L1" s="23" t="s">
        <v>28</v>
      </c>
      <c r="M1" s="23" t="s">
        <v>29</v>
      </c>
      <c r="N1" s="23" t="s">
        <v>30</v>
      </c>
    </row>
    <row r="2" spans="1:14" x14ac:dyDescent="0.25">
      <c r="A2" s="202" t="s">
        <v>32</v>
      </c>
      <c r="B2" s="202" t="s">
        <v>33</v>
      </c>
      <c r="C2" s="23">
        <v>0</v>
      </c>
      <c r="D2" s="23">
        <v>0</v>
      </c>
      <c r="E2" s="23">
        <v>0</v>
      </c>
      <c r="F2" s="23">
        <v>0</v>
      </c>
      <c r="G2" s="23">
        <v>0</v>
      </c>
      <c r="H2" s="23">
        <v>0</v>
      </c>
      <c r="I2" s="23">
        <v>0</v>
      </c>
      <c r="J2" s="23">
        <v>0</v>
      </c>
      <c r="K2" s="23">
        <v>0</v>
      </c>
      <c r="L2" s="23">
        <v>0</v>
      </c>
      <c r="M2" s="23">
        <v>0</v>
      </c>
      <c r="N2" s="23">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
  <sheetViews>
    <sheetView workbookViewId="0">
      <selection sqref="A1:XFD1048576"/>
    </sheetView>
  </sheetViews>
  <sheetFormatPr defaultColWidth="9.125" defaultRowHeight="15" x14ac:dyDescent="0.25"/>
  <cols>
    <col min="1" max="16384" width="9.125" style="23"/>
  </cols>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D18"/>
  <sheetViews>
    <sheetView workbookViewId="0">
      <selection activeCell="I25" sqref="I25"/>
    </sheetView>
  </sheetViews>
  <sheetFormatPr defaultRowHeight="15" x14ac:dyDescent="0.25"/>
  <cols>
    <col min="2" max="2" width="11" customWidth="1"/>
  </cols>
  <sheetData>
    <row r="1" spans="1:4" x14ac:dyDescent="0.25">
      <c r="B1" s="15"/>
      <c r="C1" s="15"/>
      <c r="D1" s="15"/>
    </row>
    <row r="2" spans="1:4" x14ac:dyDescent="0.25">
      <c r="A2" s="16"/>
      <c r="B2" s="25"/>
      <c r="C2" s="25"/>
      <c r="D2" s="25"/>
    </row>
    <row r="3" spans="1:4" x14ac:dyDescent="0.25">
      <c r="A3" s="16"/>
      <c r="B3" s="25"/>
      <c r="C3" s="25"/>
      <c r="D3" s="25"/>
    </row>
    <row r="4" spans="1:4" x14ac:dyDescent="0.25">
      <c r="A4" s="16"/>
    </row>
    <row r="5" spans="1:4" x14ac:dyDescent="0.25">
      <c r="A5" s="16"/>
      <c r="B5" s="23"/>
      <c r="C5" s="23"/>
      <c r="D5" s="23"/>
    </row>
    <row r="6" spans="1:4" x14ac:dyDescent="0.25">
      <c r="A6" s="16"/>
      <c r="B6" s="23"/>
      <c r="C6" s="23"/>
      <c r="D6" s="23"/>
    </row>
    <row r="11" spans="1:4" x14ac:dyDescent="0.25">
      <c r="B11" s="23"/>
      <c r="C11" s="23"/>
      <c r="D11" s="23"/>
    </row>
    <row r="17" spans="1:4" x14ac:dyDescent="0.25">
      <c r="A17" s="23"/>
      <c r="B17" s="25"/>
      <c r="C17" s="25"/>
      <c r="D17" s="25"/>
    </row>
    <row r="18" spans="1:4" x14ac:dyDescent="0.25">
      <c r="A18" s="23"/>
      <c r="B18" s="23"/>
      <c r="C18" s="23"/>
      <c r="D18" s="23"/>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2:T9"/>
  <sheetViews>
    <sheetView workbookViewId="0">
      <selection sqref="A1:XFD1048576"/>
    </sheetView>
  </sheetViews>
  <sheetFormatPr defaultRowHeight="15" x14ac:dyDescent="0.25"/>
  <cols>
    <col min="20" max="20" width="16.625" bestFit="1" customWidth="1"/>
  </cols>
  <sheetData>
    <row r="2" spans="1:20" x14ac:dyDescent="0.25">
      <c r="A2" s="13"/>
      <c r="B2" s="23"/>
      <c r="C2" s="23"/>
      <c r="D2" s="23"/>
      <c r="E2" s="23"/>
      <c r="F2" s="23"/>
      <c r="G2" s="23"/>
      <c r="H2" s="23"/>
      <c r="I2" s="23"/>
      <c r="J2" s="23"/>
      <c r="K2" s="23"/>
      <c r="L2" s="23"/>
      <c r="M2" s="23"/>
      <c r="S2" s="14"/>
      <c r="T2" s="14"/>
    </row>
    <row r="3" spans="1:20" x14ac:dyDescent="0.25">
      <c r="A3" s="13"/>
      <c r="B3" s="23"/>
      <c r="C3" s="23"/>
      <c r="D3" s="23"/>
      <c r="E3" s="23"/>
      <c r="F3" s="23"/>
      <c r="G3" s="23"/>
      <c r="H3" s="23"/>
      <c r="I3" s="23"/>
      <c r="J3" s="23"/>
      <c r="K3" s="23"/>
      <c r="L3" s="23"/>
      <c r="M3" s="23"/>
      <c r="R3" s="23"/>
      <c r="S3" s="14"/>
      <c r="T3" s="14"/>
    </row>
    <row r="4" spans="1:20" x14ac:dyDescent="0.25">
      <c r="A4" s="13"/>
      <c r="B4" s="23"/>
      <c r="C4" s="23"/>
      <c r="D4" s="23"/>
      <c r="E4" s="23"/>
      <c r="F4" s="23"/>
      <c r="G4" s="23"/>
      <c r="H4" s="23"/>
      <c r="I4" s="23"/>
      <c r="J4" s="23"/>
      <c r="K4" s="23"/>
      <c r="L4" s="23"/>
      <c r="M4" s="23"/>
      <c r="R4" s="23"/>
      <c r="S4" s="14"/>
      <c r="T4" s="14"/>
    </row>
    <row r="5" spans="1:20" x14ac:dyDescent="0.25">
      <c r="A5" s="13"/>
      <c r="B5" s="23"/>
      <c r="C5" s="23"/>
      <c r="D5" s="23"/>
      <c r="E5" s="23"/>
      <c r="F5" s="23"/>
      <c r="G5" s="23"/>
      <c r="H5" s="23"/>
      <c r="I5" s="23"/>
      <c r="J5" s="23"/>
      <c r="K5" s="23"/>
      <c r="L5" s="23"/>
      <c r="M5" s="23"/>
      <c r="R5" s="23"/>
      <c r="S5" s="14"/>
      <c r="T5" s="14"/>
    </row>
    <row r="6" spans="1:20" x14ac:dyDescent="0.25">
      <c r="A6" s="13"/>
      <c r="B6" s="23"/>
      <c r="C6" s="23"/>
      <c r="D6" s="23"/>
      <c r="E6" s="23"/>
      <c r="F6" s="23"/>
      <c r="G6" s="23"/>
      <c r="H6" s="23"/>
      <c r="I6" s="23"/>
      <c r="J6" s="23"/>
      <c r="K6" s="23"/>
      <c r="L6" s="23"/>
      <c r="M6" s="23"/>
      <c r="R6" s="23"/>
      <c r="S6" s="14"/>
      <c r="T6" s="14"/>
    </row>
    <row r="7" spans="1:20" x14ac:dyDescent="0.25">
      <c r="A7" s="13"/>
      <c r="B7" s="23"/>
      <c r="C7" s="23"/>
      <c r="D7" s="23"/>
      <c r="E7" s="23"/>
      <c r="F7" s="23"/>
      <c r="G7" s="23"/>
      <c r="H7" s="23"/>
      <c r="I7" s="23"/>
      <c r="J7" s="23"/>
      <c r="K7" s="23"/>
      <c r="L7" s="23"/>
      <c r="M7" s="23"/>
      <c r="R7" s="23"/>
      <c r="S7" s="14"/>
      <c r="T7" s="14"/>
    </row>
    <row r="8" spans="1:20" x14ac:dyDescent="0.25">
      <c r="A8" s="13"/>
      <c r="B8" s="23"/>
      <c r="C8" s="23"/>
      <c r="D8" s="23"/>
      <c r="E8" s="23"/>
      <c r="F8" s="23"/>
      <c r="G8" s="23"/>
      <c r="H8" s="23"/>
      <c r="I8" s="23"/>
      <c r="J8" s="23"/>
      <c r="K8" s="23"/>
      <c r="L8" s="23"/>
      <c r="M8" s="23"/>
      <c r="S8" s="14"/>
      <c r="T8" s="14"/>
    </row>
    <row r="9" spans="1:20" x14ac:dyDescent="0.25">
      <c r="A9" s="13"/>
      <c r="B9" s="23"/>
      <c r="C9" s="23"/>
      <c r="D9" s="23"/>
      <c r="E9" s="23"/>
      <c r="F9" s="23"/>
      <c r="G9" s="23"/>
      <c r="H9" s="23"/>
      <c r="I9" s="23"/>
      <c r="J9" s="23"/>
      <c r="K9" s="23"/>
      <c r="L9" s="23"/>
      <c r="M9" s="23"/>
      <c r="S9" s="14"/>
      <c r="T9"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3"/>
  <sheetViews>
    <sheetView topLeftCell="A38" workbookViewId="0">
      <selection activeCell="A38" sqref="A38"/>
    </sheetView>
  </sheetViews>
  <sheetFormatPr defaultRowHeight="15" x14ac:dyDescent="0.25"/>
  <cols>
    <col min="1" max="1" width="10.125" bestFit="1" customWidth="1"/>
    <col min="2" max="2" width="10.25" bestFit="1" customWidth="1"/>
  </cols>
  <sheetData>
    <row r="1" spans="1:1" x14ac:dyDescent="0.25">
      <c r="A1" t="s">
        <v>0</v>
      </c>
    </row>
    <row r="2" spans="1:1" x14ac:dyDescent="0.25">
      <c r="A2" t="s">
        <v>1</v>
      </c>
    </row>
    <row r="3" spans="1:1" x14ac:dyDescent="0.25">
      <c r="A3" t="s">
        <v>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G5"/>
  <sheetViews>
    <sheetView workbookViewId="0">
      <selection sqref="A1:XFD1048576"/>
    </sheetView>
  </sheetViews>
  <sheetFormatPr defaultRowHeight="15" x14ac:dyDescent="0.25"/>
  <sheetData>
    <row r="1" spans="1:7" x14ac:dyDescent="0.25">
      <c r="A1" s="17"/>
      <c r="B1" s="23"/>
    </row>
    <row r="2" spans="1:7" x14ac:dyDescent="0.25">
      <c r="A2" s="17"/>
      <c r="B2" s="23"/>
    </row>
    <row r="3" spans="1:7" x14ac:dyDescent="0.25">
      <c r="A3" s="17"/>
      <c r="B3" s="23"/>
    </row>
    <row r="4" spans="1:7" x14ac:dyDescent="0.25">
      <c r="A4" s="17"/>
      <c r="B4" s="23"/>
    </row>
    <row r="5" spans="1:7" x14ac:dyDescent="0.25">
      <c r="A5" s="17"/>
      <c r="B5" s="23"/>
      <c r="G5" s="23"/>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J5"/>
  <sheetViews>
    <sheetView workbookViewId="0">
      <selection sqref="A1:XFD1048576"/>
    </sheetView>
  </sheetViews>
  <sheetFormatPr defaultRowHeight="15" x14ac:dyDescent="0.25"/>
  <sheetData>
    <row r="1" spans="1:10" x14ac:dyDescent="0.25">
      <c r="A1" s="17"/>
      <c r="B1" s="23"/>
    </row>
    <row r="2" spans="1:10" x14ac:dyDescent="0.25">
      <c r="A2" s="17"/>
      <c r="B2" s="23"/>
    </row>
    <row r="3" spans="1:10" x14ac:dyDescent="0.25">
      <c r="A3" s="17"/>
      <c r="B3" s="23"/>
    </row>
    <row r="4" spans="1:10" x14ac:dyDescent="0.25">
      <c r="A4" s="17"/>
      <c r="B4" s="23"/>
      <c r="J4" s="23"/>
    </row>
    <row r="5" spans="1:10" x14ac:dyDescent="0.25">
      <c r="A5" s="17"/>
      <c r="B5" s="23"/>
      <c r="J5" s="23"/>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H5"/>
  <sheetViews>
    <sheetView workbookViewId="0">
      <selection sqref="A1:XFD1048576"/>
    </sheetView>
  </sheetViews>
  <sheetFormatPr defaultRowHeight="15" x14ac:dyDescent="0.25"/>
  <cols>
    <col min="1" max="1" width="13.25" bestFit="1" customWidth="1"/>
    <col min="4" max="5" width="11" bestFit="1" customWidth="1"/>
  </cols>
  <sheetData>
    <row r="1" spans="1:8" x14ac:dyDescent="0.25">
      <c r="A1" s="23"/>
      <c r="B1" s="23"/>
      <c r="H1" s="23"/>
    </row>
    <row r="2" spans="1:8" x14ac:dyDescent="0.25">
      <c r="A2" s="23"/>
      <c r="B2" s="23"/>
      <c r="H2" s="23"/>
    </row>
    <row r="3" spans="1:8" x14ac:dyDescent="0.25">
      <c r="A3" s="23"/>
      <c r="B3" s="23"/>
      <c r="H3" s="23"/>
    </row>
    <row r="4" spans="1:8" x14ac:dyDescent="0.25">
      <c r="A4" s="23"/>
      <c r="B4" s="23"/>
      <c r="F4" s="23"/>
      <c r="H4" s="23"/>
    </row>
    <row r="5" spans="1:8" x14ac:dyDescent="0.25">
      <c r="A5" s="23"/>
      <c r="B5" s="23"/>
      <c r="F5" s="23"/>
      <c r="H5" s="23"/>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M23"/>
  <sheetViews>
    <sheetView zoomScale="85" zoomScaleNormal="85" workbookViewId="0">
      <selection sqref="A1:XFD1048576"/>
    </sheetView>
  </sheetViews>
  <sheetFormatPr defaultRowHeight="15" x14ac:dyDescent="0.25"/>
  <sheetData>
    <row r="1" spans="1:13" x14ac:dyDescent="0.25">
      <c r="A1" s="18"/>
      <c r="B1" s="18"/>
      <c r="C1" s="18"/>
      <c r="D1" s="18"/>
      <c r="E1" s="18"/>
      <c r="F1" s="18"/>
      <c r="G1" s="18"/>
      <c r="H1" s="18"/>
      <c r="I1" s="18"/>
      <c r="J1" s="18"/>
      <c r="K1" s="18"/>
      <c r="L1" s="18"/>
      <c r="M1" s="18"/>
    </row>
    <row r="2" spans="1:13" x14ac:dyDescent="0.25">
      <c r="A2" s="18"/>
      <c r="B2" s="23"/>
      <c r="C2" s="23"/>
      <c r="D2" s="23"/>
      <c r="E2" s="23"/>
      <c r="F2" s="23"/>
      <c r="G2" s="23"/>
      <c r="H2" s="23"/>
      <c r="I2" s="23"/>
      <c r="J2" s="23"/>
      <c r="K2" s="23"/>
      <c r="L2" s="23"/>
      <c r="M2" s="23"/>
    </row>
    <row r="3" spans="1:13" x14ac:dyDescent="0.25">
      <c r="A3" s="18"/>
      <c r="B3" s="23"/>
      <c r="C3" s="23"/>
      <c r="D3" s="23"/>
      <c r="E3" s="23"/>
      <c r="F3" s="23"/>
      <c r="G3" s="23"/>
      <c r="H3" s="23"/>
      <c r="I3" s="23"/>
      <c r="J3" s="23"/>
      <c r="K3" s="23"/>
      <c r="L3" s="23"/>
      <c r="M3" s="23"/>
    </row>
    <row r="4" spans="1:13" x14ac:dyDescent="0.25">
      <c r="A4" s="18"/>
      <c r="B4" s="18"/>
      <c r="C4" s="18"/>
      <c r="D4" s="18"/>
      <c r="E4" s="18"/>
      <c r="F4" s="18"/>
      <c r="G4" s="18"/>
      <c r="H4" s="18"/>
      <c r="I4" s="18"/>
      <c r="J4" s="18"/>
      <c r="K4" s="18"/>
      <c r="L4" s="18"/>
      <c r="M4" s="18"/>
    </row>
    <row r="5" spans="1:13" x14ac:dyDescent="0.25">
      <c r="A5" s="18"/>
      <c r="B5" s="18"/>
      <c r="C5" s="18"/>
      <c r="D5" s="18"/>
      <c r="E5" s="18"/>
      <c r="F5" s="18"/>
      <c r="G5" s="18"/>
      <c r="H5" s="18"/>
      <c r="I5" s="18"/>
      <c r="J5" s="18"/>
      <c r="K5" s="18"/>
      <c r="L5" s="18"/>
      <c r="M5" s="18"/>
    </row>
    <row r="6" spans="1:13" x14ac:dyDescent="0.25">
      <c r="A6" s="18"/>
      <c r="B6" s="18"/>
      <c r="C6" s="18"/>
      <c r="D6" s="18"/>
      <c r="E6" s="18"/>
      <c r="F6" s="18"/>
      <c r="G6" s="18"/>
      <c r="H6" s="18"/>
      <c r="I6" s="18"/>
      <c r="J6" s="18"/>
      <c r="K6" s="18"/>
      <c r="L6" s="18"/>
      <c r="M6" s="18"/>
    </row>
    <row r="7" spans="1:13" x14ac:dyDescent="0.25">
      <c r="A7" s="18"/>
      <c r="B7" s="18"/>
      <c r="C7" s="18"/>
      <c r="D7" s="18"/>
      <c r="E7" s="18"/>
      <c r="F7" s="18"/>
      <c r="G7" s="18"/>
      <c r="H7" s="18"/>
      <c r="I7" s="18"/>
      <c r="J7" s="18"/>
      <c r="K7" s="18"/>
      <c r="L7" s="18"/>
      <c r="M7" s="18"/>
    </row>
    <row r="8" spans="1:13" x14ac:dyDescent="0.25">
      <c r="A8" s="18"/>
      <c r="B8" s="18"/>
      <c r="C8" s="18"/>
      <c r="D8" s="18"/>
      <c r="E8" s="18"/>
      <c r="F8" s="18"/>
      <c r="G8" s="18"/>
      <c r="H8" s="18"/>
      <c r="I8" s="18"/>
      <c r="J8" s="18"/>
      <c r="K8" s="18"/>
      <c r="L8" s="18"/>
      <c r="M8" s="18"/>
    </row>
    <row r="9" spans="1:13" x14ac:dyDescent="0.25">
      <c r="A9" s="18"/>
      <c r="B9" s="18"/>
      <c r="C9" s="18"/>
      <c r="D9" s="18"/>
      <c r="E9" s="18"/>
      <c r="F9" s="18"/>
      <c r="G9" s="18"/>
      <c r="H9" s="18"/>
      <c r="I9" s="18"/>
      <c r="J9" s="18"/>
      <c r="K9" s="18"/>
      <c r="L9" s="18"/>
      <c r="M9" s="18"/>
    </row>
    <row r="14" spans="1:13" x14ac:dyDescent="0.25">
      <c r="F14" s="19"/>
      <c r="G14" s="19"/>
      <c r="H14" s="19"/>
      <c r="I14" s="19"/>
      <c r="J14" s="19"/>
      <c r="K14" s="19"/>
      <c r="L14" s="19"/>
      <c r="M14" s="19"/>
    </row>
    <row r="19" spans="2:13" x14ac:dyDescent="0.25">
      <c r="C19" s="19"/>
      <c r="D19" s="19"/>
      <c r="E19" s="19"/>
      <c r="F19" s="19"/>
      <c r="G19" s="19"/>
      <c r="H19" s="19"/>
      <c r="I19" s="19"/>
      <c r="J19" s="19"/>
      <c r="K19" s="19"/>
      <c r="L19" s="19"/>
      <c r="M19" s="19"/>
    </row>
    <row r="23" spans="2:13" x14ac:dyDescent="0.25">
      <c r="B23" s="23"/>
      <c r="C23" s="23"/>
      <c r="D23" s="23"/>
      <c r="E23" s="23"/>
      <c r="F23" s="23"/>
      <c r="G23" s="23"/>
      <c r="H23" s="23"/>
      <c r="I23" s="23"/>
      <c r="J23" s="23"/>
      <c r="K23" s="23"/>
      <c r="L23" s="23"/>
      <c r="M23" s="23"/>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T9"/>
  <sheetViews>
    <sheetView zoomScale="85" zoomScaleNormal="85" workbookViewId="0">
      <selection activeCell="Y35" sqref="Y35"/>
    </sheetView>
  </sheetViews>
  <sheetFormatPr defaultColWidth="9.125" defaultRowHeight="15" x14ac:dyDescent="0.25"/>
  <cols>
    <col min="1" max="16384" width="9.125" style="23"/>
  </cols>
  <sheetData>
    <row r="1" spans="1:20" x14ac:dyDescent="0.25">
      <c r="B1" s="23" t="s">
        <v>19</v>
      </c>
      <c r="C1" s="23" t="s">
        <v>20</v>
      </c>
      <c r="D1" s="23" t="s">
        <v>21</v>
      </c>
      <c r="E1" s="23" t="s">
        <v>22</v>
      </c>
      <c r="F1" s="23" t="s">
        <v>23</v>
      </c>
      <c r="G1" s="23" t="s">
        <v>24</v>
      </c>
      <c r="H1" s="23" t="s">
        <v>25</v>
      </c>
      <c r="I1" s="23" t="s">
        <v>26</v>
      </c>
      <c r="J1" s="23" t="s">
        <v>27</v>
      </c>
      <c r="K1" s="23" t="s">
        <v>28</v>
      </c>
      <c r="L1" s="23" t="s">
        <v>29</v>
      </c>
      <c r="M1" s="23" t="s">
        <v>30</v>
      </c>
    </row>
    <row r="2" spans="1:20" x14ac:dyDescent="0.25">
      <c r="A2" s="23" t="s">
        <v>6</v>
      </c>
      <c r="B2" s="23">
        <f>demandReq!B2*$T$2</f>
        <v>0</v>
      </c>
      <c r="C2" s="23">
        <f>demandReq!C2*$T$2</f>
        <v>0</v>
      </c>
      <c r="D2" s="23">
        <f>demandReq!D2*$T$2</f>
        <v>0</v>
      </c>
      <c r="E2" s="23">
        <f>demandReq!E2*$T$2</f>
        <v>0</v>
      </c>
      <c r="F2" s="23">
        <f>demandReq!F2*$T$2</f>
        <v>0</v>
      </c>
      <c r="G2" s="23">
        <f>demandReq!G2*$T$2</f>
        <v>0</v>
      </c>
      <c r="H2" s="23">
        <f>demandReq!H2*$T$2</f>
        <v>0</v>
      </c>
      <c r="I2" s="23">
        <f>demandReq!I2*$T$2</f>
        <v>0</v>
      </c>
      <c r="J2" s="23">
        <f>demandReq!J2*$T$2</f>
        <v>0</v>
      </c>
      <c r="K2" s="23">
        <f>demandReq!K2*$T$2</f>
        <v>0</v>
      </c>
      <c r="L2" s="23">
        <f>demandReq!L2*$T$2</f>
        <v>0</v>
      </c>
      <c r="M2" s="23">
        <f>demandReq!M2*$T$2</f>
        <v>0</v>
      </c>
      <c r="T2" s="23">
        <v>0</v>
      </c>
    </row>
    <row r="3" spans="1:20" x14ac:dyDescent="0.25">
      <c r="A3" s="23" t="s">
        <v>35</v>
      </c>
      <c r="B3" s="23">
        <f>demandReq!B3*demandReq_Sc!$T$2</f>
        <v>0</v>
      </c>
      <c r="C3" s="23">
        <f>demandReq!C3*demandReq_Sc!$T$2</f>
        <v>0</v>
      </c>
      <c r="D3" s="23">
        <f>demandReq!D3*demandReq_Sc!$T$2</f>
        <v>0</v>
      </c>
      <c r="E3" s="23">
        <f>demandReq!E3*demandReq_Sc!$T$2</f>
        <v>0</v>
      </c>
      <c r="F3" s="23">
        <f>demandReq!F3*demandReq_Sc!$T$2</f>
        <v>0</v>
      </c>
      <c r="G3" s="23">
        <f>demandReq!G3*demandReq_Sc!$T$2</f>
        <v>0</v>
      </c>
      <c r="H3" s="23">
        <f>demandReq!H3*demandReq_Sc!$T$2</f>
        <v>0</v>
      </c>
      <c r="I3" s="23">
        <f>demandReq!I3*demandReq_Sc!$T$2</f>
        <v>0</v>
      </c>
      <c r="J3" s="23">
        <f>demandReq!J3*demandReq_Sc!$T$2</f>
        <v>0</v>
      </c>
      <c r="K3" s="23">
        <f>demandReq!K3*demandReq_Sc!$T$2</f>
        <v>0</v>
      </c>
      <c r="L3" s="23">
        <f>demandReq!L3*demandReq_Sc!$T$2</f>
        <v>0</v>
      </c>
      <c r="M3" s="23">
        <f>demandReq!M3*demandReq_Sc!$T$2</f>
        <v>0</v>
      </c>
    </row>
    <row r="4" spans="1:20" x14ac:dyDescent="0.25">
      <c r="A4" s="23" t="s">
        <v>38</v>
      </c>
      <c r="B4" s="23">
        <v>0</v>
      </c>
      <c r="C4" s="23">
        <v>0</v>
      </c>
      <c r="D4" s="23">
        <v>0</v>
      </c>
      <c r="E4" s="23">
        <v>0</v>
      </c>
      <c r="F4" s="23">
        <v>0</v>
      </c>
      <c r="G4" s="23">
        <v>0</v>
      </c>
      <c r="H4" s="23">
        <v>0</v>
      </c>
      <c r="I4" s="23">
        <v>0</v>
      </c>
      <c r="J4" s="23">
        <v>0</v>
      </c>
      <c r="K4" s="23">
        <v>0</v>
      </c>
      <c r="L4" s="23">
        <v>0</v>
      </c>
      <c r="M4" s="23">
        <v>0</v>
      </c>
    </row>
    <row r="5" spans="1:20" x14ac:dyDescent="0.25">
      <c r="A5" s="23" t="s">
        <v>41</v>
      </c>
      <c r="B5" s="23">
        <v>0</v>
      </c>
      <c r="C5" s="23">
        <v>0</v>
      </c>
      <c r="D5" s="23">
        <v>0</v>
      </c>
      <c r="E5" s="23">
        <v>0</v>
      </c>
      <c r="F5" s="23">
        <v>0</v>
      </c>
      <c r="G5" s="23">
        <v>0</v>
      </c>
      <c r="H5" s="23">
        <v>0</v>
      </c>
      <c r="I5" s="23">
        <v>0</v>
      </c>
      <c r="J5" s="23">
        <v>0</v>
      </c>
      <c r="K5" s="23">
        <v>0</v>
      </c>
      <c r="L5" s="23">
        <v>0</v>
      </c>
      <c r="M5" s="23">
        <v>0</v>
      </c>
    </row>
    <row r="6" spans="1:20" x14ac:dyDescent="0.25">
      <c r="A6" s="23" t="s">
        <v>40</v>
      </c>
      <c r="B6" s="23">
        <v>0</v>
      </c>
      <c r="C6" s="23">
        <v>0</v>
      </c>
      <c r="D6" s="23">
        <v>0</v>
      </c>
      <c r="E6" s="23">
        <v>0</v>
      </c>
      <c r="F6" s="23">
        <v>0</v>
      </c>
      <c r="G6" s="23">
        <v>0</v>
      </c>
      <c r="H6" s="23">
        <v>0</v>
      </c>
      <c r="I6" s="23">
        <v>0</v>
      </c>
      <c r="J6" s="23">
        <v>0</v>
      </c>
      <c r="K6" s="23">
        <v>0</v>
      </c>
      <c r="L6" s="23">
        <v>0</v>
      </c>
      <c r="M6" s="23">
        <v>0</v>
      </c>
    </row>
    <row r="7" spans="1:20" x14ac:dyDescent="0.25">
      <c r="A7" s="23" t="s">
        <v>51</v>
      </c>
      <c r="B7" s="23">
        <f>demandReq!B7*demandReq_Sc!$T$2</f>
        <v>0</v>
      </c>
      <c r="C7" s="23">
        <f>demandReq!C7*demandReq_Sc!$T$2</f>
        <v>0</v>
      </c>
      <c r="D7" s="23">
        <f>demandReq!D7*demandReq_Sc!$T$2</f>
        <v>0</v>
      </c>
      <c r="E7" s="23">
        <f>demandReq!E7*demandReq_Sc!$T$2</f>
        <v>0</v>
      </c>
      <c r="F7" s="23">
        <f>demandReq!F7*demandReq_Sc!$T$2</f>
        <v>0</v>
      </c>
      <c r="G7" s="23">
        <f>demandReq!G7*demandReq_Sc!$T$2</f>
        <v>0</v>
      </c>
      <c r="H7" s="23">
        <f>demandReq!H7*demandReq_Sc!$T$2</f>
        <v>0</v>
      </c>
      <c r="I7" s="23">
        <f>demandReq!I7*demandReq_Sc!$T$2</f>
        <v>0</v>
      </c>
      <c r="J7" s="23">
        <f>demandReq!J7*demandReq_Sc!$T$2</f>
        <v>0</v>
      </c>
      <c r="K7" s="23">
        <f>demandReq!K7*demandReq_Sc!$T$2</f>
        <v>0</v>
      </c>
      <c r="L7" s="23">
        <f>demandReq!L7*demandReq_Sc!$T$2</f>
        <v>0</v>
      </c>
      <c r="M7" s="23">
        <f>demandReq!M7*demandReq_Sc!$T$2</f>
        <v>0</v>
      </c>
    </row>
    <row r="8" spans="1:20" x14ac:dyDescent="0.25">
      <c r="A8" s="23" t="s">
        <v>50</v>
      </c>
      <c r="B8" s="23">
        <v>0</v>
      </c>
      <c r="C8" s="23">
        <v>0</v>
      </c>
      <c r="D8" s="23">
        <v>0</v>
      </c>
      <c r="E8" s="23">
        <v>0</v>
      </c>
      <c r="F8" s="23">
        <v>0</v>
      </c>
      <c r="G8" s="23">
        <v>0</v>
      </c>
      <c r="H8" s="23">
        <v>0</v>
      </c>
      <c r="I8" s="23">
        <v>0</v>
      </c>
      <c r="J8" s="23">
        <v>0</v>
      </c>
      <c r="K8" s="23">
        <v>0</v>
      </c>
      <c r="L8" s="23">
        <v>0</v>
      </c>
      <c r="M8" s="23">
        <v>0</v>
      </c>
    </row>
    <row r="9" spans="1:20" x14ac:dyDescent="0.25">
      <c r="A9" s="23" t="s">
        <v>61</v>
      </c>
      <c r="B9" s="23">
        <v>0</v>
      </c>
      <c r="C9" s="23">
        <v>0</v>
      </c>
      <c r="D9" s="23">
        <v>0</v>
      </c>
      <c r="E9" s="23">
        <v>0</v>
      </c>
      <c r="F9" s="23">
        <v>0</v>
      </c>
      <c r="G9" s="23">
        <v>0</v>
      </c>
      <c r="H9" s="23">
        <v>0</v>
      </c>
      <c r="I9" s="23">
        <v>0</v>
      </c>
      <c r="J9" s="23">
        <v>0</v>
      </c>
      <c r="K9" s="23">
        <v>0</v>
      </c>
      <c r="L9" s="23">
        <v>0</v>
      </c>
      <c r="M9" s="23">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N25"/>
  <sheetViews>
    <sheetView workbookViewId="0">
      <selection activeCell="A3" sqref="A3:O27"/>
    </sheetView>
  </sheetViews>
  <sheetFormatPr defaultRowHeight="15" x14ac:dyDescent="0.25"/>
  <sheetData>
    <row r="1" spans="1:14" x14ac:dyDescent="0.25">
      <c r="A1" s="20"/>
      <c r="B1" s="20"/>
      <c r="C1" s="20" t="s">
        <v>19</v>
      </c>
      <c r="D1" s="20" t="s">
        <v>20</v>
      </c>
      <c r="E1" s="20" t="s">
        <v>21</v>
      </c>
      <c r="F1" s="20" t="s">
        <v>22</v>
      </c>
      <c r="G1" s="20" t="s">
        <v>23</v>
      </c>
      <c r="H1" s="20" t="s">
        <v>24</v>
      </c>
      <c r="I1" s="20" t="s">
        <v>25</v>
      </c>
      <c r="J1" s="20" t="s">
        <v>26</v>
      </c>
      <c r="K1" s="20" t="s">
        <v>27</v>
      </c>
      <c r="L1" s="20" t="s">
        <v>28</v>
      </c>
      <c r="M1" s="20" t="s">
        <v>29</v>
      </c>
      <c r="N1" s="20" t="s">
        <v>30</v>
      </c>
    </row>
    <row r="2" spans="1:14" x14ac:dyDescent="0.25">
      <c r="A2" s="23" t="s">
        <v>32</v>
      </c>
      <c r="B2" s="23" t="s">
        <v>33</v>
      </c>
      <c r="C2" s="20">
        <v>0</v>
      </c>
      <c r="D2" s="20">
        <v>0</v>
      </c>
      <c r="E2" s="20">
        <v>0</v>
      </c>
      <c r="F2" s="20">
        <v>0</v>
      </c>
      <c r="G2" s="20">
        <v>0</v>
      </c>
      <c r="H2" s="20">
        <v>0</v>
      </c>
      <c r="I2" s="20">
        <v>0</v>
      </c>
      <c r="J2" s="20">
        <v>0</v>
      </c>
      <c r="K2" s="20">
        <v>0</v>
      </c>
      <c r="L2" s="20">
        <v>0</v>
      </c>
      <c r="M2" s="20">
        <v>0</v>
      </c>
      <c r="N2" s="20">
        <v>0</v>
      </c>
    </row>
    <row r="3" spans="1:14" x14ac:dyDescent="0.25">
      <c r="A3" s="23"/>
      <c r="B3" s="23"/>
      <c r="C3" s="20"/>
      <c r="D3" s="20"/>
      <c r="E3" s="20"/>
      <c r="F3" s="20"/>
      <c r="G3" s="20"/>
      <c r="H3" s="20"/>
      <c r="I3" s="20"/>
      <c r="J3" s="20"/>
      <c r="K3" s="20"/>
      <c r="L3" s="20"/>
      <c r="M3" s="20"/>
      <c r="N3" s="20"/>
    </row>
    <row r="4" spans="1:14" x14ac:dyDescent="0.25">
      <c r="A4" s="23"/>
      <c r="B4" s="23"/>
      <c r="C4" s="20"/>
      <c r="D4" s="20"/>
      <c r="E4" s="20"/>
      <c r="F4" s="20"/>
      <c r="G4" s="20"/>
      <c r="H4" s="20"/>
      <c r="I4" s="20"/>
      <c r="J4" s="20"/>
      <c r="K4" s="20"/>
      <c r="L4" s="20"/>
      <c r="M4" s="20"/>
      <c r="N4" s="20"/>
    </row>
    <row r="5" spans="1:14" x14ac:dyDescent="0.25">
      <c r="A5" s="23"/>
      <c r="B5" s="23"/>
      <c r="D5" s="23"/>
      <c r="E5" s="23"/>
      <c r="F5" s="23"/>
      <c r="G5" s="23"/>
      <c r="H5" s="23"/>
      <c r="I5" s="23"/>
      <c r="J5" s="23"/>
      <c r="K5" s="23"/>
      <c r="L5" s="23"/>
      <c r="M5" s="23"/>
      <c r="N5" s="23"/>
    </row>
    <row r="6" spans="1:14" x14ac:dyDescent="0.25">
      <c r="A6" s="23"/>
      <c r="B6" s="23"/>
      <c r="C6" s="23"/>
      <c r="D6" s="23"/>
      <c r="E6" s="23"/>
      <c r="F6" s="23"/>
      <c r="G6" s="23"/>
      <c r="H6" s="23"/>
      <c r="I6" s="23"/>
      <c r="J6" s="23"/>
      <c r="K6" s="23"/>
      <c r="L6" s="23"/>
      <c r="M6" s="23"/>
      <c r="N6" s="23"/>
    </row>
    <row r="7" spans="1:14" x14ac:dyDescent="0.25">
      <c r="A7" s="23"/>
      <c r="B7" s="23"/>
      <c r="C7" s="23"/>
      <c r="D7" s="23"/>
      <c r="E7" s="23"/>
      <c r="F7" s="23"/>
      <c r="G7" s="23"/>
      <c r="H7" s="23"/>
      <c r="I7" s="23"/>
      <c r="J7" s="23"/>
      <c r="K7" s="23"/>
      <c r="L7" s="23"/>
      <c r="M7" s="23"/>
      <c r="N7" s="23"/>
    </row>
    <row r="8" spans="1:14" x14ac:dyDescent="0.25">
      <c r="A8" s="23"/>
      <c r="B8" s="23"/>
      <c r="C8" s="23"/>
      <c r="D8" s="23"/>
      <c r="E8" s="23"/>
      <c r="F8" s="23"/>
      <c r="G8" s="23"/>
      <c r="H8" s="23"/>
      <c r="I8" s="23"/>
      <c r="J8" s="23"/>
      <c r="K8" s="23"/>
      <c r="L8" s="23"/>
      <c r="M8" s="23"/>
      <c r="N8" s="23"/>
    </row>
    <row r="9" spans="1:14" x14ac:dyDescent="0.25">
      <c r="A9" s="23"/>
      <c r="B9" s="23"/>
      <c r="C9" s="23"/>
      <c r="D9" s="23"/>
      <c r="E9" s="23"/>
      <c r="F9" s="23"/>
      <c r="G9" s="23"/>
      <c r="H9" s="23"/>
      <c r="I9" s="23"/>
      <c r="J9" s="23"/>
      <c r="K9" s="23"/>
      <c r="L9" s="23"/>
      <c r="M9" s="23"/>
      <c r="N9" s="23"/>
    </row>
    <row r="10" spans="1:14" x14ac:dyDescent="0.25">
      <c r="A10" s="23"/>
      <c r="B10" s="23"/>
      <c r="C10" s="23"/>
      <c r="D10" s="23"/>
      <c r="E10" s="23"/>
      <c r="F10" s="23"/>
      <c r="G10" s="23"/>
      <c r="H10" s="23"/>
      <c r="I10" s="23"/>
      <c r="J10" s="23"/>
      <c r="K10" s="23"/>
      <c r="L10" s="23"/>
      <c r="M10" s="23"/>
      <c r="N10" s="23"/>
    </row>
    <row r="11" spans="1:14" x14ac:dyDescent="0.25">
      <c r="A11" s="23"/>
      <c r="B11" s="23"/>
      <c r="C11" s="23"/>
      <c r="D11" s="23"/>
      <c r="E11" s="23"/>
      <c r="F11" s="23"/>
      <c r="G11" s="23"/>
      <c r="H11" s="23"/>
      <c r="I11" s="23"/>
      <c r="J11" s="23"/>
      <c r="K11" s="23"/>
      <c r="L11" s="23"/>
      <c r="M11" s="23"/>
      <c r="N11" s="23"/>
    </row>
    <row r="12" spans="1:14" x14ac:dyDescent="0.25">
      <c r="A12" s="23"/>
      <c r="B12" s="23"/>
      <c r="C12" s="23"/>
      <c r="D12" s="23"/>
      <c r="E12" s="23"/>
      <c r="F12" s="23"/>
      <c r="G12" s="23"/>
      <c r="H12" s="23"/>
      <c r="I12" s="23"/>
      <c r="J12" s="23"/>
      <c r="K12" s="23"/>
      <c r="L12" s="23"/>
      <c r="M12" s="23"/>
      <c r="N12" s="23"/>
    </row>
    <row r="13" spans="1:14" x14ac:dyDescent="0.25">
      <c r="A13" s="23"/>
      <c r="B13" s="23"/>
      <c r="C13" s="23"/>
      <c r="D13" s="23"/>
      <c r="E13" s="23"/>
      <c r="F13" s="23"/>
      <c r="G13" s="23"/>
      <c r="H13" s="23"/>
      <c r="I13" s="23"/>
      <c r="J13" s="23"/>
      <c r="K13" s="23"/>
      <c r="L13" s="23"/>
      <c r="M13" s="23"/>
      <c r="N13" s="23"/>
    </row>
    <row r="14" spans="1:14" x14ac:dyDescent="0.25">
      <c r="A14" s="23"/>
      <c r="B14" s="23"/>
      <c r="C14" s="23"/>
      <c r="D14" s="23"/>
      <c r="E14" s="23"/>
      <c r="F14" s="23"/>
      <c r="G14" s="23"/>
      <c r="H14" s="23"/>
      <c r="I14" s="23"/>
      <c r="J14" s="23"/>
      <c r="K14" s="23"/>
      <c r="L14" s="23"/>
      <c r="M14" s="23"/>
      <c r="N14" s="23"/>
    </row>
    <row r="15" spans="1:14" x14ac:dyDescent="0.25">
      <c r="A15" s="23"/>
      <c r="B15" s="23"/>
      <c r="C15" s="23"/>
      <c r="D15" s="23"/>
      <c r="E15" s="23"/>
      <c r="F15" s="23"/>
      <c r="G15" s="23"/>
      <c r="H15" s="23"/>
      <c r="I15" s="23"/>
      <c r="J15" s="23"/>
      <c r="K15" s="23"/>
      <c r="L15" s="23"/>
      <c r="M15" s="23"/>
      <c r="N15" s="23"/>
    </row>
    <row r="16" spans="1:14" x14ac:dyDescent="0.25">
      <c r="A16" s="23"/>
      <c r="B16" s="23"/>
      <c r="C16" s="23"/>
      <c r="D16" s="23"/>
      <c r="E16" s="23"/>
      <c r="F16" s="23"/>
      <c r="G16" s="23"/>
      <c r="H16" s="23"/>
      <c r="I16" s="23"/>
      <c r="J16" s="23"/>
      <c r="K16" s="23"/>
      <c r="L16" s="23"/>
      <c r="M16" s="23"/>
      <c r="N16" s="23"/>
    </row>
    <row r="17" spans="1:14" x14ac:dyDescent="0.25">
      <c r="A17" s="23"/>
      <c r="B17" s="23"/>
      <c r="C17" s="23"/>
      <c r="D17" s="23"/>
      <c r="E17" s="23"/>
      <c r="F17" s="23"/>
      <c r="G17" s="23"/>
      <c r="H17" s="23"/>
      <c r="I17" s="23"/>
      <c r="J17" s="23"/>
      <c r="K17" s="23"/>
      <c r="L17" s="23"/>
      <c r="M17" s="23"/>
      <c r="N17" s="23"/>
    </row>
    <row r="18" spans="1:14" x14ac:dyDescent="0.25">
      <c r="A18" s="23"/>
      <c r="B18" s="23"/>
      <c r="C18" s="23"/>
      <c r="D18" s="23"/>
      <c r="E18" s="23"/>
      <c r="F18" s="23"/>
      <c r="G18" s="23"/>
      <c r="H18" s="23"/>
      <c r="I18" s="23"/>
      <c r="J18" s="23"/>
      <c r="K18" s="23"/>
      <c r="L18" s="23"/>
      <c r="M18" s="23"/>
      <c r="N18" s="23"/>
    </row>
    <row r="19" spans="1:14" x14ac:dyDescent="0.25">
      <c r="A19" s="23"/>
      <c r="B19" s="23"/>
      <c r="C19" s="23"/>
      <c r="D19" s="23"/>
      <c r="E19" s="23"/>
      <c r="F19" s="23"/>
      <c r="G19" s="23"/>
      <c r="H19" s="23"/>
      <c r="I19" s="23"/>
      <c r="J19" s="23"/>
      <c r="K19" s="23"/>
      <c r="L19" s="23"/>
      <c r="M19" s="23"/>
      <c r="N19" s="23"/>
    </row>
    <row r="20" spans="1:14" x14ac:dyDescent="0.25">
      <c r="A20" s="23"/>
      <c r="B20" s="23"/>
      <c r="C20" s="23"/>
      <c r="D20" s="23"/>
      <c r="E20" s="23"/>
      <c r="F20" s="23"/>
      <c r="G20" s="23"/>
      <c r="H20" s="23"/>
      <c r="I20" s="23"/>
      <c r="J20" s="23"/>
      <c r="K20" s="23"/>
      <c r="L20" s="23"/>
      <c r="M20" s="23"/>
      <c r="N20" s="23"/>
    </row>
    <row r="21" spans="1:14" x14ac:dyDescent="0.25">
      <c r="A21" s="23"/>
      <c r="B21" s="23"/>
      <c r="C21" s="23"/>
      <c r="D21" s="23"/>
      <c r="E21" s="23"/>
      <c r="F21" s="23"/>
      <c r="G21" s="23"/>
      <c r="H21" s="23"/>
      <c r="I21" s="23"/>
      <c r="J21" s="23"/>
      <c r="K21" s="23"/>
      <c r="L21" s="23"/>
      <c r="M21" s="23"/>
      <c r="N21" s="23"/>
    </row>
    <row r="22" spans="1:14" x14ac:dyDescent="0.25">
      <c r="A22" s="23"/>
      <c r="B22" s="23"/>
      <c r="C22" s="23"/>
      <c r="D22" s="23"/>
      <c r="E22" s="23"/>
      <c r="F22" s="23"/>
      <c r="G22" s="23"/>
      <c r="H22" s="23"/>
      <c r="I22" s="23"/>
      <c r="J22" s="23"/>
      <c r="K22" s="23"/>
      <c r="L22" s="23"/>
      <c r="M22" s="23"/>
      <c r="N22" s="23"/>
    </row>
    <row r="23" spans="1:14" x14ac:dyDescent="0.25">
      <c r="A23" s="23"/>
      <c r="B23" s="23"/>
      <c r="C23" s="23"/>
      <c r="D23" s="23"/>
      <c r="E23" s="23"/>
      <c r="F23" s="23"/>
      <c r="G23" s="23"/>
      <c r="H23" s="23"/>
      <c r="I23" s="23"/>
      <c r="J23" s="23"/>
      <c r="K23" s="23"/>
      <c r="L23" s="23"/>
      <c r="M23" s="23"/>
      <c r="N23" s="23"/>
    </row>
    <row r="24" spans="1:14" x14ac:dyDescent="0.25">
      <c r="A24" s="23"/>
      <c r="B24" s="23"/>
      <c r="C24" s="23"/>
      <c r="D24" s="23"/>
      <c r="E24" s="23"/>
      <c r="F24" s="23"/>
      <c r="G24" s="23"/>
      <c r="H24" s="23"/>
      <c r="I24" s="23"/>
      <c r="J24" s="23"/>
      <c r="K24" s="23"/>
      <c r="L24" s="23"/>
      <c r="M24" s="23"/>
      <c r="N24" s="23"/>
    </row>
    <row r="25" spans="1:14" x14ac:dyDescent="0.25">
      <c r="A25" s="23"/>
      <c r="B25" s="23"/>
      <c r="C25" s="23"/>
      <c r="D25" s="23"/>
      <c r="E25" s="23"/>
      <c r="F25" s="23"/>
      <c r="G25" s="23"/>
      <c r="H25" s="23"/>
      <c r="I25" s="23"/>
      <c r="J25" s="23"/>
      <c r="K25" s="23"/>
      <c r="L25" s="23"/>
      <c r="M25" s="23"/>
      <c r="N25" s="23"/>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C1:C10"/>
  <sheetViews>
    <sheetView workbookViewId="0">
      <selection sqref="A1:XFD1048576"/>
    </sheetView>
  </sheetViews>
  <sheetFormatPr defaultRowHeight="15" x14ac:dyDescent="0.25"/>
  <sheetData>
    <row r="1" spans="3:3" x14ac:dyDescent="0.25">
      <c r="C1" s="20"/>
    </row>
    <row r="2" spans="3:3" x14ac:dyDescent="0.25">
      <c r="C2" s="20"/>
    </row>
    <row r="3" spans="3:3" x14ac:dyDescent="0.25">
      <c r="C3" s="20"/>
    </row>
    <row r="4" spans="3:3" x14ac:dyDescent="0.25">
      <c r="C4" s="20"/>
    </row>
    <row r="5" spans="3:3" x14ac:dyDescent="0.25">
      <c r="C5" s="20"/>
    </row>
    <row r="6" spans="3:3" x14ac:dyDescent="0.25">
      <c r="C6" s="20"/>
    </row>
    <row r="7" spans="3:3" x14ac:dyDescent="0.25">
      <c r="C7" s="23"/>
    </row>
    <row r="8" spans="3:3" x14ac:dyDescent="0.25">
      <c r="C8" s="23"/>
    </row>
    <row r="9" spans="3:3" x14ac:dyDescent="0.25">
      <c r="C9" s="23"/>
    </row>
    <row r="10" spans="3:3" x14ac:dyDescent="0.25">
      <c r="C10" s="23"/>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I25"/>
  <sheetViews>
    <sheetView workbookViewId="0">
      <selection activeCell="A3" sqref="A3:D22"/>
    </sheetView>
  </sheetViews>
  <sheetFormatPr defaultRowHeight="15" x14ac:dyDescent="0.25"/>
  <cols>
    <col min="3" max="3" width="9.875" customWidth="1"/>
  </cols>
  <sheetData>
    <row r="1" spans="1:9" x14ac:dyDescent="0.25">
      <c r="C1" t="s">
        <v>15</v>
      </c>
      <c r="D1" t="s">
        <v>16</v>
      </c>
    </row>
    <row r="2" spans="1:9" x14ac:dyDescent="0.25">
      <c r="A2" s="149" t="s">
        <v>32</v>
      </c>
      <c r="B2" s="149" t="s">
        <v>33</v>
      </c>
      <c r="C2" s="23">
        <v>1.5699999999999999E-2</v>
      </c>
      <c r="D2" s="23">
        <v>6.5723000000000003</v>
      </c>
    </row>
    <row r="3" spans="1:9" x14ac:dyDescent="0.25">
      <c r="A3" s="149"/>
      <c r="B3" s="149"/>
      <c r="C3" s="23"/>
      <c r="D3" s="23"/>
    </row>
    <row r="4" spans="1:9" x14ac:dyDescent="0.25">
      <c r="A4" s="149"/>
      <c r="B4" s="149"/>
      <c r="C4" s="25"/>
      <c r="D4" s="25"/>
    </row>
    <row r="5" spans="1:9" x14ac:dyDescent="0.25">
      <c r="A5" s="149"/>
      <c r="B5" s="149"/>
      <c r="C5" s="25"/>
      <c r="D5" s="25"/>
    </row>
    <row r="6" spans="1:9" x14ac:dyDescent="0.25">
      <c r="A6" s="149"/>
      <c r="B6" s="149"/>
      <c r="C6" s="25"/>
      <c r="D6" s="25"/>
      <c r="H6" s="23"/>
      <c r="I6" s="23"/>
    </row>
    <row r="7" spans="1:9" x14ac:dyDescent="0.25">
      <c r="A7" s="149"/>
      <c r="B7" s="149"/>
      <c r="C7" s="25"/>
      <c r="D7" s="25"/>
      <c r="H7" s="23"/>
      <c r="I7" s="23"/>
    </row>
    <row r="8" spans="1:9" x14ac:dyDescent="0.25">
      <c r="A8" s="149"/>
      <c r="B8" s="149"/>
      <c r="C8" s="25"/>
      <c r="D8" s="25"/>
      <c r="H8" s="23"/>
      <c r="I8" s="23"/>
    </row>
    <row r="9" spans="1:9" x14ac:dyDescent="0.25">
      <c r="A9" s="149"/>
      <c r="B9" s="149"/>
      <c r="C9" s="25"/>
      <c r="D9" s="25"/>
      <c r="H9" s="23"/>
      <c r="I9" s="23"/>
    </row>
    <row r="10" spans="1:9" x14ac:dyDescent="0.25">
      <c r="A10" s="149"/>
      <c r="B10" s="149"/>
      <c r="C10" s="25"/>
      <c r="D10" s="25"/>
      <c r="H10" s="23"/>
      <c r="I10" s="23"/>
    </row>
    <row r="11" spans="1:9" x14ac:dyDescent="0.25">
      <c r="A11" s="149"/>
      <c r="B11" s="149"/>
      <c r="C11" s="25"/>
      <c r="D11" s="25"/>
      <c r="H11" s="23"/>
      <c r="I11" s="23"/>
    </row>
    <row r="12" spans="1:9" x14ac:dyDescent="0.25">
      <c r="A12" s="149"/>
      <c r="B12" s="149"/>
      <c r="C12" s="25"/>
      <c r="D12" s="25"/>
      <c r="H12" s="23"/>
      <c r="I12" s="23"/>
    </row>
    <row r="13" spans="1:9" x14ac:dyDescent="0.25">
      <c r="A13" s="149"/>
      <c r="B13" s="149"/>
      <c r="C13" s="25"/>
      <c r="D13" s="25"/>
      <c r="H13" s="23"/>
      <c r="I13" s="23"/>
    </row>
    <row r="14" spans="1:9" x14ac:dyDescent="0.25">
      <c r="A14" s="149"/>
      <c r="B14" s="149"/>
      <c r="C14" s="25"/>
      <c r="D14" s="25"/>
      <c r="H14" s="23"/>
      <c r="I14" s="23"/>
    </row>
    <row r="15" spans="1:9" x14ac:dyDescent="0.25">
      <c r="A15" s="149"/>
      <c r="B15" s="149"/>
      <c r="C15" s="25"/>
      <c r="D15" s="25"/>
      <c r="H15" s="23"/>
      <c r="I15" s="23"/>
    </row>
    <row r="16" spans="1:9" x14ac:dyDescent="0.25">
      <c r="A16" s="149"/>
      <c r="B16" s="149"/>
      <c r="C16" s="25"/>
      <c r="D16" s="25"/>
      <c r="H16" s="23"/>
      <c r="I16" s="23"/>
    </row>
    <row r="17" spans="1:9" x14ac:dyDescent="0.25">
      <c r="A17" s="149"/>
      <c r="B17" s="149"/>
      <c r="C17" s="25"/>
      <c r="D17" s="25"/>
      <c r="H17" s="23"/>
      <c r="I17" s="23"/>
    </row>
    <row r="18" spans="1:9" x14ac:dyDescent="0.25">
      <c r="A18" s="149"/>
      <c r="B18" s="149"/>
      <c r="C18" s="25"/>
      <c r="D18" s="25"/>
      <c r="H18" s="23"/>
      <c r="I18" s="23"/>
    </row>
    <row r="19" spans="1:9" x14ac:dyDescent="0.25">
      <c r="A19" s="149"/>
      <c r="B19" s="149"/>
      <c r="C19" s="25"/>
      <c r="D19" s="25"/>
      <c r="H19" s="23"/>
      <c r="I19" s="23"/>
    </row>
    <row r="20" spans="1:9" x14ac:dyDescent="0.25">
      <c r="A20" s="149"/>
      <c r="B20" s="149"/>
      <c r="C20" s="25"/>
      <c r="D20" s="25"/>
      <c r="H20" s="23"/>
      <c r="I20" s="23"/>
    </row>
    <row r="21" spans="1:9" x14ac:dyDescent="0.25">
      <c r="A21" s="23"/>
      <c r="B21" s="23"/>
      <c r="C21" s="25"/>
      <c r="D21" s="25"/>
      <c r="H21" s="23"/>
      <c r="I21" s="23"/>
    </row>
    <row r="22" spans="1:9" x14ac:dyDescent="0.25">
      <c r="A22" s="23"/>
      <c r="B22" s="23"/>
      <c r="C22" s="25"/>
      <c r="D22" s="25"/>
      <c r="H22" s="23"/>
      <c r="I22" s="23"/>
    </row>
    <row r="23" spans="1:9" x14ac:dyDescent="0.25">
      <c r="A23" s="23"/>
      <c r="B23" s="23"/>
      <c r="C23" s="25"/>
      <c r="D23" s="25"/>
      <c r="H23" s="23"/>
      <c r="I23" s="23"/>
    </row>
    <row r="24" spans="1:9" x14ac:dyDescent="0.25">
      <c r="A24" s="23"/>
      <c r="B24" s="23"/>
      <c r="C24" s="25"/>
      <c r="D24" s="25"/>
      <c r="H24" s="23"/>
      <c r="I24" s="23"/>
    </row>
    <row r="25" spans="1:9" x14ac:dyDescent="0.25">
      <c r="A25" s="23"/>
      <c r="B25" s="23"/>
      <c r="C25" s="25"/>
      <c r="D25" s="25"/>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M25"/>
  <sheetViews>
    <sheetView zoomScaleNormal="100" workbookViewId="0">
      <selection activeCell="A3" sqref="A3:E24"/>
    </sheetView>
  </sheetViews>
  <sheetFormatPr defaultRowHeight="15" x14ac:dyDescent="0.25"/>
  <sheetData>
    <row r="1" spans="1:13" x14ac:dyDescent="0.25">
      <c r="C1" t="s">
        <v>17</v>
      </c>
      <c r="D1" t="s">
        <v>18</v>
      </c>
      <c r="L1" t="s">
        <v>435</v>
      </c>
    </row>
    <row r="2" spans="1:13" x14ac:dyDescent="0.25">
      <c r="A2" s="23" t="s">
        <v>32</v>
      </c>
      <c r="B2" s="23" t="s">
        <v>33</v>
      </c>
      <c r="C2" s="23">
        <v>24.762</v>
      </c>
      <c r="D2" s="23">
        <v>0.1031</v>
      </c>
      <c r="L2" s="23">
        <v>9.0700000000000003E-2</v>
      </c>
      <c r="M2" s="23">
        <v>31.977</v>
      </c>
    </row>
    <row r="3" spans="1:13" x14ac:dyDescent="0.25">
      <c r="A3" s="23"/>
      <c r="B3" s="23"/>
      <c r="C3" s="23"/>
      <c r="D3" s="23"/>
      <c r="L3" s="23">
        <v>0.37369999999999998</v>
      </c>
      <c r="M3" s="23">
        <v>10.305</v>
      </c>
    </row>
    <row r="4" spans="1:13" x14ac:dyDescent="0.25">
      <c r="A4" s="23"/>
      <c r="B4" s="23"/>
      <c r="C4" s="25"/>
      <c r="D4" s="25"/>
      <c r="L4" s="25">
        <v>0.17299999999999999</v>
      </c>
      <c r="M4" s="25">
        <v>26.548999999999999</v>
      </c>
    </row>
    <row r="5" spans="1:13" x14ac:dyDescent="0.25">
      <c r="A5" s="23"/>
      <c r="B5" s="23"/>
      <c r="C5" s="25"/>
      <c r="D5" s="25"/>
      <c r="L5" s="25">
        <v>0.17299999999999999</v>
      </c>
      <c r="M5" s="25">
        <v>26.548999999999999</v>
      </c>
    </row>
    <row r="6" spans="1:13" x14ac:dyDescent="0.25">
      <c r="A6" s="23"/>
      <c r="B6" s="23"/>
      <c r="C6" s="23"/>
      <c r="D6" s="23"/>
      <c r="L6" s="23">
        <v>9.0700000000000003E-2</v>
      </c>
      <c r="M6" s="23">
        <v>31.977</v>
      </c>
    </row>
    <row r="7" spans="1:13" x14ac:dyDescent="0.25">
      <c r="A7" s="23"/>
      <c r="B7" s="23"/>
      <c r="C7" s="23"/>
      <c r="D7" s="23"/>
      <c r="L7" s="23">
        <v>9.0700000000000003E-2</v>
      </c>
      <c r="M7" s="23">
        <v>31.977</v>
      </c>
    </row>
    <row r="8" spans="1:13" x14ac:dyDescent="0.25">
      <c r="A8" s="23"/>
      <c r="B8" s="23"/>
      <c r="C8" s="25"/>
      <c r="D8" s="25"/>
      <c r="L8" s="25">
        <v>0.17299999999999999</v>
      </c>
      <c r="M8" s="25">
        <v>26.548999999999999</v>
      </c>
    </row>
    <row r="9" spans="1:13" x14ac:dyDescent="0.25">
      <c r="A9" s="23"/>
      <c r="B9" s="23"/>
      <c r="C9" s="25"/>
      <c r="D9" s="25"/>
      <c r="L9" s="25">
        <v>0.17299999999999999</v>
      </c>
      <c r="M9" s="25">
        <v>26.548999999999999</v>
      </c>
    </row>
    <row r="10" spans="1:13" x14ac:dyDescent="0.25">
      <c r="A10" s="23"/>
      <c r="B10" s="23"/>
      <c r="C10" s="25"/>
      <c r="D10" s="25"/>
      <c r="L10" s="25">
        <v>0.17299999999999999</v>
      </c>
      <c r="M10" s="25">
        <v>26.548999999999999</v>
      </c>
    </row>
    <row r="11" spans="1:13" x14ac:dyDescent="0.25">
      <c r="A11" s="23"/>
      <c r="B11" s="23"/>
      <c r="C11" s="25"/>
      <c r="D11" s="25"/>
      <c r="L11" s="25">
        <v>0.17299999999999999</v>
      </c>
      <c r="M11" s="25">
        <v>26.548999999999999</v>
      </c>
    </row>
    <row r="12" spans="1:13" x14ac:dyDescent="0.25">
      <c r="A12" s="23"/>
      <c r="B12" s="23"/>
      <c r="C12" s="25"/>
      <c r="D12" s="25"/>
      <c r="L12" s="25">
        <v>0.17299999999999999</v>
      </c>
      <c r="M12" s="25">
        <v>26.548999999999999</v>
      </c>
    </row>
    <row r="13" spans="1:13" x14ac:dyDescent="0.25">
      <c r="A13" s="23"/>
      <c r="B13" s="23"/>
      <c r="C13" s="25"/>
      <c r="D13" s="25"/>
      <c r="L13" s="25">
        <v>0.17299999999999999</v>
      </c>
      <c r="M13" s="25">
        <v>26.548999999999999</v>
      </c>
    </row>
    <row r="14" spans="1:13" x14ac:dyDescent="0.25">
      <c r="A14" s="23"/>
      <c r="B14" s="23"/>
      <c r="C14" s="25"/>
      <c r="D14" s="25"/>
      <c r="L14" s="25">
        <v>0.17299999999999999</v>
      </c>
      <c r="M14" s="25">
        <v>26.548999999999999</v>
      </c>
    </row>
    <row r="15" spans="1:13" x14ac:dyDescent="0.25">
      <c r="A15" s="23"/>
      <c r="B15" s="23"/>
      <c r="C15" s="25"/>
      <c r="D15" s="25"/>
      <c r="L15" s="25">
        <v>0.17299999999999999</v>
      </c>
      <c r="M15" s="25">
        <v>26.548999999999999</v>
      </c>
    </row>
    <row r="16" spans="1:13" x14ac:dyDescent="0.25">
      <c r="A16" s="23"/>
      <c r="B16" s="23"/>
      <c r="C16" s="25"/>
      <c r="D16" s="25"/>
      <c r="L16" s="25">
        <v>0.17299999999999999</v>
      </c>
      <c r="M16" s="25">
        <v>26.548999999999999</v>
      </c>
    </row>
    <row r="17" spans="1:13" x14ac:dyDescent="0.25">
      <c r="A17" s="23"/>
      <c r="B17" s="23"/>
      <c r="C17" s="25"/>
      <c r="D17" s="25"/>
      <c r="L17" s="25">
        <v>0.17299999999999999</v>
      </c>
      <c r="M17" s="25">
        <v>26.548999999999999</v>
      </c>
    </row>
    <row r="18" spans="1:13" x14ac:dyDescent="0.25">
      <c r="A18" s="23"/>
      <c r="B18" s="23"/>
      <c r="C18" s="25"/>
      <c r="D18" s="25"/>
      <c r="L18" s="25">
        <v>0.17299999999999999</v>
      </c>
      <c r="M18" s="25">
        <v>26.548999999999999</v>
      </c>
    </row>
    <row r="19" spans="1:13" x14ac:dyDescent="0.25">
      <c r="A19" s="23"/>
      <c r="B19" s="23"/>
      <c r="C19" s="25"/>
      <c r="D19" s="25"/>
      <c r="L19" s="25">
        <v>0.17299999999999999</v>
      </c>
      <c r="M19" s="25">
        <v>26.548999999999999</v>
      </c>
    </row>
    <row r="20" spans="1:13" x14ac:dyDescent="0.25">
      <c r="A20" s="23"/>
      <c r="B20" s="23"/>
      <c r="C20" s="25"/>
      <c r="D20" s="25"/>
      <c r="L20" s="25">
        <v>0.17299999999999999</v>
      </c>
      <c r="M20" s="25">
        <v>26.548999999999999</v>
      </c>
    </row>
    <row r="21" spans="1:13" x14ac:dyDescent="0.25">
      <c r="A21" s="23"/>
      <c r="B21" s="23"/>
      <c r="C21" s="25"/>
      <c r="D21" s="25"/>
    </row>
    <row r="22" spans="1:13" x14ac:dyDescent="0.25">
      <c r="A22" s="23"/>
      <c r="B22" s="23"/>
      <c r="C22" s="25"/>
      <c r="D22" s="25"/>
    </row>
    <row r="23" spans="1:13" x14ac:dyDescent="0.25">
      <c r="A23" s="23"/>
      <c r="B23" s="23"/>
      <c r="C23" s="25"/>
      <c r="D23" s="25"/>
    </row>
    <row r="24" spans="1:13" x14ac:dyDescent="0.25">
      <c r="A24" s="23"/>
      <c r="B24" s="23"/>
      <c r="C24" s="25"/>
      <c r="D24" s="25"/>
    </row>
    <row r="25" spans="1:13" x14ac:dyDescent="0.25">
      <c r="A25" s="23"/>
      <c r="B25" s="23"/>
      <c r="C25" s="23"/>
      <c r="D25" s="23"/>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S241"/>
  <sheetViews>
    <sheetView workbookViewId="0">
      <selection activeCell="H20" sqref="H20"/>
    </sheetView>
  </sheetViews>
  <sheetFormatPr defaultColWidth="9.125" defaultRowHeight="15" x14ac:dyDescent="0.25"/>
  <cols>
    <col min="1" max="1" width="10.125" style="23" bestFit="1" customWidth="1"/>
    <col min="2" max="2" width="9.125" style="23"/>
    <col min="3" max="5" width="11.625" style="23" bestFit="1" customWidth="1"/>
    <col min="6" max="16384" width="9.125" style="23"/>
  </cols>
  <sheetData>
    <row r="1" spans="1:19" x14ac:dyDescent="0.25">
      <c r="D1" s="23" t="s">
        <v>4</v>
      </c>
      <c r="P1" s="24"/>
      <c r="Q1" s="24"/>
      <c r="R1" s="24"/>
      <c r="S1" s="24"/>
    </row>
    <row r="2" spans="1:19" x14ac:dyDescent="0.25">
      <c r="A2" s="23" t="s">
        <v>32</v>
      </c>
      <c r="B2" s="23" t="s">
        <v>33</v>
      </c>
      <c r="C2" s="23" t="s">
        <v>19</v>
      </c>
      <c r="D2" s="22">
        <v>0</v>
      </c>
      <c r="E2" s="24"/>
      <c r="F2" s="24"/>
      <c r="G2" s="24"/>
      <c r="H2" s="24"/>
      <c r="I2" s="24"/>
      <c r="J2" s="24"/>
      <c r="K2" s="24"/>
      <c r="L2" s="24"/>
      <c r="M2" s="24"/>
      <c r="N2" s="24"/>
      <c r="O2" s="24"/>
      <c r="P2" s="24"/>
      <c r="Q2" s="24"/>
      <c r="R2" s="24"/>
      <c r="S2" s="24"/>
    </row>
    <row r="3" spans="1:19" x14ac:dyDescent="0.25">
      <c r="A3" s="23" t="s">
        <v>32</v>
      </c>
      <c r="B3" s="23" t="s">
        <v>33</v>
      </c>
      <c r="C3" s="23" t="s">
        <v>20</v>
      </c>
      <c r="D3" s="22">
        <v>0</v>
      </c>
      <c r="E3" s="24"/>
      <c r="F3" s="24"/>
      <c r="G3" s="24"/>
      <c r="H3" s="24"/>
      <c r="I3" s="24"/>
      <c r="J3" s="24"/>
      <c r="K3" s="24"/>
      <c r="L3" s="24"/>
      <c r="M3" s="24"/>
      <c r="N3" s="24"/>
      <c r="O3" s="24"/>
      <c r="P3" s="24"/>
      <c r="Q3" s="24"/>
      <c r="R3" s="24"/>
      <c r="S3" s="24"/>
    </row>
    <row r="4" spans="1:19" x14ac:dyDescent="0.25">
      <c r="A4" s="23" t="s">
        <v>32</v>
      </c>
      <c r="B4" s="23" t="s">
        <v>33</v>
      </c>
      <c r="C4" s="23" t="s">
        <v>21</v>
      </c>
      <c r="D4" s="22">
        <v>0.05</v>
      </c>
      <c r="E4" s="24"/>
      <c r="F4" s="24"/>
      <c r="G4" s="24"/>
      <c r="H4" s="24"/>
      <c r="I4" s="24"/>
      <c r="J4" s="24"/>
      <c r="K4" s="24"/>
      <c r="L4" s="24"/>
      <c r="M4" s="24"/>
      <c r="N4" s="24"/>
      <c r="O4" s="24"/>
      <c r="P4" s="24"/>
      <c r="Q4" s="24"/>
      <c r="R4" s="24"/>
      <c r="S4" s="24"/>
    </row>
    <row r="5" spans="1:19" x14ac:dyDescent="0.25">
      <c r="A5" s="23" t="s">
        <v>32</v>
      </c>
      <c r="B5" s="23" t="s">
        <v>33</v>
      </c>
      <c r="C5" s="23" t="s">
        <v>22</v>
      </c>
      <c r="D5" s="22">
        <v>0.1</v>
      </c>
      <c r="E5" s="24"/>
      <c r="F5" s="24"/>
      <c r="G5" s="24"/>
      <c r="H5" s="24"/>
      <c r="I5" s="24"/>
      <c r="J5" s="24"/>
      <c r="K5" s="24"/>
      <c r="L5" s="24"/>
      <c r="M5" s="24"/>
      <c r="N5" s="24"/>
      <c r="O5" s="24"/>
      <c r="P5" s="24"/>
      <c r="Q5" s="24"/>
      <c r="R5" s="24"/>
      <c r="S5" s="24"/>
    </row>
    <row r="6" spans="1:19" x14ac:dyDescent="0.25">
      <c r="A6" s="23" t="s">
        <v>32</v>
      </c>
      <c r="B6" s="23" t="s">
        <v>33</v>
      </c>
      <c r="C6" s="23" t="s">
        <v>23</v>
      </c>
      <c r="D6" s="22">
        <v>0.5</v>
      </c>
      <c r="E6" s="24"/>
      <c r="F6" s="24"/>
      <c r="G6" s="24"/>
      <c r="H6" s="24"/>
      <c r="I6" s="24"/>
      <c r="J6" s="24"/>
      <c r="K6" s="24"/>
      <c r="L6" s="24"/>
      <c r="M6" s="24"/>
      <c r="N6" s="24"/>
      <c r="O6" s="24"/>
      <c r="P6" s="24"/>
      <c r="Q6" s="24"/>
      <c r="R6" s="24"/>
      <c r="S6" s="24"/>
    </row>
    <row r="7" spans="1:19" x14ac:dyDescent="0.25">
      <c r="A7" s="23" t="s">
        <v>32</v>
      </c>
      <c r="B7" s="23" t="s">
        <v>33</v>
      </c>
      <c r="C7" s="23" t="s">
        <v>24</v>
      </c>
      <c r="D7" s="22">
        <v>0.5</v>
      </c>
      <c r="E7" s="24"/>
      <c r="F7" s="24"/>
      <c r="G7" s="24"/>
      <c r="H7" s="24"/>
      <c r="I7" s="24"/>
      <c r="J7" s="24"/>
      <c r="K7" s="24"/>
      <c r="L7" s="24"/>
      <c r="M7" s="24"/>
      <c r="N7" s="24"/>
      <c r="O7" s="24"/>
      <c r="P7" s="24"/>
      <c r="Q7" s="24"/>
      <c r="R7" s="24"/>
      <c r="S7" s="24"/>
    </row>
    <row r="8" spans="1:19" x14ac:dyDescent="0.25">
      <c r="A8" s="23" t="s">
        <v>32</v>
      </c>
      <c r="B8" s="23" t="s">
        <v>33</v>
      </c>
      <c r="C8" s="23" t="s">
        <v>25</v>
      </c>
      <c r="D8" s="22">
        <v>0.5</v>
      </c>
      <c r="E8" s="24"/>
      <c r="F8" s="24"/>
      <c r="G8" s="24"/>
      <c r="H8" s="24"/>
      <c r="I8" s="24"/>
      <c r="J8" s="24"/>
      <c r="K8" s="24"/>
      <c r="L8" s="24"/>
      <c r="M8" s="24"/>
      <c r="N8" s="24"/>
      <c r="O8" s="24"/>
      <c r="P8" s="24"/>
      <c r="Q8" s="24"/>
      <c r="R8" s="24"/>
      <c r="S8" s="24"/>
    </row>
    <row r="9" spans="1:19" x14ac:dyDescent="0.25">
      <c r="A9" s="23" t="s">
        <v>32</v>
      </c>
      <c r="B9" s="23" t="s">
        <v>33</v>
      </c>
      <c r="C9" s="23" t="s">
        <v>26</v>
      </c>
      <c r="D9" s="22">
        <v>0.04</v>
      </c>
      <c r="E9" s="24"/>
      <c r="F9" s="24"/>
      <c r="G9" s="24"/>
      <c r="H9" s="24"/>
      <c r="I9" s="24"/>
      <c r="J9" s="24"/>
      <c r="K9" s="24"/>
      <c r="L9" s="24"/>
      <c r="M9" s="24"/>
      <c r="N9" s="24"/>
      <c r="O9" s="24"/>
      <c r="P9" s="24"/>
      <c r="Q9" s="24"/>
      <c r="R9" s="24"/>
      <c r="S9" s="24"/>
    </row>
    <row r="10" spans="1:19" ht="15.75" customHeight="1" x14ac:dyDescent="0.25">
      <c r="A10" s="23" t="s">
        <v>32</v>
      </c>
      <c r="B10" s="23" t="s">
        <v>33</v>
      </c>
      <c r="C10" s="23" t="s">
        <v>27</v>
      </c>
      <c r="D10" s="22">
        <v>0.02</v>
      </c>
      <c r="E10" s="24"/>
      <c r="F10" s="24"/>
      <c r="G10" s="24"/>
      <c r="H10" s="24"/>
      <c r="I10" s="24"/>
      <c r="J10" s="24"/>
      <c r="K10" s="24"/>
      <c r="L10" s="24"/>
      <c r="M10" s="24"/>
      <c r="N10" s="24"/>
      <c r="O10" s="24"/>
      <c r="P10" s="24"/>
      <c r="Q10" s="24"/>
      <c r="R10" s="24"/>
      <c r="S10" s="24"/>
    </row>
    <row r="11" spans="1:19" x14ac:dyDescent="0.25">
      <c r="A11" s="23" t="s">
        <v>32</v>
      </c>
      <c r="B11" s="23" t="s">
        <v>33</v>
      </c>
      <c r="C11" s="23" t="s">
        <v>28</v>
      </c>
      <c r="D11" s="23">
        <v>0</v>
      </c>
      <c r="E11" s="24"/>
      <c r="F11" s="24"/>
      <c r="G11" s="24"/>
      <c r="H11" s="24"/>
      <c r="I11" s="24"/>
      <c r="J11" s="24"/>
      <c r="K11" s="24"/>
      <c r="L11" s="24"/>
      <c r="M11" s="24"/>
      <c r="N11" s="24"/>
      <c r="O11" s="24"/>
      <c r="P11" s="24"/>
      <c r="Q11" s="24"/>
      <c r="R11" s="24"/>
      <c r="S11" s="24"/>
    </row>
    <row r="12" spans="1:19" x14ac:dyDescent="0.25">
      <c r="A12" s="23" t="s">
        <v>32</v>
      </c>
      <c r="B12" s="23" t="s">
        <v>33</v>
      </c>
      <c r="C12" s="23" t="s">
        <v>29</v>
      </c>
      <c r="D12" s="22">
        <v>0</v>
      </c>
      <c r="E12" s="24"/>
      <c r="F12" s="24"/>
      <c r="G12" s="24"/>
      <c r="H12" s="24"/>
      <c r="I12" s="24"/>
      <c r="J12" s="24"/>
      <c r="K12" s="24"/>
      <c r="L12" s="24"/>
      <c r="M12" s="24"/>
      <c r="N12" s="24"/>
      <c r="O12" s="24"/>
      <c r="P12" s="24"/>
      <c r="Q12" s="24"/>
      <c r="R12" s="24"/>
      <c r="S12" s="24"/>
    </row>
    <row r="13" spans="1:19" x14ac:dyDescent="0.25">
      <c r="A13" s="23" t="s">
        <v>32</v>
      </c>
      <c r="B13" s="23" t="s">
        <v>33</v>
      </c>
      <c r="C13" s="23" t="s">
        <v>30</v>
      </c>
      <c r="D13" s="22">
        <v>0</v>
      </c>
      <c r="E13" s="24"/>
      <c r="F13" s="24"/>
      <c r="G13" s="24"/>
      <c r="H13" s="24"/>
      <c r="I13" s="24"/>
      <c r="J13" s="24"/>
      <c r="K13" s="24"/>
      <c r="L13" s="24"/>
      <c r="M13" s="24"/>
      <c r="N13" s="24"/>
      <c r="O13" s="24"/>
      <c r="P13" s="24"/>
      <c r="Q13" s="24"/>
      <c r="R13" s="24"/>
    </row>
    <row r="14" spans="1:19" x14ac:dyDescent="0.25">
      <c r="D14" s="22"/>
    </row>
    <row r="15" spans="1:19" x14ac:dyDescent="0.25">
      <c r="D15" s="22"/>
    </row>
    <row r="16" spans="1:19" x14ac:dyDescent="0.25">
      <c r="D16" s="22"/>
    </row>
    <row r="17" spans="4:4" x14ac:dyDescent="0.25">
      <c r="D17" s="22"/>
    </row>
    <row r="18" spans="4:4" x14ac:dyDescent="0.25">
      <c r="D18" s="22"/>
    </row>
    <row r="19" spans="4:4" x14ac:dyDescent="0.25">
      <c r="D19" s="22"/>
    </row>
    <row r="20" spans="4:4" x14ac:dyDescent="0.25">
      <c r="D20" s="22"/>
    </row>
    <row r="21" spans="4:4" x14ac:dyDescent="0.25">
      <c r="D21" s="22"/>
    </row>
    <row r="22" spans="4:4" x14ac:dyDescent="0.25">
      <c r="D22" s="22"/>
    </row>
    <row r="24" spans="4:4" x14ac:dyDescent="0.25">
      <c r="D24" s="22"/>
    </row>
    <row r="25" spans="4:4" x14ac:dyDescent="0.25">
      <c r="D25" s="22"/>
    </row>
    <row r="26" spans="4:4" x14ac:dyDescent="0.25">
      <c r="D26" s="22"/>
    </row>
    <row r="27" spans="4:4" x14ac:dyDescent="0.25">
      <c r="D27" s="22"/>
    </row>
    <row r="28" spans="4:4" x14ac:dyDescent="0.25">
      <c r="D28" s="22"/>
    </row>
    <row r="29" spans="4:4" x14ac:dyDescent="0.25">
      <c r="D29" s="22"/>
    </row>
    <row r="30" spans="4:4" x14ac:dyDescent="0.25">
      <c r="D30" s="22"/>
    </row>
    <row r="31" spans="4:4" x14ac:dyDescent="0.25">
      <c r="D31" s="22"/>
    </row>
    <row r="32" spans="4:4" x14ac:dyDescent="0.25">
      <c r="D32" s="22"/>
    </row>
    <row r="33" spans="4:4" x14ac:dyDescent="0.25">
      <c r="D33" s="22"/>
    </row>
    <row r="34" spans="4:4" x14ac:dyDescent="0.25">
      <c r="D34" s="22"/>
    </row>
    <row r="36" spans="4:4" x14ac:dyDescent="0.25">
      <c r="D36" s="22"/>
    </row>
    <row r="37" spans="4:4" x14ac:dyDescent="0.25">
      <c r="D37" s="22"/>
    </row>
    <row r="38" spans="4:4" x14ac:dyDescent="0.25">
      <c r="D38" s="22"/>
    </row>
    <row r="39" spans="4:4" x14ac:dyDescent="0.25">
      <c r="D39" s="22"/>
    </row>
    <row r="40" spans="4:4" x14ac:dyDescent="0.25">
      <c r="D40" s="22"/>
    </row>
    <row r="41" spans="4:4" x14ac:dyDescent="0.25">
      <c r="D41" s="22"/>
    </row>
    <row r="42" spans="4:4" x14ac:dyDescent="0.25">
      <c r="D42" s="22"/>
    </row>
    <row r="43" spans="4:4" x14ac:dyDescent="0.25">
      <c r="D43" s="22"/>
    </row>
    <row r="44" spans="4:4" x14ac:dyDescent="0.25">
      <c r="D44" s="22"/>
    </row>
    <row r="45" spans="4:4" x14ac:dyDescent="0.25">
      <c r="D45" s="22"/>
    </row>
    <row r="46" spans="4:4" x14ac:dyDescent="0.25">
      <c r="D46" s="22"/>
    </row>
    <row r="48" spans="4:4" x14ac:dyDescent="0.25">
      <c r="D48" s="22"/>
    </row>
    <row r="49" spans="4:4" x14ac:dyDescent="0.25">
      <c r="D49" s="22"/>
    </row>
    <row r="50" spans="4:4" x14ac:dyDescent="0.25">
      <c r="D50" s="22"/>
    </row>
    <row r="51" spans="4:4" x14ac:dyDescent="0.25">
      <c r="D51" s="22"/>
    </row>
    <row r="52" spans="4:4" x14ac:dyDescent="0.25">
      <c r="D52" s="22"/>
    </row>
    <row r="53" spans="4:4" x14ac:dyDescent="0.25">
      <c r="D53" s="22"/>
    </row>
    <row r="54" spans="4:4" x14ac:dyDescent="0.25">
      <c r="D54" s="22"/>
    </row>
    <row r="55" spans="4:4" x14ac:dyDescent="0.25">
      <c r="D55" s="22"/>
    </row>
    <row r="56" spans="4:4" x14ac:dyDescent="0.25">
      <c r="D56" s="22"/>
    </row>
    <row r="57" spans="4:4" x14ac:dyDescent="0.25">
      <c r="D57" s="22"/>
    </row>
    <row r="58" spans="4:4" x14ac:dyDescent="0.25">
      <c r="D58" s="22"/>
    </row>
    <row r="60" spans="4:4" x14ac:dyDescent="0.25">
      <c r="D60" s="22"/>
    </row>
    <row r="61" spans="4:4" x14ac:dyDescent="0.25">
      <c r="D61" s="22"/>
    </row>
    <row r="62" spans="4:4" x14ac:dyDescent="0.25">
      <c r="D62" s="22"/>
    </row>
    <row r="63" spans="4:4" x14ac:dyDescent="0.25">
      <c r="D63" s="22"/>
    </row>
    <row r="64" spans="4:4" x14ac:dyDescent="0.25">
      <c r="D64" s="22"/>
    </row>
    <row r="65" spans="4:4" x14ac:dyDescent="0.25">
      <c r="D65" s="22"/>
    </row>
    <row r="66" spans="4:4" x14ac:dyDescent="0.25">
      <c r="D66" s="22"/>
    </row>
    <row r="67" spans="4:4" x14ac:dyDescent="0.25">
      <c r="D67" s="22"/>
    </row>
    <row r="68" spans="4:4" x14ac:dyDescent="0.25">
      <c r="D68" s="22"/>
    </row>
    <row r="69" spans="4:4" x14ac:dyDescent="0.25">
      <c r="D69" s="22"/>
    </row>
    <row r="70" spans="4:4" x14ac:dyDescent="0.25">
      <c r="D70" s="22"/>
    </row>
    <row r="72" spans="4:4" x14ac:dyDescent="0.25">
      <c r="D72" s="22"/>
    </row>
    <row r="73" spans="4:4" x14ac:dyDescent="0.25">
      <c r="D73" s="22"/>
    </row>
    <row r="74" spans="4:4" x14ac:dyDescent="0.25">
      <c r="D74" s="22"/>
    </row>
    <row r="75" spans="4:4" x14ac:dyDescent="0.25">
      <c r="D75" s="22"/>
    </row>
    <row r="76" spans="4:4" x14ac:dyDescent="0.25">
      <c r="D76" s="22"/>
    </row>
    <row r="77" spans="4:4" x14ac:dyDescent="0.25">
      <c r="D77" s="22"/>
    </row>
    <row r="78" spans="4:4" x14ac:dyDescent="0.25">
      <c r="D78" s="22"/>
    </row>
    <row r="79" spans="4:4" x14ac:dyDescent="0.25">
      <c r="D79" s="22"/>
    </row>
    <row r="80" spans="4:4" x14ac:dyDescent="0.25">
      <c r="D80" s="22"/>
    </row>
    <row r="81" spans="4:4" x14ac:dyDescent="0.25">
      <c r="D81" s="22"/>
    </row>
    <row r="82" spans="4:4" x14ac:dyDescent="0.25">
      <c r="D82" s="22"/>
    </row>
    <row r="84" spans="4:4" x14ac:dyDescent="0.25">
      <c r="D84" s="22"/>
    </row>
    <row r="85" spans="4:4" x14ac:dyDescent="0.25">
      <c r="D85" s="22"/>
    </row>
    <row r="86" spans="4:4" x14ac:dyDescent="0.25">
      <c r="D86" s="22"/>
    </row>
    <row r="87" spans="4:4" x14ac:dyDescent="0.25">
      <c r="D87" s="22"/>
    </row>
    <row r="88" spans="4:4" x14ac:dyDescent="0.25">
      <c r="D88" s="22"/>
    </row>
    <row r="89" spans="4:4" x14ac:dyDescent="0.25">
      <c r="D89" s="22"/>
    </row>
    <row r="90" spans="4:4" x14ac:dyDescent="0.25">
      <c r="D90" s="22"/>
    </row>
    <row r="91" spans="4:4" x14ac:dyDescent="0.25">
      <c r="D91" s="22"/>
    </row>
    <row r="92" spans="4:4" x14ac:dyDescent="0.25">
      <c r="D92" s="22"/>
    </row>
    <row r="93" spans="4:4" x14ac:dyDescent="0.25">
      <c r="D93" s="22"/>
    </row>
    <row r="94" spans="4:4" x14ac:dyDescent="0.25">
      <c r="D94" s="22"/>
    </row>
    <row r="96" spans="4:4" x14ac:dyDescent="0.25">
      <c r="D96" s="22"/>
    </row>
    <row r="97" spans="4:4" x14ac:dyDescent="0.25">
      <c r="D97" s="22"/>
    </row>
    <row r="98" spans="4:4" x14ac:dyDescent="0.25">
      <c r="D98" s="22"/>
    </row>
    <row r="99" spans="4:4" x14ac:dyDescent="0.25">
      <c r="D99" s="22"/>
    </row>
    <row r="100" spans="4:4" x14ac:dyDescent="0.25">
      <c r="D100" s="22"/>
    </row>
    <row r="101" spans="4:4" x14ac:dyDescent="0.25">
      <c r="D101" s="22"/>
    </row>
    <row r="102" spans="4:4" x14ac:dyDescent="0.25">
      <c r="D102" s="22"/>
    </row>
    <row r="103" spans="4:4" x14ac:dyDescent="0.25">
      <c r="D103" s="22"/>
    </row>
    <row r="104" spans="4:4" x14ac:dyDescent="0.25">
      <c r="D104" s="22"/>
    </row>
    <row r="105" spans="4:4" x14ac:dyDescent="0.25">
      <c r="D105" s="22"/>
    </row>
    <row r="106" spans="4:4" x14ac:dyDescent="0.25">
      <c r="D106" s="22"/>
    </row>
    <row r="108" spans="4:4" x14ac:dyDescent="0.25">
      <c r="D108" s="22"/>
    </row>
    <row r="109" spans="4:4" x14ac:dyDescent="0.25">
      <c r="D109" s="22"/>
    </row>
    <row r="110" spans="4:4" x14ac:dyDescent="0.25">
      <c r="D110" s="22"/>
    </row>
    <row r="111" spans="4:4" x14ac:dyDescent="0.25">
      <c r="D111" s="22"/>
    </row>
    <row r="112" spans="4:4" x14ac:dyDescent="0.25">
      <c r="D112" s="22"/>
    </row>
    <row r="113" spans="4:4" x14ac:dyDescent="0.25">
      <c r="D113" s="22"/>
    </row>
    <row r="114" spans="4:4" x14ac:dyDescent="0.25">
      <c r="D114" s="22"/>
    </row>
    <row r="115" spans="4:4" x14ac:dyDescent="0.25">
      <c r="D115" s="22"/>
    </row>
    <row r="116" spans="4:4" x14ac:dyDescent="0.25">
      <c r="D116" s="22"/>
    </row>
    <row r="117" spans="4:4" x14ac:dyDescent="0.25">
      <c r="D117" s="22"/>
    </row>
    <row r="118" spans="4:4" x14ac:dyDescent="0.25">
      <c r="D118" s="22"/>
    </row>
    <row r="120" spans="4:4" x14ac:dyDescent="0.25">
      <c r="D120" s="22"/>
    </row>
    <row r="121" spans="4:4" x14ac:dyDescent="0.25">
      <c r="D121" s="22"/>
    </row>
    <row r="122" spans="4:4" x14ac:dyDescent="0.25">
      <c r="D122" s="22"/>
    </row>
    <row r="123" spans="4:4" x14ac:dyDescent="0.25">
      <c r="D123" s="22"/>
    </row>
    <row r="124" spans="4:4" x14ac:dyDescent="0.25">
      <c r="D124" s="22"/>
    </row>
    <row r="125" spans="4:4" x14ac:dyDescent="0.25">
      <c r="D125" s="22"/>
    </row>
    <row r="126" spans="4:4" x14ac:dyDescent="0.25">
      <c r="D126" s="22"/>
    </row>
    <row r="127" spans="4:4" x14ac:dyDescent="0.25">
      <c r="D127" s="22"/>
    </row>
    <row r="128" spans="4:4" x14ac:dyDescent="0.25">
      <c r="D128" s="22"/>
    </row>
    <row r="129" spans="4:4" x14ac:dyDescent="0.25">
      <c r="D129" s="22"/>
    </row>
    <row r="130" spans="4:4" x14ac:dyDescent="0.25">
      <c r="D130" s="22"/>
    </row>
    <row r="132" spans="4:4" x14ac:dyDescent="0.25">
      <c r="D132" s="22"/>
    </row>
    <row r="133" spans="4:4" x14ac:dyDescent="0.25">
      <c r="D133" s="22"/>
    </row>
    <row r="134" spans="4:4" x14ac:dyDescent="0.25">
      <c r="D134" s="22"/>
    </row>
    <row r="135" spans="4:4" x14ac:dyDescent="0.25">
      <c r="D135" s="22"/>
    </row>
    <row r="136" spans="4:4" x14ac:dyDescent="0.25">
      <c r="D136" s="22"/>
    </row>
    <row r="137" spans="4:4" x14ac:dyDescent="0.25">
      <c r="D137" s="22"/>
    </row>
    <row r="138" spans="4:4" x14ac:dyDescent="0.25">
      <c r="D138" s="22"/>
    </row>
    <row r="139" spans="4:4" x14ac:dyDescent="0.25">
      <c r="D139" s="22"/>
    </row>
    <row r="140" spans="4:4" x14ac:dyDescent="0.25">
      <c r="D140" s="22"/>
    </row>
    <row r="141" spans="4:4" x14ac:dyDescent="0.25">
      <c r="D141" s="22"/>
    </row>
    <row r="142" spans="4:4" x14ac:dyDescent="0.25">
      <c r="D142" s="22"/>
    </row>
    <row r="144" spans="4:4" x14ac:dyDescent="0.25">
      <c r="D144" s="22"/>
    </row>
    <row r="145" spans="4:4" x14ac:dyDescent="0.25">
      <c r="D145" s="22"/>
    </row>
    <row r="146" spans="4:4" x14ac:dyDescent="0.25">
      <c r="D146" s="22"/>
    </row>
    <row r="147" spans="4:4" x14ac:dyDescent="0.25">
      <c r="D147" s="22"/>
    </row>
    <row r="148" spans="4:4" x14ac:dyDescent="0.25">
      <c r="D148" s="22"/>
    </row>
    <row r="149" spans="4:4" x14ac:dyDescent="0.25">
      <c r="D149" s="22"/>
    </row>
    <row r="150" spans="4:4" x14ac:dyDescent="0.25">
      <c r="D150" s="22"/>
    </row>
    <row r="151" spans="4:4" x14ac:dyDescent="0.25">
      <c r="D151" s="22"/>
    </row>
    <row r="152" spans="4:4" x14ac:dyDescent="0.25">
      <c r="D152" s="22"/>
    </row>
    <row r="153" spans="4:4" x14ac:dyDescent="0.25">
      <c r="D153" s="22"/>
    </row>
    <row r="154" spans="4:4" x14ac:dyDescent="0.25">
      <c r="D154" s="22"/>
    </row>
    <row r="156" spans="4:4" x14ac:dyDescent="0.25">
      <c r="D156" s="22"/>
    </row>
    <row r="157" spans="4:4" x14ac:dyDescent="0.25">
      <c r="D157" s="22"/>
    </row>
    <row r="158" spans="4:4" x14ac:dyDescent="0.25">
      <c r="D158" s="22"/>
    </row>
    <row r="159" spans="4:4" x14ac:dyDescent="0.25">
      <c r="D159" s="22"/>
    </row>
    <row r="160" spans="4:4" x14ac:dyDescent="0.25">
      <c r="D160" s="22"/>
    </row>
    <row r="161" spans="4:4" x14ac:dyDescent="0.25">
      <c r="D161" s="22"/>
    </row>
    <row r="162" spans="4:4" x14ac:dyDescent="0.25">
      <c r="D162" s="22"/>
    </row>
    <row r="163" spans="4:4" x14ac:dyDescent="0.25">
      <c r="D163" s="22"/>
    </row>
    <row r="164" spans="4:4" x14ac:dyDescent="0.25">
      <c r="D164" s="22"/>
    </row>
    <row r="165" spans="4:4" x14ac:dyDescent="0.25">
      <c r="D165" s="22"/>
    </row>
    <row r="166" spans="4:4" x14ac:dyDescent="0.25">
      <c r="D166" s="22"/>
    </row>
    <row r="168" spans="4:4" x14ac:dyDescent="0.25">
      <c r="D168" s="22"/>
    </row>
    <row r="169" spans="4:4" x14ac:dyDescent="0.25">
      <c r="D169" s="22"/>
    </row>
    <row r="170" spans="4:4" x14ac:dyDescent="0.25">
      <c r="D170" s="22"/>
    </row>
    <row r="171" spans="4:4" x14ac:dyDescent="0.25">
      <c r="D171" s="22"/>
    </row>
    <row r="172" spans="4:4" x14ac:dyDescent="0.25">
      <c r="D172" s="22"/>
    </row>
    <row r="173" spans="4:4" x14ac:dyDescent="0.25">
      <c r="D173" s="22"/>
    </row>
    <row r="174" spans="4:4" x14ac:dyDescent="0.25">
      <c r="D174" s="22"/>
    </row>
    <row r="175" spans="4:4" x14ac:dyDescent="0.25">
      <c r="D175" s="22"/>
    </row>
    <row r="176" spans="4:4" x14ac:dyDescent="0.25">
      <c r="D176" s="22"/>
    </row>
    <row r="177" spans="4:4" x14ac:dyDescent="0.25">
      <c r="D177" s="22"/>
    </row>
    <row r="178" spans="4:4" x14ac:dyDescent="0.25">
      <c r="D178" s="22"/>
    </row>
    <row r="180" spans="4:4" x14ac:dyDescent="0.25">
      <c r="D180" s="22"/>
    </row>
    <row r="181" spans="4:4" x14ac:dyDescent="0.25">
      <c r="D181" s="22"/>
    </row>
    <row r="182" spans="4:4" x14ac:dyDescent="0.25">
      <c r="D182" s="22"/>
    </row>
    <row r="183" spans="4:4" x14ac:dyDescent="0.25">
      <c r="D183" s="22"/>
    </row>
    <row r="184" spans="4:4" x14ac:dyDescent="0.25">
      <c r="D184" s="22"/>
    </row>
    <row r="185" spans="4:4" x14ac:dyDescent="0.25">
      <c r="D185" s="22"/>
    </row>
    <row r="186" spans="4:4" x14ac:dyDescent="0.25">
      <c r="D186" s="22"/>
    </row>
    <row r="187" spans="4:4" x14ac:dyDescent="0.25">
      <c r="D187" s="22"/>
    </row>
    <row r="188" spans="4:4" x14ac:dyDescent="0.25">
      <c r="D188" s="22"/>
    </row>
    <row r="189" spans="4:4" x14ac:dyDescent="0.25">
      <c r="D189" s="22"/>
    </row>
    <row r="190" spans="4:4" x14ac:dyDescent="0.25">
      <c r="D190" s="22"/>
    </row>
    <row r="192" spans="4:4" x14ac:dyDescent="0.25">
      <c r="D192" s="22"/>
    </row>
    <row r="193" spans="4:4" x14ac:dyDescent="0.25">
      <c r="D193" s="22"/>
    </row>
    <row r="194" spans="4:4" x14ac:dyDescent="0.25">
      <c r="D194" s="22"/>
    </row>
    <row r="195" spans="4:4" x14ac:dyDescent="0.25">
      <c r="D195" s="22"/>
    </row>
    <row r="196" spans="4:4" x14ac:dyDescent="0.25">
      <c r="D196" s="22"/>
    </row>
    <row r="197" spans="4:4" x14ac:dyDescent="0.25">
      <c r="D197" s="22"/>
    </row>
    <row r="198" spans="4:4" x14ac:dyDescent="0.25">
      <c r="D198" s="22"/>
    </row>
    <row r="199" spans="4:4" x14ac:dyDescent="0.25">
      <c r="D199" s="22"/>
    </row>
    <row r="200" spans="4:4" x14ac:dyDescent="0.25">
      <c r="D200" s="22"/>
    </row>
    <row r="201" spans="4:4" x14ac:dyDescent="0.25">
      <c r="D201" s="22"/>
    </row>
    <row r="202" spans="4:4" x14ac:dyDescent="0.25">
      <c r="D202" s="22"/>
    </row>
    <row r="204" spans="4:4" x14ac:dyDescent="0.25">
      <c r="D204" s="22"/>
    </row>
    <row r="205" spans="4:4" x14ac:dyDescent="0.25">
      <c r="D205" s="22"/>
    </row>
    <row r="206" spans="4:4" x14ac:dyDescent="0.25">
      <c r="D206" s="22"/>
    </row>
    <row r="207" spans="4:4" x14ac:dyDescent="0.25">
      <c r="D207" s="22"/>
    </row>
    <row r="208" spans="4:4" x14ac:dyDescent="0.25">
      <c r="D208" s="22"/>
    </row>
    <row r="209" spans="4:4" x14ac:dyDescent="0.25">
      <c r="D209" s="22"/>
    </row>
    <row r="210" spans="4:4" x14ac:dyDescent="0.25">
      <c r="D210" s="22"/>
    </row>
    <row r="211" spans="4:4" x14ac:dyDescent="0.25">
      <c r="D211" s="22"/>
    </row>
    <row r="212" spans="4:4" x14ac:dyDescent="0.25">
      <c r="D212" s="22"/>
    </row>
    <row r="213" spans="4:4" x14ac:dyDescent="0.25">
      <c r="D213" s="22"/>
    </row>
    <row r="214" spans="4:4" x14ac:dyDescent="0.25">
      <c r="D214" s="22"/>
    </row>
    <row r="216" spans="4:4" x14ac:dyDescent="0.25">
      <c r="D216" s="22"/>
    </row>
    <row r="217" spans="4:4" x14ac:dyDescent="0.25">
      <c r="D217" s="22"/>
    </row>
    <row r="218" spans="4:4" x14ac:dyDescent="0.25">
      <c r="D218" s="22"/>
    </row>
    <row r="219" spans="4:4" x14ac:dyDescent="0.25">
      <c r="D219" s="22"/>
    </row>
    <row r="220" spans="4:4" x14ac:dyDescent="0.25">
      <c r="D220" s="22"/>
    </row>
    <row r="221" spans="4:4" x14ac:dyDescent="0.25">
      <c r="D221" s="22"/>
    </row>
    <row r="222" spans="4:4" x14ac:dyDescent="0.25">
      <c r="D222" s="22"/>
    </row>
    <row r="223" spans="4:4" x14ac:dyDescent="0.25">
      <c r="D223" s="22"/>
    </row>
    <row r="224" spans="4:4" x14ac:dyDescent="0.25">
      <c r="D224" s="22"/>
    </row>
    <row r="225" spans="4:4" x14ac:dyDescent="0.25">
      <c r="D225" s="22"/>
    </row>
    <row r="226" spans="4:4" x14ac:dyDescent="0.25">
      <c r="D226" s="22"/>
    </row>
    <row r="228" spans="4:4" x14ac:dyDescent="0.25">
      <c r="D228" s="22"/>
    </row>
    <row r="229" spans="4:4" x14ac:dyDescent="0.25">
      <c r="D229" s="22"/>
    </row>
    <row r="230" spans="4:4" x14ac:dyDescent="0.25">
      <c r="D230" s="22"/>
    </row>
    <row r="231" spans="4:4" x14ac:dyDescent="0.25">
      <c r="D231" s="22"/>
    </row>
    <row r="232" spans="4:4" x14ac:dyDescent="0.25">
      <c r="D232" s="22"/>
    </row>
    <row r="233" spans="4:4" x14ac:dyDescent="0.25">
      <c r="D233" s="22"/>
    </row>
    <row r="234" spans="4:4" x14ac:dyDescent="0.25">
      <c r="D234" s="22"/>
    </row>
    <row r="235" spans="4:4" x14ac:dyDescent="0.25">
      <c r="D235" s="22"/>
    </row>
    <row r="236" spans="4:4" x14ac:dyDescent="0.25">
      <c r="D236" s="22"/>
    </row>
    <row r="237" spans="4:4" x14ac:dyDescent="0.25">
      <c r="D237" s="22"/>
    </row>
    <row r="238" spans="4:4" x14ac:dyDescent="0.25">
      <c r="D238" s="22"/>
    </row>
    <row r="240" spans="4:4" x14ac:dyDescent="0.25">
      <c r="D240" s="22"/>
    </row>
    <row r="241" spans="4:4" x14ac:dyDescent="0.25">
      <c r="D241" s="22"/>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C46" sqref="C46"/>
    </sheetView>
  </sheetViews>
  <sheetFormatPr defaultRowHeight="15" x14ac:dyDescent="0.25"/>
  <cols>
    <col min="2" max="2" width="10.25" bestFit="1" customWidth="1"/>
  </cols>
  <sheetData>
    <row r="1" spans="1:1" x14ac:dyDescent="0.25">
      <c r="A1" t="s">
        <v>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1"/>
  <sheetViews>
    <sheetView workbookViewId="0">
      <selection activeCell="A14" sqref="A14:D241"/>
    </sheetView>
  </sheetViews>
  <sheetFormatPr defaultColWidth="9.125" defaultRowHeight="15" x14ac:dyDescent="0.25"/>
  <cols>
    <col min="1" max="1" width="10.125" style="23" bestFit="1" customWidth="1"/>
    <col min="2" max="2" width="9.125" style="23"/>
    <col min="3" max="5" width="11.625" style="23" bestFit="1" customWidth="1"/>
    <col min="6" max="16384" width="9.125" style="23"/>
  </cols>
  <sheetData>
    <row r="1" spans="1:19" x14ac:dyDescent="0.25">
      <c r="D1" s="23" t="s">
        <v>4</v>
      </c>
      <c r="P1" s="24"/>
      <c r="Q1" s="24"/>
      <c r="R1" s="24"/>
      <c r="S1" s="24"/>
    </row>
    <row r="2" spans="1:19" x14ac:dyDescent="0.25">
      <c r="A2" s="23" t="s">
        <v>32</v>
      </c>
      <c r="B2" s="23" t="s">
        <v>33</v>
      </c>
      <c r="C2" s="23" t="s">
        <v>19</v>
      </c>
      <c r="D2" s="22">
        <v>0</v>
      </c>
      <c r="E2" s="24"/>
      <c r="F2" s="24"/>
      <c r="G2" s="24"/>
      <c r="H2" s="24"/>
      <c r="I2" s="24"/>
      <c r="J2" s="24"/>
      <c r="K2" s="24"/>
      <c r="L2" s="24"/>
      <c r="M2" s="24"/>
      <c r="N2" s="24"/>
      <c r="O2" s="24"/>
      <c r="P2" s="24"/>
      <c r="Q2" s="24"/>
      <c r="R2" s="24"/>
      <c r="S2" s="24"/>
    </row>
    <row r="3" spans="1:19" x14ac:dyDescent="0.25">
      <c r="A3" s="23" t="s">
        <v>32</v>
      </c>
      <c r="B3" s="23" t="s">
        <v>33</v>
      </c>
      <c r="C3" s="23" t="s">
        <v>20</v>
      </c>
      <c r="D3" s="22">
        <v>0</v>
      </c>
      <c r="E3" s="24"/>
      <c r="F3" s="24"/>
      <c r="G3" s="24"/>
      <c r="H3" s="24"/>
      <c r="I3" s="24"/>
      <c r="J3" s="24"/>
      <c r="K3" s="24"/>
      <c r="L3" s="24"/>
      <c r="M3" s="24"/>
      <c r="N3" s="24"/>
      <c r="O3" s="24"/>
      <c r="P3" s="24"/>
      <c r="Q3" s="24"/>
      <c r="R3" s="24"/>
      <c r="S3" s="24"/>
    </row>
    <row r="4" spans="1:19" x14ac:dyDescent="0.25">
      <c r="A4" s="23" t="s">
        <v>32</v>
      </c>
      <c r="B4" s="23" t="s">
        <v>33</v>
      </c>
      <c r="C4" s="23" t="s">
        <v>21</v>
      </c>
      <c r="D4" s="22">
        <v>0</v>
      </c>
      <c r="E4" s="24"/>
      <c r="F4" s="24"/>
      <c r="G4" s="24"/>
      <c r="H4" s="24"/>
      <c r="I4" s="24"/>
      <c r="J4" s="24"/>
      <c r="K4" s="24"/>
      <c r="L4" s="24"/>
      <c r="M4" s="24"/>
      <c r="N4" s="24"/>
      <c r="O4" s="24"/>
      <c r="P4" s="24"/>
      <c r="Q4" s="24"/>
      <c r="R4" s="24"/>
      <c r="S4" s="24"/>
    </row>
    <row r="5" spans="1:19" x14ac:dyDescent="0.25">
      <c r="A5" s="23" t="s">
        <v>32</v>
      </c>
      <c r="B5" s="23" t="s">
        <v>33</v>
      </c>
      <c r="C5" s="23" t="s">
        <v>22</v>
      </c>
      <c r="D5" s="22">
        <v>0</v>
      </c>
      <c r="E5" s="24"/>
      <c r="F5" s="24"/>
      <c r="G5" s="24"/>
      <c r="H5" s="24"/>
      <c r="I5" s="24"/>
      <c r="J5" s="24"/>
      <c r="K5" s="24"/>
      <c r="L5" s="24"/>
      <c r="M5" s="24"/>
      <c r="N5" s="24"/>
      <c r="O5" s="24"/>
      <c r="P5" s="24"/>
      <c r="Q5" s="24"/>
      <c r="R5" s="24"/>
      <c r="S5" s="24"/>
    </row>
    <row r="6" spans="1:19" x14ac:dyDescent="0.25">
      <c r="A6" s="23" t="s">
        <v>32</v>
      </c>
      <c r="B6" s="23" t="s">
        <v>33</v>
      </c>
      <c r="C6" s="23" t="s">
        <v>23</v>
      </c>
      <c r="D6" s="22">
        <v>0</v>
      </c>
      <c r="E6" s="24"/>
      <c r="F6" s="24"/>
      <c r="G6" s="24"/>
      <c r="H6" s="24"/>
      <c r="I6" s="24"/>
      <c r="J6" s="24"/>
      <c r="K6" s="24"/>
      <c r="L6" s="24"/>
      <c r="M6" s="24"/>
      <c r="N6" s="24"/>
      <c r="O6" s="24"/>
      <c r="P6" s="24"/>
      <c r="Q6" s="24"/>
      <c r="R6" s="24"/>
      <c r="S6" s="24"/>
    </row>
    <row r="7" spans="1:19" x14ac:dyDescent="0.25">
      <c r="A7" s="23" t="s">
        <v>32</v>
      </c>
      <c r="B7" s="23" t="s">
        <v>33</v>
      </c>
      <c r="C7" s="23" t="s">
        <v>24</v>
      </c>
      <c r="D7" s="22">
        <v>0</v>
      </c>
      <c r="E7" s="24"/>
      <c r="F7" s="24"/>
      <c r="G7" s="24"/>
      <c r="H7" s="24"/>
      <c r="I7" s="24"/>
      <c r="J7" s="24"/>
      <c r="K7" s="24"/>
      <c r="L7" s="24"/>
      <c r="M7" s="24"/>
      <c r="N7" s="24"/>
      <c r="O7" s="24"/>
      <c r="P7" s="24"/>
      <c r="Q7" s="24"/>
      <c r="R7" s="24"/>
      <c r="S7" s="24"/>
    </row>
    <row r="8" spans="1:19" x14ac:dyDescent="0.25">
      <c r="A8" s="23" t="s">
        <v>32</v>
      </c>
      <c r="B8" s="23" t="s">
        <v>33</v>
      </c>
      <c r="C8" s="23" t="s">
        <v>25</v>
      </c>
      <c r="D8" s="22">
        <v>0</v>
      </c>
      <c r="E8" s="24"/>
      <c r="F8" s="24"/>
      <c r="G8" s="24"/>
      <c r="H8" s="24"/>
      <c r="I8" s="24"/>
      <c r="J8" s="24"/>
      <c r="K8" s="24"/>
      <c r="L8" s="24"/>
      <c r="M8" s="24"/>
      <c r="N8" s="24"/>
      <c r="O8" s="24"/>
      <c r="P8" s="24"/>
      <c r="Q8" s="24"/>
      <c r="R8" s="24"/>
      <c r="S8" s="24"/>
    </row>
    <row r="9" spans="1:19" x14ac:dyDescent="0.25">
      <c r="A9" s="23" t="s">
        <v>32</v>
      </c>
      <c r="B9" s="23" t="s">
        <v>33</v>
      </c>
      <c r="C9" s="23" t="s">
        <v>26</v>
      </c>
      <c r="D9" s="22">
        <v>0</v>
      </c>
      <c r="E9" s="24"/>
      <c r="F9" s="24"/>
      <c r="G9" s="24"/>
      <c r="H9" s="24"/>
      <c r="I9" s="24"/>
      <c r="J9" s="24"/>
      <c r="K9" s="24"/>
      <c r="L9" s="24"/>
      <c r="M9" s="24"/>
      <c r="N9" s="24"/>
      <c r="O9" s="24"/>
      <c r="P9" s="24"/>
      <c r="Q9" s="24"/>
      <c r="R9" s="24"/>
      <c r="S9" s="24"/>
    </row>
    <row r="10" spans="1:19" ht="15.75" customHeight="1" x14ac:dyDescent="0.25">
      <c r="A10" s="23" t="s">
        <v>32</v>
      </c>
      <c r="B10" s="23" t="s">
        <v>33</v>
      </c>
      <c r="C10" s="23" t="s">
        <v>27</v>
      </c>
      <c r="D10" s="22">
        <v>0</v>
      </c>
      <c r="E10" s="24"/>
      <c r="F10" s="24"/>
      <c r="G10" s="24"/>
      <c r="H10" s="24"/>
      <c r="I10" s="24"/>
      <c r="J10" s="24"/>
      <c r="K10" s="24"/>
      <c r="L10" s="24"/>
      <c r="M10" s="24"/>
      <c r="N10" s="24"/>
      <c r="O10" s="24"/>
      <c r="P10" s="24"/>
      <c r="Q10" s="24"/>
      <c r="R10" s="24"/>
      <c r="S10" s="24"/>
    </row>
    <row r="11" spans="1:19" x14ac:dyDescent="0.25">
      <c r="A11" s="23" t="s">
        <v>32</v>
      </c>
      <c r="B11" s="23" t="s">
        <v>33</v>
      </c>
      <c r="C11" s="23" t="s">
        <v>28</v>
      </c>
      <c r="D11" s="22">
        <v>0</v>
      </c>
      <c r="E11" s="24"/>
      <c r="F11" s="24"/>
      <c r="G11" s="24"/>
      <c r="H11" s="24"/>
      <c r="I11" s="24"/>
      <c r="J11" s="24"/>
      <c r="K11" s="24"/>
      <c r="L11" s="24"/>
      <c r="M11" s="24"/>
      <c r="N11" s="24"/>
      <c r="O11" s="24"/>
      <c r="P11" s="24"/>
      <c r="Q11" s="24"/>
      <c r="R11" s="24"/>
      <c r="S11" s="24"/>
    </row>
    <row r="12" spans="1:19" x14ac:dyDescent="0.25">
      <c r="A12" s="23" t="s">
        <v>32</v>
      </c>
      <c r="B12" s="23" t="s">
        <v>33</v>
      </c>
      <c r="C12" s="23" t="s">
        <v>29</v>
      </c>
      <c r="D12" s="22">
        <v>0</v>
      </c>
      <c r="E12" s="24"/>
      <c r="F12" s="24"/>
      <c r="G12" s="24"/>
      <c r="H12" s="24"/>
      <c r="I12" s="24"/>
      <c r="J12" s="24"/>
      <c r="K12" s="24"/>
      <c r="L12" s="24"/>
      <c r="M12" s="24"/>
      <c r="N12" s="24"/>
      <c r="O12" s="24"/>
      <c r="P12" s="24"/>
      <c r="Q12" s="24"/>
      <c r="R12" s="24"/>
      <c r="S12" s="24"/>
    </row>
    <row r="13" spans="1:19" x14ac:dyDescent="0.25">
      <c r="A13" s="23" t="s">
        <v>32</v>
      </c>
      <c r="B13" s="23" t="s">
        <v>33</v>
      </c>
      <c r="C13" s="23" t="s">
        <v>30</v>
      </c>
      <c r="D13" s="22">
        <v>0</v>
      </c>
      <c r="E13" s="24"/>
      <c r="F13" s="24"/>
      <c r="G13" s="24"/>
      <c r="H13" s="24"/>
      <c r="I13" s="24"/>
      <c r="J13" s="24"/>
      <c r="K13" s="24"/>
      <c r="L13" s="24"/>
      <c r="M13" s="24"/>
      <c r="N13" s="24"/>
      <c r="O13" s="24"/>
      <c r="P13" s="24"/>
      <c r="Q13" s="24"/>
      <c r="R13" s="24"/>
    </row>
    <row r="14" spans="1:19" x14ac:dyDescent="0.25">
      <c r="D14" s="22"/>
    </row>
    <row r="15" spans="1:19" x14ac:dyDescent="0.25">
      <c r="D15" s="22"/>
    </row>
    <row r="16" spans="1:19" x14ac:dyDescent="0.25">
      <c r="D16" s="22"/>
    </row>
    <row r="17" spans="4:4" x14ac:dyDescent="0.25">
      <c r="D17" s="22"/>
    </row>
    <row r="18" spans="4:4" x14ac:dyDescent="0.25">
      <c r="D18" s="22"/>
    </row>
    <row r="19" spans="4:4" x14ac:dyDescent="0.25">
      <c r="D19" s="22"/>
    </row>
    <row r="20" spans="4:4" x14ac:dyDescent="0.25">
      <c r="D20" s="22"/>
    </row>
    <row r="21" spans="4:4" x14ac:dyDescent="0.25">
      <c r="D21" s="22"/>
    </row>
    <row r="22" spans="4:4" x14ac:dyDescent="0.25">
      <c r="D22" s="22"/>
    </row>
    <row r="23" spans="4:4" x14ac:dyDescent="0.25">
      <c r="D23" s="22"/>
    </row>
    <row r="24" spans="4:4" x14ac:dyDescent="0.25">
      <c r="D24" s="22"/>
    </row>
    <row r="25" spans="4:4" x14ac:dyDescent="0.25">
      <c r="D25" s="22"/>
    </row>
    <row r="26" spans="4:4" x14ac:dyDescent="0.25">
      <c r="D26" s="22"/>
    </row>
    <row r="27" spans="4:4" x14ac:dyDescent="0.25">
      <c r="D27" s="22"/>
    </row>
    <row r="28" spans="4:4" x14ac:dyDescent="0.25">
      <c r="D28" s="22"/>
    </row>
    <row r="29" spans="4:4" x14ac:dyDescent="0.25">
      <c r="D29" s="22"/>
    </row>
    <row r="30" spans="4:4" x14ac:dyDescent="0.25">
      <c r="D30" s="22"/>
    </row>
    <row r="31" spans="4:4" x14ac:dyDescent="0.25">
      <c r="D31" s="22"/>
    </row>
    <row r="32" spans="4:4" x14ac:dyDescent="0.25">
      <c r="D32" s="22"/>
    </row>
    <row r="33" spans="4:4" x14ac:dyDescent="0.25">
      <c r="D33" s="22"/>
    </row>
    <row r="34" spans="4:4" x14ac:dyDescent="0.25">
      <c r="D34" s="22"/>
    </row>
    <row r="35" spans="4:4" x14ac:dyDescent="0.25">
      <c r="D35" s="22"/>
    </row>
    <row r="36" spans="4:4" x14ac:dyDescent="0.25">
      <c r="D36" s="22"/>
    </row>
    <row r="37" spans="4:4" x14ac:dyDescent="0.25">
      <c r="D37" s="22"/>
    </row>
    <row r="38" spans="4:4" x14ac:dyDescent="0.25">
      <c r="D38" s="22"/>
    </row>
    <row r="39" spans="4:4" x14ac:dyDescent="0.25">
      <c r="D39" s="22"/>
    </row>
    <row r="40" spans="4:4" x14ac:dyDescent="0.25">
      <c r="D40" s="22"/>
    </row>
    <row r="41" spans="4:4" x14ac:dyDescent="0.25">
      <c r="D41" s="22"/>
    </row>
    <row r="42" spans="4:4" x14ac:dyDescent="0.25">
      <c r="D42" s="22"/>
    </row>
    <row r="43" spans="4:4" x14ac:dyDescent="0.25">
      <c r="D43" s="22"/>
    </row>
    <row r="44" spans="4:4" x14ac:dyDescent="0.25">
      <c r="D44" s="22"/>
    </row>
    <row r="45" spans="4:4" x14ac:dyDescent="0.25">
      <c r="D45" s="22"/>
    </row>
    <row r="46" spans="4:4" x14ac:dyDescent="0.25">
      <c r="D46" s="22"/>
    </row>
    <row r="47" spans="4:4" x14ac:dyDescent="0.25">
      <c r="D47" s="22"/>
    </row>
    <row r="48" spans="4:4" x14ac:dyDescent="0.25">
      <c r="D48" s="22"/>
    </row>
    <row r="49" spans="4:4" x14ac:dyDescent="0.25">
      <c r="D49" s="22"/>
    </row>
    <row r="50" spans="4:4" x14ac:dyDescent="0.25">
      <c r="D50" s="22"/>
    </row>
    <row r="51" spans="4:4" x14ac:dyDescent="0.25">
      <c r="D51" s="22"/>
    </row>
    <row r="52" spans="4:4" x14ac:dyDescent="0.25">
      <c r="D52" s="22"/>
    </row>
    <row r="53" spans="4:4" x14ac:dyDescent="0.25">
      <c r="D53" s="22"/>
    </row>
    <row r="54" spans="4:4" x14ac:dyDescent="0.25">
      <c r="D54" s="22"/>
    </row>
    <row r="55" spans="4:4" x14ac:dyDescent="0.25">
      <c r="D55" s="22"/>
    </row>
    <row r="56" spans="4:4" x14ac:dyDescent="0.25">
      <c r="D56" s="22"/>
    </row>
    <row r="57" spans="4:4" x14ac:dyDescent="0.25">
      <c r="D57" s="22"/>
    </row>
    <row r="58" spans="4:4" x14ac:dyDescent="0.25">
      <c r="D58" s="22"/>
    </row>
    <row r="59" spans="4:4" x14ac:dyDescent="0.25">
      <c r="D59" s="22"/>
    </row>
    <row r="60" spans="4:4" x14ac:dyDescent="0.25">
      <c r="D60" s="22"/>
    </row>
    <row r="61" spans="4:4" x14ac:dyDescent="0.25">
      <c r="D61" s="22"/>
    </row>
    <row r="62" spans="4:4" x14ac:dyDescent="0.25">
      <c r="D62" s="22"/>
    </row>
    <row r="63" spans="4:4" x14ac:dyDescent="0.25">
      <c r="D63" s="22"/>
    </row>
    <row r="64" spans="4:4" x14ac:dyDescent="0.25">
      <c r="D64" s="22"/>
    </row>
    <row r="65" spans="4:4" x14ac:dyDescent="0.25">
      <c r="D65" s="22"/>
    </row>
    <row r="66" spans="4:4" x14ac:dyDescent="0.25">
      <c r="D66" s="22"/>
    </row>
    <row r="67" spans="4:4" x14ac:dyDescent="0.25">
      <c r="D67" s="22"/>
    </row>
    <row r="68" spans="4:4" x14ac:dyDescent="0.25">
      <c r="D68" s="22"/>
    </row>
    <row r="69" spans="4:4" x14ac:dyDescent="0.25">
      <c r="D69" s="22"/>
    </row>
    <row r="70" spans="4:4" x14ac:dyDescent="0.25">
      <c r="D70" s="22"/>
    </row>
    <row r="71" spans="4:4" x14ac:dyDescent="0.25">
      <c r="D71" s="22"/>
    </row>
    <row r="72" spans="4:4" x14ac:dyDescent="0.25">
      <c r="D72" s="22"/>
    </row>
    <row r="73" spans="4:4" x14ac:dyDescent="0.25">
      <c r="D73" s="22"/>
    </row>
    <row r="74" spans="4:4" x14ac:dyDescent="0.25">
      <c r="D74" s="22"/>
    </row>
    <row r="75" spans="4:4" x14ac:dyDescent="0.25">
      <c r="D75" s="22"/>
    </row>
    <row r="76" spans="4:4" x14ac:dyDescent="0.25">
      <c r="D76" s="22"/>
    </row>
    <row r="77" spans="4:4" x14ac:dyDescent="0.25">
      <c r="D77" s="22"/>
    </row>
    <row r="78" spans="4:4" x14ac:dyDescent="0.25">
      <c r="D78" s="22"/>
    </row>
    <row r="79" spans="4:4" x14ac:dyDescent="0.25">
      <c r="D79" s="22"/>
    </row>
    <row r="80" spans="4:4" x14ac:dyDescent="0.25">
      <c r="D80" s="22"/>
    </row>
    <row r="81" spans="4:4" x14ac:dyDescent="0.25">
      <c r="D81" s="22"/>
    </row>
    <row r="82" spans="4:4" x14ac:dyDescent="0.25">
      <c r="D82" s="22"/>
    </row>
    <row r="83" spans="4:4" x14ac:dyDescent="0.25">
      <c r="D83" s="22"/>
    </row>
    <row r="84" spans="4:4" x14ac:dyDescent="0.25">
      <c r="D84" s="22"/>
    </row>
    <row r="85" spans="4:4" x14ac:dyDescent="0.25">
      <c r="D85" s="22"/>
    </row>
    <row r="86" spans="4:4" x14ac:dyDescent="0.25">
      <c r="D86" s="22"/>
    </row>
    <row r="87" spans="4:4" x14ac:dyDescent="0.25">
      <c r="D87" s="22"/>
    </row>
    <row r="88" spans="4:4" x14ac:dyDescent="0.25">
      <c r="D88" s="22"/>
    </row>
    <row r="89" spans="4:4" x14ac:dyDescent="0.25">
      <c r="D89" s="22"/>
    </row>
    <row r="90" spans="4:4" x14ac:dyDescent="0.25">
      <c r="D90" s="22"/>
    </row>
    <row r="91" spans="4:4" x14ac:dyDescent="0.25">
      <c r="D91" s="22"/>
    </row>
    <row r="92" spans="4:4" x14ac:dyDescent="0.25">
      <c r="D92" s="22"/>
    </row>
    <row r="93" spans="4:4" x14ac:dyDescent="0.25">
      <c r="D93" s="22"/>
    </row>
    <row r="94" spans="4:4" x14ac:dyDescent="0.25">
      <c r="D94" s="22"/>
    </row>
    <row r="95" spans="4:4" x14ac:dyDescent="0.25">
      <c r="D95" s="22"/>
    </row>
    <row r="96" spans="4:4" x14ac:dyDescent="0.25">
      <c r="D96" s="22"/>
    </row>
    <row r="97" spans="4:4" x14ac:dyDescent="0.25">
      <c r="D97" s="22"/>
    </row>
    <row r="98" spans="4:4" x14ac:dyDescent="0.25">
      <c r="D98" s="22"/>
    </row>
    <row r="99" spans="4:4" x14ac:dyDescent="0.25">
      <c r="D99" s="22"/>
    </row>
    <row r="100" spans="4:4" x14ac:dyDescent="0.25">
      <c r="D100" s="22"/>
    </row>
    <row r="101" spans="4:4" x14ac:dyDescent="0.25">
      <c r="D101" s="22"/>
    </row>
    <row r="102" spans="4:4" x14ac:dyDescent="0.25">
      <c r="D102" s="22"/>
    </row>
    <row r="103" spans="4:4" x14ac:dyDescent="0.25">
      <c r="D103" s="22"/>
    </row>
    <row r="104" spans="4:4" x14ac:dyDescent="0.25">
      <c r="D104" s="22"/>
    </row>
    <row r="105" spans="4:4" x14ac:dyDescent="0.25">
      <c r="D105" s="22"/>
    </row>
    <row r="106" spans="4:4" x14ac:dyDescent="0.25">
      <c r="D106" s="22"/>
    </row>
    <row r="107" spans="4:4" x14ac:dyDescent="0.25">
      <c r="D107" s="22"/>
    </row>
    <row r="108" spans="4:4" x14ac:dyDescent="0.25">
      <c r="D108" s="22"/>
    </row>
    <row r="109" spans="4:4" x14ac:dyDescent="0.25">
      <c r="D109" s="22"/>
    </row>
    <row r="110" spans="4:4" x14ac:dyDescent="0.25">
      <c r="D110" s="22"/>
    </row>
    <row r="111" spans="4:4" x14ac:dyDescent="0.25">
      <c r="D111" s="22"/>
    </row>
    <row r="112" spans="4:4" x14ac:dyDescent="0.25">
      <c r="D112" s="22"/>
    </row>
    <row r="113" spans="4:4" x14ac:dyDescent="0.25">
      <c r="D113" s="22"/>
    </row>
    <row r="114" spans="4:4" x14ac:dyDescent="0.25">
      <c r="D114" s="22"/>
    </row>
    <row r="115" spans="4:4" x14ac:dyDescent="0.25">
      <c r="D115" s="22"/>
    </row>
    <row r="116" spans="4:4" x14ac:dyDescent="0.25">
      <c r="D116" s="22"/>
    </row>
    <row r="117" spans="4:4" x14ac:dyDescent="0.25">
      <c r="D117" s="22"/>
    </row>
    <row r="118" spans="4:4" x14ac:dyDescent="0.25">
      <c r="D118" s="22"/>
    </row>
    <row r="119" spans="4:4" x14ac:dyDescent="0.25">
      <c r="D119" s="22"/>
    </row>
    <row r="120" spans="4:4" x14ac:dyDescent="0.25">
      <c r="D120" s="22"/>
    </row>
    <row r="121" spans="4:4" x14ac:dyDescent="0.25">
      <c r="D121" s="22"/>
    </row>
    <row r="122" spans="4:4" x14ac:dyDescent="0.25">
      <c r="D122" s="22"/>
    </row>
    <row r="123" spans="4:4" x14ac:dyDescent="0.25">
      <c r="D123" s="22"/>
    </row>
    <row r="124" spans="4:4" x14ac:dyDescent="0.25">
      <c r="D124" s="22"/>
    </row>
    <row r="125" spans="4:4" x14ac:dyDescent="0.25">
      <c r="D125" s="22"/>
    </row>
    <row r="126" spans="4:4" x14ac:dyDescent="0.25">
      <c r="D126" s="22"/>
    </row>
    <row r="127" spans="4:4" x14ac:dyDescent="0.25">
      <c r="D127" s="22"/>
    </row>
    <row r="128" spans="4:4" x14ac:dyDescent="0.25">
      <c r="D128" s="22"/>
    </row>
    <row r="129" spans="4:4" x14ac:dyDescent="0.25">
      <c r="D129" s="22"/>
    </row>
    <row r="130" spans="4:4" x14ac:dyDescent="0.25">
      <c r="D130" s="22"/>
    </row>
    <row r="131" spans="4:4" x14ac:dyDescent="0.25">
      <c r="D131" s="22"/>
    </row>
    <row r="132" spans="4:4" x14ac:dyDescent="0.25">
      <c r="D132" s="22"/>
    </row>
    <row r="133" spans="4:4" x14ac:dyDescent="0.25">
      <c r="D133" s="22"/>
    </row>
    <row r="134" spans="4:4" x14ac:dyDescent="0.25">
      <c r="D134" s="22"/>
    </row>
    <row r="135" spans="4:4" x14ac:dyDescent="0.25">
      <c r="D135" s="22"/>
    </row>
    <row r="136" spans="4:4" x14ac:dyDescent="0.25">
      <c r="D136" s="22"/>
    </row>
    <row r="137" spans="4:4" x14ac:dyDescent="0.25">
      <c r="D137" s="22"/>
    </row>
    <row r="138" spans="4:4" x14ac:dyDescent="0.25">
      <c r="D138" s="22"/>
    </row>
    <row r="139" spans="4:4" x14ac:dyDescent="0.25">
      <c r="D139" s="22"/>
    </row>
    <row r="140" spans="4:4" x14ac:dyDescent="0.25">
      <c r="D140" s="22"/>
    </row>
    <row r="141" spans="4:4" x14ac:dyDescent="0.25">
      <c r="D141" s="22"/>
    </row>
    <row r="142" spans="4:4" x14ac:dyDescent="0.25">
      <c r="D142" s="22"/>
    </row>
    <row r="143" spans="4:4" x14ac:dyDescent="0.25">
      <c r="D143" s="22"/>
    </row>
    <row r="144" spans="4:4" x14ac:dyDescent="0.25">
      <c r="D144" s="22"/>
    </row>
    <row r="145" spans="4:4" x14ac:dyDescent="0.25">
      <c r="D145" s="22"/>
    </row>
    <row r="146" spans="4:4" x14ac:dyDescent="0.25">
      <c r="D146" s="22"/>
    </row>
    <row r="147" spans="4:4" x14ac:dyDescent="0.25">
      <c r="D147" s="22"/>
    </row>
    <row r="148" spans="4:4" x14ac:dyDescent="0.25">
      <c r="D148" s="22"/>
    </row>
    <row r="149" spans="4:4" x14ac:dyDescent="0.25">
      <c r="D149" s="22"/>
    </row>
    <row r="150" spans="4:4" x14ac:dyDescent="0.25">
      <c r="D150" s="22"/>
    </row>
    <row r="151" spans="4:4" x14ac:dyDescent="0.25">
      <c r="D151" s="22"/>
    </row>
    <row r="152" spans="4:4" x14ac:dyDescent="0.25">
      <c r="D152" s="22"/>
    </row>
    <row r="153" spans="4:4" x14ac:dyDescent="0.25">
      <c r="D153" s="22"/>
    </row>
    <row r="154" spans="4:4" x14ac:dyDescent="0.25">
      <c r="D154" s="22"/>
    </row>
    <row r="155" spans="4:4" x14ac:dyDescent="0.25">
      <c r="D155" s="22"/>
    </row>
    <row r="156" spans="4:4" x14ac:dyDescent="0.25">
      <c r="D156" s="22"/>
    </row>
    <row r="157" spans="4:4" x14ac:dyDescent="0.25">
      <c r="D157" s="22"/>
    </row>
    <row r="158" spans="4:4" x14ac:dyDescent="0.25">
      <c r="D158" s="22"/>
    </row>
    <row r="159" spans="4:4" x14ac:dyDescent="0.25">
      <c r="D159" s="22"/>
    </row>
    <row r="160" spans="4:4" x14ac:dyDescent="0.25">
      <c r="D160" s="22"/>
    </row>
    <row r="161" spans="4:4" x14ac:dyDescent="0.25">
      <c r="D161" s="22"/>
    </row>
    <row r="162" spans="4:4" x14ac:dyDescent="0.25">
      <c r="D162" s="22"/>
    </row>
    <row r="163" spans="4:4" x14ac:dyDescent="0.25">
      <c r="D163" s="22"/>
    </row>
    <row r="164" spans="4:4" x14ac:dyDescent="0.25">
      <c r="D164" s="22"/>
    </row>
    <row r="165" spans="4:4" x14ac:dyDescent="0.25">
      <c r="D165" s="22"/>
    </row>
    <row r="166" spans="4:4" x14ac:dyDescent="0.25">
      <c r="D166" s="22"/>
    </row>
    <row r="167" spans="4:4" x14ac:dyDescent="0.25">
      <c r="D167" s="22"/>
    </row>
    <row r="168" spans="4:4" x14ac:dyDescent="0.25">
      <c r="D168" s="22"/>
    </row>
    <row r="169" spans="4:4" x14ac:dyDescent="0.25">
      <c r="D169" s="22"/>
    </row>
    <row r="170" spans="4:4" x14ac:dyDescent="0.25">
      <c r="D170" s="22"/>
    </row>
    <row r="171" spans="4:4" x14ac:dyDescent="0.25">
      <c r="D171" s="22"/>
    </row>
    <row r="172" spans="4:4" x14ac:dyDescent="0.25">
      <c r="D172" s="22"/>
    </row>
    <row r="173" spans="4:4" x14ac:dyDescent="0.25">
      <c r="D173" s="22"/>
    </row>
    <row r="174" spans="4:4" x14ac:dyDescent="0.25">
      <c r="D174" s="22"/>
    </row>
    <row r="175" spans="4:4" x14ac:dyDescent="0.25">
      <c r="D175" s="22"/>
    </row>
    <row r="176" spans="4:4" x14ac:dyDescent="0.25">
      <c r="D176" s="22"/>
    </row>
    <row r="177" spans="4:4" x14ac:dyDescent="0.25">
      <c r="D177" s="22"/>
    </row>
    <row r="178" spans="4:4" x14ac:dyDescent="0.25">
      <c r="D178" s="22"/>
    </row>
    <row r="179" spans="4:4" x14ac:dyDescent="0.25">
      <c r="D179" s="22"/>
    </row>
    <row r="180" spans="4:4" x14ac:dyDescent="0.25">
      <c r="D180" s="22"/>
    </row>
    <row r="181" spans="4:4" x14ac:dyDescent="0.25">
      <c r="D181" s="22"/>
    </row>
    <row r="182" spans="4:4" x14ac:dyDescent="0.25">
      <c r="D182" s="22"/>
    </row>
    <row r="183" spans="4:4" x14ac:dyDescent="0.25">
      <c r="D183" s="22"/>
    </row>
    <row r="184" spans="4:4" x14ac:dyDescent="0.25">
      <c r="D184" s="22"/>
    </row>
    <row r="185" spans="4:4" x14ac:dyDescent="0.25">
      <c r="D185" s="22"/>
    </row>
    <row r="186" spans="4:4" x14ac:dyDescent="0.25">
      <c r="D186" s="22"/>
    </row>
    <row r="187" spans="4:4" x14ac:dyDescent="0.25">
      <c r="D187" s="22"/>
    </row>
    <row r="188" spans="4:4" x14ac:dyDescent="0.25">
      <c r="D188" s="22"/>
    </row>
    <row r="189" spans="4:4" x14ac:dyDescent="0.25">
      <c r="D189" s="22"/>
    </row>
    <row r="190" spans="4:4" x14ac:dyDescent="0.25">
      <c r="D190" s="22"/>
    </row>
    <row r="191" spans="4:4" x14ac:dyDescent="0.25">
      <c r="D191" s="22"/>
    </row>
    <row r="192" spans="4:4" x14ac:dyDescent="0.25">
      <c r="D192" s="22"/>
    </row>
    <row r="193" spans="4:4" x14ac:dyDescent="0.25">
      <c r="D193" s="22"/>
    </row>
    <row r="194" spans="4:4" x14ac:dyDescent="0.25">
      <c r="D194" s="22"/>
    </row>
    <row r="195" spans="4:4" x14ac:dyDescent="0.25">
      <c r="D195" s="22"/>
    </row>
    <row r="196" spans="4:4" x14ac:dyDescent="0.25">
      <c r="D196" s="22"/>
    </row>
    <row r="197" spans="4:4" x14ac:dyDescent="0.25">
      <c r="D197" s="22"/>
    </row>
    <row r="198" spans="4:4" x14ac:dyDescent="0.25">
      <c r="D198" s="22"/>
    </row>
    <row r="199" spans="4:4" x14ac:dyDescent="0.25">
      <c r="D199" s="22"/>
    </row>
    <row r="200" spans="4:4" x14ac:dyDescent="0.25">
      <c r="D200" s="22"/>
    </row>
    <row r="201" spans="4:4" x14ac:dyDescent="0.25">
      <c r="D201" s="22"/>
    </row>
    <row r="202" spans="4:4" x14ac:dyDescent="0.25">
      <c r="D202" s="22"/>
    </row>
    <row r="203" spans="4:4" x14ac:dyDescent="0.25">
      <c r="D203" s="22"/>
    </row>
    <row r="204" spans="4:4" x14ac:dyDescent="0.25">
      <c r="D204" s="22"/>
    </row>
    <row r="205" spans="4:4" x14ac:dyDescent="0.25">
      <c r="D205" s="22"/>
    </row>
    <row r="206" spans="4:4" x14ac:dyDescent="0.25">
      <c r="D206" s="22"/>
    </row>
    <row r="207" spans="4:4" x14ac:dyDescent="0.25">
      <c r="D207" s="22"/>
    </row>
    <row r="208" spans="4:4" x14ac:dyDescent="0.25">
      <c r="D208" s="22"/>
    </row>
    <row r="209" spans="4:4" x14ac:dyDescent="0.25">
      <c r="D209" s="22"/>
    </row>
    <row r="210" spans="4:4" x14ac:dyDescent="0.25">
      <c r="D210" s="22"/>
    </row>
    <row r="211" spans="4:4" x14ac:dyDescent="0.25">
      <c r="D211" s="22"/>
    </row>
    <row r="212" spans="4:4" x14ac:dyDescent="0.25">
      <c r="D212" s="22"/>
    </row>
    <row r="213" spans="4:4" x14ac:dyDescent="0.25">
      <c r="D213" s="22"/>
    </row>
    <row r="214" spans="4:4" x14ac:dyDescent="0.25">
      <c r="D214" s="22"/>
    </row>
    <row r="215" spans="4:4" x14ac:dyDescent="0.25">
      <c r="D215" s="22"/>
    </row>
    <row r="216" spans="4:4" x14ac:dyDescent="0.25">
      <c r="D216" s="22"/>
    </row>
    <row r="217" spans="4:4" x14ac:dyDescent="0.25">
      <c r="D217" s="22"/>
    </row>
    <row r="218" spans="4:4" x14ac:dyDescent="0.25">
      <c r="D218" s="22"/>
    </row>
    <row r="219" spans="4:4" x14ac:dyDescent="0.25">
      <c r="D219" s="22"/>
    </row>
    <row r="220" spans="4:4" x14ac:dyDescent="0.25">
      <c r="D220" s="22"/>
    </row>
    <row r="221" spans="4:4" x14ac:dyDescent="0.25">
      <c r="D221" s="22"/>
    </row>
    <row r="222" spans="4:4" x14ac:dyDescent="0.25">
      <c r="D222" s="22"/>
    </row>
    <row r="223" spans="4:4" x14ac:dyDescent="0.25">
      <c r="D223" s="22"/>
    </row>
    <row r="224" spans="4:4" x14ac:dyDescent="0.25">
      <c r="D224" s="22"/>
    </row>
    <row r="225" spans="4:4" x14ac:dyDescent="0.25">
      <c r="D225" s="22"/>
    </row>
    <row r="226" spans="4:4" x14ac:dyDescent="0.25">
      <c r="D226" s="22"/>
    </row>
    <row r="227" spans="4:4" x14ac:dyDescent="0.25">
      <c r="D227" s="22"/>
    </row>
    <row r="228" spans="4:4" x14ac:dyDescent="0.25">
      <c r="D228" s="22"/>
    </row>
    <row r="229" spans="4:4" x14ac:dyDescent="0.25">
      <c r="D229" s="22"/>
    </row>
    <row r="230" spans="4:4" x14ac:dyDescent="0.25">
      <c r="D230" s="22"/>
    </row>
    <row r="231" spans="4:4" x14ac:dyDescent="0.25">
      <c r="D231" s="22"/>
    </row>
    <row r="232" spans="4:4" x14ac:dyDescent="0.25">
      <c r="D232" s="22"/>
    </row>
    <row r="233" spans="4:4" x14ac:dyDescent="0.25">
      <c r="D233" s="22"/>
    </row>
    <row r="234" spans="4:4" x14ac:dyDescent="0.25">
      <c r="D234" s="22"/>
    </row>
    <row r="235" spans="4:4" x14ac:dyDescent="0.25">
      <c r="D235" s="22"/>
    </row>
    <row r="236" spans="4:4" x14ac:dyDescent="0.25">
      <c r="D236" s="22"/>
    </row>
    <row r="237" spans="4:4" x14ac:dyDescent="0.25">
      <c r="D237" s="22"/>
    </row>
    <row r="238" spans="4:4" x14ac:dyDescent="0.25">
      <c r="D238" s="22"/>
    </row>
    <row r="239" spans="4:4" x14ac:dyDescent="0.25">
      <c r="D239" s="22"/>
    </row>
    <row r="240" spans="4:4" x14ac:dyDescent="0.25">
      <c r="D240" s="22"/>
    </row>
    <row r="241" spans="4:4" x14ac:dyDescent="0.25">
      <c r="D241" s="22"/>
    </row>
  </sheetData>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S301"/>
  <sheetViews>
    <sheetView zoomScale="115" zoomScaleNormal="115" workbookViewId="0">
      <selection activeCell="A14" sqref="A14:D241"/>
    </sheetView>
  </sheetViews>
  <sheetFormatPr defaultColWidth="9.125" defaultRowHeight="15" x14ac:dyDescent="0.25"/>
  <cols>
    <col min="1" max="1" width="10.125" style="23" bestFit="1" customWidth="1"/>
    <col min="2" max="2" width="9.125" style="23"/>
    <col min="3" max="5" width="11.625" style="23" bestFit="1" customWidth="1"/>
    <col min="6" max="16384" width="9.125" style="23"/>
  </cols>
  <sheetData>
    <row r="1" spans="1:19" x14ac:dyDescent="0.25">
      <c r="D1" s="23" t="s">
        <v>4</v>
      </c>
      <c r="P1" s="24"/>
      <c r="Q1" s="24"/>
      <c r="R1" s="24"/>
      <c r="S1" s="24"/>
    </row>
    <row r="2" spans="1:19" x14ac:dyDescent="0.25">
      <c r="A2" s="23" t="s">
        <v>32</v>
      </c>
      <c r="B2" s="23" t="s">
        <v>33</v>
      </c>
      <c r="C2" s="23" t="s">
        <v>19</v>
      </c>
      <c r="D2" s="22">
        <v>0.1</v>
      </c>
      <c r="E2" s="24"/>
      <c r="F2" s="24"/>
      <c r="G2" s="24"/>
      <c r="H2" s="24"/>
      <c r="I2" s="24"/>
      <c r="J2" s="24"/>
      <c r="K2" s="24"/>
      <c r="L2" s="24"/>
      <c r="M2" s="24"/>
      <c r="N2" s="24"/>
      <c r="O2" s="24"/>
      <c r="P2" s="24"/>
      <c r="Q2" s="24"/>
      <c r="R2" s="24"/>
      <c r="S2" s="24"/>
    </row>
    <row r="3" spans="1:19" x14ac:dyDescent="0.25">
      <c r="A3" s="23" t="s">
        <v>32</v>
      </c>
      <c r="B3" s="23" t="s">
        <v>33</v>
      </c>
      <c r="C3" s="23" t="s">
        <v>20</v>
      </c>
      <c r="D3" s="22">
        <v>0.1</v>
      </c>
      <c r="E3" s="24"/>
      <c r="F3" s="24"/>
      <c r="G3" s="24"/>
      <c r="H3" s="24"/>
      <c r="I3" s="24"/>
      <c r="J3" s="24"/>
      <c r="K3" s="24"/>
      <c r="L3" s="24"/>
      <c r="M3" s="24"/>
      <c r="N3" s="24"/>
      <c r="O3" s="24"/>
      <c r="P3" s="24"/>
      <c r="Q3" s="24"/>
      <c r="R3" s="24"/>
      <c r="S3" s="24"/>
    </row>
    <row r="4" spans="1:19" x14ac:dyDescent="0.25">
      <c r="A4" s="23" t="s">
        <v>32</v>
      </c>
      <c r="B4" s="23" t="s">
        <v>33</v>
      </c>
      <c r="C4" s="23" t="s">
        <v>21</v>
      </c>
      <c r="D4" s="22">
        <v>0.1</v>
      </c>
      <c r="E4" s="24"/>
      <c r="F4" s="24"/>
      <c r="G4" s="24"/>
      <c r="H4" s="24"/>
      <c r="I4" s="24"/>
      <c r="J4" s="24"/>
      <c r="K4" s="24"/>
      <c r="L4" s="24"/>
      <c r="M4" s="24"/>
      <c r="N4" s="24"/>
      <c r="O4" s="24"/>
      <c r="P4" s="24"/>
      <c r="Q4" s="24"/>
      <c r="R4" s="24"/>
      <c r="S4" s="24"/>
    </row>
    <row r="5" spans="1:19" x14ac:dyDescent="0.25">
      <c r="A5" s="23" t="s">
        <v>32</v>
      </c>
      <c r="B5" s="23" t="s">
        <v>33</v>
      </c>
      <c r="C5" s="23" t="s">
        <v>22</v>
      </c>
      <c r="D5" s="22">
        <v>0.1</v>
      </c>
      <c r="E5" s="24"/>
      <c r="F5" s="24"/>
      <c r="G5" s="24"/>
      <c r="H5" s="24"/>
      <c r="I5" s="24"/>
      <c r="J5" s="24"/>
      <c r="K5" s="24"/>
      <c r="L5" s="24"/>
      <c r="M5" s="24"/>
      <c r="N5" s="24"/>
      <c r="O5" s="24"/>
      <c r="P5" s="24"/>
      <c r="Q5" s="24"/>
      <c r="R5" s="24"/>
      <c r="S5" s="24"/>
    </row>
    <row r="6" spans="1:19" x14ac:dyDescent="0.25">
      <c r="A6" s="23" t="s">
        <v>32</v>
      </c>
      <c r="B6" s="23" t="s">
        <v>33</v>
      </c>
      <c r="C6" s="23" t="s">
        <v>23</v>
      </c>
      <c r="D6" s="22">
        <v>0.5</v>
      </c>
      <c r="E6" s="24"/>
      <c r="F6" s="24"/>
      <c r="G6" s="24"/>
      <c r="H6" s="24"/>
      <c r="I6" s="24"/>
      <c r="J6" s="24"/>
      <c r="K6" s="24"/>
      <c r="L6" s="24"/>
      <c r="M6" s="24"/>
      <c r="N6" s="24"/>
      <c r="O6" s="24"/>
      <c r="P6" s="24"/>
      <c r="Q6" s="24"/>
      <c r="R6" s="24"/>
      <c r="S6" s="24"/>
    </row>
    <row r="7" spans="1:19" x14ac:dyDescent="0.25">
      <c r="A7" s="23" t="s">
        <v>32</v>
      </c>
      <c r="B7" s="23" t="s">
        <v>33</v>
      </c>
      <c r="C7" s="23" t="s">
        <v>24</v>
      </c>
      <c r="D7" s="22">
        <v>0.5</v>
      </c>
      <c r="E7" s="24"/>
      <c r="F7" s="24"/>
      <c r="G7" s="24"/>
      <c r="H7" s="24"/>
      <c r="I7" s="24"/>
      <c r="J7" s="24"/>
      <c r="K7" s="24"/>
      <c r="L7" s="24"/>
      <c r="M7" s="24"/>
      <c r="N7" s="24"/>
      <c r="O7" s="24"/>
      <c r="P7" s="24"/>
      <c r="Q7" s="24"/>
      <c r="R7" s="24"/>
      <c r="S7" s="24"/>
    </row>
    <row r="8" spans="1:19" x14ac:dyDescent="0.25">
      <c r="A8" s="23" t="s">
        <v>32</v>
      </c>
      <c r="B8" s="23" t="s">
        <v>33</v>
      </c>
      <c r="C8" s="23" t="s">
        <v>25</v>
      </c>
      <c r="D8" s="22">
        <v>0.5</v>
      </c>
      <c r="E8" s="24"/>
      <c r="F8" s="24"/>
      <c r="G8" s="24"/>
      <c r="H8" s="24"/>
      <c r="I8" s="24"/>
      <c r="J8" s="24"/>
      <c r="K8" s="24"/>
      <c r="L8" s="24"/>
      <c r="M8" s="24"/>
      <c r="N8" s="24"/>
      <c r="O8" s="24"/>
      <c r="P8" s="24"/>
      <c r="Q8" s="24"/>
      <c r="R8" s="24"/>
      <c r="S8" s="24"/>
    </row>
    <row r="9" spans="1:19" x14ac:dyDescent="0.25">
      <c r="A9" s="23" t="s">
        <v>32</v>
      </c>
      <c r="B9" s="23" t="s">
        <v>33</v>
      </c>
      <c r="C9" s="23" t="s">
        <v>26</v>
      </c>
      <c r="D9" s="22">
        <v>0.1</v>
      </c>
      <c r="E9" s="24"/>
      <c r="F9" s="24"/>
      <c r="G9" s="24"/>
      <c r="H9" s="24"/>
      <c r="I9" s="24"/>
      <c r="J9" s="24"/>
      <c r="K9" s="24"/>
      <c r="L9" s="24"/>
      <c r="M9" s="24"/>
      <c r="N9" s="24"/>
      <c r="O9" s="24"/>
      <c r="P9" s="24"/>
      <c r="Q9" s="24"/>
      <c r="R9" s="24"/>
      <c r="S9" s="24"/>
    </row>
    <row r="10" spans="1:19" ht="15.75" customHeight="1" x14ac:dyDescent="0.25">
      <c r="A10" s="23" t="s">
        <v>32</v>
      </c>
      <c r="B10" s="23" t="s">
        <v>33</v>
      </c>
      <c r="C10" s="23" t="s">
        <v>27</v>
      </c>
      <c r="D10" s="22">
        <v>0.1</v>
      </c>
      <c r="E10" s="24"/>
      <c r="F10" s="24"/>
      <c r="G10" s="24"/>
      <c r="H10" s="24"/>
      <c r="I10" s="24"/>
      <c r="J10" s="24"/>
      <c r="K10" s="24"/>
      <c r="L10" s="24"/>
      <c r="M10" s="24"/>
      <c r="N10" s="24"/>
      <c r="O10" s="24"/>
      <c r="P10" s="24"/>
      <c r="Q10" s="24"/>
      <c r="R10" s="24"/>
      <c r="S10" s="24"/>
    </row>
    <row r="11" spans="1:19" x14ac:dyDescent="0.25">
      <c r="A11" s="23" t="s">
        <v>32</v>
      </c>
      <c r="B11" s="23" t="s">
        <v>33</v>
      </c>
      <c r="C11" s="23" t="s">
        <v>28</v>
      </c>
      <c r="D11" s="22">
        <v>0.1</v>
      </c>
      <c r="E11" s="24"/>
      <c r="F11" s="24"/>
      <c r="G11" s="24"/>
      <c r="H11" s="24"/>
      <c r="I11" s="24"/>
      <c r="J11" s="24"/>
      <c r="K11" s="24"/>
      <c r="L11" s="24"/>
      <c r="M11" s="24"/>
      <c r="N11" s="24"/>
      <c r="O11" s="24"/>
      <c r="P11" s="24"/>
      <c r="Q11" s="24"/>
      <c r="R11" s="24"/>
      <c r="S11" s="24"/>
    </row>
    <row r="12" spans="1:19" x14ac:dyDescent="0.25">
      <c r="A12" s="23" t="s">
        <v>32</v>
      </c>
      <c r="B12" s="23" t="s">
        <v>33</v>
      </c>
      <c r="C12" s="23" t="s">
        <v>29</v>
      </c>
      <c r="D12" s="22">
        <v>0.1</v>
      </c>
      <c r="E12" s="24"/>
      <c r="F12" s="24"/>
      <c r="G12" s="24"/>
      <c r="H12" s="24"/>
      <c r="I12" s="24"/>
      <c r="J12" s="24"/>
      <c r="K12" s="24"/>
      <c r="L12" s="24"/>
      <c r="M12" s="24"/>
      <c r="N12" s="24"/>
      <c r="O12" s="24"/>
      <c r="P12" s="24"/>
      <c r="Q12" s="24"/>
      <c r="R12" s="24"/>
      <c r="S12" s="24"/>
    </row>
    <row r="13" spans="1:19" x14ac:dyDescent="0.25">
      <c r="A13" s="23" t="s">
        <v>32</v>
      </c>
      <c r="B13" s="23" t="s">
        <v>33</v>
      </c>
      <c r="C13" s="23" t="s">
        <v>30</v>
      </c>
      <c r="D13" s="22">
        <v>0.1</v>
      </c>
      <c r="E13" s="24"/>
      <c r="F13" s="24"/>
      <c r="G13" s="24"/>
      <c r="H13" s="24"/>
      <c r="I13" s="24"/>
      <c r="J13" s="24"/>
      <c r="K13" s="24"/>
      <c r="L13" s="24"/>
      <c r="M13" s="24"/>
      <c r="N13" s="24"/>
      <c r="O13" s="24"/>
      <c r="P13" s="24"/>
      <c r="Q13" s="24"/>
      <c r="R13" s="24"/>
    </row>
    <row r="14" spans="1:19" x14ac:dyDescent="0.25">
      <c r="D14" s="22"/>
    </row>
    <row r="15" spans="1:19" x14ac:dyDescent="0.25">
      <c r="D15" s="22"/>
    </row>
    <row r="16" spans="1:19" x14ac:dyDescent="0.25">
      <c r="D16" s="22"/>
    </row>
    <row r="17" spans="4:4" x14ac:dyDescent="0.25">
      <c r="D17" s="22"/>
    </row>
    <row r="18" spans="4:4" x14ac:dyDescent="0.25">
      <c r="D18" s="22"/>
    </row>
    <row r="19" spans="4:4" x14ac:dyDescent="0.25">
      <c r="D19" s="22"/>
    </row>
    <row r="20" spans="4:4" x14ac:dyDescent="0.25">
      <c r="D20" s="22"/>
    </row>
    <row r="21" spans="4:4" x14ac:dyDescent="0.25">
      <c r="D21" s="22"/>
    </row>
    <row r="22" spans="4:4" x14ac:dyDescent="0.25">
      <c r="D22" s="22"/>
    </row>
    <row r="23" spans="4:4" x14ac:dyDescent="0.25">
      <c r="D23" s="22"/>
    </row>
    <row r="24" spans="4:4" x14ac:dyDescent="0.25">
      <c r="D24" s="22"/>
    </row>
    <row r="25" spans="4:4" x14ac:dyDescent="0.25">
      <c r="D25" s="22"/>
    </row>
    <row r="26" spans="4:4" x14ac:dyDescent="0.25">
      <c r="D26" s="22"/>
    </row>
    <row r="27" spans="4:4" x14ac:dyDescent="0.25">
      <c r="D27" s="22"/>
    </row>
    <row r="28" spans="4:4" x14ac:dyDescent="0.25">
      <c r="D28" s="22"/>
    </row>
    <row r="29" spans="4:4" x14ac:dyDescent="0.25">
      <c r="D29" s="22"/>
    </row>
    <row r="30" spans="4:4" x14ac:dyDescent="0.25">
      <c r="D30" s="22"/>
    </row>
    <row r="31" spans="4:4" x14ac:dyDescent="0.25">
      <c r="D31" s="22"/>
    </row>
    <row r="32" spans="4:4" x14ac:dyDescent="0.25">
      <c r="D32" s="22"/>
    </row>
    <row r="33" spans="4:4" x14ac:dyDescent="0.25">
      <c r="D33" s="22"/>
    </row>
    <row r="34" spans="4:4" x14ac:dyDescent="0.25">
      <c r="D34" s="22"/>
    </row>
    <row r="35" spans="4:4" x14ac:dyDescent="0.25">
      <c r="D35" s="22"/>
    </row>
    <row r="36" spans="4:4" x14ac:dyDescent="0.25">
      <c r="D36" s="22"/>
    </row>
    <row r="37" spans="4:4" x14ac:dyDescent="0.25">
      <c r="D37" s="22"/>
    </row>
    <row r="38" spans="4:4" x14ac:dyDescent="0.25">
      <c r="D38" s="22"/>
    </row>
    <row r="39" spans="4:4" x14ac:dyDescent="0.25">
      <c r="D39" s="22"/>
    </row>
    <row r="40" spans="4:4" x14ac:dyDescent="0.25">
      <c r="D40" s="22"/>
    </row>
    <row r="41" spans="4:4" x14ac:dyDescent="0.25">
      <c r="D41" s="22"/>
    </row>
    <row r="42" spans="4:4" x14ac:dyDescent="0.25">
      <c r="D42" s="22"/>
    </row>
    <row r="43" spans="4:4" x14ac:dyDescent="0.25">
      <c r="D43" s="22"/>
    </row>
    <row r="44" spans="4:4" x14ac:dyDescent="0.25">
      <c r="D44" s="22"/>
    </row>
    <row r="45" spans="4:4" x14ac:dyDescent="0.25">
      <c r="D45" s="22"/>
    </row>
    <row r="46" spans="4:4" x14ac:dyDescent="0.25">
      <c r="D46" s="22"/>
    </row>
    <row r="47" spans="4:4" x14ac:dyDescent="0.25">
      <c r="D47" s="22"/>
    </row>
    <row r="48" spans="4:4" x14ac:dyDescent="0.25">
      <c r="D48" s="22"/>
    </row>
    <row r="49" spans="4:4" x14ac:dyDescent="0.25">
      <c r="D49" s="22"/>
    </row>
    <row r="50" spans="4:4" x14ac:dyDescent="0.25">
      <c r="D50" s="22"/>
    </row>
    <row r="51" spans="4:4" x14ac:dyDescent="0.25">
      <c r="D51" s="22"/>
    </row>
    <row r="52" spans="4:4" x14ac:dyDescent="0.25">
      <c r="D52" s="22"/>
    </row>
    <row r="53" spans="4:4" x14ac:dyDescent="0.25">
      <c r="D53" s="22"/>
    </row>
    <row r="54" spans="4:4" x14ac:dyDescent="0.25">
      <c r="D54" s="22"/>
    </row>
    <row r="55" spans="4:4" x14ac:dyDescent="0.25">
      <c r="D55" s="22"/>
    </row>
    <row r="56" spans="4:4" x14ac:dyDescent="0.25">
      <c r="D56" s="22"/>
    </row>
    <row r="57" spans="4:4" x14ac:dyDescent="0.25">
      <c r="D57" s="22"/>
    </row>
    <row r="58" spans="4:4" x14ac:dyDescent="0.25">
      <c r="D58" s="22"/>
    </row>
    <row r="59" spans="4:4" x14ac:dyDescent="0.25">
      <c r="D59" s="22"/>
    </row>
    <row r="60" spans="4:4" x14ac:dyDescent="0.25">
      <c r="D60" s="22"/>
    </row>
    <row r="61" spans="4:4" x14ac:dyDescent="0.25">
      <c r="D61" s="22"/>
    </row>
    <row r="62" spans="4:4" x14ac:dyDescent="0.25">
      <c r="D62" s="22"/>
    </row>
    <row r="63" spans="4:4" x14ac:dyDescent="0.25">
      <c r="D63" s="22"/>
    </row>
    <row r="64" spans="4:4" x14ac:dyDescent="0.25">
      <c r="D64" s="22"/>
    </row>
    <row r="65" spans="4:4" x14ac:dyDescent="0.25">
      <c r="D65" s="22"/>
    </row>
    <row r="66" spans="4:4" x14ac:dyDescent="0.25">
      <c r="D66" s="22"/>
    </row>
    <row r="67" spans="4:4" x14ac:dyDescent="0.25">
      <c r="D67" s="22"/>
    </row>
    <row r="68" spans="4:4" x14ac:dyDescent="0.25">
      <c r="D68" s="22"/>
    </row>
    <row r="69" spans="4:4" x14ac:dyDescent="0.25">
      <c r="D69" s="22"/>
    </row>
    <row r="70" spans="4:4" x14ac:dyDescent="0.25">
      <c r="D70" s="22"/>
    </row>
    <row r="71" spans="4:4" x14ac:dyDescent="0.25">
      <c r="D71" s="22"/>
    </row>
    <row r="72" spans="4:4" x14ac:dyDescent="0.25">
      <c r="D72" s="22"/>
    </row>
    <row r="73" spans="4:4" x14ac:dyDescent="0.25">
      <c r="D73" s="22"/>
    </row>
    <row r="74" spans="4:4" x14ac:dyDescent="0.25">
      <c r="D74" s="22"/>
    </row>
    <row r="75" spans="4:4" x14ac:dyDescent="0.25">
      <c r="D75" s="22"/>
    </row>
    <row r="76" spans="4:4" x14ac:dyDescent="0.25">
      <c r="D76" s="22"/>
    </row>
    <row r="77" spans="4:4" x14ac:dyDescent="0.25">
      <c r="D77" s="22"/>
    </row>
    <row r="78" spans="4:4" x14ac:dyDescent="0.25">
      <c r="D78" s="22"/>
    </row>
    <row r="79" spans="4:4" x14ac:dyDescent="0.25">
      <c r="D79" s="22"/>
    </row>
    <row r="80" spans="4:4" x14ac:dyDescent="0.25">
      <c r="D80" s="22"/>
    </row>
    <row r="81" spans="4:4" x14ac:dyDescent="0.25">
      <c r="D81" s="22"/>
    </row>
    <row r="82" spans="4:4" x14ac:dyDescent="0.25">
      <c r="D82" s="22"/>
    </row>
    <row r="83" spans="4:4" x14ac:dyDescent="0.25">
      <c r="D83" s="22"/>
    </row>
    <row r="84" spans="4:4" x14ac:dyDescent="0.25">
      <c r="D84" s="22"/>
    </row>
    <row r="85" spans="4:4" x14ac:dyDescent="0.25">
      <c r="D85" s="22"/>
    </row>
    <row r="86" spans="4:4" x14ac:dyDescent="0.25">
      <c r="D86" s="22"/>
    </row>
    <row r="87" spans="4:4" x14ac:dyDescent="0.25">
      <c r="D87" s="22"/>
    </row>
    <row r="88" spans="4:4" x14ac:dyDescent="0.25">
      <c r="D88" s="22"/>
    </row>
    <row r="89" spans="4:4" x14ac:dyDescent="0.25">
      <c r="D89" s="22"/>
    </row>
    <row r="90" spans="4:4" x14ac:dyDescent="0.25">
      <c r="D90" s="22"/>
    </row>
    <row r="91" spans="4:4" x14ac:dyDescent="0.25">
      <c r="D91" s="22"/>
    </row>
    <row r="92" spans="4:4" x14ac:dyDescent="0.25">
      <c r="D92" s="22"/>
    </row>
    <row r="93" spans="4:4" x14ac:dyDescent="0.25">
      <c r="D93" s="22"/>
    </row>
    <row r="94" spans="4:4" x14ac:dyDescent="0.25">
      <c r="D94" s="22"/>
    </row>
    <row r="95" spans="4:4" x14ac:dyDescent="0.25">
      <c r="D95" s="22"/>
    </row>
    <row r="96" spans="4:4" x14ac:dyDescent="0.25">
      <c r="D96" s="22"/>
    </row>
    <row r="97" spans="4:4" x14ac:dyDescent="0.25">
      <c r="D97" s="22"/>
    </row>
    <row r="98" spans="4:4" x14ac:dyDescent="0.25">
      <c r="D98" s="22"/>
    </row>
    <row r="99" spans="4:4" x14ac:dyDescent="0.25">
      <c r="D99" s="22"/>
    </row>
    <row r="100" spans="4:4" x14ac:dyDescent="0.25">
      <c r="D100" s="22"/>
    </row>
    <row r="101" spans="4:4" x14ac:dyDescent="0.25">
      <c r="D101" s="22"/>
    </row>
    <row r="102" spans="4:4" x14ac:dyDescent="0.25">
      <c r="D102" s="22"/>
    </row>
    <row r="103" spans="4:4" x14ac:dyDescent="0.25">
      <c r="D103" s="22"/>
    </row>
    <row r="104" spans="4:4" x14ac:dyDescent="0.25">
      <c r="D104" s="22"/>
    </row>
    <row r="105" spans="4:4" x14ac:dyDescent="0.25">
      <c r="D105" s="22"/>
    </row>
    <row r="106" spans="4:4" x14ac:dyDescent="0.25">
      <c r="D106" s="22"/>
    </row>
    <row r="107" spans="4:4" x14ac:dyDescent="0.25">
      <c r="D107" s="22"/>
    </row>
    <row r="108" spans="4:4" x14ac:dyDescent="0.25">
      <c r="D108" s="22"/>
    </row>
    <row r="109" spans="4:4" x14ac:dyDescent="0.25">
      <c r="D109" s="22"/>
    </row>
    <row r="110" spans="4:4" x14ac:dyDescent="0.25">
      <c r="D110" s="22"/>
    </row>
    <row r="111" spans="4:4" x14ac:dyDescent="0.25">
      <c r="D111" s="22"/>
    </row>
    <row r="112" spans="4:4" x14ac:dyDescent="0.25">
      <c r="D112" s="22"/>
    </row>
    <row r="113" spans="4:4" x14ac:dyDescent="0.25">
      <c r="D113" s="22"/>
    </row>
    <row r="114" spans="4:4" x14ac:dyDescent="0.25">
      <c r="D114" s="22"/>
    </row>
    <row r="115" spans="4:4" x14ac:dyDescent="0.25">
      <c r="D115" s="22"/>
    </row>
    <row r="116" spans="4:4" x14ac:dyDescent="0.25">
      <c r="D116" s="22"/>
    </row>
    <row r="117" spans="4:4" x14ac:dyDescent="0.25">
      <c r="D117" s="22"/>
    </row>
    <row r="118" spans="4:4" x14ac:dyDescent="0.25">
      <c r="D118" s="22"/>
    </row>
    <row r="119" spans="4:4" x14ac:dyDescent="0.25">
      <c r="D119" s="22"/>
    </row>
    <row r="120" spans="4:4" x14ac:dyDescent="0.25">
      <c r="D120" s="22"/>
    </row>
    <row r="121" spans="4:4" x14ac:dyDescent="0.25">
      <c r="D121" s="22"/>
    </row>
    <row r="122" spans="4:4" x14ac:dyDescent="0.25">
      <c r="D122" s="22"/>
    </row>
    <row r="123" spans="4:4" x14ac:dyDescent="0.25">
      <c r="D123" s="22"/>
    </row>
    <row r="124" spans="4:4" x14ac:dyDescent="0.25">
      <c r="D124" s="22"/>
    </row>
    <row r="125" spans="4:4" x14ac:dyDescent="0.25">
      <c r="D125" s="22"/>
    </row>
    <row r="126" spans="4:4" x14ac:dyDescent="0.25">
      <c r="D126" s="22"/>
    </row>
    <row r="127" spans="4:4" x14ac:dyDescent="0.25">
      <c r="D127" s="22"/>
    </row>
    <row r="128" spans="4:4" x14ac:dyDescent="0.25">
      <c r="D128" s="22"/>
    </row>
    <row r="129" spans="4:4" x14ac:dyDescent="0.25">
      <c r="D129" s="22"/>
    </row>
    <row r="130" spans="4:4" x14ac:dyDescent="0.25">
      <c r="D130" s="22"/>
    </row>
    <row r="131" spans="4:4" x14ac:dyDescent="0.25">
      <c r="D131" s="22"/>
    </row>
    <row r="132" spans="4:4" x14ac:dyDescent="0.25">
      <c r="D132" s="22"/>
    </row>
    <row r="133" spans="4:4" x14ac:dyDescent="0.25">
      <c r="D133" s="22"/>
    </row>
    <row r="134" spans="4:4" x14ac:dyDescent="0.25">
      <c r="D134" s="22"/>
    </row>
    <row r="135" spans="4:4" x14ac:dyDescent="0.25">
      <c r="D135" s="22"/>
    </row>
    <row r="136" spans="4:4" x14ac:dyDescent="0.25">
      <c r="D136" s="22"/>
    </row>
    <row r="137" spans="4:4" x14ac:dyDescent="0.25">
      <c r="D137" s="22"/>
    </row>
    <row r="138" spans="4:4" x14ac:dyDescent="0.25">
      <c r="D138" s="22"/>
    </row>
    <row r="139" spans="4:4" x14ac:dyDescent="0.25">
      <c r="D139" s="22"/>
    </row>
    <row r="140" spans="4:4" x14ac:dyDescent="0.25">
      <c r="D140" s="22"/>
    </row>
    <row r="141" spans="4:4" x14ac:dyDescent="0.25">
      <c r="D141" s="22"/>
    </row>
    <row r="142" spans="4:4" x14ac:dyDescent="0.25">
      <c r="D142" s="22"/>
    </row>
    <row r="143" spans="4:4" x14ac:dyDescent="0.25">
      <c r="D143" s="22"/>
    </row>
    <row r="144" spans="4:4" x14ac:dyDescent="0.25">
      <c r="D144" s="22"/>
    </row>
    <row r="145" spans="4:4" x14ac:dyDescent="0.25">
      <c r="D145" s="22"/>
    </row>
    <row r="146" spans="4:4" x14ac:dyDescent="0.25">
      <c r="D146" s="22"/>
    </row>
    <row r="147" spans="4:4" x14ac:dyDescent="0.25">
      <c r="D147" s="22"/>
    </row>
    <row r="148" spans="4:4" x14ac:dyDescent="0.25">
      <c r="D148" s="22"/>
    </row>
    <row r="149" spans="4:4" x14ac:dyDescent="0.25">
      <c r="D149" s="22"/>
    </row>
    <row r="150" spans="4:4" x14ac:dyDescent="0.25">
      <c r="D150" s="22"/>
    </row>
    <row r="151" spans="4:4" x14ac:dyDescent="0.25">
      <c r="D151" s="22"/>
    </row>
    <row r="152" spans="4:4" x14ac:dyDescent="0.25">
      <c r="D152" s="22"/>
    </row>
    <row r="153" spans="4:4" x14ac:dyDescent="0.25">
      <c r="D153" s="22"/>
    </row>
    <row r="154" spans="4:4" x14ac:dyDescent="0.25">
      <c r="D154" s="22"/>
    </row>
    <row r="155" spans="4:4" x14ac:dyDescent="0.25">
      <c r="D155" s="22"/>
    </row>
    <row r="156" spans="4:4" x14ac:dyDescent="0.25">
      <c r="D156" s="22"/>
    </row>
    <row r="157" spans="4:4" x14ac:dyDescent="0.25">
      <c r="D157" s="22"/>
    </row>
    <row r="158" spans="4:4" x14ac:dyDescent="0.25">
      <c r="D158" s="22"/>
    </row>
    <row r="159" spans="4:4" x14ac:dyDescent="0.25">
      <c r="D159" s="22"/>
    </row>
    <row r="160" spans="4:4" x14ac:dyDescent="0.25">
      <c r="D160" s="22"/>
    </row>
    <row r="161" spans="4:4" x14ac:dyDescent="0.25">
      <c r="D161" s="22"/>
    </row>
    <row r="162" spans="4:4" x14ac:dyDescent="0.25">
      <c r="D162" s="22"/>
    </row>
    <row r="163" spans="4:4" x14ac:dyDescent="0.25">
      <c r="D163" s="22"/>
    </row>
    <row r="164" spans="4:4" x14ac:dyDescent="0.25">
      <c r="D164" s="22"/>
    </row>
    <row r="165" spans="4:4" x14ac:dyDescent="0.25">
      <c r="D165" s="22"/>
    </row>
    <row r="166" spans="4:4" x14ac:dyDescent="0.25">
      <c r="D166" s="22"/>
    </row>
    <row r="167" spans="4:4" x14ac:dyDescent="0.25">
      <c r="D167" s="22"/>
    </row>
    <row r="168" spans="4:4" x14ac:dyDescent="0.25">
      <c r="D168" s="22"/>
    </row>
    <row r="169" spans="4:4" x14ac:dyDescent="0.25">
      <c r="D169" s="22"/>
    </row>
    <row r="170" spans="4:4" x14ac:dyDescent="0.25">
      <c r="D170" s="22"/>
    </row>
    <row r="171" spans="4:4" x14ac:dyDescent="0.25">
      <c r="D171" s="22"/>
    </row>
    <row r="172" spans="4:4" x14ac:dyDescent="0.25">
      <c r="D172" s="22"/>
    </row>
    <row r="173" spans="4:4" x14ac:dyDescent="0.25">
      <c r="D173" s="22"/>
    </row>
    <row r="174" spans="4:4" x14ac:dyDescent="0.25">
      <c r="D174" s="22"/>
    </row>
    <row r="175" spans="4:4" x14ac:dyDescent="0.25">
      <c r="D175" s="22"/>
    </row>
    <row r="176" spans="4:4" x14ac:dyDescent="0.25">
      <c r="D176" s="22"/>
    </row>
    <row r="177" spans="4:4" x14ac:dyDescent="0.25">
      <c r="D177" s="22"/>
    </row>
    <row r="178" spans="4:4" x14ac:dyDescent="0.25">
      <c r="D178" s="22"/>
    </row>
    <row r="179" spans="4:4" x14ac:dyDescent="0.25">
      <c r="D179" s="22"/>
    </row>
    <row r="180" spans="4:4" x14ac:dyDescent="0.25">
      <c r="D180" s="22"/>
    </row>
    <row r="181" spans="4:4" x14ac:dyDescent="0.25">
      <c r="D181" s="22"/>
    </row>
    <row r="182" spans="4:4" x14ac:dyDescent="0.25">
      <c r="D182" s="22"/>
    </row>
    <row r="183" spans="4:4" x14ac:dyDescent="0.25">
      <c r="D183" s="22"/>
    </row>
    <row r="184" spans="4:4" x14ac:dyDescent="0.25">
      <c r="D184" s="22"/>
    </row>
    <row r="185" spans="4:4" x14ac:dyDescent="0.25">
      <c r="D185" s="22"/>
    </row>
    <row r="186" spans="4:4" x14ac:dyDescent="0.25">
      <c r="D186" s="22"/>
    </row>
    <row r="187" spans="4:4" x14ac:dyDescent="0.25">
      <c r="D187" s="22"/>
    </row>
    <row r="188" spans="4:4" x14ac:dyDescent="0.25">
      <c r="D188" s="22"/>
    </row>
    <row r="189" spans="4:4" x14ac:dyDescent="0.25">
      <c r="D189" s="22"/>
    </row>
    <row r="190" spans="4:4" x14ac:dyDescent="0.25">
      <c r="D190" s="22"/>
    </row>
    <row r="191" spans="4:4" x14ac:dyDescent="0.25">
      <c r="D191" s="22"/>
    </row>
    <row r="192" spans="4:4" x14ac:dyDescent="0.25">
      <c r="D192" s="22"/>
    </row>
    <row r="193" spans="4:4" x14ac:dyDescent="0.25">
      <c r="D193" s="22"/>
    </row>
    <row r="194" spans="4:4" x14ac:dyDescent="0.25">
      <c r="D194" s="22"/>
    </row>
    <row r="195" spans="4:4" x14ac:dyDescent="0.25">
      <c r="D195" s="22"/>
    </row>
    <row r="196" spans="4:4" x14ac:dyDescent="0.25">
      <c r="D196" s="22"/>
    </row>
    <row r="197" spans="4:4" x14ac:dyDescent="0.25">
      <c r="D197" s="22"/>
    </row>
    <row r="198" spans="4:4" x14ac:dyDescent="0.25">
      <c r="D198" s="22"/>
    </row>
    <row r="199" spans="4:4" x14ac:dyDescent="0.25">
      <c r="D199" s="22"/>
    </row>
    <row r="200" spans="4:4" x14ac:dyDescent="0.25">
      <c r="D200" s="22"/>
    </row>
    <row r="201" spans="4:4" x14ac:dyDescent="0.25">
      <c r="D201" s="22"/>
    </row>
    <row r="202" spans="4:4" x14ac:dyDescent="0.25">
      <c r="D202" s="22"/>
    </row>
    <row r="203" spans="4:4" x14ac:dyDescent="0.25">
      <c r="D203" s="22"/>
    </row>
    <row r="204" spans="4:4" x14ac:dyDescent="0.25">
      <c r="D204" s="22"/>
    </row>
    <row r="205" spans="4:4" x14ac:dyDescent="0.25">
      <c r="D205" s="22"/>
    </row>
    <row r="206" spans="4:4" x14ac:dyDescent="0.25">
      <c r="D206" s="22"/>
    </row>
    <row r="207" spans="4:4" x14ac:dyDescent="0.25">
      <c r="D207" s="22"/>
    </row>
    <row r="208" spans="4:4" x14ac:dyDescent="0.25">
      <c r="D208" s="22"/>
    </row>
    <row r="209" spans="4:4" x14ac:dyDescent="0.25">
      <c r="D209" s="22"/>
    </row>
    <row r="210" spans="4:4" x14ac:dyDescent="0.25">
      <c r="D210" s="22"/>
    </row>
    <row r="211" spans="4:4" x14ac:dyDescent="0.25">
      <c r="D211" s="22"/>
    </row>
    <row r="212" spans="4:4" x14ac:dyDescent="0.25">
      <c r="D212" s="22"/>
    </row>
    <row r="213" spans="4:4" x14ac:dyDescent="0.25">
      <c r="D213" s="22"/>
    </row>
    <row r="214" spans="4:4" x14ac:dyDescent="0.25">
      <c r="D214" s="22"/>
    </row>
    <row r="215" spans="4:4" x14ac:dyDescent="0.25">
      <c r="D215" s="22"/>
    </row>
    <row r="216" spans="4:4" x14ac:dyDescent="0.25">
      <c r="D216" s="22"/>
    </row>
    <row r="217" spans="4:4" x14ac:dyDescent="0.25">
      <c r="D217" s="22"/>
    </row>
    <row r="218" spans="4:4" x14ac:dyDescent="0.25">
      <c r="D218" s="22"/>
    </row>
    <row r="219" spans="4:4" x14ac:dyDescent="0.25">
      <c r="D219" s="22"/>
    </row>
    <row r="220" spans="4:4" x14ac:dyDescent="0.25">
      <c r="D220" s="22"/>
    </row>
    <row r="221" spans="4:4" x14ac:dyDescent="0.25">
      <c r="D221" s="22"/>
    </row>
    <row r="222" spans="4:4" x14ac:dyDescent="0.25">
      <c r="D222" s="22"/>
    </row>
    <row r="223" spans="4:4" x14ac:dyDescent="0.25">
      <c r="D223" s="22"/>
    </row>
    <row r="224" spans="4:4" x14ac:dyDescent="0.25">
      <c r="D224" s="22"/>
    </row>
    <row r="225" spans="4:4" x14ac:dyDescent="0.25">
      <c r="D225" s="22"/>
    </row>
    <row r="226" spans="4:4" x14ac:dyDescent="0.25">
      <c r="D226" s="22"/>
    </row>
    <row r="227" spans="4:4" x14ac:dyDescent="0.25">
      <c r="D227" s="22"/>
    </row>
    <row r="228" spans="4:4" x14ac:dyDescent="0.25">
      <c r="D228" s="22"/>
    </row>
    <row r="229" spans="4:4" x14ac:dyDescent="0.25">
      <c r="D229" s="22"/>
    </row>
    <row r="230" spans="4:4" x14ac:dyDescent="0.25">
      <c r="D230" s="22"/>
    </row>
    <row r="231" spans="4:4" x14ac:dyDescent="0.25">
      <c r="D231" s="22"/>
    </row>
    <row r="232" spans="4:4" x14ac:dyDescent="0.25">
      <c r="D232" s="22"/>
    </row>
    <row r="233" spans="4:4" x14ac:dyDescent="0.25">
      <c r="D233" s="22"/>
    </row>
    <row r="234" spans="4:4" x14ac:dyDescent="0.25">
      <c r="D234" s="22"/>
    </row>
    <row r="235" spans="4:4" x14ac:dyDescent="0.25">
      <c r="D235" s="22"/>
    </row>
    <row r="236" spans="4:4" x14ac:dyDescent="0.25">
      <c r="D236" s="22"/>
    </row>
    <row r="237" spans="4:4" x14ac:dyDescent="0.25">
      <c r="D237" s="22"/>
    </row>
    <row r="238" spans="4:4" x14ac:dyDescent="0.25">
      <c r="D238" s="22"/>
    </row>
    <row r="239" spans="4:4" x14ac:dyDescent="0.25">
      <c r="D239" s="22"/>
    </row>
    <row r="240" spans="4:4" x14ac:dyDescent="0.25">
      <c r="D240" s="22"/>
    </row>
    <row r="241" spans="4:4" x14ac:dyDescent="0.25">
      <c r="D241" s="22"/>
    </row>
    <row r="242" spans="4:4" x14ac:dyDescent="0.25">
      <c r="D242" s="22"/>
    </row>
    <row r="243" spans="4:4" x14ac:dyDescent="0.25">
      <c r="D243" s="22"/>
    </row>
    <row r="244" spans="4:4" x14ac:dyDescent="0.25">
      <c r="D244" s="22"/>
    </row>
    <row r="245" spans="4:4" x14ac:dyDescent="0.25">
      <c r="D245" s="22"/>
    </row>
    <row r="246" spans="4:4" x14ac:dyDescent="0.25">
      <c r="D246" s="22"/>
    </row>
    <row r="247" spans="4:4" x14ac:dyDescent="0.25">
      <c r="D247" s="22"/>
    </row>
    <row r="248" spans="4:4" x14ac:dyDescent="0.25">
      <c r="D248" s="22"/>
    </row>
    <row r="249" spans="4:4" x14ac:dyDescent="0.25">
      <c r="D249" s="22"/>
    </row>
    <row r="250" spans="4:4" x14ac:dyDescent="0.25">
      <c r="D250" s="22"/>
    </row>
    <row r="251" spans="4:4" x14ac:dyDescent="0.25">
      <c r="D251" s="22"/>
    </row>
    <row r="252" spans="4:4" x14ac:dyDescent="0.25">
      <c r="D252" s="22"/>
    </row>
    <row r="253" spans="4:4" x14ac:dyDescent="0.25">
      <c r="D253" s="22"/>
    </row>
    <row r="254" spans="4:4" x14ac:dyDescent="0.25">
      <c r="D254" s="22"/>
    </row>
    <row r="255" spans="4:4" x14ac:dyDescent="0.25">
      <c r="D255" s="22"/>
    </row>
    <row r="256" spans="4:4" x14ac:dyDescent="0.25">
      <c r="D256" s="22"/>
    </row>
    <row r="257" spans="4:4" x14ac:dyDescent="0.25">
      <c r="D257" s="22"/>
    </row>
    <row r="258" spans="4:4" x14ac:dyDescent="0.25">
      <c r="D258" s="22"/>
    </row>
    <row r="259" spans="4:4" x14ac:dyDescent="0.25">
      <c r="D259" s="22"/>
    </row>
    <row r="260" spans="4:4" x14ac:dyDescent="0.25">
      <c r="D260" s="22"/>
    </row>
    <row r="261" spans="4:4" x14ac:dyDescent="0.25">
      <c r="D261" s="22"/>
    </row>
    <row r="262" spans="4:4" x14ac:dyDescent="0.25">
      <c r="D262" s="22"/>
    </row>
    <row r="263" spans="4:4" x14ac:dyDescent="0.25">
      <c r="D263" s="22"/>
    </row>
    <row r="264" spans="4:4" x14ac:dyDescent="0.25">
      <c r="D264" s="22"/>
    </row>
    <row r="265" spans="4:4" x14ac:dyDescent="0.25">
      <c r="D265" s="22"/>
    </row>
    <row r="266" spans="4:4" x14ac:dyDescent="0.25">
      <c r="D266" s="22"/>
    </row>
    <row r="267" spans="4:4" x14ac:dyDescent="0.25">
      <c r="D267" s="22"/>
    </row>
    <row r="268" spans="4:4" x14ac:dyDescent="0.25">
      <c r="D268" s="22"/>
    </row>
    <row r="269" spans="4:4" x14ac:dyDescent="0.25">
      <c r="D269" s="22"/>
    </row>
    <row r="270" spans="4:4" x14ac:dyDescent="0.25">
      <c r="D270" s="22"/>
    </row>
    <row r="271" spans="4:4" x14ac:dyDescent="0.25">
      <c r="D271" s="22"/>
    </row>
    <row r="272" spans="4:4" x14ac:dyDescent="0.25">
      <c r="D272" s="22"/>
    </row>
    <row r="273" spans="4:4" x14ac:dyDescent="0.25">
      <c r="D273" s="22"/>
    </row>
    <row r="274" spans="4:4" x14ac:dyDescent="0.25">
      <c r="D274" s="22"/>
    </row>
    <row r="275" spans="4:4" x14ac:dyDescent="0.25">
      <c r="D275" s="22"/>
    </row>
    <row r="276" spans="4:4" x14ac:dyDescent="0.25">
      <c r="D276" s="22"/>
    </row>
    <row r="277" spans="4:4" x14ac:dyDescent="0.25">
      <c r="D277" s="22"/>
    </row>
    <row r="278" spans="4:4" x14ac:dyDescent="0.25">
      <c r="D278" s="22"/>
    </row>
    <row r="279" spans="4:4" x14ac:dyDescent="0.25">
      <c r="D279" s="22"/>
    </row>
    <row r="280" spans="4:4" x14ac:dyDescent="0.25">
      <c r="D280" s="22"/>
    </row>
    <row r="281" spans="4:4" x14ac:dyDescent="0.25">
      <c r="D281" s="22"/>
    </row>
    <row r="282" spans="4:4" x14ac:dyDescent="0.25">
      <c r="D282" s="22"/>
    </row>
    <row r="283" spans="4:4" x14ac:dyDescent="0.25">
      <c r="D283" s="22"/>
    </row>
    <row r="284" spans="4:4" x14ac:dyDescent="0.25">
      <c r="D284" s="22"/>
    </row>
    <row r="285" spans="4:4" x14ac:dyDescent="0.25">
      <c r="D285" s="22"/>
    </row>
    <row r="286" spans="4:4" x14ac:dyDescent="0.25">
      <c r="D286" s="22"/>
    </row>
    <row r="287" spans="4:4" x14ac:dyDescent="0.25">
      <c r="D287" s="22"/>
    </row>
    <row r="288" spans="4:4" x14ac:dyDescent="0.25">
      <c r="D288" s="22"/>
    </row>
    <row r="289" spans="4:4" x14ac:dyDescent="0.25">
      <c r="D289" s="22"/>
    </row>
    <row r="290" spans="4:4" x14ac:dyDescent="0.25">
      <c r="D290" s="22"/>
    </row>
    <row r="291" spans="4:4" x14ac:dyDescent="0.25">
      <c r="D291" s="22"/>
    </row>
    <row r="292" spans="4:4" x14ac:dyDescent="0.25">
      <c r="D292" s="22"/>
    </row>
    <row r="293" spans="4:4" x14ac:dyDescent="0.25">
      <c r="D293" s="22"/>
    </row>
    <row r="294" spans="4:4" x14ac:dyDescent="0.25">
      <c r="D294" s="22"/>
    </row>
    <row r="295" spans="4:4" x14ac:dyDescent="0.25">
      <c r="D295" s="22"/>
    </row>
    <row r="296" spans="4:4" x14ac:dyDescent="0.25">
      <c r="D296" s="22"/>
    </row>
    <row r="297" spans="4:4" x14ac:dyDescent="0.25">
      <c r="D297" s="22"/>
    </row>
    <row r="298" spans="4:4" x14ac:dyDescent="0.25">
      <c r="D298" s="22"/>
    </row>
    <row r="299" spans="4:4" x14ac:dyDescent="0.25">
      <c r="D299" s="22"/>
    </row>
    <row r="300" spans="4:4" x14ac:dyDescent="0.25">
      <c r="D300" s="22"/>
    </row>
    <row r="301" spans="4:4" x14ac:dyDescent="0.25">
      <c r="D301" s="22"/>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G36"/>
  <sheetViews>
    <sheetView zoomScale="85" zoomScaleNormal="85" workbookViewId="0">
      <selection sqref="A1:XFD1048576"/>
    </sheetView>
  </sheetViews>
  <sheetFormatPr defaultColWidth="9.125" defaultRowHeight="15" x14ac:dyDescent="0.25"/>
  <cols>
    <col min="1" max="16384" width="9.125" style="23"/>
  </cols>
  <sheetData>
    <row r="36" spans="7:7" x14ac:dyDescent="0.25">
      <c r="G36" s="27"/>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
  <sheetViews>
    <sheetView zoomScale="70" zoomScaleNormal="70" workbookViewId="0">
      <selection sqref="A1:XFD1048576"/>
    </sheetView>
  </sheetViews>
  <sheetFormatPr defaultColWidth="9.125" defaultRowHeight="15" x14ac:dyDescent="0.25"/>
  <cols>
    <col min="1" max="35" width="5.625" style="23" customWidth="1"/>
    <col min="36" max="36" width="6.25" style="23" customWidth="1"/>
    <col min="37" max="37" width="6.875" style="23" customWidth="1"/>
    <col min="38" max="38" width="6" style="23" customWidth="1"/>
    <col min="39" max="16384" width="9.125" style="23"/>
  </cols>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N12"/>
  <sheetViews>
    <sheetView zoomScaleNormal="100" workbookViewId="0">
      <selection activeCell="F27" sqref="F27"/>
    </sheetView>
  </sheetViews>
  <sheetFormatPr defaultColWidth="9.125" defaultRowHeight="15" x14ac:dyDescent="0.25"/>
  <cols>
    <col min="1" max="16384" width="9.125" style="23"/>
  </cols>
  <sheetData>
    <row r="1" spans="1:14" x14ac:dyDescent="0.25">
      <c r="C1" s="23" t="s">
        <v>19</v>
      </c>
      <c r="D1" s="23" t="s">
        <v>20</v>
      </c>
      <c r="E1" s="23" t="s">
        <v>21</v>
      </c>
      <c r="F1" s="23" t="s">
        <v>22</v>
      </c>
      <c r="G1" s="23" t="s">
        <v>23</v>
      </c>
      <c r="H1" s="23" t="s">
        <v>24</v>
      </c>
      <c r="I1" s="23" t="s">
        <v>25</v>
      </c>
      <c r="J1" s="23" t="s">
        <v>26</v>
      </c>
      <c r="K1" s="23" t="s">
        <v>27</v>
      </c>
      <c r="L1" s="23" t="s">
        <v>28</v>
      </c>
      <c r="M1" s="23" t="s">
        <v>29</v>
      </c>
      <c r="N1" s="23" t="s">
        <v>30</v>
      </c>
    </row>
    <row r="2" spans="1:14" x14ac:dyDescent="0.25">
      <c r="A2" s="23" t="s">
        <v>32</v>
      </c>
      <c r="B2" s="23" t="s">
        <v>33</v>
      </c>
      <c r="C2" s="23">
        <v>21.266481556794684</v>
      </c>
      <c r="D2" s="23">
        <v>26.588724794849202</v>
      </c>
      <c r="E2" s="23">
        <v>29.659233108160251</v>
      </c>
      <c r="F2" s="23">
        <v>27.04371424017469</v>
      </c>
      <c r="G2" s="23">
        <v>18.032910613632446</v>
      </c>
      <c r="H2" s="23">
        <v>67.227595036227299</v>
      </c>
      <c r="I2" s="23">
        <v>76.37040589184025</v>
      </c>
      <c r="J2" s="23">
        <v>66.76657905565088</v>
      </c>
      <c r="K2" s="23">
        <v>31.874289755342609</v>
      </c>
      <c r="L2" s="23">
        <v>16.034636436863483</v>
      </c>
      <c r="M2" s="23">
        <v>21.262040948737525</v>
      </c>
      <c r="N2" s="23">
        <v>21.981015959351787</v>
      </c>
    </row>
    <row r="12" spans="1:14" x14ac:dyDescent="0.25">
      <c r="I12" s="149"/>
      <c r="J12" s="149"/>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N2"/>
  <sheetViews>
    <sheetView zoomScale="70" zoomScaleNormal="70" workbookViewId="0">
      <selection activeCell="N8" sqref="N8"/>
    </sheetView>
  </sheetViews>
  <sheetFormatPr defaultColWidth="9.125" defaultRowHeight="15" x14ac:dyDescent="0.25"/>
  <cols>
    <col min="1" max="16384" width="9.125" style="23"/>
  </cols>
  <sheetData>
    <row r="1" spans="1:14" x14ac:dyDescent="0.25">
      <c r="C1" s="23" t="s">
        <v>19</v>
      </c>
      <c r="D1" s="23" t="s">
        <v>20</v>
      </c>
      <c r="E1" s="23" t="s">
        <v>21</v>
      </c>
      <c r="F1" s="23" t="s">
        <v>22</v>
      </c>
      <c r="G1" s="23" t="s">
        <v>23</v>
      </c>
      <c r="H1" s="23" t="s">
        <v>24</v>
      </c>
      <c r="I1" s="23" t="s">
        <v>25</v>
      </c>
      <c r="J1" s="23" t="s">
        <v>26</v>
      </c>
      <c r="K1" s="23" t="s">
        <v>27</v>
      </c>
      <c r="L1" s="23" t="s">
        <v>28</v>
      </c>
      <c r="M1" s="23" t="s">
        <v>29</v>
      </c>
      <c r="N1" s="23" t="s">
        <v>30</v>
      </c>
    </row>
    <row r="2" spans="1:14" x14ac:dyDescent="0.25">
      <c r="A2" s="23" t="s">
        <v>32</v>
      </c>
      <c r="B2" s="23" t="s">
        <v>33</v>
      </c>
      <c r="C2" s="23">
        <v>2</v>
      </c>
      <c r="D2" s="23">
        <v>2</v>
      </c>
      <c r="E2" s="23">
        <v>2</v>
      </c>
      <c r="F2" s="23">
        <v>2</v>
      </c>
      <c r="G2" s="23">
        <v>2</v>
      </c>
      <c r="H2" s="23">
        <v>2</v>
      </c>
      <c r="I2" s="23">
        <v>2</v>
      </c>
      <c r="J2" s="23">
        <v>2</v>
      </c>
      <c r="K2" s="23">
        <v>2</v>
      </c>
      <c r="L2" s="23">
        <v>2</v>
      </c>
      <c r="M2" s="23">
        <v>2</v>
      </c>
      <c r="N2" s="23">
        <v>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O37"/>
  <sheetViews>
    <sheetView zoomScale="85" zoomScaleNormal="85" workbookViewId="0">
      <selection activeCell="M22" sqref="M22"/>
    </sheetView>
  </sheetViews>
  <sheetFormatPr defaultColWidth="9.125" defaultRowHeight="15" x14ac:dyDescent="0.25"/>
  <cols>
    <col min="1" max="1" width="14" style="23" customWidth="1"/>
    <col min="2" max="16384" width="9.125" style="23"/>
  </cols>
  <sheetData>
    <row r="1" spans="1:15" x14ac:dyDescent="0.25">
      <c r="D1" s="23" t="s">
        <v>19</v>
      </c>
      <c r="E1" s="23" t="s">
        <v>20</v>
      </c>
      <c r="F1" s="23" t="s">
        <v>21</v>
      </c>
      <c r="G1" s="23" t="s">
        <v>22</v>
      </c>
      <c r="H1" s="23" t="s">
        <v>23</v>
      </c>
      <c r="I1" s="23" t="s">
        <v>24</v>
      </c>
      <c r="J1" s="23" t="s">
        <v>25</v>
      </c>
      <c r="K1" s="23" t="s">
        <v>26</v>
      </c>
      <c r="L1" s="23" t="s">
        <v>27</v>
      </c>
      <c r="M1" s="23" t="s">
        <v>28</v>
      </c>
      <c r="N1" s="23" t="s">
        <v>29</v>
      </c>
      <c r="O1" s="23" t="s">
        <v>30</v>
      </c>
    </row>
    <row r="2" spans="1:15" x14ac:dyDescent="0.25">
      <c r="A2" s="23" t="s">
        <v>367</v>
      </c>
      <c r="B2" s="23" t="s">
        <v>31</v>
      </c>
      <c r="C2" s="23" t="s">
        <v>32</v>
      </c>
      <c r="D2" s="23">
        <f>RiversHeadFlow!B2*74466.1151309/1000000</f>
        <v>21.266481556794684</v>
      </c>
      <c r="E2" s="23">
        <f>RiversHeadFlow!C2*74466.1151309/1000000</f>
        <v>26.588724794849202</v>
      </c>
      <c r="F2" s="23">
        <f>RiversHeadFlow!D2*74466.1151309/1000000</f>
        <v>29.659233108160251</v>
      </c>
      <c r="G2" s="23">
        <f>RiversHeadFlow!E2*74466.1151309/1000000</f>
        <v>27.04371424017469</v>
      </c>
      <c r="H2" s="23">
        <f>RiversHeadFlow!F2*74466.1151309/1000000</f>
        <v>18.032910613632446</v>
      </c>
      <c r="I2" s="23">
        <f>RiversHeadFlow!G2*74466.1151309/1000000</f>
        <v>67.227595036227299</v>
      </c>
      <c r="J2" s="23">
        <f>RiversHeadFlow!H2*74466.1151309/1000000</f>
        <v>76.37040589184025</v>
      </c>
      <c r="K2" s="23">
        <f>RiversHeadFlow!I2*74466.1151309/1000000</f>
        <v>66.76657905565088</v>
      </c>
      <c r="L2" s="23">
        <f>RiversHeadFlow!J2*74466.1151309/1000000</f>
        <v>31.874289755342609</v>
      </c>
      <c r="M2" s="23">
        <f>RiversHeadFlow!K2*74466.1151309/1000000</f>
        <v>16.034636436863483</v>
      </c>
      <c r="N2" s="23">
        <f>RiversHeadFlow!L2*74466.1151309/1000000</f>
        <v>21.262040948737525</v>
      </c>
      <c r="O2" s="23">
        <f>RiversHeadFlow!M2*74466.1151309/1000000</f>
        <v>21.981015959351787</v>
      </c>
    </row>
    <row r="3" spans="1:15" x14ac:dyDescent="0.25">
      <c r="A3" s="23" t="s">
        <v>247</v>
      </c>
      <c r="B3" s="23" t="s">
        <v>7</v>
      </c>
      <c r="C3" s="23" t="s">
        <v>33</v>
      </c>
      <c r="D3" s="23">
        <f>RiversHeadFlow!B6*0.074466</f>
        <v>1.2510288000000001</v>
      </c>
      <c r="E3" s="23">
        <f>RiversHeadFlow!C6*0.074466</f>
        <v>1.377621</v>
      </c>
      <c r="F3" s="23">
        <f>RiversHeadFlow!D6*0.074466</f>
        <v>2.3233391999999999</v>
      </c>
      <c r="G3" s="23">
        <f>RiversHeadFlow!E6*0.074466</f>
        <v>6.0466392000000004</v>
      </c>
      <c r="H3" s="23">
        <f>RiversHeadFlow!F6*0.074466</f>
        <v>27.098177400000001</v>
      </c>
      <c r="I3" s="23">
        <f>RiversHeadFlow!G6*0.074466</f>
        <v>31.126788000000001</v>
      </c>
      <c r="J3" s="23">
        <f>RiversHeadFlow!H6*0.074466</f>
        <v>8.3476385999999998</v>
      </c>
      <c r="K3" s="23">
        <f>RiversHeadFlow!I6*0.074466</f>
        <v>4.0807368000000004</v>
      </c>
      <c r="L3" s="23">
        <f>RiversHeadFlow!J6*0.074466</f>
        <v>2.6882226000000005</v>
      </c>
      <c r="M3" s="23">
        <f>RiversHeadFlow!K6*0.074466</f>
        <v>2.0999412</v>
      </c>
      <c r="N3" s="23">
        <f>RiversHeadFlow!L6*0.074466</f>
        <v>1.7350578000000001</v>
      </c>
      <c r="O3" s="23">
        <f>RiversHeadFlow!M6*0.074466</f>
        <v>1.2808151999999999</v>
      </c>
    </row>
    <row r="4" spans="1:15" x14ac:dyDescent="0.25">
      <c r="A4" s="23" t="s">
        <v>368</v>
      </c>
      <c r="B4" s="23" t="s">
        <v>53</v>
      </c>
      <c r="C4" s="23" t="s">
        <v>52</v>
      </c>
      <c r="D4" s="23">
        <f>RiversHeadFlow!B3*74466.1151309/1000000</f>
        <v>2.168430252156976</v>
      </c>
      <c r="E4" s="23">
        <f>RiversHeadFlow!C3*74466.1151309/1000000</f>
        <v>2.1488194838254531</v>
      </c>
      <c r="F4" s="23">
        <f>RiversHeadFlow!D3*74466.1151309/1000000</f>
        <v>2.7125663663720214</v>
      </c>
      <c r="G4" s="23">
        <f>RiversHeadFlow!E3*74466.1151309/1000000</f>
        <v>3.0655382876637085</v>
      </c>
      <c r="H4" s="23">
        <f>RiversHeadFlow!F3*74466.1151309/1000000</f>
        <v>1.8541562225513974</v>
      </c>
      <c r="I4" s="23">
        <f>RiversHeadFlow!G3*74466.1151309/1000000</f>
        <v>1.895437740675789</v>
      </c>
      <c r="J4" s="23">
        <f>RiversHeadFlow!H3*74466.1151309/1000000</f>
        <v>2.6063550663682262</v>
      </c>
      <c r="K4" s="23">
        <f>RiversHeadFlow!I3*74466.1151309/1000000</f>
        <v>2.52775628141675</v>
      </c>
      <c r="L4" s="23">
        <f>RiversHeadFlow!J3*74466.1151309/1000000</f>
        <v>2.7777060674853185</v>
      </c>
      <c r="M4" s="23">
        <f>RiversHeadFlow!K3*74466.1151309/1000000</f>
        <v>2.6828950225938195</v>
      </c>
      <c r="N4" s="23">
        <f>RiversHeadFlow!L3*74466.1151309/1000000</f>
        <v>2.681094557033028</v>
      </c>
      <c r="O4" s="23">
        <f>RiversHeadFlow!M3*74466.1151309/1000000</f>
        <v>2.5111645503452928</v>
      </c>
    </row>
    <row r="5" spans="1:15" x14ac:dyDescent="0.25">
      <c r="A5" s="23" t="s">
        <v>369</v>
      </c>
      <c r="B5" s="23" t="s">
        <v>56</v>
      </c>
      <c r="C5" s="23" t="s">
        <v>55</v>
      </c>
      <c r="D5" s="23">
        <f>RiversHeadFlow!B5*74466.1151309/1000000</f>
        <v>1.1210923674186364</v>
      </c>
      <c r="E5" s="23">
        <f>RiversHeadFlow!C5*74466.1151309/1000000</f>
        <v>0.26695991461401725</v>
      </c>
      <c r="F5" s="23">
        <f>RiversHeadFlow!D5*74466.1151309/1000000</f>
        <v>2.6663032915223628</v>
      </c>
      <c r="G5" s="23">
        <f>RiversHeadFlow!E5*74466.1151309/1000000</f>
        <v>5.546026302205787</v>
      </c>
      <c r="H5" s="23">
        <f>RiversHeadFlow!F5*74466.1151309/1000000</f>
        <v>6.0398745344290425</v>
      </c>
      <c r="I5" s="23">
        <f>RiversHeadFlow!G5*74466.1151309/1000000</f>
        <v>3.21746364172217</v>
      </c>
      <c r="J5" s="23">
        <f>RiversHeadFlow!H5*74466.1151309/1000000</f>
        <v>1.5400033001675004</v>
      </c>
      <c r="K5" s="23">
        <f>RiversHeadFlow!I5*74466.1151309/1000000</f>
        <v>1.2279092057648251</v>
      </c>
      <c r="L5" s="23">
        <f>RiversHeadFlow!J5*74466.1151309/1000000</f>
        <v>1.3050062564016136</v>
      </c>
      <c r="M5" s="23">
        <f>RiversHeadFlow!K5*74466.1151309/1000000</f>
        <v>1.3407814200883366</v>
      </c>
      <c r="N5" s="23">
        <f>RiversHeadFlow!L5*74466.1151309/1000000</f>
        <v>1.4563058888218372</v>
      </c>
      <c r="O5" s="23">
        <f>RiversHeadFlow!M5*74466.1151309/1000000</f>
        <v>1.3155910546822853</v>
      </c>
    </row>
    <row r="6" spans="1:15" x14ac:dyDescent="0.25">
      <c r="A6" s="23" t="s">
        <v>73</v>
      </c>
      <c r="B6" s="23" t="s">
        <v>43</v>
      </c>
      <c r="C6" s="23" t="s">
        <v>9</v>
      </c>
      <c r="D6" s="23">
        <f>RiversHeadFlow!B4*74466.1151309/1000000</f>
        <v>6.7317368078333608</v>
      </c>
      <c r="E6" s="23">
        <f>RiversHeadFlow!C4*74466.1151309/1000000</f>
        <v>3.2839556772726901</v>
      </c>
      <c r="F6" s="23">
        <f>RiversHeadFlow!D4*74466.1151309/1000000</f>
        <v>13.925163529478301</v>
      </c>
      <c r="G6" s="23">
        <f>RiversHeadFlow!E4*74466.1151309/1000000</f>
        <v>31.581079427014689</v>
      </c>
      <c r="H6" s="23">
        <f>RiversHeadFlow!F4*74466.1151309/1000000</f>
        <v>47.032798316676441</v>
      </c>
      <c r="I6" s="23">
        <f>RiversHeadFlow!G4*74466.1151309/1000000</f>
        <v>37.955378882219726</v>
      </c>
      <c r="J6" s="23">
        <f>RiversHeadFlow!H4*74466.1151309/1000000</f>
        <v>24.298293367212672</v>
      </c>
      <c r="K6" s="23">
        <f>RiversHeadFlow!I4*74466.1151309/1000000</f>
        <v>15.436825666635571</v>
      </c>
      <c r="L6" s="23">
        <f>RiversHeadFlow!J4*74466.1151309/1000000</f>
        <v>22.68237866887214</v>
      </c>
      <c r="M6" s="23">
        <f>RiversHeadFlow!K4*74466.1151309/1000000</f>
        <v>34.805462212182654</v>
      </c>
      <c r="N6" s="23">
        <f>RiversHeadFlow!L4*74466.1151309/1000000</f>
        <v>13.552832953823799</v>
      </c>
      <c r="O6" s="23">
        <f>RiversHeadFlow!M4*74466.1151309/1000000</f>
        <v>1.22869089965985</v>
      </c>
    </row>
    <row r="7" spans="1:15" x14ac:dyDescent="0.25">
      <c r="A7" s="23" t="s">
        <v>370</v>
      </c>
      <c r="B7" s="23" t="s">
        <v>9</v>
      </c>
      <c r="C7" s="23" t="s">
        <v>44</v>
      </c>
      <c r="D7" s="23">
        <f>RiversHeadFlow!B10*74466.1151309/1000000</f>
        <v>97.997407512264402</v>
      </c>
      <c r="E7" s="23">
        <f>RiversHeadFlow!C10*74466.1151309/1000000</f>
        <v>95.912356288599199</v>
      </c>
      <c r="F7" s="23">
        <f>RiversHeadFlow!D10*74466.1151309/1000000</f>
        <v>180.05906638651618</v>
      </c>
      <c r="G7" s="23">
        <f>RiversHeadFlow!E10*74466.1151309/1000000</f>
        <v>288.4817300171066</v>
      </c>
      <c r="H7" s="23">
        <f>RiversHeadFlow!F10*74466.1151309/1000000</f>
        <v>395.56400357534079</v>
      </c>
      <c r="I7" s="23">
        <f>RiversHeadFlow!G10*74466.1151309/1000000</f>
        <v>407.25518365089209</v>
      </c>
      <c r="J7" s="23">
        <f>RiversHeadFlow!H10*74466.1151309/1000000</f>
        <v>183.18664322201397</v>
      </c>
      <c r="K7" s="23">
        <f>RiversHeadFlow!I10*74466.1151309/1000000</f>
        <v>101.79517938394029</v>
      </c>
      <c r="L7" s="23">
        <f>RiversHeadFlow!J10*74466.1151309/1000000</f>
        <v>103.5823661470819</v>
      </c>
      <c r="M7" s="23">
        <f>RiversHeadFlow!K10*74466.1151309/1000000</f>
        <v>146.25145011708761</v>
      </c>
      <c r="N7" s="23">
        <f>RiversHeadFlow!L10*74466.1151309/1000000</f>
        <v>165.09137724520528</v>
      </c>
      <c r="O7" s="23">
        <f>RiversHeadFlow!M10*74466.1151309/1000000</f>
        <v>129.42210809750421</v>
      </c>
    </row>
    <row r="8" spans="1:15" x14ac:dyDescent="0.25">
      <c r="A8" s="23" t="s">
        <v>371</v>
      </c>
      <c r="B8" s="23" t="s">
        <v>44</v>
      </c>
      <c r="C8" s="23" t="s">
        <v>46</v>
      </c>
      <c r="D8" s="23">
        <v>92.337982762316003</v>
      </c>
      <c r="E8" s="23">
        <v>75.657572972994402</v>
      </c>
      <c r="F8" s="23">
        <v>166.20836897216881</v>
      </c>
      <c r="G8" s="23">
        <v>231.8874825176226</v>
      </c>
      <c r="H8" s="23">
        <v>436.52036689733575</v>
      </c>
      <c r="I8" s="23">
        <v>241.34467913924689</v>
      </c>
      <c r="J8" s="23">
        <v>18.154838868913419</v>
      </c>
      <c r="K8" s="23">
        <v>12.741152298896989</v>
      </c>
      <c r="L8" s="23">
        <v>22.123882805390391</v>
      </c>
      <c r="M8" s="23">
        <v>57.770812118552215</v>
      </c>
      <c r="N8" s="23">
        <v>64.852539667500807</v>
      </c>
      <c r="O8" s="23">
        <v>88.540210890640097</v>
      </c>
    </row>
    <row r="9" spans="1:15" x14ac:dyDescent="0.25">
      <c r="A9" s="23" t="s">
        <v>372</v>
      </c>
      <c r="B9" s="23" t="s">
        <v>54</v>
      </c>
      <c r="C9" s="23" t="s">
        <v>10</v>
      </c>
      <c r="D9" s="23">
        <v>2.91907171313128</v>
      </c>
      <c r="E9" s="23">
        <v>2.5765275835291401</v>
      </c>
      <c r="F9" s="23">
        <v>6.1657943328385194</v>
      </c>
      <c r="G9" s="23">
        <v>27.358850699092656</v>
      </c>
      <c r="H9" s="23">
        <v>36.786260874664599</v>
      </c>
      <c r="I9" s="23">
        <v>15.109174760059609</v>
      </c>
      <c r="J9" s="23">
        <v>3.0084310512883596</v>
      </c>
      <c r="K9" s="23">
        <v>2.4052555187280698</v>
      </c>
      <c r="L9" s="23">
        <v>2.7626928713563901</v>
      </c>
      <c r="M9" s="23">
        <v>3.62649980687483</v>
      </c>
      <c r="N9" s="23">
        <v>3.9392574904246098</v>
      </c>
      <c r="O9" s="23">
        <v>4.5945593035765304</v>
      </c>
    </row>
    <row r="10" spans="1:15" x14ac:dyDescent="0.25">
      <c r="A10" s="23" t="s">
        <v>87</v>
      </c>
      <c r="B10" s="23" t="s">
        <v>34</v>
      </c>
      <c r="C10" s="23" t="s">
        <v>36</v>
      </c>
      <c r="D10" s="23">
        <f>RiversHeadFlow!B12*74466.1151309/1000000</f>
        <v>83.6254472920007</v>
      </c>
      <c r="E10" s="23">
        <f>RiversHeadFlow!C12*74466.1151309/1000000</f>
        <v>76.253301894041599</v>
      </c>
      <c r="F10" s="23">
        <f>RiversHeadFlow!D12*74466.1151309/1000000</f>
        <v>161.8893342945766</v>
      </c>
      <c r="G10" s="23">
        <f>RiversHeadFlow!E12*74466.1151309/1000000</f>
        <v>233.00447424458608</v>
      </c>
      <c r="H10" s="23">
        <f>RiversHeadFlow!F12*74466.1151309/1000000</f>
        <v>387.59612925633451</v>
      </c>
      <c r="I10" s="23">
        <f>RiversHeadFlow!G12*74466.1151309/1000000</f>
        <v>224.5898032347944</v>
      </c>
      <c r="J10" s="23">
        <f>RiversHeadFlow!H12*74466.1151309/1000000</f>
        <v>9.4348567870850299</v>
      </c>
      <c r="K10" s="23">
        <f>RiversHeadFlow!I12*74466.1151309/1000000</f>
        <v>6.9253487071736997</v>
      </c>
      <c r="L10" s="23">
        <f>RiversHeadFlow!J12*74466.1151309/1000000</f>
        <v>18.125052422861057</v>
      </c>
      <c r="M10" s="23">
        <f>RiversHeadFlow!K12*74466.1151309/1000000</f>
        <v>57.770812118552215</v>
      </c>
      <c r="N10" s="23">
        <f>RiversHeadFlow!L12*74466.1151309/1000000</f>
        <v>72.961899605255809</v>
      </c>
      <c r="O10" s="23">
        <f>RiversHeadFlow!M12*74466.1151309/1000000</f>
        <v>90.327397653781702</v>
      </c>
    </row>
    <row r="11" spans="1:15" x14ac:dyDescent="0.25">
      <c r="A11" s="23" t="s">
        <v>87</v>
      </c>
      <c r="B11" s="23" t="s">
        <v>36</v>
      </c>
      <c r="C11" s="23" t="s">
        <v>37</v>
      </c>
      <c r="D11" s="23">
        <v>83.6254472920007</v>
      </c>
      <c r="E11" s="23">
        <v>76.253301894041599</v>
      </c>
      <c r="F11" s="23">
        <v>161.8893342945766</v>
      </c>
      <c r="G11" s="23">
        <v>233.00447424458608</v>
      </c>
      <c r="H11" s="23">
        <v>387.59612925633451</v>
      </c>
      <c r="I11" s="23">
        <v>224.5898032347944</v>
      </c>
      <c r="J11" s="23">
        <v>9.4348567870850299</v>
      </c>
      <c r="K11" s="23">
        <v>6.9253487071736997</v>
      </c>
      <c r="L11" s="23">
        <v>18.125052422861057</v>
      </c>
      <c r="M11" s="23">
        <v>57.770812118552215</v>
      </c>
      <c r="N11" s="23">
        <v>72.961899605255809</v>
      </c>
      <c r="O11" s="23">
        <v>90.327397653781702</v>
      </c>
    </row>
    <row r="12" spans="1:15" x14ac:dyDescent="0.25">
      <c r="A12" s="23" t="s">
        <v>366</v>
      </c>
      <c r="B12" s="23" t="s">
        <v>55</v>
      </c>
      <c r="C12" s="23" t="s">
        <v>54</v>
      </c>
    </row>
    <row r="13" spans="1:15" x14ac:dyDescent="0.25">
      <c r="A13" s="23" t="s">
        <v>250</v>
      </c>
      <c r="B13" s="23" t="s">
        <v>32</v>
      </c>
      <c r="C13" s="23" t="s">
        <v>33</v>
      </c>
    </row>
    <row r="14" spans="1:15" x14ac:dyDescent="0.25">
      <c r="A14" s="23" t="s">
        <v>249</v>
      </c>
      <c r="B14" s="23" t="s">
        <v>33</v>
      </c>
      <c r="C14" s="23" t="s">
        <v>8</v>
      </c>
    </row>
    <row r="37" spans="8:8" x14ac:dyDescent="0.25">
      <c r="H37" s="27"/>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U36"/>
  <sheetViews>
    <sheetView zoomScaleNormal="100" workbookViewId="0">
      <selection activeCell="G18" sqref="G18"/>
    </sheetView>
  </sheetViews>
  <sheetFormatPr defaultColWidth="9.125" defaultRowHeight="15" x14ac:dyDescent="0.25"/>
  <cols>
    <col min="1" max="14" width="9.125" style="23"/>
    <col min="15" max="15" width="8.875" customWidth="1"/>
    <col min="16" max="16384" width="9.125" style="23"/>
  </cols>
  <sheetData>
    <row r="1" spans="1:21" x14ac:dyDescent="0.25">
      <c r="C1" s="23" t="s">
        <v>19</v>
      </c>
      <c r="D1" s="23" t="s">
        <v>20</v>
      </c>
      <c r="E1" s="23" t="s">
        <v>21</v>
      </c>
      <c r="F1" s="23" t="s">
        <v>22</v>
      </c>
      <c r="G1" s="23" t="s">
        <v>23</v>
      </c>
      <c r="H1" s="23" t="s">
        <v>24</v>
      </c>
      <c r="I1" s="23" t="s">
        <v>25</v>
      </c>
      <c r="J1" s="23" t="s">
        <v>26</v>
      </c>
      <c r="K1" s="23" t="s">
        <v>27</v>
      </c>
      <c r="L1" s="23" t="s">
        <v>28</v>
      </c>
      <c r="M1" s="23" t="s">
        <v>29</v>
      </c>
      <c r="N1" s="23" t="s">
        <v>30</v>
      </c>
    </row>
    <row r="2" spans="1:21" x14ac:dyDescent="0.25">
      <c r="A2" s="23" t="s">
        <v>32</v>
      </c>
      <c r="B2" s="23" t="s">
        <v>33</v>
      </c>
      <c r="C2" s="23">
        <v>59.571861035433592</v>
      </c>
      <c r="D2" s="23">
        <v>59.758647828914036</v>
      </c>
      <c r="E2" s="23">
        <v>71.466127391434938</v>
      </c>
      <c r="F2" s="23">
        <v>78.494010210981187</v>
      </c>
      <c r="G2" s="23">
        <v>79.653381749698227</v>
      </c>
      <c r="H2" s="23">
        <v>70.096154222802326</v>
      </c>
      <c r="I2" s="23">
        <v>54.426046266031108</v>
      </c>
      <c r="J2" s="23">
        <v>51.689130126835394</v>
      </c>
      <c r="K2" s="23">
        <v>53.058023536798629</v>
      </c>
      <c r="L2" s="23">
        <v>53.315873916764772</v>
      </c>
      <c r="M2" s="23">
        <v>58.164488692517153</v>
      </c>
      <c r="N2" s="23">
        <v>58.828336924421009</v>
      </c>
      <c r="U2" s="23" t="s">
        <v>299</v>
      </c>
    </row>
    <row r="3" spans="1:21" x14ac:dyDescent="0.25">
      <c r="A3" s="23" t="s">
        <v>7</v>
      </c>
      <c r="B3" s="23" t="s">
        <v>33</v>
      </c>
      <c r="C3" s="23">
        <v>1.0624825306876813</v>
      </c>
      <c r="D3" s="23">
        <v>1.1207894988351759</v>
      </c>
      <c r="E3" s="23">
        <v>2.8535167097777112</v>
      </c>
      <c r="F3" s="23">
        <v>9.8581718295658192</v>
      </c>
      <c r="G3" s="23">
        <v>21.839025092976318</v>
      </c>
      <c r="H3" s="23">
        <v>22.837863917265462</v>
      </c>
      <c r="I3" s="23">
        <v>4.5922756760458485</v>
      </c>
      <c r="J3" s="23">
        <v>1.6142267997308963</v>
      </c>
      <c r="K3" s="23">
        <v>1.5640862822094235</v>
      </c>
      <c r="L3" s="23">
        <v>1.7827684403105</v>
      </c>
      <c r="M3" s="23">
        <v>1.4868897428570573</v>
      </c>
      <c r="N3" s="23">
        <v>1.1362784507824031</v>
      </c>
      <c r="U3" s="23" t="s">
        <v>300</v>
      </c>
    </row>
    <row r="4" spans="1:21" x14ac:dyDescent="0.25">
      <c r="A4" s="23" t="s">
        <v>33</v>
      </c>
      <c r="B4" s="23" t="s">
        <v>8</v>
      </c>
      <c r="C4" s="23">
        <v>72.003619991674654</v>
      </c>
      <c r="D4" s="23">
        <v>69.974759657385292</v>
      </c>
      <c r="E4" s="23">
        <v>88.155624433536971</v>
      </c>
      <c r="F4" s="23">
        <v>99.673950039340653</v>
      </c>
      <c r="G4" s="23">
        <v>116.77244983206471</v>
      </c>
      <c r="H4" s="23">
        <v>99.212806210373387</v>
      </c>
      <c r="I4" s="23">
        <v>62.752775180587655</v>
      </c>
      <c r="J4" s="23">
        <v>55.943543968941412</v>
      </c>
      <c r="K4" s="23">
        <v>59.307712063229268</v>
      </c>
      <c r="L4" s="23">
        <v>58.408521312004467</v>
      </c>
      <c r="M4" s="23">
        <v>60.809674988890741</v>
      </c>
      <c r="N4" s="23">
        <v>65.070768823401522</v>
      </c>
      <c r="U4" s="23" t="s">
        <v>301</v>
      </c>
    </row>
    <row r="5" spans="1:21" x14ac:dyDescent="0.25">
      <c r="A5" s="23" t="s">
        <v>8</v>
      </c>
      <c r="B5" s="23" t="s">
        <v>34</v>
      </c>
      <c r="C5" s="23">
        <v>89.3633457880034</v>
      </c>
      <c r="D5" s="23">
        <v>85.831499183106786</v>
      </c>
      <c r="E5" s="23">
        <v>109.62770138422593</v>
      </c>
      <c r="F5" s="23">
        <v>117.12440828385856</v>
      </c>
      <c r="G5" s="23">
        <v>139.58800550647609</v>
      </c>
      <c r="H5" s="23">
        <v>115.60740489535236</v>
      </c>
      <c r="I5" s="23">
        <v>72.752758136087266</v>
      </c>
      <c r="J5" s="23">
        <v>64.747386743289155</v>
      </c>
      <c r="K5" s="23">
        <v>69.408924932602517</v>
      </c>
      <c r="L5" s="23">
        <v>67.578256727871306</v>
      </c>
      <c r="M5" s="23">
        <v>70.054512302553263</v>
      </c>
      <c r="N5" s="23">
        <v>77.680167435005259</v>
      </c>
      <c r="U5" s="23" t="s">
        <v>302</v>
      </c>
    </row>
    <row r="6" spans="1:21" x14ac:dyDescent="0.25">
      <c r="A6" s="23" t="s">
        <v>34</v>
      </c>
      <c r="B6" s="23" t="s">
        <v>36</v>
      </c>
      <c r="C6" s="23">
        <v>106.12076707966401</v>
      </c>
      <c r="D6" s="23">
        <v>103.99806578818864</v>
      </c>
      <c r="E6" s="23">
        <v>161.11043362353038</v>
      </c>
      <c r="F6" s="23">
        <v>189.7579204449633</v>
      </c>
      <c r="G6" s="23">
        <v>226.69154976147198</v>
      </c>
      <c r="H6" s="23">
        <v>166.44959450552383</v>
      </c>
      <c r="I6" s="23">
        <v>89.952699055666017</v>
      </c>
      <c r="J6" s="23">
        <v>92.722972577542762</v>
      </c>
      <c r="K6" s="23">
        <v>98.87816293558663</v>
      </c>
      <c r="L6" s="23">
        <v>100.79849511258229</v>
      </c>
      <c r="M6" s="23">
        <v>94.514776239822481</v>
      </c>
      <c r="N6" s="23">
        <v>104.05920246871111</v>
      </c>
      <c r="U6" s="23" t="s">
        <v>303</v>
      </c>
    </row>
    <row r="7" spans="1:21" x14ac:dyDescent="0.25">
      <c r="A7" s="23" t="s">
        <v>36</v>
      </c>
      <c r="B7" s="23" t="s">
        <v>37</v>
      </c>
      <c r="C7" s="23">
        <v>66.876975473449463</v>
      </c>
      <c r="D7" s="23">
        <v>67.440952043004842</v>
      </c>
      <c r="E7" s="23">
        <v>104.83572022407311</v>
      </c>
      <c r="F7" s="23">
        <v>125.29951503162731</v>
      </c>
      <c r="G7" s="23">
        <v>146.27589734268508</v>
      </c>
      <c r="H7" s="23">
        <v>106.26450902170117</v>
      </c>
      <c r="I7" s="23">
        <v>52.293308087868603</v>
      </c>
      <c r="J7" s="23">
        <v>53.568890300226386</v>
      </c>
      <c r="K7" s="23">
        <v>60.057748426948798</v>
      </c>
      <c r="L7" s="23">
        <v>64.729104635059826</v>
      </c>
      <c r="M7" s="23">
        <v>62.321994910064994</v>
      </c>
      <c r="N7" s="23">
        <v>66.932296350380199</v>
      </c>
      <c r="U7" s="23" t="s">
        <v>304</v>
      </c>
    </row>
    <row r="8" spans="1:21" x14ac:dyDescent="0.25">
      <c r="A8" s="23" t="s">
        <v>37</v>
      </c>
      <c r="B8" s="23" t="s">
        <v>39</v>
      </c>
      <c r="C8" s="23">
        <v>121.35396515447414</v>
      </c>
      <c r="D8" s="23">
        <v>135.70406956994691</v>
      </c>
      <c r="E8" s="23">
        <v>178.50484686456161</v>
      </c>
      <c r="F8" s="23">
        <v>202.98450245517557</v>
      </c>
      <c r="G8" s="23">
        <v>204.55305670429289</v>
      </c>
      <c r="H8" s="23">
        <v>153.37681480950289</v>
      </c>
      <c r="I8" s="23">
        <v>49.704009565594518</v>
      </c>
      <c r="J8" s="23">
        <v>37.512826759996791</v>
      </c>
      <c r="K8" s="23">
        <v>68.817599666818268</v>
      </c>
      <c r="L8" s="23">
        <v>100.42314121265346</v>
      </c>
      <c r="M8" s="23">
        <v>122.0960944578687</v>
      </c>
      <c r="N8" s="23">
        <v>119.46978627637455</v>
      </c>
      <c r="U8" s="23" t="s">
        <v>305</v>
      </c>
    </row>
    <row r="9" spans="1:21" x14ac:dyDescent="0.25">
      <c r="A9" s="23" t="s">
        <v>39</v>
      </c>
      <c r="B9" s="23" t="s">
        <v>42</v>
      </c>
      <c r="C9" s="23">
        <v>121.35608743875537</v>
      </c>
      <c r="D9" s="23">
        <v>135.70630355340086</v>
      </c>
      <c r="E9" s="23">
        <v>178.52223470244468</v>
      </c>
      <c r="F9" s="23">
        <v>202.99388518568207</v>
      </c>
      <c r="G9" s="23">
        <v>204.54136552421733</v>
      </c>
      <c r="H9" s="23">
        <v>153.37822966569038</v>
      </c>
      <c r="I9" s="23">
        <v>49.486084479663937</v>
      </c>
      <c r="J9" s="23">
        <v>37.344905670376612</v>
      </c>
      <c r="K9" s="23">
        <v>68.77653160432358</v>
      </c>
      <c r="L9" s="23">
        <v>100.43848123237042</v>
      </c>
      <c r="M9" s="23">
        <v>122.10499315862684</v>
      </c>
      <c r="N9" s="23">
        <v>119.47149899702255</v>
      </c>
      <c r="U9" s="23" t="s">
        <v>306</v>
      </c>
    </row>
    <row r="10" spans="1:21" x14ac:dyDescent="0.25">
      <c r="A10" s="23" t="s">
        <v>42</v>
      </c>
      <c r="B10" s="23" t="s">
        <v>9</v>
      </c>
      <c r="C10" s="23">
        <v>121.36075016319511</v>
      </c>
      <c r="D10" s="23">
        <v>135.71137584147385</v>
      </c>
      <c r="E10" s="23">
        <v>178.56060766438787</v>
      </c>
      <c r="F10" s="23">
        <v>203.01773152701202</v>
      </c>
      <c r="G10" s="23">
        <v>204.51100626189469</v>
      </c>
      <c r="H10" s="23">
        <v>153.38176680615908</v>
      </c>
      <c r="I10" s="23">
        <v>48.9936572447914</v>
      </c>
      <c r="J10" s="23">
        <v>36.956536239155461</v>
      </c>
      <c r="K10" s="23">
        <v>68.6835406110132</v>
      </c>
      <c r="L10" s="23">
        <v>100.47248933433443</v>
      </c>
      <c r="M10" s="23">
        <v>122.12472095097384</v>
      </c>
      <c r="N10" s="23">
        <v>119.47521657461638</v>
      </c>
      <c r="U10" s="23" t="s">
        <v>307</v>
      </c>
    </row>
    <row r="11" spans="1:21" x14ac:dyDescent="0.25">
      <c r="A11" s="23" t="s">
        <v>43</v>
      </c>
      <c r="B11" s="23" t="s">
        <v>9</v>
      </c>
      <c r="C11" s="23">
        <v>6.3493329976956971</v>
      </c>
      <c r="D11" s="23">
        <v>7.2364997278758088</v>
      </c>
      <c r="E11" s="23">
        <v>10.612317256083763</v>
      </c>
      <c r="F11" s="23">
        <v>16.660342299568295</v>
      </c>
      <c r="G11" s="23">
        <v>7.0564925621149879</v>
      </c>
      <c r="H11" s="23">
        <v>3.8848949698301092</v>
      </c>
      <c r="I11" s="23">
        <v>1.7267902306725533</v>
      </c>
      <c r="J11" s="23">
        <v>1.7693058693144108</v>
      </c>
      <c r="K11" s="23">
        <v>2.0159872867047053</v>
      </c>
      <c r="L11" s="23">
        <v>3.3637066300289407</v>
      </c>
      <c r="M11" s="23">
        <v>4.5442788800205696</v>
      </c>
      <c r="N11" s="23">
        <v>4.687772827328871</v>
      </c>
      <c r="U11" s="23" t="s">
        <v>308</v>
      </c>
    </row>
    <row r="12" spans="1:21" x14ac:dyDescent="0.25">
      <c r="A12" s="23" t="s">
        <v>9</v>
      </c>
      <c r="B12" s="23" t="s">
        <v>44</v>
      </c>
      <c r="C12" s="23">
        <v>140.80187087957808</v>
      </c>
      <c r="D12" s="23">
        <v>144.85300129696768</v>
      </c>
      <c r="E12" s="23">
        <v>198.3331006837158</v>
      </c>
      <c r="F12" s="23">
        <v>235.87164307547116</v>
      </c>
      <c r="G12" s="23">
        <v>261.36099713216419</v>
      </c>
      <c r="H12" s="23">
        <v>207.74725589079446</v>
      </c>
      <c r="I12" s="23">
        <v>70.033296229387773</v>
      </c>
      <c r="J12" s="23">
        <v>54.391614280027113</v>
      </c>
      <c r="K12" s="23">
        <v>85.195317109151958</v>
      </c>
      <c r="L12" s="23">
        <v>115.01395734528688</v>
      </c>
      <c r="M12" s="23">
        <v>133.33063590441813</v>
      </c>
      <c r="N12" s="23">
        <v>131.28197378901356</v>
      </c>
      <c r="U12" s="23" t="s">
        <v>309</v>
      </c>
    </row>
    <row r="13" spans="1:21" x14ac:dyDescent="0.25">
      <c r="A13" s="23" t="s">
        <v>44</v>
      </c>
      <c r="B13" s="23" t="s">
        <v>46</v>
      </c>
      <c r="C13" s="23">
        <v>140.80187087957808</v>
      </c>
      <c r="D13" s="23">
        <v>144.85617851787993</v>
      </c>
      <c r="E13" s="23">
        <v>198.36529486749075</v>
      </c>
      <c r="F13" s="23">
        <v>235.88154706878353</v>
      </c>
      <c r="G13" s="23">
        <v>261.27039669208824</v>
      </c>
      <c r="H13" s="23">
        <v>207.76641850442147</v>
      </c>
      <c r="I13" s="23">
        <v>69.391696181419945</v>
      </c>
      <c r="J13" s="23">
        <v>53.890606257426413</v>
      </c>
      <c r="K13" s="23">
        <v>85.071057985036859</v>
      </c>
      <c r="L13" s="23">
        <v>115.05230739457929</v>
      </c>
      <c r="M13" s="23">
        <v>133.3498233400835</v>
      </c>
      <c r="N13" s="23">
        <v>131.28197378901356</v>
      </c>
      <c r="U13" s="23" t="s">
        <v>310</v>
      </c>
    </row>
    <row r="14" spans="1:21" x14ac:dyDescent="0.25">
      <c r="A14" s="23" t="s">
        <v>57</v>
      </c>
      <c r="B14" s="23" t="s">
        <v>54</v>
      </c>
      <c r="C14" s="23">
        <v>0.4331869927982035</v>
      </c>
      <c r="D14" s="23">
        <v>0.40278586281367212</v>
      </c>
      <c r="E14" s="23">
        <v>0.9994368097591293</v>
      </c>
      <c r="F14" s="23">
        <v>1.8880179448169365</v>
      </c>
      <c r="G14" s="23">
        <v>4.1074953995164369</v>
      </c>
      <c r="H14" s="23">
        <v>2.8476411076389891</v>
      </c>
      <c r="I14" s="23">
        <v>1.368270185861209</v>
      </c>
      <c r="J14" s="23">
        <v>0.61074399771632171</v>
      </c>
      <c r="K14" s="23">
        <v>0.4345842479039323</v>
      </c>
      <c r="L14" s="23">
        <v>0.35966727429414891</v>
      </c>
      <c r="M14" s="23">
        <v>0.38615554841089317</v>
      </c>
      <c r="N14" s="23">
        <v>0.37480826639431009</v>
      </c>
      <c r="U14" s="23" t="s">
        <v>311</v>
      </c>
    </row>
    <row r="15" spans="1:21" x14ac:dyDescent="0.25">
      <c r="A15" s="23" t="s">
        <v>56</v>
      </c>
      <c r="B15" s="23" t="s">
        <v>55</v>
      </c>
      <c r="C15" s="23">
        <v>0.29900006877934621</v>
      </c>
      <c r="D15" s="23">
        <v>0.26963352887619657</v>
      </c>
      <c r="E15" s="23">
        <v>0.72666103647930302</v>
      </c>
      <c r="F15" s="23">
        <v>2.5135747571987568</v>
      </c>
      <c r="G15" s="23">
        <v>5.1280055933295223</v>
      </c>
      <c r="H15" s="23">
        <v>2.760816738955731</v>
      </c>
      <c r="I15" s="23">
        <v>1.2103660298280545</v>
      </c>
      <c r="J15" s="23">
        <v>0.55817524548604758</v>
      </c>
      <c r="K15" s="23">
        <v>0.43238129199797659</v>
      </c>
      <c r="L15" s="23">
        <v>0.32330704985999076</v>
      </c>
      <c r="M15" s="23">
        <v>0.25877595558947175</v>
      </c>
      <c r="N15" s="23">
        <v>0.2714000306073574</v>
      </c>
      <c r="U15" s="23" t="s">
        <v>312</v>
      </c>
    </row>
    <row r="16" spans="1:21" x14ac:dyDescent="0.25">
      <c r="A16" s="23" t="s">
        <v>60</v>
      </c>
      <c r="B16" s="23" t="s">
        <v>52</v>
      </c>
      <c r="C16" s="23">
        <v>4.1611168694379375</v>
      </c>
      <c r="D16" s="23">
        <v>4.3062389168088728</v>
      </c>
      <c r="E16" s="23">
        <v>6.6181759822587383</v>
      </c>
      <c r="F16" s="23">
        <v>16.709513629318597</v>
      </c>
      <c r="G16" s="23">
        <v>38.52755168884719</v>
      </c>
      <c r="H16" s="23">
        <v>29.776467592932459</v>
      </c>
      <c r="I16" s="23">
        <v>9.3620041044486317</v>
      </c>
      <c r="J16" s="23">
        <v>6.2837238371674893</v>
      </c>
      <c r="K16" s="23">
        <v>5.553062315503098</v>
      </c>
      <c r="L16" s="23">
        <v>5.1336319220283029</v>
      </c>
      <c r="M16" s="23">
        <v>4.6009758004969754</v>
      </c>
      <c r="N16" s="23">
        <v>4.2430171850627403</v>
      </c>
      <c r="U16" s="23" t="s">
        <v>313</v>
      </c>
    </row>
    <row r="17" spans="1:21" x14ac:dyDescent="0.25">
      <c r="A17" s="23" t="s">
        <v>53</v>
      </c>
      <c r="B17" s="23" t="s">
        <v>52</v>
      </c>
      <c r="C17" s="23">
        <v>6.6957994606711875</v>
      </c>
      <c r="D17" s="23">
        <v>7.1939479844508556</v>
      </c>
      <c r="E17" s="23">
        <v>10.144101854037773</v>
      </c>
      <c r="F17" s="23">
        <v>16.925656492893705</v>
      </c>
      <c r="G17" s="23">
        <v>24.361395953174593</v>
      </c>
      <c r="H17" s="23">
        <v>14.915652220057428</v>
      </c>
      <c r="I17" s="23">
        <v>9.4409332220797122</v>
      </c>
      <c r="J17" s="23">
        <v>8.7783188364219367</v>
      </c>
      <c r="K17" s="23">
        <v>8.0057328919388482</v>
      </c>
      <c r="L17" s="23">
        <v>7.5459195242285686</v>
      </c>
      <c r="M17" s="23">
        <v>6.9820769936804199</v>
      </c>
      <c r="N17" s="23">
        <v>6.5562350676928549</v>
      </c>
      <c r="U17" s="23" t="s">
        <v>314</v>
      </c>
    </row>
    <row r="18" spans="1:21" x14ac:dyDescent="0.25">
      <c r="A18" s="23" t="s">
        <v>52</v>
      </c>
      <c r="B18" s="23" t="s">
        <v>48</v>
      </c>
      <c r="C18" s="23">
        <v>7.75117792397538</v>
      </c>
      <c r="D18" s="23">
        <v>8.2656270803572038</v>
      </c>
      <c r="E18" s="23">
        <v>11.45035665921797</v>
      </c>
      <c r="F18" s="23">
        <v>14.340609985793591</v>
      </c>
      <c r="G18" s="23">
        <v>20.83952848467019</v>
      </c>
      <c r="H18" s="23">
        <v>11.294908643882216</v>
      </c>
      <c r="I18" s="23">
        <v>6.2858709434870956</v>
      </c>
      <c r="J18" s="23">
        <v>8.7051260918597748</v>
      </c>
      <c r="K18" s="23">
        <v>8.4142614461584806</v>
      </c>
      <c r="L18" s="23">
        <v>7.5679912807533665</v>
      </c>
      <c r="M18" s="23">
        <v>6.9946766603605672</v>
      </c>
      <c r="N18" s="23">
        <v>6.5598690141112428</v>
      </c>
      <c r="U18" s="23" t="s">
        <v>315</v>
      </c>
    </row>
    <row r="19" spans="1:21" x14ac:dyDescent="0.25">
      <c r="A19" s="23" t="s">
        <v>54</v>
      </c>
      <c r="B19" s="23" t="s">
        <v>10</v>
      </c>
      <c r="C19" s="23">
        <v>4.3899710988658951</v>
      </c>
      <c r="D19" s="23">
        <v>5.8797253049516538</v>
      </c>
      <c r="E19" s="23">
        <v>9.3921281302229183</v>
      </c>
      <c r="F19" s="23">
        <v>21.099139701851051</v>
      </c>
      <c r="G19" s="23">
        <v>28.512628686930828</v>
      </c>
      <c r="H19" s="23">
        <v>14.487218873263306</v>
      </c>
      <c r="I19" s="23">
        <v>4.0912875110758549</v>
      </c>
      <c r="J19" s="23">
        <v>3.7074891536911969</v>
      </c>
      <c r="K19" s="23">
        <v>4.0229425106087149</v>
      </c>
      <c r="L19" s="23">
        <v>4.5180230304449909</v>
      </c>
      <c r="M19" s="23">
        <v>4.2737294931465595</v>
      </c>
      <c r="N19" s="23">
        <v>4.1612558728528493</v>
      </c>
      <c r="U19" s="23" t="s">
        <v>316</v>
      </c>
    </row>
    <row r="20" spans="1:21" x14ac:dyDescent="0.25">
      <c r="A20" s="23" t="s">
        <v>55</v>
      </c>
      <c r="B20" s="23" t="s">
        <v>54</v>
      </c>
      <c r="C20" s="23">
        <v>0.96956743553310076</v>
      </c>
      <c r="D20" s="23">
        <v>1.3137312031393378</v>
      </c>
      <c r="E20" s="23">
        <v>3.3978888334229667</v>
      </c>
      <c r="F20" s="23">
        <v>12.016932096191422</v>
      </c>
      <c r="G20" s="23">
        <v>18.864165848592808</v>
      </c>
      <c r="H20" s="23">
        <v>9.6617178068313176</v>
      </c>
      <c r="I20" s="23">
        <v>2.1426135306613858</v>
      </c>
      <c r="J20" s="23">
        <v>1.1323503632092482</v>
      </c>
      <c r="K20" s="23">
        <v>0.9772932949779316</v>
      </c>
      <c r="L20" s="23">
        <v>0.94197773987710232</v>
      </c>
      <c r="M20" s="23">
        <v>0.85993469753163321</v>
      </c>
      <c r="N20" s="23">
        <v>0.8371852993591431</v>
      </c>
      <c r="U20" s="23" t="s">
        <v>317</v>
      </c>
    </row>
    <row r="21" spans="1:21" x14ac:dyDescent="0.25">
      <c r="A21" s="23" t="s">
        <v>10</v>
      </c>
      <c r="B21" s="23" t="s">
        <v>47</v>
      </c>
      <c r="C21" s="23">
        <v>3.6191928193276106</v>
      </c>
      <c r="D21" s="23">
        <v>4.7393679727129561</v>
      </c>
      <c r="E21" s="23">
        <v>7.7119389354335937</v>
      </c>
      <c r="F21" s="23">
        <v>19.252111037763818</v>
      </c>
      <c r="G21" s="23">
        <v>26.276951128884601</v>
      </c>
      <c r="H21" s="23">
        <v>11.660886329089614</v>
      </c>
      <c r="I21" s="23">
        <v>3.30735199982038</v>
      </c>
      <c r="J21" s="23">
        <v>2.884733525791543</v>
      </c>
      <c r="K21" s="23">
        <v>3.5312762621511915</v>
      </c>
      <c r="L21" s="23">
        <v>3.9728882496706031</v>
      </c>
      <c r="M21" s="23">
        <v>3.6675864858983029</v>
      </c>
      <c r="N21" s="23">
        <v>3.5095880061193165</v>
      </c>
      <c r="U21" s="23" t="s">
        <v>318</v>
      </c>
    </row>
    <row r="22" spans="1:21" x14ac:dyDescent="0.25">
      <c r="A22" s="23" t="s">
        <v>49</v>
      </c>
      <c r="B22" s="23" t="s">
        <v>48</v>
      </c>
      <c r="C22" s="23">
        <v>8.4205538328870393</v>
      </c>
      <c r="D22" s="23">
        <v>8.269586195478329</v>
      </c>
      <c r="E22" s="23">
        <v>10.471946372513075</v>
      </c>
      <c r="F22" s="23">
        <v>19.525797281530853</v>
      </c>
      <c r="G22" s="23">
        <v>44.868626845684652</v>
      </c>
      <c r="H22" s="23">
        <v>50.181982736581382</v>
      </c>
      <c r="I22" s="23">
        <v>25.417506666610908</v>
      </c>
      <c r="J22" s="23">
        <v>13.894855820620023</v>
      </c>
      <c r="K22" s="23">
        <v>11.288790011422293</v>
      </c>
      <c r="L22" s="23">
        <v>10.582416854309763</v>
      </c>
      <c r="M22" s="23">
        <v>9.9956114560590823</v>
      </c>
      <c r="N22" s="23">
        <v>8.9118812605207189</v>
      </c>
      <c r="U22" s="23" t="s">
        <v>319</v>
      </c>
    </row>
    <row r="23" spans="1:21" x14ac:dyDescent="0.25">
      <c r="A23" s="23" t="s">
        <v>48</v>
      </c>
      <c r="B23" s="23" t="s">
        <v>47</v>
      </c>
      <c r="C23" s="23">
        <v>14.596039398709024</v>
      </c>
      <c r="D23" s="23">
        <v>14.739716448845874</v>
      </c>
      <c r="E23" s="23">
        <v>18.834927260387481</v>
      </c>
      <c r="F23" s="23">
        <v>55.564774733832188</v>
      </c>
      <c r="G23" s="23">
        <v>53.831618456226302</v>
      </c>
      <c r="H23" s="23">
        <v>41.084710990431333</v>
      </c>
      <c r="I23" s="23">
        <v>41.429733777865685</v>
      </c>
      <c r="J23" s="23">
        <v>13.563715644649355</v>
      </c>
      <c r="K23" s="23">
        <v>13.852718637472382</v>
      </c>
      <c r="L23" s="23">
        <v>14.634102221557365</v>
      </c>
      <c r="M23" s="23">
        <v>13.823527920341068</v>
      </c>
      <c r="N23" s="23">
        <v>12.5972412123983</v>
      </c>
      <c r="U23" s="23" t="s">
        <v>320</v>
      </c>
    </row>
    <row r="24" spans="1:21" x14ac:dyDescent="0.25">
      <c r="A24" s="23" t="s">
        <v>47</v>
      </c>
      <c r="B24" s="23" t="s">
        <v>34</v>
      </c>
      <c r="C24" s="23">
        <v>13.854839592001557</v>
      </c>
      <c r="D24" s="23">
        <v>14.534733839675452</v>
      </c>
      <c r="E24" s="23">
        <v>19.396677692026067</v>
      </c>
      <c r="F24" s="23">
        <v>56.009935164712807</v>
      </c>
      <c r="G24" s="23">
        <v>68.853827431829458</v>
      </c>
      <c r="H24" s="23">
        <v>40.870224643317329</v>
      </c>
      <c r="I24" s="23">
        <v>14.962574250027846</v>
      </c>
      <c r="J24" s="23">
        <v>5.209118843487456</v>
      </c>
      <c r="K24" s="23">
        <v>23.28214737666519</v>
      </c>
      <c r="L24" s="23">
        <v>25.711958096857678</v>
      </c>
      <c r="M24" s="23">
        <v>12.810019492996485</v>
      </c>
      <c r="N24" s="23">
        <v>11.809744093236279</v>
      </c>
      <c r="U24" s="23" t="s">
        <v>321</v>
      </c>
    </row>
    <row r="36" spans="7:7" x14ac:dyDescent="0.25">
      <c r="G36" s="27"/>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M35"/>
  <sheetViews>
    <sheetView zoomScale="85" zoomScaleNormal="85" workbookViewId="0">
      <selection activeCell="F14" sqref="F14"/>
    </sheetView>
  </sheetViews>
  <sheetFormatPr defaultColWidth="9.125" defaultRowHeight="15" x14ac:dyDescent="0.25"/>
  <cols>
    <col min="1" max="1" width="12.375" style="7" bestFit="1" customWidth="1"/>
    <col min="2" max="16384" width="9.125" style="6"/>
  </cols>
  <sheetData>
    <row r="1" spans="1:13" x14ac:dyDescent="0.25">
      <c r="B1" s="7" t="s">
        <v>19</v>
      </c>
      <c r="C1" s="7" t="s">
        <v>20</v>
      </c>
      <c r="D1" s="7" t="s">
        <v>21</v>
      </c>
      <c r="E1" s="7" t="s">
        <v>22</v>
      </c>
      <c r="F1" s="7" t="s">
        <v>23</v>
      </c>
      <c r="G1" s="7" t="s">
        <v>24</v>
      </c>
      <c r="H1" s="7" t="s">
        <v>25</v>
      </c>
      <c r="I1" s="7" t="s">
        <v>26</v>
      </c>
      <c r="J1" s="7" t="s">
        <v>27</v>
      </c>
      <c r="K1" s="7" t="s">
        <v>28</v>
      </c>
      <c r="L1" s="7" t="s">
        <v>29</v>
      </c>
      <c r="M1" s="7" t="s">
        <v>30</v>
      </c>
    </row>
    <row r="2" spans="1:13" x14ac:dyDescent="0.25">
      <c r="A2" s="7" t="s">
        <v>32</v>
      </c>
      <c r="B2" s="23">
        <v>21.266481556794684</v>
      </c>
      <c r="C2" s="23">
        <v>26.588724794849202</v>
      </c>
      <c r="D2" s="23">
        <v>29.659233108160251</v>
      </c>
      <c r="E2" s="23">
        <v>27.04371424017469</v>
      </c>
      <c r="F2" s="23">
        <v>18.032910613632446</v>
      </c>
      <c r="G2" s="23">
        <v>67.227595036227299</v>
      </c>
      <c r="H2" s="23">
        <v>76.37040589184025</v>
      </c>
      <c r="I2" s="23">
        <v>66.76657905565088</v>
      </c>
      <c r="J2" s="23">
        <v>31.874289755342609</v>
      </c>
      <c r="K2" s="23">
        <v>16.034636436863483</v>
      </c>
      <c r="L2" s="23">
        <v>21.262040948737525</v>
      </c>
      <c r="M2" s="23">
        <v>21.981015959351787</v>
      </c>
    </row>
    <row r="3" spans="1:13" x14ac:dyDescent="0.25">
      <c r="B3" s="23"/>
      <c r="C3" s="23"/>
      <c r="D3" s="23"/>
      <c r="E3" s="23"/>
      <c r="F3" s="23"/>
      <c r="G3" s="23"/>
      <c r="H3" s="23"/>
      <c r="I3" s="23"/>
      <c r="J3" s="23"/>
      <c r="K3" s="23"/>
      <c r="L3" s="23"/>
      <c r="M3" s="23"/>
    </row>
    <row r="4" spans="1:13" x14ac:dyDescent="0.25">
      <c r="B4" s="23"/>
      <c r="C4" s="23"/>
      <c r="D4" s="23"/>
      <c r="E4" s="23"/>
      <c r="F4" s="23"/>
      <c r="G4" s="23"/>
      <c r="H4" s="23"/>
      <c r="I4" s="23"/>
      <c r="J4" s="23"/>
      <c r="K4" s="23"/>
      <c r="L4" s="23"/>
      <c r="M4" s="23"/>
    </row>
    <row r="5" spans="1:13" x14ac:dyDescent="0.25">
      <c r="B5" s="23"/>
      <c r="C5" s="23"/>
      <c r="D5" s="23"/>
      <c r="E5" s="23"/>
      <c r="F5" s="23"/>
      <c r="G5" s="23"/>
      <c r="H5" s="23"/>
      <c r="I5" s="23"/>
      <c r="J5" s="23"/>
      <c r="K5" s="23"/>
      <c r="L5" s="23"/>
      <c r="M5" s="23"/>
    </row>
    <row r="6" spans="1:13" x14ac:dyDescent="0.25">
      <c r="B6" s="23"/>
      <c r="C6" s="23"/>
      <c r="D6" s="23"/>
      <c r="E6" s="23"/>
      <c r="F6" s="23"/>
      <c r="G6" s="23"/>
      <c r="H6" s="23"/>
      <c r="I6" s="23"/>
      <c r="J6" s="23"/>
      <c r="K6" s="23"/>
      <c r="L6" s="23"/>
      <c r="M6" s="23"/>
    </row>
    <row r="7" spans="1:13" x14ac:dyDescent="0.25">
      <c r="B7" s="23"/>
      <c r="C7" s="23"/>
      <c r="D7" s="23"/>
      <c r="E7" s="23"/>
      <c r="F7" s="23"/>
      <c r="G7" s="23"/>
      <c r="H7" s="23"/>
      <c r="I7" s="23"/>
      <c r="J7" s="23"/>
      <c r="K7" s="23"/>
      <c r="L7" s="23"/>
      <c r="M7" s="23"/>
    </row>
    <row r="8" spans="1:13" x14ac:dyDescent="0.25">
      <c r="B8" s="23"/>
      <c r="C8" s="23"/>
      <c r="D8" s="23"/>
      <c r="E8" s="23"/>
      <c r="F8" s="23"/>
      <c r="G8" s="23"/>
      <c r="H8" s="23"/>
      <c r="I8" s="23"/>
      <c r="J8" s="23"/>
      <c r="K8" s="23"/>
      <c r="L8" s="23"/>
      <c r="M8" s="23"/>
    </row>
    <row r="9" spans="1:13" x14ac:dyDescent="0.25">
      <c r="B9" s="23"/>
      <c r="C9" s="23"/>
      <c r="D9" s="23"/>
      <c r="E9" s="23"/>
      <c r="F9" s="23"/>
      <c r="G9" s="23"/>
      <c r="H9" s="23"/>
      <c r="I9" s="23"/>
      <c r="J9" s="23"/>
      <c r="K9" s="23"/>
      <c r="L9" s="23"/>
      <c r="M9" s="23"/>
    </row>
    <row r="10" spans="1:13" x14ac:dyDescent="0.25">
      <c r="B10" s="23"/>
      <c r="C10" s="23"/>
      <c r="D10" s="23"/>
      <c r="E10" s="23"/>
      <c r="F10" s="23"/>
      <c r="G10" s="23"/>
      <c r="H10" s="23"/>
      <c r="I10" s="23"/>
      <c r="J10" s="23"/>
      <c r="K10" s="23"/>
      <c r="L10" s="23"/>
      <c r="M10" s="23"/>
    </row>
    <row r="11" spans="1:13" x14ac:dyDescent="0.25">
      <c r="B11" s="23"/>
      <c r="C11" s="23"/>
      <c r="D11" s="23"/>
      <c r="E11" s="23"/>
      <c r="F11" s="23"/>
      <c r="G11" s="23"/>
      <c r="H11" s="23"/>
      <c r="I11" s="23"/>
      <c r="J11" s="23"/>
      <c r="K11" s="23"/>
      <c r="L11" s="23"/>
      <c r="M11" s="23"/>
    </row>
    <row r="12" spans="1:13" x14ac:dyDescent="0.25">
      <c r="B12" s="23"/>
      <c r="C12" s="23"/>
      <c r="D12" s="23"/>
      <c r="E12" s="23"/>
      <c r="F12" s="23"/>
      <c r="G12" s="23"/>
      <c r="H12" s="23"/>
      <c r="I12" s="23"/>
      <c r="J12" s="23"/>
      <c r="K12" s="23"/>
      <c r="L12" s="23"/>
      <c r="M12" s="23"/>
    </row>
    <row r="13" spans="1:13" x14ac:dyDescent="0.25">
      <c r="B13" s="23"/>
      <c r="C13" s="23"/>
      <c r="D13" s="23"/>
      <c r="E13" s="23"/>
      <c r="F13" s="23"/>
      <c r="G13" s="23"/>
      <c r="H13" s="23"/>
      <c r="I13" s="23"/>
      <c r="J13" s="23"/>
      <c r="K13" s="23"/>
      <c r="L13" s="23"/>
      <c r="M13" s="23"/>
    </row>
    <row r="14" spans="1:13" x14ac:dyDescent="0.25">
      <c r="B14" s="23"/>
      <c r="C14" s="23"/>
      <c r="D14" s="23"/>
      <c r="E14" s="23"/>
      <c r="F14" s="23"/>
      <c r="G14" s="23"/>
      <c r="H14" s="23"/>
      <c r="I14" s="23"/>
      <c r="J14" s="23"/>
      <c r="K14" s="23"/>
      <c r="L14" s="23"/>
      <c r="M14" s="23"/>
    </row>
    <row r="15" spans="1:13" x14ac:dyDescent="0.25">
      <c r="C15" s="23"/>
      <c r="D15" s="23"/>
      <c r="E15" s="23"/>
      <c r="F15" s="23"/>
      <c r="G15" s="23"/>
      <c r="H15" s="23"/>
      <c r="I15" s="23"/>
      <c r="J15" s="23"/>
      <c r="K15" s="23"/>
      <c r="L15" s="23"/>
      <c r="M15" s="23"/>
    </row>
    <row r="16" spans="1:13" x14ac:dyDescent="0.25">
      <c r="B16" s="23"/>
      <c r="C16" s="23"/>
      <c r="D16" s="23"/>
      <c r="E16" s="23"/>
      <c r="F16" s="23"/>
      <c r="G16" s="23"/>
      <c r="H16" s="23"/>
      <c r="I16" s="23"/>
      <c r="J16" s="23"/>
      <c r="K16" s="23"/>
      <c r="L16" s="23"/>
      <c r="M16" s="23"/>
    </row>
    <row r="17" spans="2:13" x14ac:dyDescent="0.25">
      <c r="B17" s="23"/>
      <c r="C17" s="23"/>
      <c r="D17" s="23"/>
      <c r="E17" s="23"/>
      <c r="F17" s="23"/>
      <c r="G17" s="23"/>
      <c r="H17" s="23"/>
      <c r="I17" s="23"/>
      <c r="J17" s="23"/>
      <c r="K17" s="23"/>
      <c r="L17" s="23"/>
      <c r="M17" s="23"/>
    </row>
    <row r="18" spans="2:13" x14ac:dyDescent="0.25">
      <c r="B18" s="23"/>
      <c r="C18" s="23"/>
      <c r="D18" s="23"/>
      <c r="E18" s="23"/>
      <c r="F18" s="23"/>
      <c r="G18" s="23"/>
      <c r="H18" s="23"/>
      <c r="I18" s="23"/>
      <c r="J18" s="23"/>
      <c r="K18" s="23"/>
      <c r="L18" s="23"/>
      <c r="M18" s="23"/>
    </row>
    <row r="19" spans="2:13" x14ac:dyDescent="0.25">
      <c r="B19" s="23"/>
      <c r="C19" s="23"/>
      <c r="D19" s="23"/>
      <c r="E19" s="23"/>
      <c r="F19" s="23"/>
      <c r="G19" s="23"/>
      <c r="H19" s="23"/>
      <c r="I19" s="23"/>
      <c r="J19" s="23"/>
      <c r="K19" s="23"/>
      <c r="L19" s="23"/>
      <c r="M19" s="23"/>
    </row>
    <row r="20" spans="2:13" x14ac:dyDescent="0.25">
      <c r="B20" s="23"/>
      <c r="C20" s="23"/>
      <c r="D20" s="23"/>
      <c r="E20" s="23"/>
      <c r="F20" s="23"/>
      <c r="G20" s="23"/>
      <c r="H20" s="23"/>
      <c r="I20" s="23"/>
      <c r="J20" s="23"/>
      <c r="K20" s="23"/>
      <c r="L20" s="23"/>
      <c r="M20" s="23"/>
    </row>
    <row r="21" spans="2:13" x14ac:dyDescent="0.25">
      <c r="B21" s="23"/>
      <c r="C21" s="23"/>
      <c r="D21" s="23"/>
      <c r="E21" s="23"/>
      <c r="F21" s="23"/>
      <c r="G21" s="23"/>
      <c r="H21" s="23"/>
      <c r="I21" s="23"/>
      <c r="J21" s="23"/>
      <c r="K21" s="23"/>
      <c r="L21" s="23"/>
      <c r="M21" s="23"/>
    </row>
    <row r="22" spans="2:13" x14ac:dyDescent="0.25">
      <c r="B22" s="23"/>
      <c r="C22" s="23"/>
      <c r="D22" s="23"/>
      <c r="E22" s="23"/>
      <c r="F22" s="23"/>
      <c r="G22" s="23"/>
      <c r="H22" s="23"/>
      <c r="I22" s="23"/>
      <c r="J22" s="23"/>
      <c r="K22" s="23"/>
      <c r="L22" s="23"/>
      <c r="M22" s="23"/>
    </row>
    <row r="23" spans="2:13" x14ac:dyDescent="0.25">
      <c r="B23" s="23"/>
      <c r="C23" s="23"/>
      <c r="D23" s="23"/>
      <c r="E23" s="23"/>
      <c r="F23" s="23"/>
      <c r="G23" s="23"/>
      <c r="H23" s="23"/>
      <c r="I23" s="23"/>
      <c r="J23" s="23"/>
      <c r="K23" s="23"/>
      <c r="L23" s="23"/>
      <c r="M23" s="23"/>
    </row>
    <row r="24" spans="2:13" x14ac:dyDescent="0.25">
      <c r="B24" s="23"/>
      <c r="C24" s="23"/>
      <c r="D24" s="23"/>
      <c r="E24" s="23"/>
      <c r="F24" s="23"/>
      <c r="G24" s="23"/>
      <c r="H24" s="23"/>
      <c r="I24" s="23"/>
      <c r="J24" s="23"/>
      <c r="K24" s="23"/>
      <c r="L24" s="23"/>
      <c r="M24" s="23"/>
    </row>
    <row r="25" spans="2:13" x14ac:dyDescent="0.25">
      <c r="B25" s="23"/>
      <c r="C25" s="23"/>
      <c r="D25" s="23"/>
      <c r="E25" s="23"/>
      <c r="F25" s="23"/>
      <c r="G25" s="23"/>
      <c r="H25" s="23"/>
      <c r="I25" s="23"/>
      <c r="J25" s="23"/>
      <c r="K25" s="23"/>
      <c r="L25" s="23"/>
      <c r="M25" s="23"/>
    </row>
    <row r="26" spans="2:13" x14ac:dyDescent="0.25">
      <c r="B26" s="23"/>
      <c r="C26" s="23"/>
      <c r="D26" s="23"/>
      <c r="E26" s="23"/>
      <c r="F26" s="23"/>
      <c r="G26" s="23"/>
      <c r="H26" s="23"/>
      <c r="I26" s="23"/>
      <c r="J26" s="23"/>
      <c r="K26" s="23"/>
      <c r="L26" s="23"/>
      <c r="M26" s="23"/>
    </row>
    <row r="27" spans="2:13" x14ac:dyDescent="0.25">
      <c r="C27" s="23"/>
      <c r="D27" s="23"/>
      <c r="E27" s="23"/>
      <c r="F27" s="23"/>
      <c r="G27" s="23"/>
      <c r="H27" s="23"/>
      <c r="I27" s="23"/>
      <c r="J27" s="23"/>
      <c r="K27" s="23"/>
      <c r="L27" s="23"/>
      <c r="M27" s="23"/>
    </row>
    <row r="28" spans="2:13" x14ac:dyDescent="0.25">
      <c r="B28" s="23"/>
      <c r="C28" s="23"/>
      <c r="D28" s="23"/>
      <c r="E28" s="23"/>
      <c r="F28" s="23"/>
      <c r="G28" s="23"/>
      <c r="H28" s="23"/>
      <c r="I28" s="23"/>
      <c r="J28" s="23"/>
      <c r="K28" s="23"/>
      <c r="L28" s="23"/>
      <c r="M28" s="23"/>
    </row>
    <row r="29" spans="2:13" x14ac:dyDescent="0.25">
      <c r="B29" s="23"/>
      <c r="C29" s="23"/>
      <c r="D29" s="23"/>
      <c r="E29" s="23"/>
      <c r="F29" s="23"/>
      <c r="G29" s="23"/>
      <c r="H29" s="23"/>
      <c r="I29" s="23"/>
      <c r="J29" s="23"/>
      <c r="K29" s="23"/>
      <c r="L29" s="23"/>
      <c r="M29" s="23"/>
    </row>
    <row r="30" spans="2:13" x14ac:dyDescent="0.25">
      <c r="C30" s="23"/>
      <c r="D30" s="23"/>
      <c r="E30" s="23"/>
      <c r="F30" s="23"/>
      <c r="G30" s="23"/>
      <c r="H30" s="23"/>
      <c r="I30" s="23"/>
      <c r="J30" s="23"/>
      <c r="K30" s="23"/>
      <c r="L30" s="23"/>
      <c r="M30" s="23"/>
    </row>
    <row r="31" spans="2:13" x14ac:dyDescent="0.25">
      <c r="B31" s="23"/>
      <c r="C31" s="23"/>
      <c r="D31" s="23"/>
      <c r="E31" s="23"/>
      <c r="F31" s="23"/>
      <c r="G31" s="23"/>
      <c r="H31" s="23"/>
      <c r="I31" s="23"/>
      <c r="J31" s="23"/>
      <c r="K31" s="23"/>
      <c r="L31" s="23"/>
      <c r="M31" s="23"/>
    </row>
    <row r="32" spans="2:13" x14ac:dyDescent="0.25">
      <c r="B32" s="23"/>
      <c r="C32" s="23"/>
      <c r="D32" s="23"/>
      <c r="E32" s="23"/>
      <c r="F32" s="23"/>
      <c r="G32" s="23"/>
      <c r="H32" s="23"/>
      <c r="I32" s="23"/>
      <c r="J32" s="23"/>
      <c r="K32" s="23"/>
      <c r="L32" s="23"/>
      <c r="M32" s="23"/>
    </row>
    <row r="33" spans="2:13" x14ac:dyDescent="0.25">
      <c r="B33" s="7"/>
      <c r="C33" s="23"/>
      <c r="D33" s="23"/>
      <c r="E33" s="23"/>
      <c r="F33" s="23"/>
      <c r="G33" s="23"/>
      <c r="H33" s="23"/>
      <c r="I33" s="23"/>
      <c r="J33" s="23"/>
      <c r="K33" s="23"/>
      <c r="L33" s="23"/>
      <c r="M33" s="23"/>
    </row>
    <row r="34" spans="2:13" x14ac:dyDescent="0.25">
      <c r="B34" s="23"/>
      <c r="C34" s="23"/>
      <c r="D34" s="23"/>
      <c r="E34" s="23"/>
      <c r="F34" s="23"/>
      <c r="G34" s="23"/>
      <c r="H34" s="23"/>
      <c r="I34" s="23"/>
      <c r="J34" s="23"/>
      <c r="K34" s="23"/>
      <c r="L34" s="23"/>
      <c r="M34" s="23"/>
    </row>
    <row r="35" spans="2:13" x14ac:dyDescent="0.25">
      <c r="B35" s="23"/>
      <c r="C35" s="23"/>
      <c r="D35" s="23"/>
      <c r="E35" s="23"/>
      <c r="F35" s="23"/>
      <c r="G35" s="23"/>
      <c r="H35" s="23"/>
      <c r="I35" s="23"/>
      <c r="J35" s="23"/>
      <c r="K35" s="23"/>
      <c r="L35" s="23"/>
      <c r="M35" s="23"/>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W38"/>
  <sheetViews>
    <sheetView zoomScale="85" zoomScaleNormal="85" workbookViewId="0">
      <selection activeCell="L43" sqref="L43"/>
    </sheetView>
  </sheetViews>
  <sheetFormatPr defaultColWidth="9.125" defaultRowHeight="15" x14ac:dyDescent="0.25"/>
  <cols>
    <col min="1" max="1" width="12.375" style="23" bestFit="1" customWidth="1"/>
    <col min="2" max="19" width="9.125" style="23"/>
    <col min="20" max="20" width="10.625" style="23" customWidth="1"/>
    <col min="21" max="21" width="13" style="23" customWidth="1"/>
    <col min="22" max="16384" width="9.125" style="23"/>
  </cols>
  <sheetData>
    <row r="1" spans="1:21" x14ac:dyDescent="0.25">
      <c r="B1" s="23" t="s">
        <v>19</v>
      </c>
      <c r="C1" s="23" t="s">
        <v>20</v>
      </c>
      <c r="D1" s="23" t="s">
        <v>21</v>
      </c>
      <c r="E1" s="23" t="s">
        <v>22</v>
      </c>
      <c r="F1" s="23" t="s">
        <v>23</v>
      </c>
      <c r="G1" s="23" t="s">
        <v>24</v>
      </c>
      <c r="H1" s="23" t="s">
        <v>25</v>
      </c>
      <c r="I1" s="23" t="s">
        <v>26</v>
      </c>
      <c r="J1" s="23" t="s">
        <v>27</v>
      </c>
      <c r="K1" s="23" t="s">
        <v>28</v>
      </c>
      <c r="L1" s="23" t="s">
        <v>29</v>
      </c>
      <c r="M1" s="23" t="s">
        <v>30</v>
      </c>
    </row>
    <row r="2" spans="1:21" x14ac:dyDescent="0.25">
      <c r="A2" s="23" t="s">
        <v>31</v>
      </c>
      <c r="B2" s="23" t="e">
        <f>HeadFlow!#REF!*(1+$T$19/100)</f>
        <v>#REF!</v>
      </c>
      <c r="C2" s="23" t="e">
        <f>HeadFlow!#REF!*(1+$T$19/100)</f>
        <v>#REF!</v>
      </c>
      <c r="D2" s="23" t="e">
        <f>HeadFlow!#REF!*(1+$T$19/100)</f>
        <v>#REF!</v>
      </c>
      <c r="E2" s="23" t="e">
        <f>HeadFlow!#REF!*(1+$T$19/100)</f>
        <v>#REF!</v>
      </c>
      <c r="F2" s="23" t="e">
        <f>HeadFlow!#REF!*(1+$T$19/100)</f>
        <v>#REF!</v>
      </c>
      <c r="G2" s="23" t="e">
        <f>HeadFlow!#REF!*(1+$T$19/100)</f>
        <v>#REF!</v>
      </c>
      <c r="H2" s="23" t="e">
        <f>HeadFlow!#REF!*(1+$T$19/100)</f>
        <v>#REF!</v>
      </c>
      <c r="I2" s="23" t="e">
        <f>HeadFlow!#REF!*(1+$T$19/100)</f>
        <v>#REF!</v>
      </c>
      <c r="J2" s="23" t="e">
        <f>HeadFlow!#REF!*(1+$T$19/100)</f>
        <v>#REF!</v>
      </c>
      <c r="K2" s="23" t="e">
        <f>HeadFlow!#REF!*(1+$T$19/100)</f>
        <v>#REF!</v>
      </c>
      <c r="L2" s="23" t="e">
        <f>HeadFlow!#REF!*(1+$T$19/100)</f>
        <v>#REF!</v>
      </c>
      <c r="M2" s="23" t="e">
        <f>HeadFlow!#REF!*(1+$T$19/100)</f>
        <v>#REF!</v>
      </c>
      <c r="R2" s="23" t="s">
        <v>322</v>
      </c>
      <c r="T2" s="27" t="s">
        <v>323</v>
      </c>
      <c r="U2" s="23" t="s">
        <v>287</v>
      </c>
    </row>
    <row r="3" spans="1:21" x14ac:dyDescent="0.25">
      <c r="A3" s="23" t="s">
        <v>5</v>
      </c>
      <c r="B3" s="23">
        <v>0</v>
      </c>
      <c r="C3" s="23">
        <v>0</v>
      </c>
      <c r="D3" s="23">
        <v>0</v>
      </c>
      <c r="E3" s="23">
        <v>0</v>
      </c>
      <c r="F3" s="23">
        <v>0</v>
      </c>
      <c r="G3" s="23">
        <v>0</v>
      </c>
      <c r="H3" s="23">
        <v>0</v>
      </c>
      <c r="I3" s="23">
        <v>0</v>
      </c>
      <c r="J3" s="23">
        <v>0</v>
      </c>
      <c r="K3" s="23">
        <v>0</v>
      </c>
      <c r="L3" s="23">
        <v>0</v>
      </c>
      <c r="M3" s="23">
        <v>0</v>
      </c>
      <c r="R3" s="23" t="s">
        <v>324</v>
      </c>
      <c r="T3" s="27" t="s">
        <v>325</v>
      </c>
      <c r="U3" s="23" t="s">
        <v>326</v>
      </c>
    </row>
    <row r="4" spans="1:21" x14ac:dyDescent="0.25">
      <c r="A4" s="23" t="s">
        <v>6</v>
      </c>
      <c r="B4" s="23">
        <v>0</v>
      </c>
      <c r="C4" s="23">
        <v>0</v>
      </c>
      <c r="D4" s="23">
        <v>0</v>
      </c>
      <c r="E4" s="23">
        <v>0</v>
      </c>
      <c r="F4" s="23">
        <v>0</v>
      </c>
      <c r="G4" s="23">
        <v>0</v>
      </c>
      <c r="H4" s="23">
        <v>0</v>
      </c>
      <c r="I4" s="23">
        <v>0</v>
      </c>
      <c r="J4" s="23">
        <v>0</v>
      </c>
      <c r="K4" s="23">
        <v>0</v>
      </c>
      <c r="L4" s="23">
        <v>0</v>
      </c>
      <c r="M4" s="23">
        <v>0</v>
      </c>
    </row>
    <row r="5" spans="1:21" x14ac:dyDescent="0.25">
      <c r="A5" s="23" t="s">
        <v>32</v>
      </c>
      <c r="B5" s="23">
        <v>0</v>
      </c>
      <c r="C5" s="23">
        <v>0</v>
      </c>
      <c r="D5" s="23">
        <v>0</v>
      </c>
      <c r="E5" s="23">
        <v>0</v>
      </c>
      <c r="F5" s="23">
        <v>0</v>
      </c>
      <c r="G5" s="23">
        <v>0</v>
      </c>
      <c r="H5" s="23">
        <v>0</v>
      </c>
      <c r="I5" s="23">
        <v>0</v>
      </c>
      <c r="J5" s="23">
        <v>0</v>
      </c>
      <c r="K5" s="23">
        <v>0</v>
      </c>
      <c r="L5" s="23">
        <v>0</v>
      </c>
      <c r="M5" s="23">
        <v>0</v>
      </c>
    </row>
    <row r="6" spans="1:21" x14ac:dyDescent="0.25">
      <c r="A6" s="23" t="s">
        <v>33</v>
      </c>
      <c r="B6" s="23">
        <v>0</v>
      </c>
      <c r="C6" s="23">
        <v>0</v>
      </c>
      <c r="D6" s="23">
        <v>0</v>
      </c>
      <c r="E6" s="23">
        <v>0</v>
      </c>
      <c r="F6" s="23">
        <v>0</v>
      </c>
      <c r="G6" s="23">
        <v>0</v>
      </c>
      <c r="H6" s="23">
        <v>0</v>
      </c>
      <c r="I6" s="23">
        <v>0</v>
      </c>
      <c r="J6" s="23">
        <v>0</v>
      </c>
      <c r="K6" s="23">
        <v>0</v>
      </c>
      <c r="L6" s="23">
        <v>0</v>
      </c>
      <c r="M6" s="23">
        <v>0</v>
      </c>
    </row>
    <row r="7" spans="1:21" x14ac:dyDescent="0.25">
      <c r="A7" s="23" t="s">
        <v>7</v>
      </c>
      <c r="B7" s="23">
        <v>0</v>
      </c>
      <c r="C7" s="23">
        <v>0</v>
      </c>
      <c r="D7" s="23">
        <v>0</v>
      </c>
      <c r="E7" s="23">
        <v>0</v>
      </c>
      <c r="F7" s="23">
        <v>0</v>
      </c>
      <c r="G7" s="23">
        <v>0</v>
      </c>
      <c r="H7" s="23">
        <v>0</v>
      </c>
      <c r="I7" s="23">
        <v>0</v>
      </c>
      <c r="J7" s="23">
        <v>0</v>
      </c>
      <c r="K7" s="23">
        <v>0</v>
      </c>
      <c r="L7" s="23">
        <v>0</v>
      </c>
      <c r="M7" s="23">
        <v>0</v>
      </c>
    </row>
    <row r="8" spans="1:21" x14ac:dyDescent="0.25">
      <c r="A8" s="23" t="s">
        <v>34</v>
      </c>
      <c r="B8" s="23">
        <v>0</v>
      </c>
      <c r="C8" s="23">
        <v>0</v>
      </c>
      <c r="D8" s="23">
        <v>0</v>
      </c>
      <c r="E8" s="23">
        <v>0</v>
      </c>
      <c r="F8" s="23">
        <v>0</v>
      </c>
      <c r="G8" s="23">
        <v>0</v>
      </c>
      <c r="H8" s="23">
        <v>0</v>
      </c>
      <c r="I8" s="23">
        <v>0</v>
      </c>
      <c r="J8" s="23">
        <v>0</v>
      </c>
      <c r="K8" s="23">
        <v>0</v>
      </c>
      <c r="L8" s="23">
        <v>0</v>
      </c>
      <c r="M8" s="23">
        <v>0</v>
      </c>
    </row>
    <row r="9" spans="1:21" x14ac:dyDescent="0.25">
      <c r="A9" s="23" t="s">
        <v>35</v>
      </c>
      <c r="B9" s="23">
        <v>0</v>
      </c>
      <c r="C9" s="23">
        <v>0</v>
      </c>
      <c r="D9" s="23">
        <v>0</v>
      </c>
      <c r="E9" s="23">
        <v>0</v>
      </c>
      <c r="F9" s="23">
        <v>0</v>
      </c>
      <c r="G9" s="23">
        <v>0</v>
      </c>
      <c r="H9" s="23">
        <v>0</v>
      </c>
      <c r="I9" s="23">
        <v>0</v>
      </c>
      <c r="J9" s="23">
        <v>0</v>
      </c>
      <c r="K9" s="23">
        <v>0</v>
      </c>
      <c r="L9" s="23">
        <v>0</v>
      </c>
      <c r="M9" s="23">
        <v>0</v>
      </c>
    </row>
    <row r="10" spans="1:21" x14ac:dyDescent="0.25">
      <c r="A10" s="23" t="s">
        <v>36</v>
      </c>
      <c r="B10" s="23">
        <v>0</v>
      </c>
      <c r="C10" s="23">
        <v>0</v>
      </c>
      <c r="D10" s="23">
        <v>0</v>
      </c>
      <c r="E10" s="23">
        <v>0</v>
      </c>
      <c r="F10" s="23">
        <v>0</v>
      </c>
      <c r="G10" s="23">
        <v>0</v>
      </c>
      <c r="H10" s="23">
        <v>0</v>
      </c>
      <c r="I10" s="23">
        <v>0</v>
      </c>
      <c r="J10" s="23">
        <v>0</v>
      </c>
      <c r="K10" s="23">
        <v>0</v>
      </c>
      <c r="L10" s="23">
        <v>0</v>
      </c>
      <c r="M10" s="23">
        <v>0</v>
      </c>
    </row>
    <row r="11" spans="1:21" x14ac:dyDescent="0.25">
      <c r="A11" s="23" t="s">
        <v>37</v>
      </c>
      <c r="B11" s="23">
        <v>0</v>
      </c>
      <c r="C11" s="23">
        <v>0</v>
      </c>
      <c r="D11" s="23">
        <v>0</v>
      </c>
      <c r="E11" s="23">
        <v>0</v>
      </c>
      <c r="F11" s="23">
        <v>0</v>
      </c>
      <c r="G11" s="23">
        <v>0</v>
      </c>
      <c r="H11" s="23">
        <v>0</v>
      </c>
      <c r="I11" s="23">
        <v>0</v>
      </c>
      <c r="J11" s="23">
        <v>0</v>
      </c>
      <c r="K11" s="23">
        <v>0</v>
      </c>
      <c r="L11" s="23">
        <v>0</v>
      </c>
      <c r="M11" s="23">
        <v>0</v>
      </c>
    </row>
    <row r="12" spans="1:21" x14ac:dyDescent="0.25">
      <c r="A12" s="23" t="s">
        <v>38</v>
      </c>
      <c r="B12" s="23">
        <v>0</v>
      </c>
      <c r="C12" s="23">
        <v>0</v>
      </c>
      <c r="D12" s="23">
        <v>0</v>
      </c>
      <c r="E12" s="23">
        <v>0</v>
      </c>
      <c r="F12" s="23">
        <v>0</v>
      </c>
      <c r="G12" s="23">
        <v>0</v>
      </c>
      <c r="H12" s="23">
        <v>0</v>
      </c>
      <c r="I12" s="23">
        <v>0</v>
      </c>
      <c r="J12" s="23">
        <v>0</v>
      </c>
      <c r="K12" s="23">
        <v>0</v>
      </c>
      <c r="L12" s="23">
        <v>0</v>
      </c>
      <c r="M12" s="23">
        <v>0</v>
      </c>
    </row>
    <row r="13" spans="1:21" x14ac:dyDescent="0.25">
      <c r="A13" s="23" t="s">
        <v>39</v>
      </c>
      <c r="B13" s="23">
        <v>0</v>
      </c>
      <c r="C13" s="23">
        <v>0</v>
      </c>
      <c r="D13" s="23">
        <v>0</v>
      </c>
      <c r="E13" s="23">
        <v>0</v>
      </c>
      <c r="F13" s="23">
        <v>0</v>
      </c>
      <c r="G13" s="23">
        <v>0</v>
      </c>
      <c r="H13" s="23">
        <v>0</v>
      </c>
      <c r="I13" s="23">
        <v>0</v>
      </c>
      <c r="J13" s="23">
        <v>0</v>
      </c>
      <c r="K13" s="23">
        <v>0</v>
      </c>
      <c r="L13" s="23">
        <v>0</v>
      </c>
      <c r="M13" s="23">
        <v>0</v>
      </c>
    </row>
    <row r="14" spans="1:21" x14ac:dyDescent="0.25">
      <c r="A14" s="23" t="s">
        <v>40</v>
      </c>
      <c r="B14" s="23">
        <v>0</v>
      </c>
      <c r="C14" s="23">
        <v>0</v>
      </c>
      <c r="D14" s="23">
        <v>0</v>
      </c>
      <c r="E14" s="23">
        <v>0</v>
      </c>
      <c r="F14" s="23">
        <v>0</v>
      </c>
      <c r="G14" s="23">
        <v>0</v>
      </c>
      <c r="H14" s="23">
        <v>0</v>
      </c>
      <c r="I14" s="23">
        <v>0</v>
      </c>
      <c r="J14" s="23">
        <v>0</v>
      </c>
      <c r="K14" s="23">
        <v>0</v>
      </c>
      <c r="L14" s="23">
        <v>0</v>
      </c>
      <c r="M14" s="23">
        <v>0</v>
      </c>
    </row>
    <row r="15" spans="1:21" x14ac:dyDescent="0.25">
      <c r="A15" s="23" t="s">
        <v>41</v>
      </c>
      <c r="B15" s="23">
        <v>0</v>
      </c>
      <c r="C15" s="23">
        <v>0</v>
      </c>
      <c r="D15" s="23">
        <v>0</v>
      </c>
      <c r="E15" s="23">
        <v>0</v>
      </c>
      <c r="F15" s="23">
        <v>0</v>
      </c>
      <c r="G15" s="23">
        <v>0</v>
      </c>
      <c r="H15" s="23">
        <v>0</v>
      </c>
      <c r="I15" s="23">
        <v>0</v>
      </c>
      <c r="J15" s="23">
        <v>0</v>
      </c>
      <c r="K15" s="23">
        <v>0</v>
      </c>
      <c r="L15" s="23">
        <v>0</v>
      </c>
      <c r="M15" s="23">
        <v>0</v>
      </c>
    </row>
    <row r="16" spans="1:21" x14ac:dyDescent="0.25">
      <c r="A16" s="23" t="s">
        <v>42</v>
      </c>
      <c r="B16" s="23">
        <v>0</v>
      </c>
      <c r="C16" s="23">
        <v>0</v>
      </c>
      <c r="D16" s="23">
        <v>0</v>
      </c>
      <c r="E16" s="23">
        <v>0</v>
      </c>
      <c r="F16" s="23">
        <v>0</v>
      </c>
      <c r="G16" s="23">
        <v>0</v>
      </c>
      <c r="H16" s="23">
        <v>0</v>
      </c>
      <c r="I16" s="23">
        <v>0</v>
      </c>
      <c r="J16" s="23">
        <v>0</v>
      </c>
      <c r="K16" s="23">
        <v>0</v>
      </c>
      <c r="L16" s="23">
        <v>0</v>
      </c>
      <c r="M16" s="23">
        <v>0</v>
      </c>
    </row>
    <row r="17" spans="1:23" x14ac:dyDescent="0.25">
      <c r="A17" s="23" t="s">
        <v>8</v>
      </c>
      <c r="B17" s="23">
        <v>0</v>
      </c>
      <c r="C17" s="23">
        <v>0</v>
      </c>
      <c r="D17" s="23">
        <v>0</v>
      </c>
      <c r="E17" s="23">
        <v>0</v>
      </c>
      <c r="F17" s="23">
        <v>0</v>
      </c>
      <c r="G17" s="23">
        <v>0</v>
      </c>
      <c r="H17" s="23">
        <v>0</v>
      </c>
      <c r="I17" s="23">
        <v>0</v>
      </c>
      <c r="J17" s="23">
        <v>0</v>
      </c>
      <c r="K17" s="23">
        <v>0</v>
      </c>
      <c r="L17" s="23">
        <v>0</v>
      </c>
      <c r="M17" s="23">
        <v>0</v>
      </c>
      <c r="R17" s="23" t="s">
        <v>327</v>
      </c>
      <c r="T17" s="23" t="s">
        <v>337</v>
      </c>
      <c r="U17" s="23" t="s">
        <v>335</v>
      </c>
      <c r="V17" s="23" t="s">
        <v>336</v>
      </c>
    </row>
    <row r="18" spans="1:23" x14ac:dyDescent="0.25">
      <c r="A18" s="23" t="s">
        <v>43</v>
      </c>
      <c r="B18" s="23">
        <f>HeadFlow!B15*(1+$V$19/100)</f>
        <v>0</v>
      </c>
      <c r="C18" s="23">
        <f>HeadFlow!C15*(1+$V$19/100)</f>
        <v>0</v>
      </c>
      <c r="D18" s="23">
        <f>HeadFlow!D15*(1+$T$19/100)</f>
        <v>0</v>
      </c>
      <c r="E18" s="23">
        <f>HeadFlow!E15*(1+$T$19/100)</f>
        <v>0</v>
      </c>
      <c r="F18" s="23">
        <f>HeadFlow!F15*(1+$U$19/100)</f>
        <v>0</v>
      </c>
      <c r="G18" s="23">
        <f>HeadFlow!G15*(1+$U$19/100)</f>
        <v>0</v>
      </c>
      <c r="H18" s="23">
        <f>HeadFlow!H15*(1+$U$19/100)</f>
        <v>0</v>
      </c>
      <c r="I18" s="23">
        <f>HeadFlow!I15*(1+$U$19/100)</f>
        <v>0</v>
      </c>
      <c r="J18" s="23">
        <f>HeadFlow!J15*(1+$U$19/100)</f>
        <v>0</v>
      </c>
      <c r="K18" s="23">
        <f>HeadFlow!K15*(1+$U$19/100)</f>
        <v>0</v>
      </c>
      <c r="L18" s="23">
        <f>HeadFlow!L15*(1+$V$19/100)</f>
        <v>0</v>
      </c>
      <c r="M18" s="23">
        <f>HeadFlow!M15*(1+$V$19/100)</f>
        <v>0</v>
      </c>
      <c r="T18" s="23" t="s">
        <v>332</v>
      </c>
      <c r="U18" s="23" t="s">
        <v>333</v>
      </c>
      <c r="V18" s="23" t="s">
        <v>334</v>
      </c>
    </row>
    <row r="19" spans="1:23" x14ac:dyDescent="0.25">
      <c r="A19" s="23" t="s">
        <v>9</v>
      </c>
      <c r="B19" s="23">
        <v>0</v>
      </c>
      <c r="C19" s="23">
        <v>0</v>
      </c>
      <c r="D19" s="23">
        <v>0</v>
      </c>
      <c r="E19" s="23">
        <v>0</v>
      </c>
      <c r="F19" s="23">
        <v>0</v>
      </c>
      <c r="G19" s="23">
        <v>0</v>
      </c>
      <c r="H19" s="23">
        <v>0</v>
      </c>
      <c r="I19" s="23">
        <v>0</v>
      </c>
      <c r="J19" s="23">
        <v>0</v>
      </c>
      <c r="K19" s="23">
        <v>0</v>
      </c>
      <c r="L19" s="23">
        <v>0</v>
      </c>
      <c r="M19" s="23">
        <v>0</v>
      </c>
      <c r="R19" s="23" t="s">
        <v>71</v>
      </c>
      <c r="T19" s="27">
        <v>-18.2</v>
      </c>
      <c r="U19" s="23">
        <v>-25</v>
      </c>
      <c r="V19" s="23">
        <v>50</v>
      </c>
      <c r="W19" s="23" t="s">
        <v>326</v>
      </c>
    </row>
    <row r="20" spans="1:23" x14ac:dyDescent="0.25">
      <c r="A20" s="23" t="s">
        <v>44</v>
      </c>
      <c r="B20" s="23">
        <v>0</v>
      </c>
      <c r="C20" s="23">
        <v>0</v>
      </c>
      <c r="D20" s="23">
        <v>0</v>
      </c>
      <c r="E20" s="23">
        <v>0</v>
      </c>
      <c r="F20" s="23">
        <v>0</v>
      </c>
      <c r="G20" s="23">
        <v>0</v>
      </c>
      <c r="H20" s="23">
        <v>0</v>
      </c>
      <c r="I20" s="23">
        <v>0</v>
      </c>
      <c r="J20" s="23">
        <v>0</v>
      </c>
      <c r="K20" s="23">
        <v>0</v>
      </c>
      <c r="L20" s="23">
        <v>0</v>
      </c>
      <c r="M20" s="23">
        <v>0</v>
      </c>
      <c r="R20" s="23" t="s">
        <v>328</v>
      </c>
      <c r="T20" s="23">
        <v>-4.5999999999999996</v>
      </c>
      <c r="U20" s="23">
        <v>-10</v>
      </c>
      <c r="V20" s="23">
        <v>30</v>
      </c>
      <c r="W20" s="23" t="s">
        <v>326</v>
      </c>
    </row>
    <row r="21" spans="1:23" x14ac:dyDescent="0.25">
      <c r="A21" s="23" t="s">
        <v>45</v>
      </c>
      <c r="B21" s="23">
        <v>0</v>
      </c>
      <c r="C21" s="23">
        <v>0</v>
      </c>
      <c r="D21" s="23">
        <v>0</v>
      </c>
      <c r="E21" s="23">
        <v>0</v>
      </c>
      <c r="F21" s="23">
        <v>0</v>
      </c>
      <c r="G21" s="23">
        <v>0</v>
      </c>
      <c r="H21" s="23">
        <v>0</v>
      </c>
      <c r="I21" s="23">
        <v>0</v>
      </c>
      <c r="J21" s="23">
        <v>0</v>
      </c>
      <c r="K21" s="23">
        <v>0</v>
      </c>
      <c r="L21" s="23">
        <v>0</v>
      </c>
      <c r="M21" s="23">
        <v>0</v>
      </c>
      <c r="R21" s="23" t="s">
        <v>329</v>
      </c>
      <c r="T21" s="23">
        <v>-6.6</v>
      </c>
      <c r="W21" s="23" t="s">
        <v>326</v>
      </c>
    </row>
    <row r="22" spans="1:23" x14ac:dyDescent="0.25">
      <c r="A22" s="23" t="s">
        <v>46</v>
      </c>
      <c r="B22" s="23">
        <v>0</v>
      </c>
      <c r="C22" s="23">
        <v>0</v>
      </c>
      <c r="D22" s="23">
        <v>0</v>
      </c>
      <c r="E22" s="23">
        <v>0</v>
      </c>
      <c r="F22" s="23">
        <v>0</v>
      </c>
      <c r="G22" s="23">
        <v>0</v>
      </c>
      <c r="H22" s="23">
        <v>0</v>
      </c>
      <c r="I22" s="23">
        <v>0</v>
      </c>
      <c r="J22" s="23">
        <v>0</v>
      </c>
      <c r="K22" s="23">
        <v>0</v>
      </c>
      <c r="L22" s="23">
        <v>0</v>
      </c>
      <c r="M22" s="23">
        <v>0</v>
      </c>
    </row>
    <row r="23" spans="1:23" x14ac:dyDescent="0.25">
      <c r="A23" s="23" t="s">
        <v>47</v>
      </c>
      <c r="B23" s="23">
        <v>0</v>
      </c>
      <c r="C23" s="23">
        <v>0</v>
      </c>
      <c r="D23" s="23">
        <v>0</v>
      </c>
      <c r="E23" s="23">
        <v>0</v>
      </c>
      <c r="F23" s="23">
        <v>0</v>
      </c>
      <c r="G23" s="23">
        <v>0</v>
      </c>
      <c r="H23" s="23">
        <v>0</v>
      </c>
      <c r="I23" s="23">
        <v>0</v>
      </c>
      <c r="J23" s="23">
        <v>0</v>
      </c>
      <c r="K23" s="23">
        <v>0</v>
      </c>
      <c r="L23" s="23">
        <v>0</v>
      </c>
      <c r="M23" s="23">
        <v>0</v>
      </c>
    </row>
    <row r="24" spans="1:23" x14ac:dyDescent="0.25">
      <c r="A24" s="23" t="s">
        <v>48</v>
      </c>
      <c r="B24" s="23">
        <v>0</v>
      </c>
      <c r="C24" s="23">
        <v>0</v>
      </c>
      <c r="D24" s="23">
        <v>0</v>
      </c>
      <c r="E24" s="23">
        <v>0</v>
      </c>
      <c r="F24" s="23">
        <v>0</v>
      </c>
      <c r="G24" s="23">
        <v>0</v>
      </c>
      <c r="H24" s="23">
        <v>0</v>
      </c>
      <c r="I24" s="23">
        <v>0</v>
      </c>
      <c r="J24" s="23">
        <v>0</v>
      </c>
      <c r="K24" s="23">
        <v>0</v>
      </c>
      <c r="L24" s="23">
        <v>0</v>
      </c>
      <c r="M24" s="23">
        <v>0</v>
      </c>
    </row>
    <row r="25" spans="1:23" x14ac:dyDescent="0.25">
      <c r="A25" s="23" t="s">
        <v>49</v>
      </c>
      <c r="B25" s="23">
        <v>0</v>
      </c>
      <c r="C25" s="23">
        <v>0</v>
      </c>
      <c r="D25" s="23">
        <v>0</v>
      </c>
      <c r="E25" s="23">
        <v>0</v>
      </c>
      <c r="F25" s="23">
        <v>0</v>
      </c>
      <c r="G25" s="23">
        <v>0</v>
      </c>
      <c r="H25" s="23">
        <v>0</v>
      </c>
      <c r="I25" s="23">
        <v>0</v>
      </c>
      <c r="J25" s="23">
        <v>0</v>
      </c>
      <c r="K25" s="23">
        <v>0</v>
      </c>
      <c r="L25" s="23">
        <v>0</v>
      </c>
      <c r="M25" s="23">
        <v>0</v>
      </c>
    </row>
    <row r="26" spans="1:23" x14ac:dyDescent="0.25">
      <c r="A26" s="23" t="s">
        <v>50</v>
      </c>
      <c r="B26" s="23">
        <v>0</v>
      </c>
      <c r="C26" s="23">
        <v>0</v>
      </c>
      <c r="D26" s="23">
        <v>0</v>
      </c>
      <c r="E26" s="23">
        <v>0</v>
      </c>
      <c r="F26" s="23">
        <v>0</v>
      </c>
      <c r="G26" s="23">
        <v>0</v>
      </c>
      <c r="H26" s="23">
        <v>0</v>
      </c>
      <c r="I26" s="23">
        <v>0</v>
      </c>
      <c r="J26" s="23">
        <v>0</v>
      </c>
      <c r="K26" s="23">
        <v>0</v>
      </c>
      <c r="L26" s="23">
        <v>0</v>
      </c>
      <c r="M26" s="23">
        <v>0</v>
      </c>
    </row>
    <row r="27" spans="1:23" x14ac:dyDescent="0.25">
      <c r="A27" s="23" t="s">
        <v>51</v>
      </c>
      <c r="B27" s="23">
        <v>0</v>
      </c>
      <c r="C27" s="23">
        <v>0</v>
      </c>
      <c r="D27" s="23">
        <v>0</v>
      </c>
      <c r="E27" s="23">
        <v>0</v>
      </c>
      <c r="F27" s="23">
        <v>0</v>
      </c>
      <c r="G27" s="23">
        <v>0</v>
      </c>
      <c r="H27" s="23">
        <v>0</v>
      </c>
      <c r="I27" s="23">
        <v>0</v>
      </c>
      <c r="J27" s="23">
        <v>0</v>
      </c>
      <c r="K27" s="23">
        <v>0</v>
      </c>
      <c r="L27" s="23">
        <v>0</v>
      </c>
      <c r="M27" s="23">
        <v>0</v>
      </c>
    </row>
    <row r="28" spans="1:23" x14ac:dyDescent="0.25">
      <c r="A28" s="23" t="s">
        <v>10</v>
      </c>
      <c r="B28" s="23">
        <v>0</v>
      </c>
      <c r="C28" s="23">
        <v>0</v>
      </c>
      <c r="D28" s="23">
        <v>0</v>
      </c>
      <c r="E28" s="23">
        <v>0</v>
      </c>
      <c r="F28" s="23">
        <v>0</v>
      </c>
      <c r="G28" s="23">
        <v>0</v>
      </c>
      <c r="H28" s="23">
        <v>0</v>
      </c>
      <c r="I28" s="23">
        <v>0</v>
      </c>
      <c r="J28" s="23">
        <v>0</v>
      </c>
      <c r="K28" s="23">
        <v>0</v>
      </c>
      <c r="L28" s="23">
        <v>0</v>
      </c>
      <c r="M28" s="23">
        <v>0</v>
      </c>
    </row>
    <row r="29" spans="1:23" x14ac:dyDescent="0.25">
      <c r="A29" s="23" t="s">
        <v>52</v>
      </c>
      <c r="B29" s="23">
        <v>0</v>
      </c>
      <c r="C29" s="23">
        <v>0</v>
      </c>
      <c r="D29" s="23">
        <v>0</v>
      </c>
      <c r="E29" s="23">
        <v>0</v>
      </c>
      <c r="F29" s="23">
        <v>0</v>
      </c>
      <c r="G29" s="23">
        <v>0</v>
      </c>
      <c r="H29" s="23">
        <v>0</v>
      </c>
      <c r="I29" s="23">
        <v>0</v>
      </c>
      <c r="J29" s="23">
        <v>0</v>
      </c>
      <c r="K29" s="23">
        <v>0</v>
      </c>
      <c r="L29" s="23">
        <v>0</v>
      </c>
      <c r="M29" s="23">
        <v>0</v>
      </c>
    </row>
    <row r="30" spans="1:23" x14ac:dyDescent="0.25">
      <c r="A30" s="23" t="s">
        <v>53</v>
      </c>
      <c r="B30" s="23">
        <f>HeadFlow!B27*(1+$V$20/100)</f>
        <v>0</v>
      </c>
      <c r="C30" s="23">
        <f>HeadFlow!C27*(1+$V$20/100)</f>
        <v>0</v>
      </c>
      <c r="D30" s="23">
        <f>HeadFlow!D27*(1+$T$20/100)</f>
        <v>0</v>
      </c>
      <c r="E30" s="23">
        <f>HeadFlow!E27*(1+$T$20/100)</f>
        <v>0</v>
      </c>
      <c r="F30" s="23">
        <f>HeadFlow!F27*(1+$U$20/100)</f>
        <v>0</v>
      </c>
      <c r="G30" s="23">
        <f>HeadFlow!G27*(1+$U$20/100)</f>
        <v>0</v>
      </c>
      <c r="H30" s="23">
        <f>HeadFlow!H27*(1+$U$20/100)</f>
        <v>0</v>
      </c>
      <c r="I30" s="23">
        <f>HeadFlow!I27*(1+$U$20/100)</f>
        <v>0</v>
      </c>
      <c r="J30" s="23">
        <f>HeadFlow!J27*(1+$U$20/100)</f>
        <v>0</v>
      </c>
      <c r="K30" s="23">
        <f>HeadFlow!K27*(1+$U$20/100)</f>
        <v>0</v>
      </c>
      <c r="L30" s="23">
        <f>HeadFlow!L27*(1+$V$20/100)</f>
        <v>0</v>
      </c>
      <c r="M30" s="23">
        <f>HeadFlow!M27*(1+$V$20/100)</f>
        <v>0</v>
      </c>
    </row>
    <row r="31" spans="1:23" x14ac:dyDescent="0.25">
      <c r="A31" s="23" t="s">
        <v>54</v>
      </c>
      <c r="B31" s="23">
        <v>0</v>
      </c>
      <c r="C31" s="23">
        <v>0</v>
      </c>
      <c r="D31" s="23">
        <v>0</v>
      </c>
      <c r="E31" s="23">
        <v>0</v>
      </c>
      <c r="F31" s="23">
        <v>0</v>
      </c>
      <c r="G31" s="23">
        <v>0</v>
      </c>
      <c r="H31" s="23">
        <v>0</v>
      </c>
      <c r="I31" s="23">
        <v>0</v>
      </c>
      <c r="J31" s="23">
        <v>0</v>
      </c>
      <c r="K31" s="23">
        <v>0</v>
      </c>
      <c r="L31" s="23">
        <v>0</v>
      </c>
      <c r="M31" s="23">
        <v>0</v>
      </c>
    </row>
    <row r="32" spans="1:23" x14ac:dyDescent="0.25">
      <c r="A32" s="23" t="s">
        <v>55</v>
      </c>
      <c r="B32" s="23">
        <v>0</v>
      </c>
      <c r="C32" s="23">
        <v>0</v>
      </c>
      <c r="D32" s="23">
        <v>0</v>
      </c>
      <c r="E32" s="23">
        <v>0</v>
      </c>
      <c r="F32" s="23">
        <v>0</v>
      </c>
      <c r="G32" s="23">
        <v>0</v>
      </c>
      <c r="H32" s="23">
        <v>0</v>
      </c>
      <c r="I32" s="23">
        <v>0</v>
      </c>
      <c r="J32" s="23">
        <v>0</v>
      </c>
      <c r="K32" s="23">
        <v>0</v>
      </c>
      <c r="L32" s="23">
        <v>0</v>
      </c>
      <c r="M32" s="23">
        <v>0</v>
      </c>
    </row>
    <row r="33" spans="1:13" x14ac:dyDescent="0.25">
      <c r="A33" s="23" t="s">
        <v>56</v>
      </c>
      <c r="B33" s="23">
        <f>HeadFlow!B30*(1+$V$20/100)</f>
        <v>0</v>
      </c>
      <c r="C33" s="23">
        <f>HeadFlow!C30*(1+$V$20/100)</f>
        <v>0</v>
      </c>
      <c r="D33" s="23">
        <f>HeadFlow!D30*(1+$T$20/100)</f>
        <v>0</v>
      </c>
      <c r="E33" s="23">
        <f>HeadFlow!E30*(1+$T$20/100)</f>
        <v>0</v>
      </c>
      <c r="F33" s="23">
        <f>HeadFlow!F30*(1+$U$20/100)</f>
        <v>0</v>
      </c>
      <c r="G33" s="23">
        <f>HeadFlow!G30*(1+$U$20/100)</f>
        <v>0</v>
      </c>
      <c r="H33" s="23">
        <f>HeadFlow!H30*(1+$U$20/100)</f>
        <v>0</v>
      </c>
      <c r="I33" s="23">
        <f>HeadFlow!I30*(1+$U$20/100)</f>
        <v>0</v>
      </c>
      <c r="J33" s="23">
        <f>HeadFlow!J30*(1+$U$20/100)</f>
        <v>0</v>
      </c>
      <c r="K33" s="23">
        <f>HeadFlow!K30*(1+$U$20/100)</f>
        <v>0</v>
      </c>
      <c r="L33" s="23">
        <f>HeadFlow!L30*(1+$V$20/100)</f>
        <v>0</v>
      </c>
      <c r="M33" s="23">
        <f>HeadFlow!M30*(1+$V$20/100)</f>
        <v>0</v>
      </c>
    </row>
    <row r="34" spans="1:13" x14ac:dyDescent="0.25">
      <c r="A34" s="23" t="s">
        <v>57</v>
      </c>
      <c r="B34" s="23">
        <v>0</v>
      </c>
      <c r="C34" s="23">
        <v>0</v>
      </c>
      <c r="D34" s="23">
        <v>0</v>
      </c>
      <c r="E34" s="23">
        <v>0</v>
      </c>
      <c r="F34" s="23">
        <v>0</v>
      </c>
      <c r="G34" s="23">
        <v>0</v>
      </c>
      <c r="H34" s="23">
        <v>0</v>
      </c>
      <c r="I34" s="23">
        <v>0</v>
      </c>
      <c r="J34" s="23">
        <v>0</v>
      </c>
      <c r="K34" s="23">
        <v>0</v>
      </c>
      <c r="L34" s="23">
        <v>0</v>
      </c>
      <c r="M34" s="23">
        <v>0</v>
      </c>
    </row>
    <row r="35" spans="1:13" x14ac:dyDescent="0.25">
      <c r="A35" s="23" t="s">
        <v>58</v>
      </c>
      <c r="B35" s="23">
        <v>0</v>
      </c>
      <c r="C35" s="23">
        <v>0</v>
      </c>
      <c r="D35" s="23">
        <v>0</v>
      </c>
      <c r="E35" s="23">
        <v>0</v>
      </c>
      <c r="F35" s="23">
        <v>0</v>
      </c>
      <c r="G35" s="23">
        <v>0</v>
      </c>
      <c r="H35" s="23">
        <v>0</v>
      </c>
      <c r="I35" s="23">
        <v>0</v>
      </c>
      <c r="J35" s="23">
        <v>0</v>
      </c>
      <c r="K35" s="23">
        <v>0</v>
      </c>
      <c r="L35" s="23">
        <v>0</v>
      </c>
      <c r="M35" s="23">
        <v>0</v>
      </c>
    </row>
    <row r="36" spans="1:13" x14ac:dyDescent="0.25">
      <c r="A36" s="23" t="s">
        <v>59</v>
      </c>
      <c r="B36" s="23">
        <f>HeadFlow!B33*(1+HeadFlow_Climate1!$V$19/100)</f>
        <v>0</v>
      </c>
      <c r="C36" s="23">
        <f>HeadFlow!C33*(1+HeadFlow_Climate1!$V$19/100)</f>
        <v>0</v>
      </c>
      <c r="D36" s="23">
        <f>HeadFlow!D33*(1+HeadFlow_Climate1!$T$19/100)</f>
        <v>0</v>
      </c>
      <c r="E36" s="23">
        <f>HeadFlow!E33*(1+HeadFlow_Climate1!$T$19/100)</f>
        <v>0</v>
      </c>
      <c r="F36" s="23">
        <f>HeadFlow!F33*(1+HeadFlow_Climate1!$U$19/100)</f>
        <v>0</v>
      </c>
      <c r="G36" s="23">
        <f>HeadFlow!G33*(1+HeadFlow_Climate1!$U$19/100)</f>
        <v>0</v>
      </c>
      <c r="H36" s="23">
        <f>HeadFlow!H33*(1+HeadFlow_Climate1!$U$19/100)</f>
        <v>0</v>
      </c>
      <c r="I36" s="23">
        <f>HeadFlow!I33*(1+HeadFlow_Climate1!$U$19/100)</f>
        <v>0</v>
      </c>
      <c r="J36" s="23">
        <f>HeadFlow!J33*(1+HeadFlow_Climate1!$U$19/100)</f>
        <v>0</v>
      </c>
      <c r="K36" s="23">
        <f>HeadFlow!K33*(1+HeadFlow_Climate1!$U$19/100)</f>
        <v>0</v>
      </c>
      <c r="L36" s="23">
        <f>HeadFlow!L33*(1+HeadFlow_Climate1!$V$19/100)</f>
        <v>0</v>
      </c>
      <c r="M36" s="23">
        <f>HeadFlow!M33*(1+HeadFlow_Climate1!$V$19/100)</f>
        <v>0</v>
      </c>
    </row>
    <row r="37" spans="1:13" x14ac:dyDescent="0.25">
      <c r="A37" s="23" t="s">
        <v>60</v>
      </c>
      <c r="B37" s="23">
        <v>0</v>
      </c>
      <c r="C37" s="23">
        <v>0</v>
      </c>
      <c r="D37" s="23">
        <v>0</v>
      </c>
      <c r="E37" s="23">
        <v>0</v>
      </c>
      <c r="F37" s="23">
        <v>0</v>
      </c>
      <c r="G37" s="23">
        <v>0</v>
      </c>
      <c r="H37" s="23">
        <v>0</v>
      </c>
      <c r="I37" s="23">
        <v>0</v>
      </c>
      <c r="J37" s="23">
        <v>0</v>
      </c>
      <c r="K37" s="23">
        <v>0</v>
      </c>
      <c r="L37" s="23">
        <v>0</v>
      </c>
      <c r="M37" s="23">
        <v>0</v>
      </c>
    </row>
    <row r="38" spans="1:13" x14ac:dyDescent="0.25">
      <c r="A38" s="23" t="s">
        <v>61</v>
      </c>
      <c r="B38" s="23">
        <v>0</v>
      </c>
      <c r="C38" s="23">
        <v>0</v>
      </c>
      <c r="D38" s="23">
        <v>0</v>
      </c>
      <c r="E38" s="23">
        <v>0</v>
      </c>
      <c r="F38" s="23">
        <v>0</v>
      </c>
      <c r="G38" s="23">
        <v>0</v>
      </c>
      <c r="H38" s="23">
        <v>0</v>
      </c>
      <c r="I38" s="23">
        <v>0</v>
      </c>
      <c r="J38" s="23">
        <v>0</v>
      </c>
      <c r="K38" s="23">
        <v>0</v>
      </c>
      <c r="L38" s="23">
        <v>0</v>
      </c>
      <c r="M38" s="23">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J48" sqref="J48"/>
    </sheetView>
  </sheetViews>
  <sheetFormatPr defaultRowHeight="15" x14ac:dyDescent="0.25"/>
  <cols>
    <col min="1" max="1" width="11.625" customWidth="1"/>
    <col min="2" max="2" width="10.25" bestFit="1" customWidth="1"/>
  </cols>
  <sheetData>
    <row r="1" spans="1:1" x14ac:dyDescent="0.25">
      <c r="A1" t="s">
        <v>4</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W38"/>
  <sheetViews>
    <sheetView zoomScale="55" zoomScaleNormal="55" workbookViewId="0">
      <selection activeCell="E18" sqref="E18"/>
    </sheetView>
  </sheetViews>
  <sheetFormatPr defaultColWidth="9.125" defaultRowHeight="15" x14ac:dyDescent="0.25"/>
  <cols>
    <col min="1" max="1" width="12.375" style="23" bestFit="1" customWidth="1"/>
    <col min="2" max="19" width="9.125" style="23"/>
    <col min="20" max="20" width="10.625" style="23" customWidth="1"/>
    <col min="21" max="21" width="13" style="23" customWidth="1"/>
    <col min="22" max="16384" width="9.125" style="23"/>
  </cols>
  <sheetData>
    <row r="1" spans="1:21" x14ac:dyDescent="0.25">
      <c r="B1" s="23" t="s">
        <v>19</v>
      </c>
      <c r="C1" s="23" t="s">
        <v>20</v>
      </c>
      <c r="D1" s="23" t="s">
        <v>21</v>
      </c>
      <c r="E1" s="23" t="s">
        <v>22</v>
      </c>
      <c r="F1" s="23" t="s">
        <v>23</v>
      </c>
      <c r="G1" s="23" t="s">
        <v>24</v>
      </c>
      <c r="H1" s="23" t="s">
        <v>25</v>
      </c>
      <c r="I1" s="23" t="s">
        <v>26</v>
      </c>
      <c r="J1" s="23" t="s">
        <v>27</v>
      </c>
      <c r="K1" s="23" t="s">
        <v>28</v>
      </c>
      <c r="L1" s="23" t="s">
        <v>29</v>
      </c>
      <c r="M1" s="23" t="s">
        <v>30</v>
      </c>
    </row>
    <row r="2" spans="1:21" x14ac:dyDescent="0.25">
      <c r="A2" s="23" t="s">
        <v>31</v>
      </c>
      <c r="B2" s="23" t="e">
        <f>HeadFlow!#REF!*(1+$T$19/100)</f>
        <v>#REF!</v>
      </c>
      <c r="C2" s="23" t="e">
        <f>HeadFlow!#REF!*(1+$T$19/100)</f>
        <v>#REF!</v>
      </c>
      <c r="D2" s="23" t="e">
        <f>HeadFlow!#REF!*(1+$T$19/100)</f>
        <v>#REF!</v>
      </c>
      <c r="E2" s="23" t="e">
        <f>HeadFlow!#REF!*(1+$T$19/100)</f>
        <v>#REF!</v>
      </c>
      <c r="F2" s="23" t="e">
        <f>HeadFlow!#REF!*(1+$T$19/100)</f>
        <v>#REF!</v>
      </c>
      <c r="G2" s="23" t="e">
        <f>HeadFlow!#REF!*(1+$T$19/100)</f>
        <v>#REF!</v>
      </c>
      <c r="H2" s="23" t="e">
        <f>HeadFlow!#REF!*(1+$T$19/100)</f>
        <v>#REF!</v>
      </c>
      <c r="I2" s="23" t="e">
        <f>HeadFlow!#REF!*(1+$T$19/100)</f>
        <v>#REF!</v>
      </c>
      <c r="J2" s="23" t="e">
        <f>HeadFlow!#REF!*(1+$T$19/100)</f>
        <v>#REF!</v>
      </c>
      <c r="K2" s="23" t="e">
        <f>HeadFlow!#REF!*(1+$T$19/100)</f>
        <v>#REF!</v>
      </c>
      <c r="L2" s="23" t="e">
        <f>HeadFlow!#REF!*(1+$T$19/100)</f>
        <v>#REF!</v>
      </c>
      <c r="M2" s="23" t="e">
        <f>HeadFlow!#REF!*(1+$T$19/100)</f>
        <v>#REF!</v>
      </c>
      <c r="R2" s="23" t="s">
        <v>322</v>
      </c>
      <c r="T2" s="27" t="s">
        <v>330</v>
      </c>
      <c r="U2" s="23" t="s">
        <v>287</v>
      </c>
    </row>
    <row r="3" spans="1:21" x14ac:dyDescent="0.25">
      <c r="A3" s="23" t="s">
        <v>5</v>
      </c>
      <c r="B3" s="23">
        <v>0</v>
      </c>
      <c r="C3" s="23">
        <v>0</v>
      </c>
      <c r="D3" s="23">
        <v>0</v>
      </c>
      <c r="E3" s="23">
        <v>0</v>
      </c>
      <c r="F3" s="23">
        <v>0</v>
      </c>
      <c r="G3" s="23">
        <v>0</v>
      </c>
      <c r="H3" s="23">
        <v>0</v>
      </c>
      <c r="I3" s="23">
        <v>0</v>
      </c>
      <c r="J3" s="23">
        <v>0</v>
      </c>
      <c r="K3" s="23">
        <v>0</v>
      </c>
      <c r="L3" s="23">
        <v>0</v>
      </c>
      <c r="M3" s="23">
        <v>0</v>
      </c>
      <c r="R3" s="23" t="s">
        <v>324</v>
      </c>
      <c r="T3" s="27" t="s">
        <v>331</v>
      </c>
      <c r="U3" s="23" t="s">
        <v>326</v>
      </c>
    </row>
    <row r="4" spans="1:21" x14ac:dyDescent="0.25">
      <c r="A4" s="23" t="s">
        <v>6</v>
      </c>
      <c r="B4" s="23">
        <v>0</v>
      </c>
      <c r="C4" s="23">
        <v>0</v>
      </c>
      <c r="D4" s="23">
        <v>0</v>
      </c>
      <c r="E4" s="23">
        <v>0</v>
      </c>
      <c r="F4" s="23">
        <v>0</v>
      </c>
      <c r="G4" s="23">
        <v>0</v>
      </c>
      <c r="H4" s="23">
        <v>0</v>
      </c>
      <c r="I4" s="23">
        <v>0</v>
      </c>
      <c r="J4" s="23">
        <v>0</v>
      </c>
      <c r="K4" s="23">
        <v>0</v>
      </c>
      <c r="L4" s="23">
        <v>0</v>
      </c>
      <c r="M4" s="23">
        <v>0</v>
      </c>
    </row>
    <row r="5" spans="1:21" x14ac:dyDescent="0.25">
      <c r="A5" s="23" t="s">
        <v>32</v>
      </c>
      <c r="B5" s="23">
        <v>0</v>
      </c>
      <c r="C5" s="23">
        <v>0</v>
      </c>
      <c r="D5" s="23">
        <v>0</v>
      </c>
      <c r="E5" s="23">
        <v>0</v>
      </c>
      <c r="F5" s="23">
        <v>0</v>
      </c>
      <c r="G5" s="23">
        <v>0</v>
      </c>
      <c r="H5" s="23">
        <v>0</v>
      </c>
      <c r="I5" s="23">
        <v>0</v>
      </c>
      <c r="J5" s="23">
        <v>0</v>
      </c>
      <c r="K5" s="23">
        <v>0</v>
      </c>
      <c r="L5" s="23">
        <v>0</v>
      </c>
      <c r="M5" s="23">
        <v>0</v>
      </c>
    </row>
    <row r="6" spans="1:21" x14ac:dyDescent="0.25">
      <c r="A6" s="23" t="s">
        <v>33</v>
      </c>
      <c r="B6" s="23">
        <v>0</v>
      </c>
      <c r="C6" s="23">
        <v>0</v>
      </c>
      <c r="D6" s="23">
        <v>0</v>
      </c>
      <c r="E6" s="23">
        <v>0</v>
      </c>
      <c r="F6" s="23">
        <v>0</v>
      </c>
      <c r="G6" s="23">
        <v>0</v>
      </c>
      <c r="H6" s="23">
        <v>0</v>
      </c>
      <c r="I6" s="23">
        <v>0</v>
      </c>
      <c r="J6" s="23">
        <v>0</v>
      </c>
      <c r="K6" s="23">
        <v>0</v>
      </c>
      <c r="L6" s="23">
        <v>0</v>
      </c>
      <c r="M6" s="23">
        <v>0</v>
      </c>
    </row>
    <row r="7" spans="1:21" x14ac:dyDescent="0.25">
      <c r="A7" s="23" t="s">
        <v>7</v>
      </c>
      <c r="B7" s="23">
        <v>0</v>
      </c>
      <c r="C7" s="23">
        <v>0</v>
      </c>
      <c r="D7" s="23">
        <v>0</v>
      </c>
      <c r="E7" s="23">
        <v>0</v>
      </c>
      <c r="F7" s="23">
        <v>0</v>
      </c>
      <c r="G7" s="23">
        <v>0</v>
      </c>
      <c r="H7" s="23">
        <v>0</v>
      </c>
      <c r="I7" s="23">
        <v>0</v>
      </c>
      <c r="J7" s="23">
        <v>0</v>
      </c>
      <c r="K7" s="23">
        <v>0</v>
      </c>
      <c r="L7" s="23">
        <v>0</v>
      </c>
      <c r="M7" s="23">
        <v>0</v>
      </c>
    </row>
    <row r="8" spans="1:21" x14ac:dyDescent="0.25">
      <c r="A8" s="23" t="s">
        <v>34</v>
      </c>
      <c r="B8" s="23">
        <v>0</v>
      </c>
      <c r="C8" s="23">
        <v>0</v>
      </c>
      <c r="D8" s="23">
        <v>0</v>
      </c>
      <c r="E8" s="23">
        <v>0</v>
      </c>
      <c r="F8" s="23">
        <v>0</v>
      </c>
      <c r="G8" s="23">
        <v>0</v>
      </c>
      <c r="H8" s="23">
        <v>0</v>
      </c>
      <c r="I8" s="23">
        <v>0</v>
      </c>
      <c r="J8" s="23">
        <v>0</v>
      </c>
      <c r="K8" s="23">
        <v>0</v>
      </c>
      <c r="L8" s="23">
        <v>0</v>
      </c>
      <c r="M8" s="23">
        <v>0</v>
      </c>
    </row>
    <row r="9" spans="1:21" x14ac:dyDescent="0.25">
      <c r="A9" s="23" t="s">
        <v>35</v>
      </c>
      <c r="B9" s="23">
        <v>0</v>
      </c>
      <c r="C9" s="23">
        <v>0</v>
      </c>
      <c r="D9" s="23">
        <v>0</v>
      </c>
      <c r="E9" s="23">
        <v>0</v>
      </c>
      <c r="F9" s="23">
        <v>0</v>
      </c>
      <c r="G9" s="23">
        <v>0</v>
      </c>
      <c r="H9" s="23">
        <v>0</v>
      </c>
      <c r="I9" s="23">
        <v>0</v>
      </c>
      <c r="J9" s="23">
        <v>0</v>
      </c>
      <c r="K9" s="23">
        <v>0</v>
      </c>
      <c r="L9" s="23">
        <v>0</v>
      </c>
      <c r="M9" s="23">
        <v>0</v>
      </c>
    </row>
    <row r="10" spans="1:21" x14ac:dyDescent="0.25">
      <c r="A10" s="23" t="s">
        <v>36</v>
      </c>
      <c r="B10" s="23">
        <v>0</v>
      </c>
      <c r="C10" s="23">
        <v>0</v>
      </c>
      <c r="D10" s="23">
        <v>0</v>
      </c>
      <c r="E10" s="23">
        <v>0</v>
      </c>
      <c r="F10" s="23">
        <v>0</v>
      </c>
      <c r="G10" s="23">
        <v>0</v>
      </c>
      <c r="H10" s="23">
        <v>0</v>
      </c>
      <c r="I10" s="23">
        <v>0</v>
      </c>
      <c r="J10" s="23">
        <v>0</v>
      </c>
      <c r="K10" s="23">
        <v>0</v>
      </c>
      <c r="L10" s="23">
        <v>0</v>
      </c>
      <c r="M10" s="23">
        <v>0</v>
      </c>
    </row>
    <row r="11" spans="1:21" x14ac:dyDescent="0.25">
      <c r="A11" s="23" t="s">
        <v>37</v>
      </c>
      <c r="B11" s="23">
        <v>0</v>
      </c>
      <c r="C11" s="23">
        <v>0</v>
      </c>
      <c r="D11" s="23">
        <v>0</v>
      </c>
      <c r="E11" s="23">
        <v>0</v>
      </c>
      <c r="F11" s="23">
        <v>0</v>
      </c>
      <c r="G11" s="23">
        <v>0</v>
      </c>
      <c r="H11" s="23">
        <v>0</v>
      </c>
      <c r="I11" s="23">
        <v>0</v>
      </c>
      <c r="J11" s="23">
        <v>0</v>
      </c>
      <c r="K11" s="23">
        <v>0</v>
      </c>
      <c r="L11" s="23">
        <v>0</v>
      </c>
      <c r="M11" s="23">
        <v>0</v>
      </c>
    </row>
    <row r="12" spans="1:21" x14ac:dyDescent="0.25">
      <c r="A12" s="23" t="s">
        <v>38</v>
      </c>
      <c r="B12" s="23">
        <v>0</v>
      </c>
      <c r="C12" s="23">
        <v>0</v>
      </c>
      <c r="D12" s="23">
        <v>0</v>
      </c>
      <c r="E12" s="23">
        <v>0</v>
      </c>
      <c r="F12" s="23">
        <v>0</v>
      </c>
      <c r="G12" s="23">
        <v>0</v>
      </c>
      <c r="H12" s="23">
        <v>0</v>
      </c>
      <c r="I12" s="23">
        <v>0</v>
      </c>
      <c r="J12" s="23">
        <v>0</v>
      </c>
      <c r="K12" s="23">
        <v>0</v>
      </c>
      <c r="L12" s="23">
        <v>0</v>
      </c>
      <c r="M12" s="23">
        <v>0</v>
      </c>
    </row>
    <row r="13" spans="1:21" x14ac:dyDescent="0.25">
      <c r="A13" s="23" t="s">
        <v>39</v>
      </c>
      <c r="B13" s="23">
        <v>0</v>
      </c>
      <c r="C13" s="23">
        <v>0</v>
      </c>
      <c r="D13" s="23">
        <v>0</v>
      </c>
      <c r="E13" s="23">
        <v>0</v>
      </c>
      <c r="F13" s="23">
        <v>0</v>
      </c>
      <c r="G13" s="23">
        <v>0</v>
      </c>
      <c r="H13" s="23">
        <v>0</v>
      </c>
      <c r="I13" s="23">
        <v>0</v>
      </c>
      <c r="J13" s="23">
        <v>0</v>
      </c>
      <c r="K13" s="23">
        <v>0</v>
      </c>
      <c r="L13" s="23">
        <v>0</v>
      </c>
      <c r="M13" s="23">
        <v>0</v>
      </c>
    </row>
    <row r="14" spans="1:21" x14ac:dyDescent="0.25">
      <c r="A14" s="23" t="s">
        <v>40</v>
      </c>
      <c r="B14" s="23">
        <v>0</v>
      </c>
      <c r="C14" s="23">
        <v>0</v>
      </c>
      <c r="D14" s="23">
        <v>0</v>
      </c>
      <c r="E14" s="23">
        <v>0</v>
      </c>
      <c r="F14" s="23">
        <v>0</v>
      </c>
      <c r="G14" s="23">
        <v>0</v>
      </c>
      <c r="H14" s="23">
        <v>0</v>
      </c>
      <c r="I14" s="23">
        <v>0</v>
      </c>
      <c r="J14" s="23">
        <v>0</v>
      </c>
      <c r="K14" s="23">
        <v>0</v>
      </c>
      <c r="L14" s="23">
        <v>0</v>
      </c>
      <c r="M14" s="23">
        <v>0</v>
      </c>
    </row>
    <row r="15" spans="1:21" x14ac:dyDescent="0.25">
      <c r="A15" s="23" t="s">
        <v>41</v>
      </c>
      <c r="B15" s="23">
        <v>0</v>
      </c>
      <c r="C15" s="23">
        <v>0</v>
      </c>
      <c r="D15" s="23">
        <v>0</v>
      </c>
      <c r="E15" s="23">
        <v>0</v>
      </c>
      <c r="F15" s="23">
        <v>0</v>
      </c>
      <c r="G15" s="23">
        <v>0</v>
      </c>
      <c r="H15" s="23">
        <v>0</v>
      </c>
      <c r="I15" s="23">
        <v>0</v>
      </c>
      <c r="J15" s="23">
        <v>0</v>
      </c>
      <c r="K15" s="23">
        <v>0</v>
      </c>
      <c r="L15" s="23">
        <v>0</v>
      </c>
      <c r="M15" s="23">
        <v>0</v>
      </c>
    </row>
    <row r="16" spans="1:21" x14ac:dyDescent="0.25">
      <c r="A16" s="23" t="s">
        <v>42</v>
      </c>
      <c r="B16" s="23">
        <v>0</v>
      </c>
      <c r="C16" s="23">
        <v>0</v>
      </c>
      <c r="D16" s="23">
        <v>0</v>
      </c>
      <c r="E16" s="23">
        <v>0</v>
      </c>
      <c r="F16" s="23">
        <v>0</v>
      </c>
      <c r="G16" s="23">
        <v>0</v>
      </c>
      <c r="H16" s="23">
        <v>0</v>
      </c>
      <c r="I16" s="23">
        <v>0</v>
      </c>
      <c r="J16" s="23">
        <v>0</v>
      </c>
      <c r="K16" s="23">
        <v>0</v>
      </c>
      <c r="L16" s="23">
        <v>0</v>
      </c>
      <c r="M16" s="23">
        <v>0</v>
      </c>
    </row>
    <row r="17" spans="1:23" x14ac:dyDescent="0.25">
      <c r="A17" s="23" t="s">
        <v>8</v>
      </c>
      <c r="B17" s="23">
        <v>0</v>
      </c>
      <c r="C17" s="23">
        <v>0</v>
      </c>
      <c r="D17" s="23">
        <v>0</v>
      </c>
      <c r="E17" s="23">
        <v>0</v>
      </c>
      <c r="F17" s="23">
        <v>0</v>
      </c>
      <c r="G17" s="23">
        <v>0</v>
      </c>
      <c r="H17" s="23">
        <v>0</v>
      </c>
      <c r="I17" s="23">
        <v>0</v>
      </c>
      <c r="J17" s="23">
        <v>0</v>
      </c>
      <c r="K17" s="23">
        <v>0</v>
      </c>
      <c r="L17" s="23">
        <v>0</v>
      </c>
      <c r="M17" s="23">
        <v>0</v>
      </c>
      <c r="R17" s="23" t="s">
        <v>327</v>
      </c>
      <c r="T17" s="23" t="s">
        <v>337</v>
      </c>
      <c r="U17" s="23" t="s">
        <v>335</v>
      </c>
      <c r="V17" s="23" t="s">
        <v>336</v>
      </c>
    </row>
    <row r="18" spans="1:23" x14ac:dyDescent="0.25">
      <c r="A18" s="23" t="s">
        <v>43</v>
      </c>
      <c r="B18" s="23">
        <f>HeadFlow!B15*(1+$V$19/100)</f>
        <v>0</v>
      </c>
      <c r="C18" s="23">
        <f>HeadFlow!C15*(1+$V$19/100)</f>
        <v>0</v>
      </c>
      <c r="D18" s="23">
        <f>HeadFlow!D15*(1+$T$19/100)</f>
        <v>0</v>
      </c>
      <c r="E18" s="23">
        <f>HeadFlow!E15*(1+$T$19/100)</f>
        <v>0</v>
      </c>
      <c r="F18" s="23">
        <f>HeadFlow!F15*(1+$U$19/100)</f>
        <v>0</v>
      </c>
      <c r="G18" s="23">
        <f>HeadFlow!G15*(1+$U$19/100)</f>
        <v>0</v>
      </c>
      <c r="H18" s="23">
        <f>HeadFlow!H15*(1+$U$19/100)</f>
        <v>0</v>
      </c>
      <c r="I18" s="23">
        <f>HeadFlow!I15*(1+$U$19/100)</f>
        <v>0</v>
      </c>
      <c r="J18" s="23">
        <f>HeadFlow!J15*(1+$U$19/100)</f>
        <v>0</v>
      </c>
      <c r="K18" s="23">
        <f>HeadFlow!K15*(1+$U$19/100)</f>
        <v>0</v>
      </c>
      <c r="L18" s="23">
        <f>HeadFlow!L15*(1+$V$19/100)</f>
        <v>0</v>
      </c>
      <c r="M18" s="23">
        <f>HeadFlow!M15*(1+$V$19/100)</f>
        <v>0</v>
      </c>
      <c r="T18" s="23" t="s">
        <v>332</v>
      </c>
      <c r="U18" s="23" t="s">
        <v>333</v>
      </c>
      <c r="V18" s="23" t="s">
        <v>334</v>
      </c>
    </row>
    <row r="19" spans="1:23" x14ac:dyDescent="0.25">
      <c r="A19" s="23" t="s">
        <v>9</v>
      </c>
      <c r="B19" s="23">
        <v>0</v>
      </c>
      <c r="C19" s="23">
        <v>0</v>
      </c>
      <c r="D19" s="23">
        <v>0</v>
      </c>
      <c r="E19" s="23">
        <v>0</v>
      </c>
      <c r="F19" s="23">
        <v>0</v>
      </c>
      <c r="G19" s="23">
        <v>0</v>
      </c>
      <c r="H19" s="23">
        <v>0</v>
      </c>
      <c r="I19" s="23">
        <v>0</v>
      </c>
      <c r="J19" s="23">
        <v>0</v>
      </c>
      <c r="K19" s="23">
        <v>0</v>
      </c>
      <c r="L19" s="23">
        <v>0</v>
      </c>
      <c r="M19" s="23">
        <v>0</v>
      </c>
      <c r="R19" s="23" t="s">
        <v>71</v>
      </c>
      <c r="T19" s="27">
        <v>-13.4</v>
      </c>
      <c r="U19" s="23">
        <v>-50</v>
      </c>
      <c r="V19" s="23">
        <v>50</v>
      </c>
      <c r="W19" s="23" t="s">
        <v>326</v>
      </c>
    </row>
    <row r="20" spans="1:23" x14ac:dyDescent="0.25">
      <c r="A20" s="23" t="s">
        <v>44</v>
      </c>
      <c r="B20" s="23">
        <v>0</v>
      </c>
      <c r="C20" s="23">
        <v>0</v>
      </c>
      <c r="D20" s="23">
        <v>0</v>
      </c>
      <c r="E20" s="23">
        <v>0</v>
      </c>
      <c r="F20" s="23">
        <v>0</v>
      </c>
      <c r="G20" s="23">
        <v>0</v>
      </c>
      <c r="H20" s="23">
        <v>0</v>
      </c>
      <c r="I20" s="23">
        <v>0</v>
      </c>
      <c r="J20" s="23">
        <v>0</v>
      </c>
      <c r="K20" s="23">
        <v>0</v>
      </c>
      <c r="L20" s="23">
        <v>0</v>
      </c>
      <c r="M20" s="23">
        <v>0</v>
      </c>
      <c r="R20" s="23" t="s">
        <v>328</v>
      </c>
      <c r="T20" s="23">
        <v>-7.7</v>
      </c>
      <c r="U20" s="23">
        <v>-15</v>
      </c>
      <c r="V20" s="23">
        <v>30</v>
      </c>
      <c r="W20" s="23" t="s">
        <v>326</v>
      </c>
    </row>
    <row r="21" spans="1:23" x14ac:dyDescent="0.25">
      <c r="A21" s="23" t="s">
        <v>45</v>
      </c>
      <c r="B21" s="23">
        <v>0</v>
      </c>
      <c r="C21" s="23">
        <v>0</v>
      </c>
      <c r="D21" s="23">
        <v>0</v>
      </c>
      <c r="E21" s="23">
        <v>0</v>
      </c>
      <c r="F21" s="23">
        <v>0</v>
      </c>
      <c r="G21" s="23">
        <v>0</v>
      </c>
      <c r="H21" s="23">
        <v>0</v>
      </c>
      <c r="I21" s="23">
        <v>0</v>
      </c>
      <c r="J21" s="23">
        <v>0</v>
      </c>
      <c r="K21" s="23">
        <v>0</v>
      </c>
      <c r="L21" s="23">
        <v>0</v>
      </c>
      <c r="M21" s="23">
        <v>0</v>
      </c>
      <c r="R21" s="23" t="s">
        <v>329</v>
      </c>
      <c r="T21" s="23">
        <v>4.5999999999999996</v>
      </c>
      <c r="W21" s="23" t="s">
        <v>326</v>
      </c>
    </row>
    <row r="22" spans="1:23" x14ac:dyDescent="0.25">
      <c r="A22" s="23" t="s">
        <v>46</v>
      </c>
      <c r="B22" s="23">
        <v>0</v>
      </c>
      <c r="C22" s="23">
        <v>0</v>
      </c>
      <c r="D22" s="23">
        <v>0</v>
      </c>
      <c r="E22" s="23">
        <v>0</v>
      </c>
      <c r="F22" s="23">
        <v>0</v>
      </c>
      <c r="G22" s="23">
        <v>0</v>
      </c>
      <c r="H22" s="23">
        <v>0</v>
      </c>
      <c r="I22" s="23">
        <v>0</v>
      </c>
      <c r="J22" s="23">
        <v>0</v>
      </c>
      <c r="K22" s="23">
        <v>0</v>
      </c>
      <c r="L22" s="23">
        <v>0</v>
      </c>
      <c r="M22" s="23">
        <v>0</v>
      </c>
    </row>
    <row r="23" spans="1:23" x14ac:dyDescent="0.25">
      <c r="A23" s="23" t="s">
        <v>47</v>
      </c>
      <c r="B23" s="23">
        <v>0</v>
      </c>
      <c r="C23" s="23">
        <v>0</v>
      </c>
      <c r="D23" s="23">
        <v>0</v>
      </c>
      <c r="E23" s="23">
        <v>0</v>
      </c>
      <c r="F23" s="23">
        <v>0</v>
      </c>
      <c r="G23" s="23">
        <v>0</v>
      </c>
      <c r="H23" s="23">
        <v>0</v>
      </c>
      <c r="I23" s="23">
        <v>0</v>
      </c>
      <c r="J23" s="23">
        <v>0</v>
      </c>
      <c r="K23" s="23">
        <v>0</v>
      </c>
      <c r="L23" s="23">
        <v>0</v>
      </c>
      <c r="M23" s="23">
        <v>0</v>
      </c>
    </row>
    <row r="24" spans="1:23" x14ac:dyDescent="0.25">
      <c r="A24" s="23" t="s">
        <v>48</v>
      </c>
      <c r="B24" s="23">
        <v>0</v>
      </c>
      <c r="C24" s="23">
        <v>0</v>
      </c>
      <c r="D24" s="23">
        <v>0</v>
      </c>
      <c r="E24" s="23">
        <v>0</v>
      </c>
      <c r="F24" s="23">
        <v>0</v>
      </c>
      <c r="G24" s="23">
        <v>0</v>
      </c>
      <c r="H24" s="23">
        <v>0</v>
      </c>
      <c r="I24" s="23">
        <v>0</v>
      </c>
      <c r="J24" s="23">
        <v>0</v>
      </c>
      <c r="K24" s="23">
        <v>0</v>
      </c>
      <c r="L24" s="23">
        <v>0</v>
      </c>
      <c r="M24" s="23">
        <v>0</v>
      </c>
    </row>
    <row r="25" spans="1:23" x14ac:dyDescent="0.25">
      <c r="A25" s="23" t="s">
        <v>49</v>
      </c>
      <c r="B25" s="23">
        <v>0</v>
      </c>
      <c r="C25" s="23">
        <v>0</v>
      </c>
      <c r="D25" s="23">
        <v>0</v>
      </c>
      <c r="E25" s="23">
        <v>0</v>
      </c>
      <c r="F25" s="23">
        <v>0</v>
      </c>
      <c r="G25" s="23">
        <v>0</v>
      </c>
      <c r="H25" s="23">
        <v>0</v>
      </c>
      <c r="I25" s="23">
        <v>0</v>
      </c>
      <c r="J25" s="23">
        <v>0</v>
      </c>
      <c r="K25" s="23">
        <v>0</v>
      </c>
      <c r="L25" s="23">
        <v>0</v>
      </c>
      <c r="M25" s="23">
        <v>0</v>
      </c>
    </row>
    <row r="26" spans="1:23" x14ac:dyDescent="0.25">
      <c r="A26" s="23" t="s">
        <v>50</v>
      </c>
      <c r="B26" s="23">
        <v>0</v>
      </c>
      <c r="C26" s="23">
        <v>0</v>
      </c>
      <c r="D26" s="23">
        <v>0</v>
      </c>
      <c r="E26" s="23">
        <v>0</v>
      </c>
      <c r="F26" s="23">
        <v>0</v>
      </c>
      <c r="G26" s="23">
        <v>0</v>
      </c>
      <c r="H26" s="23">
        <v>0</v>
      </c>
      <c r="I26" s="23">
        <v>0</v>
      </c>
      <c r="J26" s="23">
        <v>0</v>
      </c>
      <c r="K26" s="23">
        <v>0</v>
      </c>
      <c r="L26" s="23">
        <v>0</v>
      </c>
      <c r="M26" s="23">
        <v>0</v>
      </c>
    </row>
    <row r="27" spans="1:23" x14ac:dyDescent="0.25">
      <c r="A27" s="23" t="s">
        <v>51</v>
      </c>
      <c r="B27" s="23">
        <v>0</v>
      </c>
      <c r="C27" s="23">
        <v>0</v>
      </c>
      <c r="D27" s="23">
        <v>0</v>
      </c>
      <c r="E27" s="23">
        <v>0</v>
      </c>
      <c r="F27" s="23">
        <v>0</v>
      </c>
      <c r="G27" s="23">
        <v>0</v>
      </c>
      <c r="H27" s="23">
        <v>0</v>
      </c>
      <c r="I27" s="23">
        <v>0</v>
      </c>
      <c r="J27" s="23">
        <v>0</v>
      </c>
      <c r="K27" s="23">
        <v>0</v>
      </c>
      <c r="L27" s="23">
        <v>0</v>
      </c>
      <c r="M27" s="23">
        <v>0</v>
      </c>
    </row>
    <row r="28" spans="1:23" x14ac:dyDescent="0.25">
      <c r="A28" s="23" t="s">
        <v>10</v>
      </c>
      <c r="B28" s="23">
        <v>0</v>
      </c>
      <c r="C28" s="23">
        <v>0</v>
      </c>
      <c r="D28" s="23">
        <v>0</v>
      </c>
      <c r="E28" s="23">
        <v>0</v>
      </c>
      <c r="F28" s="23">
        <v>0</v>
      </c>
      <c r="G28" s="23">
        <v>0</v>
      </c>
      <c r="H28" s="23">
        <v>0</v>
      </c>
      <c r="I28" s="23">
        <v>0</v>
      </c>
      <c r="J28" s="23">
        <v>0</v>
      </c>
      <c r="K28" s="23">
        <v>0</v>
      </c>
      <c r="L28" s="23">
        <v>0</v>
      </c>
      <c r="M28" s="23">
        <v>0</v>
      </c>
    </row>
    <row r="29" spans="1:23" x14ac:dyDescent="0.25">
      <c r="A29" s="23" t="s">
        <v>52</v>
      </c>
      <c r="B29" s="23">
        <v>0</v>
      </c>
      <c r="C29" s="23">
        <v>0</v>
      </c>
      <c r="D29" s="23">
        <v>0</v>
      </c>
      <c r="E29" s="23">
        <v>0</v>
      </c>
      <c r="F29" s="23">
        <v>0</v>
      </c>
      <c r="G29" s="23">
        <v>0</v>
      </c>
      <c r="H29" s="23">
        <v>0</v>
      </c>
      <c r="I29" s="23">
        <v>0</v>
      </c>
      <c r="J29" s="23">
        <v>0</v>
      </c>
      <c r="K29" s="23">
        <v>0</v>
      </c>
      <c r="L29" s="23">
        <v>0</v>
      </c>
      <c r="M29" s="23">
        <v>0</v>
      </c>
    </row>
    <row r="30" spans="1:23" x14ac:dyDescent="0.25">
      <c r="A30" s="23" t="s">
        <v>53</v>
      </c>
      <c r="B30" s="23">
        <f>HeadFlow!B27*(1+$V$20/100)</f>
        <v>0</v>
      </c>
      <c r="C30" s="23">
        <f>HeadFlow!C27*(1+$V$20/100)</f>
        <v>0</v>
      </c>
      <c r="D30" s="23">
        <f>HeadFlow!D27*(1+$T$20/100)</f>
        <v>0</v>
      </c>
      <c r="E30" s="23">
        <f>HeadFlow!E27*(1+$T$20/100)</f>
        <v>0</v>
      </c>
      <c r="F30" s="23">
        <f>HeadFlow!F27*(1+$U$20/100)</f>
        <v>0</v>
      </c>
      <c r="G30" s="23">
        <f>HeadFlow!G27*(1+$U$20/100)</f>
        <v>0</v>
      </c>
      <c r="H30" s="23">
        <f>HeadFlow!H27*(1+$U$20/100)</f>
        <v>0</v>
      </c>
      <c r="I30" s="23">
        <f>HeadFlow!I27*(1+$U$20/100)</f>
        <v>0</v>
      </c>
      <c r="J30" s="23">
        <f>HeadFlow!J27*(1+$U$20/100)</f>
        <v>0</v>
      </c>
      <c r="K30" s="23">
        <f>HeadFlow!K27*(1+$U$20/100)</f>
        <v>0</v>
      </c>
      <c r="L30" s="23">
        <f>HeadFlow!L27*(1+$V$20/100)</f>
        <v>0</v>
      </c>
      <c r="M30" s="23">
        <f>HeadFlow!M27*(1+$V$20/100)</f>
        <v>0</v>
      </c>
    </row>
    <row r="31" spans="1:23" x14ac:dyDescent="0.25">
      <c r="A31" s="23" t="s">
        <v>54</v>
      </c>
      <c r="B31" s="23">
        <v>0</v>
      </c>
      <c r="C31" s="23">
        <v>0</v>
      </c>
      <c r="D31" s="23">
        <v>0</v>
      </c>
      <c r="E31" s="23">
        <v>0</v>
      </c>
      <c r="F31" s="23">
        <v>0</v>
      </c>
      <c r="G31" s="23">
        <v>0</v>
      </c>
      <c r="H31" s="23">
        <v>0</v>
      </c>
      <c r="I31" s="23">
        <v>0</v>
      </c>
      <c r="J31" s="23">
        <v>0</v>
      </c>
      <c r="K31" s="23">
        <v>0</v>
      </c>
      <c r="L31" s="23">
        <v>0</v>
      </c>
      <c r="M31" s="23">
        <v>0</v>
      </c>
    </row>
    <row r="32" spans="1:23" x14ac:dyDescent="0.25">
      <c r="A32" s="23" t="s">
        <v>55</v>
      </c>
      <c r="B32" s="23">
        <v>0</v>
      </c>
      <c r="C32" s="23">
        <v>0</v>
      </c>
      <c r="D32" s="23">
        <v>0</v>
      </c>
      <c r="E32" s="23">
        <v>0</v>
      </c>
      <c r="F32" s="23">
        <v>0</v>
      </c>
      <c r="G32" s="23">
        <v>0</v>
      </c>
      <c r="H32" s="23">
        <v>0</v>
      </c>
      <c r="I32" s="23">
        <v>0</v>
      </c>
      <c r="J32" s="23">
        <v>0</v>
      </c>
      <c r="K32" s="23">
        <v>0</v>
      </c>
      <c r="L32" s="23">
        <v>0</v>
      </c>
      <c r="M32" s="23">
        <v>0</v>
      </c>
    </row>
    <row r="33" spans="1:13" x14ac:dyDescent="0.25">
      <c r="A33" s="23" t="s">
        <v>56</v>
      </c>
      <c r="B33" s="23">
        <f>HeadFlow!B30*(1+$V$20/100)</f>
        <v>0</v>
      </c>
      <c r="C33" s="23">
        <f>HeadFlow!C30*(1+$V$20/100)</f>
        <v>0</v>
      </c>
      <c r="D33" s="23">
        <f>HeadFlow!D30*(1+$T$20/100)</f>
        <v>0</v>
      </c>
      <c r="E33" s="23">
        <f>HeadFlow!E30*(1+$T$20/100)</f>
        <v>0</v>
      </c>
      <c r="F33" s="23">
        <f>HeadFlow!F30*(1+$U$20/100)</f>
        <v>0</v>
      </c>
      <c r="G33" s="23">
        <f>HeadFlow!G30*(1+$U$20/100)</f>
        <v>0</v>
      </c>
      <c r="H33" s="23">
        <f>HeadFlow!H30*(1+$U$20/100)</f>
        <v>0</v>
      </c>
      <c r="I33" s="23">
        <f>HeadFlow!I30*(1+$U$20/100)</f>
        <v>0</v>
      </c>
      <c r="J33" s="23">
        <f>HeadFlow!J30*(1+$U$20/100)</f>
        <v>0</v>
      </c>
      <c r="K33" s="23">
        <f>HeadFlow!K30*(1+$U$20/100)</f>
        <v>0</v>
      </c>
      <c r="L33" s="23">
        <f>HeadFlow!L30*(1+$V$20/100)</f>
        <v>0</v>
      </c>
      <c r="M33" s="23">
        <f>HeadFlow!M30*(1+$V$20/100)</f>
        <v>0</v>
      </c>
    </row>
    <row r="34" spans="1:13" x14ac:dyDescent="0.25">
      <c r="A34" s="23" t="s">
        <v>57</v>
      </c>
      <c r="B34" s="23">
        <v>0</v>
      </c>
      <c r="C34" s="23">
        <v>0</v>
      </c>
      <c r="D34" s="23">
        <v>0</v>
      </c>
      <c r="E34" s="23">
        <v>0</v>
      </c>
      <c r="F34" s="23">
        <v>0</v>
      </c>
      <c r="G34" s="23">
        <v>0</v>
      </c>
      <c r="H34" s="23">
        <v>0</v>
      </c>
      <c r="I34" s="23">
        <v>0</v>
      </c>
      <c r="J34" s="23">
        <v>0</v>
      </c>
      <c r="K34" s="23">
        <v>0</v>
      </c>
      <c r="L34" s="23">
        <v>0</v>
      </c>
      <c r="M34" s="23">
        <v>0</v>
      </c>
    </row>
    <row r="35" spans="1:13" x14ac:dyDescent="0.25">
      <c r="A35" s="23" t="s">
        <v>58</v>
      </c>
      <c r="B35" s="23">
        <v>0</v>
      </c>
      <c r="C35" s="23">
        <v>0</v>
      </c>
      <c r="D35" s="23">
        <v>0</v>
      </c>
      <c r="E35" s="23">
        <v>0</v>
      </c>
      <c r="F35" s="23">
        <v>0</v>
      </c>
      <c r="G35" s="23">
        <v>0</v>
      </c>
      <c r="H35" s="23">
        <v>0</v>
      </c>
      <c r="I35" s="23">
        <v>0</v>
      </c>
      <c r="J35" s="23">
        <v>0</v>
      </c>
      <c r="K35" s="23">
        <v>0</v>
      </c>
      <c r="L35" s="23">
        <v>0</v>
      </c>
      <c r="M35" s="23">
        <v>0</v>
      </c>
    </row>
    <row r="36" spans="1:13" x14ac:dyDescent="0.25">
      <c r="A36" s="23" t="s">
        <v>59</v>
      </c>
      <c r="B36" s="23">
        <f>HeadFlow!B33*(1+HeadFlow_Climate2!$V$19/100)</f>
        <v>0</v>
      </c>
      <c r="C36" s="23">
        <f>HeadFlow!C33*(1+HeadFlow_Climate2!$V$19/100)</f>
        <v>0</v>
      </c>
      <c r="D36" s="23">
        <f>HeadFlow!D33*(1+HeadFlow_Climate2!$T$19/100)</f>
        <v>0</v>
      </c>
      <c r="E36" s="23">
        <f>HeadFlow!E33*(1+HeadFlow_Climate2!$T$19/100)</f>
        <v>0</v>
      </c>
      <c r="F36" s="23">
        <f>HeadFlow!F33*(1+HeadFlow_Climate2!$U$19/100)</f>
        <v>0</v>
      </c>
      <c r="G36" s="23">
        <f>HeadFlow!G33*(1+HeadFlow_Climate2!$U$19/100)</f>
        <v>0</v>
      </c>
      <c r="H36" s="23">
        <f>HeadFlow!H33*(1+HeadFlow_Climate2!$U$19/100)</f>
        <v>0</v>
      </c>
      <c r="I36" s="23">
        <f>HeadFlow!I33*(1+HeadFlow_Climate2!$U$19/100)</f>
        <v>0</v>
      </c>
      <c r="J36" s="23">
        <f>HeadFlow!J33*(1+HeadFlow_Climate2!$U$19/100)</f>
        <v>0</v>
      </c>
      <c r="K36" s="23">
        <f>HeadFlow!K33*(1+HeadFlow_Climate2!$U$19/100)</f>
        <v>0</v>
      </c>
      <c r="L36" s="23">
        <f>HeadFlow!L33*(1+HeadFlow_Climate2!$V$19/100)</f>
        <v>0</v>
      </c>
      <c r="M36" s="23">
        <f>HeadFlow!M33*(1+HeadFlow_Climate2!$V$19/100)</f>
        <v>0</v>
      </c>
    </row>
    <row r="37" spans="1:13" x14ac:dyDescent="0.25">
      <c r="A37" s="23" t="s">
        <v>60</v>
      </c>
      <c r="B37" s="23">
        <v>0</v>
      </c>
      <c r="C37" s="23">
        <v>0</v>
      </c>
      <c r="D37" s="23">
        <v>0</v>
      </c>
      <c r="E37" s="23">
        <v>0</v>
      </c>
      <c r="F37" s="23">
        <v>0</v>
      </c>
      <c r="G37" s="23">
        <v>0</v>
      </c>
      <c r="H37" s="23">
        <v>0</v>
      </c>
      <c r="I37" s="23">
        <v>0</v>
      </c>
      <c r="J37" s="23">
        <v>0</v>
      </c>
      <c r="K37" s="23">
        <v>0</v>
      </c>
      <c r="L37" s="23">
        <v>0</v>
      </c>
      <c r="M37" s="23">
        <v>0</v>
      </c>
    </row>
    <row r="38" spans="1:13" x14ac:dyDescent="0.25">
      <c r="A38" s="23" t="s">
        <v>61</v>
      </c>
      <c r="B38" s="23">
        <v>0</v>
      </c>
      <c r="C38" s="23">
        <v>0</v>
      </c>
      <c r="D38" s="23">
        <v>0</v>
      </c>
      <c r="E38" s="23">
        <v>0</v>
      </c>
      <c r="F38" s="23">
        <v>0</v>
      </c>
      <c r="G38" s="23">
        <v>0</v>
      </c>
      <c r="H38" s="23">
        <v>0</v>
      </c>
      <c r="I38" s="23">
        <v>0</v>
      </c>
      <c r="J38" s="23">
        <v>0</v>
      </c>
      <c r="K38" s="23">
        <v>0</v>
      </c>
      <c r="L38" s="23">
        <v>0</v>
      </c>
      <c r="M38" s="23">
        <v>0</v>
      </c>
    </row>
  </sheetData>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M12"/>
  <sheetViews>
    <sheetView workbookViewId="0">
      <selection activeCell="A5" sqref="A5"/>
    </sheetView>
  </sheetViews>
  <sheetFormatPr defaultRowHeight="15" x14ac:dyDescent="0.25"/>
  <cols>
    <col min="1" max="1" width="37.875" customWidth="1"/>
  </cols>
  <sheetData>
    <row r="1" spans="1:13" x14ac:dyDescent="0.25">
      <c r="B1" t="s">
        <v>19</v>
      </c>
      <c r="C1" t="s">
        <v>20</v>
      </c>
      <c r="D1" s="23" t="s">
        <v>21</v>
      </c>
      <c r="E1" s="23" t="s">
        <v>22</v>
      </c>
      <c r="F1" s="23" t="s">
        <v>23</v>
      </c>
      <c r="G1" s="23" t="s">
        <v>24</v>
      </c>
      <c r="H1" s="23" t="s">
        <v>25</v>
      </c>
      <c r="I1" s="23" t="s">
        <v>26</v>
      </c>
      <c r="J1" s="23" t="s">
        <v>27</v>
      </c>
      <c r="K1" s="23" t="s">
        <v>28</v>
      </c>
      <c r="L1" s="23" t="s">
        <v>29</v>
      </c>
      <c r="M1" s="23" t="s">
        <v>30</v>
      </c>
    </row>
    <row r="2" spans="1:13" x14ac:dyDescent="0.25">
      <c r="A2" t="s">
        <v>71</v>
      </c>
      <c r="B2" s="23">
        <v>285.58602150000002</v>
      </c>
      <c r="C2" s="23">
        <v>357.0580357</v>
      </c>
      <c r="D2" s="23">
        <v>398.29166670000001</v>
      </c>
      <c r="E2" s="23">
        <v>363.1680556</v>
      </c>
      <c r="F2" s="23">
        <v>242.1626344</v>
      </c>
      <c r="G2" s="23">
        <v>902.79444439999997</v>
      </c>
      <c r="H2" s="23">
        <v>1025.5725809999999</v>
      </c>
      <c r="I2" s="23">
        <v>896.60349459999998</v>
      </c>
      <c r="J2" s="23">
        <v>428.03750000000002</v>
      </c>
      <c r="K2" s="23">
        <v>215.327957</v>
      </c>
      <c r="L2" s="23">
        <v>285.52638889999997</v>
      </c>
      <c r="M2" s="23">
        <v>295.1814516</v>
      </c>
    </row>
    <row r="3" spans="1:13" x14ac:dyDescent="0.25">
      <c r="A3" t="s">
        <v>72</v>
      </c>
      <c r="B3" s="23">
        <v>29.119690859999999</v>
      </c>
      <c r="C3" s="23">
        <v>28.856339290000001</v>
      </c>
      <c r="D3" s="23">
        <v>36.426854839999997</v>
      </c>
      <c r="E3" s="23">
        <v>41.166888890000003</v>
      </c>
      <c r="F3" s="23">
        <v>24.899327960000001</v>
      </c>
      <c r="G3" s="23">
        <v>25.45369444</v>
      </c>
      <c r="H3" s="23">
        <v>35.000551080000001</v>
      </c>
      <c r="I3" s="23">
        <v>33.94505376</v>
      </c>
      <c r="J3" s="23">
        <v>37.301611110000003</v>
      </c>
      <c r="K3" s="23">
        <v>36.02840054</v>
      </c>
      <c r="L3" s="23">
        <v>36.004222220000003</v>
      </c>
      <c r="M3" s="23">
        <v>33.722244619999998</v>
      </c>
    </row>
    <row r="4" spans="1:13" x14ac:dyDescent="0.25">
      <c r="A4" t="s">
        <v>73</v>
      </c>
      <c r="B4" s="23">
        <v>90.4</v>
      </c>
      <c r="C4" s="23">
        <v>44.1</v>
      </c>
      <c r="D4" s="23">
        <v>187</v>
      </c>
      <c r="E4" s="23">
        <v>424.1</v>
      </c>
      <c r="F4" s="23">
        <v>631.6</v>
      </c>
      <c r="G4" s="23">
        <v>509.7</v>
      </c>
      <c r="H4" s="23">
        <v>326.3</v>
      </c>
      <c r="I4" s="23">
        <v>207.3</v>
      </c>
      <c r="J4" s="23">
        <v>304.60000000000002</v>
      </c>
      <c r="K4" s="23">
        <v>467.4</v>
      </c>
      <c r="L4" s="23">
        <v>182</v>
      </c>
      <c r="M4" s="23">
        <v>16.5</v>
      </c>
    </row>
    <row r="5" spans="1:13" x14ac:dyDescent="0.25">
      <c r="A5" t="s">
        <v>74</v>
      </c>
      <c r="B5" s="23">
        <v>15.0550672</v>
      </c>
      <c r="C5" s="23">
        <v>3.5849851190000002</v>
      </c>
      <c r="D5" s="23">
        <v>35.805591399999997</v>
      </c>
      <c r="E5" s="23">
        <v>74.477180559999994</v>
      </c>
      <c r="F5" s="23">
        <v>81.109032260000006</v>
      </c>
      <c r="G5" s="23">
        <v>43.207083330000003</v>
      </c>
      <c r="H5" s="23">
        <v>20.680591400000001</v>
      </c>
      <c r="I5" s="23">
        <v>16.489502689999998</v>
      </c>
      <c r="J5" s="23">
        <v>17.52483333</v>
      </c>
      <c r="K5" s="23">
        <v>18.005255380000001</v>
      </c>
      <c r="L5" s="23">
        <v>19.556625</v>
      </c>
      <c r="M5" s="23">
        <v>17.66697581</v>
      </c>
    </row>
    <row r="6" spans="1:13" x14ac:dyDescent="0.25">
      <c r="A6" t="s">
        <v>338</v>
      </c>
      <c r="B6" s="23">
        <v>16.8</v>
      </c>
      <c r="C6" s="23">
        <v>18.5</v>
      </c>
      <c r="D6" s="23">
        <v>31.2</v>
      </c>
      <c r="E6" s="23">
        <v>81.2</v>
      </c>
      <c r="F6" s="23">
        <v>363.9</v>
      </c>
      <c r="G6" s="23">
        <v>418</v>
      </c>
      <c r="H6" s="23">
        <v>112.1</v>
      </c>
      <c r="I6" s="23">
        <v>54.8</v>
      </c>
      <c r="J6" s="23">
        <v>36.1</v>
      </c>
      <c r="K6" s="23">
        <v>28.2</v>
      </c>
      <c r="L6" s="23">
        <v>23.3</v>
      </c>
      <c r="M6" s="23">
        <v>17.2</v>
      </c>
    </row>
    <row r="7" spans="1:13" x14ac:dyDescent="0.25">
      <c r="A7" t="s">
        <v>339</v>
      </c>
      <c r="B7" s="23">
        <v>0</v>
      </c>
      <c r="C7" s="23">
        <v>0</v>
      </c>
      <c r="D7" s="23">
        <v>0</v>
      </c>
      <c r="E7" s="23">
        <v>0</v>
      </c>
      <c r="F7" s="23">
        <v>0</v>
      </c>
      <c r="G7" s="23">
        <v>0</v>
      </c>
      <c r="H7" s="23">
        <v>0</v>
      </c>
      <c r="I7" s="23">
        <v>0</v>
      </c>
      <c r="J7" s="23">
        <v>0</v>
      </c>
      <c r="K7" s="23">
        <v>0</v>
      </c>
      <c r="L7" s="23">
        <v>0</v>
      </c>
      <c r="M7" s="23">
        <v>0</v>
      </c>
    </row>
    <row r="8" spans="1:13" x14ac:dyDescent="0.25">
      <c r="A8" t="s">
        <v>342</v>
      </c>
      <c r="B8" s="23">
        <v>723.01728490000005</v>
      </c>
      <c r="C8" s="23">
        <v>578.80854169999998</v>
      </c>
      <c r="D8" s="23">
        <v>794.60569889999999</v>
      </c>
      <c r="E8" s="23">
        <v>823.38987499999996</v>
      </c>
      <c r="F8" s="23">
        <v>742.12032260000001</v>
      </c>
      <c r="G8" s="23">
        <v>247.97269439999999</v>
      </c>
      <c r="H8" s="23">
        <v>0</v>
      </c>
      <c r="I8" s="23">
        <v>0</v>
      </c>
      <c r="J8" s="23">
        <v>234.17365280000001</v>
      </c>
      <c r="K8" s="23">
        <v>185.0470565</v>
      </c>
      <c r="L8" s="23">
        <v>303.5721944</v>
      </c>
      <c r="M8" s="23">
        <v>390.35836019999999</v>
      </c>
    </row>
    <row r="9" spans="1:13" x14ac:dyDescent="0.25">
      <c r="A9" t="s">
        <v>343</v>
      </c>
      <c r="B9" s="23">
        <v>121.28948920000001</v>
      </c>
      <c r="C9" s="23">
        <v>83.428779759999998</v>
      </c>
      <c r="D9" s="23">
        <v>79.451787629999998</v>
      </c>
      <c r="E9" s="23">
        <v>71.099263890000003</v>
      </c>
      <c r="F9" s="23">
        <v>91.516008060000004</v>
      </c>
      <c r="G9" s="23">
        <v>116.8002917</v>
      </c>
      <c r="H9" s="23">
        <v>82.226330649999994</v>
      </c>
      <c r="I9" s="23">
        <v>66.450793009999998</v>
      </c>
      <c r="J9" s="23">
        <v>122.467125</v>
      </c>
      <c r="K9" s="23">
        <v>129.04877690000001</v>
      </c>
      <c r="L9" s="23">
        <v>84.599166670000002</v>
      </c>
      <c r="M9" s="23">
        <v>74.252365589999997</v>
      </c>
    </row>
    <row r="10" spans="1:13" x14ac:dyDescent="0.25">
      <c r="A10" t="s">
        <v>344</v>
      </c>
      <c r="B10" s="23">
        <v>1316</v>
      </c>
      <c r="C10" s="23">
        <v>1288</v>
      </c>
      <c r="D10" s="23">
        <v>2418</v>
      </c>
      <c r="E10" s="23">
        <v>3874</v>
      </c>
      <c r="F10" s="23">
        <v>5312</v>
      </c>
      <c r="G10" s="23">
        <v>5469</v>
      </c>
      <c r="H10" s="23">
        <v>2460</v>
      </c>
      <c r="I10" s="23">
        <v>1367</v>
      </c>
      <c r="J10" s="23">
        <v>1391</v>
      </c>
      <c r="K10" s="23">
        <v>1964</v>
      </c>
      <c r="L10" s="23">
        <v>2217</v>
      </c>
      <c r="M10" s="23">
        <v>1738</v>
      </c>
    </row>
    <row r="11" spans="1:13" x14ac:dyDescent="0.25">
      <c r="A11" t="s">
        <v>365</v>
      </c>
      <c r="B11" s="23">
        <v>39.200000000000003</v>
      </c>
      <c r="C11" s="23">
        <v>34.6</v>
      </c>
      <c r="D11" s="23">
        <v>82.8</v>
      </c>
      <c r="E11" s="23">
        <v>367.4</v>
      </c>
      <c r="F11" s="23">
        <v>494</v>
      </c>
      <c r="G11" s="23">
        <v>202.9</v>
      </c>
      <c r="H11" s="23">
        <v>40.4</v>
      </c>
      <c r="I11" s="23">
        <v>32.299999999999997</v>
      </c>
      <c r="J11" s="23">
        <v>37.1</v>
      </c>
      <c r="K11" s="23">
        <v>48.7</v>
      </c>
      <c r="L11" s="23">
        <v>52.9</v>
      </c>
      <c r="M11" s="23">
        <v>61.7</v>
      </c>
    </row>
    <row r="12" spans="1:13" x14ac:dyDescent="0.25">
      <c r="A12" t="s">
        <v>87</v>
      </c>
      <c r="B12">
        <v>1123</v>
      </c>
      <c r="C12">
        <v>1024</v>
      </c>
      <c r="D12">
        <v>2174</v>
      </c>
      <c r="E12">
        <v>3129</v>
      </c>
      <c r="F12">
        <v>5205</v>
      </c>
      <c r="G12">
        <v>3016</v>
      </c>
      <c r="H12">
        <v>126.7</v>
      </c>
      <c r="I12">
        <v>93</v>
      </c>
      <c r="J12">
        <v>243.4</v>
      </c>
      <c r="K12">
        <v>775.8</v>
      </c>
      <c r="L12">
        <v>979.8</v>
      </c>
      <c r="M12">
        <v>1213</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M12"/>
  <sheetViews>
    <sheetView workbookViewId="0">
      <selection activeCell="D18" sqref="D18"/>
    </sheetView>
  </sheetViews>
  <sheetFormatPr defaultColWidth="9.125" defaultRowHeight="15" x14ac:dyDescent="0.25"/>
  <cols>
    <col min="1" max="1" width="37.875" style="23" customWidth="1"/>
    <col min="2" max="16384" width="9.125" style="23"/>
  </cols>
  <sheetData>
    <row r="1" spans="1:13" x14ac:dyDescent="0.25">
      <c r="B1" s="23" t="s">
        <v>19</v>
      </c>
      <c r="C1" s="23" t="s">
        <v>20</v>
      </c>
      <c r="D1" s="23" t="s">
        <v>21</v>
      </c>
      <c r="E1" s="23" t="s">
        <v>22</v>
      </c>
      <c r="F1" s="23" t="s">
        <v>23</v>
      </c>
      <c r="G1" s="23" t="s">
        <v>24</v>
      </c>
      <c r="H1" s="23" t="s">
        <v>25</v>
      </c>
      <c r="I1" s="23" t="s">
        <v>26</v>
      </c>
      <c r="J1" s="23" t="s">
        <v>27</v>
      </c>
      <c r="K1" s="23" t="s">
        <v>28</v>
      </c>
      <c r="L1" s="23" t="s">
        <v>29</v>
      </c>
      <c r="M1" s="23" t="s">
        <v>30</v>
      </c>
    </row>
    <row r="2" spans="1:13" x14ac:dyDescent="0.25">
      <c r="A2" s="23" t="s">
        <v>71</v>
      </c>
      <c r="B2" s="23">
        <v>310.469086</v>
      </c>
      <c r="C2" s="23">
        <v>299.25892859999999</v>
      </c>
      <c r="D2" s="23">
        <v>509.04569889999999</v>
      </c>
      <c r="E2" s="23">
        <v>1039.2555560000001</v>
      </c>
      <c r="F2" s="23">
        <v>1245.454301</v>
      </c>
      <c r="G2" s="23">
        <v>898.42499999999995</v>
      </c>
      <c r="H2" s="23">
        <v>730.87903229999995</v>
      </c>
      <c r="I2" s="23">
        <v>753.97311830000001</v>
      </c>
      <c r="J2" s="23">
        <v>443.16250000000002</v>
      </c>
      <c r="K2" s="23">
        <v>417.97043009999999</v>
      </c>
      <c r="L2" s="23">
        <v>434.08749999999998</v>
      </c>
      <c r="M2" s="23">
        <v>423.5</v>
      </c>
    </row>
    <row r="3" spans="1:13" x14ac:dyDescent="0.25">
      <c r="A3" s="23" t="s">
        <v>72</v>
      </c>
      <c r="B3" s="23">
        <v>25.014798389999999</v>
      </c>
      <c r="C3" s="23">
        <v>25.507232139999999</v>
      </c>
      <c r="D3" s="23">
        <v>40.640712370000003</v>
      </c>
      <c r="E3" s="23">
        <v>45.030486109999998</v>
      </c>
      <c r="F3" s="23">
        <v>25.577513440000001</v>
      </c>
      <c r="G3" s="23">
        <v>25.806611109999999</v>
      </c>
      <c r="H3" s="23">
        <v>36.755376339999998</v>
      </c>
      <c r="I3" s="23">
        <v>32.495981180000001</v>
      </c>
      <c r="J3" s="23">
        <v>32.676722220000002</v>
      </c>
      <c r="K3" s="23">
        <v>32.012956989999999</v>
      </c>
      <c r="L3" s="23">
        <v>32.871666670000003</v>
      </c>
      <c r="M3" s="23">
        <v>29.721438169999999</v>
      </c>
    </row>
    <row r="4" spans="1:13" x14ac:dyDescent="0.25">
      <c r="A4" s="23" t="s">
        <v>73</v>
      </c>
      <c r="B4" s="23">
        <v>32.637473120000003</v>
      </c>
      <c r="C4" s="23">
        <v>58.740818449999999</v>
      </c>
      <c r="D4" s="23">
        <v>96.435698919999993</v>
      </c>
      <c r="E4" s="23">
        <v>53.720638889999996</v>
      </c>
      <c r="F4" s="23">
        <v>19.93897849</v>
      </c>
      <c r="G4" s="23">
        <v>29.22990278</v>
      </c>
      <c r="H4" s="23">
        <v>16.052016129999998</v>
      </c>
      <c r="I4" s="23">
        <v>13.783266129999999</v>
      </c>
      <c r="J4" s="23">
        <v>15.731680559999999</v>
      </c>
      <c r="K4" s="23">
        <v>24.29432796</v>
      </c>
      <c r="L4" s="23">
        <v>32.585972220000002</v>
      </c>
      <c r="M4" s="23">
        <v>50.267043010000002</v>
      </c>
    </row>
    <row r="5" spans="1:13" x14ac:dyDescent="0.25">
      <c r="A5" s="23" t="s">
        <v>74</v>
      </c>
      <c r="B5" s="23">
        <v>11.106303759999999</v>
      </c>
      <c r="C5" s="23">
        <v>0</v>
      </c>
      <c r="D5" s="23">
        <v>45.313198919999998</v>
      </c>
      <c r="E5" s="23">
        <v>85.972180559999998</v>
      </c>
      <c r="F5" s="23">
        <v>85.280604839999995</v>
      </c>
      <c r="G5" s="23">
        <v>44.943097219999999</v>
      </c>
      <c r="H5" s="23">
        <v>21.989798390000001</v>
      </c>
      <c r="I5" s="23">
        <v>15.74301075</v>
      </c>
      <c r="J5" s="23">
        <v>15.15020833</v>
      </c>
      <c r="K5" s="23">
        <v>15.651935480000001</v>
      </c>
      <c r="L5" s="23">
        <v>17.43072222</v>
      </c>
      <c r="M5" s="23">
        <v>14.357365590000001</v>
      </c>
    </row>
    <row r="6" spans="1:13" x14ac:dyDescent="0.25">
      <c r="A6" s="23" t="s">
        <v>338</v>
      </c>
      <c r="B6" s="23">
        <v>20.2</v>
      </c>
      <c r="C6" s="23">
        <v>17.600000000000001</v>
      </c>
      <c r="D6" s="23">
        <v>28.3</v>
      </c>
      <c r="E6" s="23">
        <v>125.7</v>
      </c>
      <c r="F6" s="23">
        <v>467.1</v>
      </c>
      <c r="G6" s="23">
        <v>399.8</v>
      </c>
      <c r="H6" s="23">
        <v>88.4</v>
      </c>
      <c r="I6" s="23">
        <v>44.4</v>
      </c>
      <c r="J6" s="23">
        <v>30.9</v>
      </c>
      <c r="K6" s="23">
        <v>26.2</v>
      </c>
      <c r="L6" s="23">
        <v>24.1</v>
      </c>
      <c r="M6" s="23">
        <v>20.3</v>
      </c>
    </row>
    <row r="7" spans="1:13" x14ac:dyDescent="0.25">
      <c r="A7" s="23" t="s">
        <v>339</v>
      </c>
      <c r="B7" s="23">
        <v>0</v>
      </c>
      <c r="C7" s="23">
        <v>0</v>
      </c>
      <c r="D7" s="23">
        <v>0</v>
      </c>
      <c r="E7" s="23">
        <v>0</v>
      </c>
      <c r="F7" s="23">
        <v>0</v>
      </c>
      <c r="G7" s="23">
        <v>0</v>
      </c>
      <c r="H7" s="23">
        <v>0</v>
      </c>
      <c r="I7" s="23">
        <v>0</v>
      </c>
      <c r="J7" s="23">
        <v>0</v>
      </c>
      <c r="K7" s="23">
        <v>0</v>
      </c>
      <c r="L7" s="23">
        <v>0</v>
      </c>
      <c r="M7" s="23">
        <v>0</v>
      </c>
    </row>
    <row r="8" spans="1:13" x14ac:dyDescent="0.25">
      <c r="A8" s="23" t="s">
        <v>342</v>
      </c>
      <c r="B8" s="23">
        <v>463.36331990000002</v>
      </c>
      <c r="C8" s="23">
        <v>675.81380950000005</v>
      </c>
      <c r="D8" s="23">
        <v>790.30401879999999</v>
      </c>
      <c r="E8" s="23">
        <v>850.0636528</v>
      </c>
      <c r="F8" s="23">
        <v>563.94782259999999</v>
      </c>
      <c r="G8" s="23">
        <v>555.21690279999996</v>
      </c>
      <c r="H8" s="23">
        <v>0</v>
      </c>
      <c r="I8" s="23">
        <v>0</v>
      </c>
      <c r="J8" s="23">
        <v>223.94075000000001</v>
      </c>
      <c r="K8" s="23">
        <v>268.01337369999999</v>
      </c>
      <c r="L8" s="23">
        <v>328.09822220000001</v>
      </c>
      <c r="M8" s="23">
        <v>594.66295700000001</v>
      </c>
    </row>
    <row r="9" spans="1:13" x14ac:dyDescent="0.25">
      <c r="A9" s="23" t="s">
        <v>343</v>
      </c>
      <c r="B9" s="23">
        <v>75.483508060000005</v>
      </c>
      <c r="C9" s="23">
        <v>96.749583329999993</v>
      </c>
      <c r="D9" s="23">
        <v>111.8062769</v>
      </c>
      <c r="E9" s="23">
        <v>26.633444440000002</v>
      </c>
      <c r="F9" s="23">
        <v>72.871599459999999</v>
      </c>
      <c r="G9" s="23">
        <v>136.29977779999999</v>
      </c>
      <c r="H9" s="23">
        <v>43.000537629999997</v>
      </c>
      <c r="I9" s="23">
        <v>46.741129030000003</v>
      </c>
      <c r="J9" s="23">
        <v>114.6659861</v>
      </c>
      <c r="K9" s="23">
        <v>133.54887099999999</v>
      </c>
      <c r="L9" s="23">
        <v>87.099833329999996</v>
      </c>
      <c r="M9" s="23">
        <v>101.6774059</v>
      </c>
    </row>
    <row r="10" spans="1:13" x14ac:dyDescent="0.25">
      <c r="A10" s="23" t="s">
        <v>344</v>
      </c>
      <c r="B10" s="23">
        <v>1240</v>
      </c>
      <c r="C10" s="23">
        <v>1016</v>
      </c>
      <c r="D10" s="23">
        <v>2232</v>
      </c>
      <c r="E10" s="23">
        <v>3114</v>
      </c>
      <c r="F10" s="23">
        <v>5862</v>
      </c>
      <c r="G10" s="23">
        <v>3241</v>
      </c>
      <c r="H10" s="23">
        <v>243.8</v>
      </c>
      <c r="I10" s="23">
        <v>171.1</v>
      </c>
      <c r="J10" s="23">
        <v>297.10000000000002</v>
      </c>
      <c r="K10" s="23">
        <v>775.8</v>
      </c>
      <c r="L10" s="23">
        <v>870.9</v>
      </c>
      <c r="M10" s="23">
        <v>1189</v>
      </c>
    </row>
    <row r="11" spans="1:13" x14ac:dyDescent="0.25">
      <c r="B11" s="23">
        <v>39.200000000000003</v>
      </c>
      <c r="C11" s="23">
        <v>34.6</v>
      </c>
      <c r="D11" s="23">
        <v>82.8</v>
      </c>
      <c r="E11" s="23">
        <v>367.4</v>
      </c>
      <c r="F11" s="23">
        <v>494</v>
      </c>
      <c r="G11" s="23">
        <v>202.9</v>
      </c>
      <c r="H11" s="23">
        <v>40.4</v>
      </c>
      <c r="I11" s="23">
        <v>32.299999999999997</v>
      </c>
      <c r="J11" s="23">
        <v>37.1</v>
      </c>
      <c r="K11" s="23">
        <v>48.7</v>
      </c>
      <c r="L11" s="23">
        <v>52.9</v>
      </c>
      <c r="M11" s="23">
        <v>61.7</v>
      </c>
    </row>
    <row r="12" spans="1:13" x14ac:dyDescent="0.25">
      <c r="B12" s="23">
        <v>1123</v>
      </c>
      <c r="C12" s="23">
        <v>1024</v>
      </c>
      <c r="D12" s="23">
        <v>2174</v>
      </c>
      <c r="E12" s="23">
        <v>3129</v>
      </c>
      <c r="F12" s="23">
        <v>5205</v>
      </c>
      <c r="G12" s="23">
        <v>3016</v>
      </c>
      <c r="H12" s="23">
        <v>126.7</v>
      </c>
      <c r="I12" s="23">
        <v>93</v>
      </c>
      <c r="J12" s="23">
        <v>243.4</v>
      </c>
      <c r="K12" s="23">
        <v>775.8</v>
      </c>
      <c r="L12" s="23">
        <v>979.8</v>
      </c>
      <c r="M12" s="23">
        <v>1213</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M12"/>
  <sheetViews>
    <sheetView workbookViewId="0">
      <selection activeCell="B2" sqref="B2:M10"/>
    </sheetView>
  </sheetViews>
  <sheetFormatPr defaultColWidth="9.125" defaultRowHeight="15" x14ac:dyDescent="0.25"/>
  <cols>
    <col min="1" max="1" width="37.875" style="23" customWidth="1"/>
    <col min="2" max="16384" width="9.125" style="23"/>
  </cols>
  <sheetData>
    <row r="1" spans="1:13" x14ac:dyDescent="0.25">
      <c r="B1" s="23" t="s">
        <v>19</v>
      </c>
      <c r="C1" s="23" t="s">
        <v>20</v>
      </c>
      <c r="D1" s="23" t="s">
        <v>21</v>
      </c>
      <c r="E1" s="23" t="s">
        <v>22</v>
      </c>
      <c r="F1" s="23" t="s">
        <v>23</v>
      </c>
      <c r="G1" s="23" t="s">
        <v>24</v>
      </c>
      <c r="H1" s="23" t="s">
        <v>25</v>
      </c>
      <c r="I1" s="23" t="s">
        <v>26</v>
      </c>
      <c r="J1" s="23" t="s">
        <v>27</v>
      </c>
      <c r="K1" s="23" t="s">
        <v>28</v>
      </c>
      <c r="L1" s="23" t="s">
        <v>29</v>
      </c>
      <c r="M1" s="23" t="s">
        <v>30</v>
      </c>
    </row>
    <row r="2" spans="1:13" x14ac:dyDescent="0.25">
      <c r="A2" s="23" t="s">
        <v>71</v>
      </c>
      <c r="B2" s="23">
        <v>531.48924729999999</v>
      </c>
      <c r="C2" s="23">
        <v>411.43601189999998</v>
      </c>
      <c r="D2" s="23">
        <v>719.81989250000004</v>
      </c>
      <c r="E2" s="23">
        <v>1733.6611109999999</v>
      </c>
      <c r="F2" s="23">
        <v>1244.8037629999999</v>
      </c>
      <c r="G2" s="23">
        <v>474.92500000000001</v>
      </c>
      <c r="H2" s="23">
        <v>643.86962370000003</v>
      </c>
      <c r="I2" s="23">
        <v>772.18817200000001</v>
      </c>
      <c r="J2" s="23">
        <v>528.3666667</v>
      </c>
      <c r="K2" s="23">
        <v>504.97983870000002</v>
      </c>
      <c r="L2" s="23">
        <v>498.28472219999998</v>
      </c>
      <c r="M2" s="23">
        <v>466.92338710000001</v>
      </c>
    </row>
    <row r="3" spans="1:13" x14ac:dyDescent="0.25">
      <c r="A3" s="23" t="s">
        <v>72</v>
      </c>
      <c r="B3" s="23">
        <v>27.068870969999999</v>
      </c>
      <c r="C3" s="23">
        <v>25.381190480000001</v>
      </c>
      <c r="D3" s="23">
        <v>40.388629029999997</v>
      </c>
      <c r="E3" s="23">
        <v>61.328513890000004</v>
      </c>
      <c r="F3" s="23">
        <v>49.927137100000003</v>
      </c>
      <c r="G3" s="23">
        <v>43.34152778</v>
      </c>
      <c r="H3" s="23">
        <v>73.675013440000001</v>
      </c>
      <c r="I3" s="23">
        <v>68.150322579999994</v>
      </c>
      <c r="J3" s="23">
        <v>61.273055560000003</v>
      </c>
      <c r="K3" s="23">
        <v>54.136115590000003</v>
      </c>
      <c r="L3" s="23">
        <v>50.562874999999998</v>
      </c>
      <c r="M3" s="23">
        <v>47.351008059999998</v>
      </c>
    </row>
    <row r="4" spans="1:13" x14ac:dyDescent="0.25">
      <c r="A4" s="23" t="s">
        <v>73</v>
      </c>
      <c r="B4" s="23">
        <v>54.132862899999999</v>
      </c>
      <c r="C4" s="23">
        <v>55.154032739999998</v>
      </c>
      <c r="D4" s="23">
        <v>155.41344090000001</v>
      </c>
      <c r="E4" s="23">
        <v>143.43709720000001</v>
      </c>
      <c r="F4" s="23">
        <v>172.368078</v>
      </c>
      <c r="G4" s="23">
        <v>63.656083330000001</v>
      </c>
      <c r="H4" s="23">
        <v>24.29432796</v>
      </c>
      <c r="I4" s="23">
        <v>20.732634409999999</v>
      </c>
      <c r="J4" s="23">
        <v>21.176680560000001</v>
      </c>
      <c r="K4" s="23">
        <v>32.108911290000002</v>
      </c>
      <c r="L4" s="23">
        <v>37.943583330000003</v>
      </c>
      <c r="M4" s="23">
        <v>55.88443548</v>
      </c>
    </row>
    <row r="5" spans="1:13" x14ac:dyDescent="0.25">
      <c r="A5" s="23" t="s">
        <v>74</v>
      </c>
      <c r="B5" s="23">
        <v>13.07092742</v>
      </c>
      <c r="C5" s="23">
        <v>0</v>
      </c>
      <c r="D5" s="23">
        <v>44.758615589999998</v>
      </c>
      <c r="E5" s="23">
        <v>134.42595829999999</v>
      </c>
      <c r="F5" s="23">
        <v>235.08315859999999</v>
      </c>
      <c r="G5" s="23">
        <v>131.04300000000001</v>
      </c>
      <c r="H5" s="23">
        <v>49.486397850000003</v>
      </c>
      <c r="I5" s="23">
        <v>34.167862900000003</v>
      </c>
      <c r="J5" s="23">
        <v>29.83658333</v>
      </c>
      <c r="K5" s="23">
        <v>28.52282258</v>
      </c>
      <c r="L5" s="23">
        <v>29.37947222</v>
      </c>
      <c r="M5" s="23">
        <v>28.932661289999999</v>
      </c>
    </row>
    <row r="6" spans="1:13" x14ac:dyDescent="0.25">
      <c r="A6" s="23" t="s">
        <v>338</v>
      </c>
      <c r="B6" s="23">
        <v>20.2</v>
      </c>
      <c r="C6" s="23">
        <v>17.600000000000001</v>
      </c>
      <c r="D6" s="23">
        <v>28.3</v>
      </c>
      <c r="E6" s="23">
        <v>125.7</v>
      </c>
      <c r="F6" s="23">
        <v>467.1</v>
      </c>
      <c r="G6" s="23">
        <v>399.8</v>
      </c>
      <c r="H6" s="23">
        <v>88.4</v>
      </c>
      <c r="I6" s="23">
        <v>44.4</v>
      </c>
      <c r="J6" s="23">
        <v>30.9</v>
      </c>
      <c r="K6" s="23">
        <v>26.2</v>
      </c>
      <c r="L6" s="23">
        <v>24.1</v>
      </c>
      <c r="M6" s="23">
        <v>20.3</v>
      </c>
    </row>
    <row r="7" spans="1:13" x14ac:dyDescent="0.25">
      <c r="A7" s="23" t="s">
        <v>339</v>
      </c>
      <c r="B7" s="23">
        <v>0</v>
      </c>
      <c r="C7" s="23">
        <v>0</v>
      </c>
      <c r="D7" s="23">
        <v>0</v>
      </c>
      <c r="E7" s="23">
        <v>0</v>
      </c>
      <c r="F7" s="23">
        <v>0</v>
      </c>
      <c r="G7" s="23">
        <v>0</v>
      </c>
      <c r="H7" s="23">
        <v>0</v>
      </c>
      <c r="I7" s="23">
        <v>0</v>
      </c>
      <c r="J7" s="23">
        <v>0</v>
      </c>
      <c r="K7" s="23">
        <v>0</v>
      </c>
      <c r="L7" s="23">
        <v>0</v>
      </c>
      <c r="M7" s="23">
        <v>0</v>
      </c>
    </row>
    <row r="8" spans="1:13" x14ac:dyDescent="0.25">
      <c r="A8" s="23" t="s">
        <v>342</v>
      </c>
      <c r="B8" s="23">
        <v>756.44028230000004</v>
      </c>
      <c r="C8" s="23">
        <v>600.79561009999998</v>
      </c>
      <c r="D8" s="23">
        <v>1444.4326209999999</v>
      </c>
      <c r="E8" s="23">
        <v>1656.6765419999999</v>
      </c>
      <c r="F8" s="23">
        <v>3922.0507389999998</v>
      </c>
      <c r="G8" s="23">
        <v>2548.0801809999998</v>
      </c>
      <c r="H8" s="23">
        <v>143.99813169999999</v>
      </c>
      <c r="I8" s="23">
        <v>9.7466801079999996</v>
      </c>
      <c r="J8" s="23">
        <v>313.79165280000001</v>
      </c>
      <c r="K8" s="23">
        <v>182.17981180000001</v>
      </c>
      <c r="L8" s="23">
        <v>259.59037499999999</v>
      </c>
      <c r="M8" s="23">
        <v>572.94150539999998</v>
      </c>
    </row>
    <row r="9" spans="1:13" x14ac:dyDescent="0.25">
      <c r="A9" s="23" t="s">
        <v>343</v>
      </c>
      <c r="B9" s="23">
        <v>132.48361560000001</v>
      </c>
      <c r="C9" s="23">
        <v>90.107187499999995</v>
      </c>
      <c r="D9" s="23">
        <v>193.61301080000001</v>
      </c>
      <c r="E9" s="23">
        <v>222.6668889</v>
      </c>
      <c r="F9" s="23">
        <v>515.2892339</v>
      </c>
      <c r="G9" s="23">
        <v>347.799375</v>
      </c>
      <c r="H9" s="23">
        <v>136.93491940000001</v>
      </c>
      <c r="I9" s="23">
        <v>122.4832258</v>
      </c>
      <c r="J9" s="23">
        <v>121.9327083</v>
      </c>
      <c r="K9" s="23">
        <v>144.41935480000001</v>
      </c>
      <c r="L9" s="23">
        <v>97.299125000000004</v>
      </c>
      <c r="M9" s="23">
        <v>116.6121237</v>
      </c>
    </row>
    <row r="10" spans="1:13" x14ac:dyDescent="0.25">
      <c r="A10" s="23" t="s">
        <v>344</v>
      </c>
      <c r="B10" s="23">
        <v>1811</v>
      </c>
      <c r="C10" s="23">
        <v>1585</v>
      </c>
      <c r="D10" s="23">
        <v>2500</v>
      </c>
      <c r="E10" s="23">
        <v>4968</v>
      </c>
      <c r="F10" s="23">
        <v>3853</v>
      </c>
      <c r="G10" s="23">
        <v>1201</v>
      </c>
      <c r="H10" s="23">
        <v>122.6</v>
      </c>
      <c r="I10" s="23">
        <v>149.19999999999999</v>
      </c>
      <c r="J10" s="23">
        <v>640.1</v>
      </c>
      <c r="K10" s="23">
        <v>1111</v>
      </c>
      <c r="L10" s="23">
        <v>1297</v>
      </c>
      <c r="M10" s="23">
        <v>1414</v>
      </c>
    </row>
    <row r="12" spans="1:13" x14ac:dyDescent="0.25">
      <c r="B12" s="180"/>
      <c r="C12" s="180"/>
      <c r="D12" s="180"/>
      <c r="E12" s="180"/>
      <c r="F12" s="180"/>
      <c r="G12" s="180"/>
      <c r="H12" s="181"/>
      <c r="I12" s="181"/>
      <c r="J12" s="181"/>
      <c r="K12" s="180"/>
      <c r="L12" s="180"/>
      <c r="M12" s="180"/>
    </row>
  </sheetData>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M12"/>
  <sheetViews>
    <sheetView workbookViewId="0">
      <selection activeCell="B2" sqref="B2:M10"/>
    </sheetView>
  </sheetViews>
  <sheetFormatPr defaultColWidth="9.125" defaultRowHeight="15" x14ac:dyDescent="0.25"/>
  <cols>
    <col min="1" max="1" width="37.875" style="23" customWidth="1"/>
    <col min="2" max="16384" width="9.125" style="23"/>
  </cols>
  <sheetData>
    <row r="1" spans="1:13" x14ac:dyDescent="0.25">
      <c r="B1" s="23" t="s">
        <v>19</v>
      </c>
      <c r="C1" s="23" t="s">
        <v>20</v>
      </c>
      <c r="D1" s="23" t="s">
        <v>21</v>
      </c>
      <c r="E1" s="23" t="s">
        <v>22</v>
      </c>
      <c r="F1" s="23" t="s">
        <v>23</v>
      </c>
      <c r="G1" s="23" t="s">
        <v>24</v>
      </c>
      <c r="H1" s="23" t="s">
        <v>25</v>
      </c>
      <c r="I1" s="23" t="s">
        <v>26</v>
      </c>
      <c r="J1" s="23" t="s">
        <v>27</v>
      </c>
      <c r="K1" s="23" t="s">
        <v>28</v>
      </c>
      <c r="L1" s="23" t="s">
        <v>29</v>
      </c>
      <c r="M1" s="23" t="s">
        <v>30</v>
      </c>
    </row>
    <row r="2" spans="1:13" x14ac:dyDescent="0.25">
      <c r="A2" s="23" t="s">
        <v>71</v>
      </c>
      <c r="B2" s="23">
        <v>576.6</v>
      </c>
      <c r="C2" s="23">
        <v>493.1</v>
      </c>
      <c r="D2" s="23">
        <v>785</v>
      </c>
      <c r="E2" s="23">
        <v>1777</v>
      </c>
      <c r="F2" s="23">
        <v>2035</v>
      </c>
      <c r="G2" s="23">
        <v>1702</v>
      </c>
      <c r="H2" s="23">
        <v>1006</v>
      </c>
      <c r="I2" s="23">
        <v>1231</v>
      </c>
      <c r="J2" s="23">
        <v>1249</v>
      </c>
      <c r="K2" s="23">
        <v>1297</v>
      </c>
      <c r="L2" s="23">
        <v>1475</v>
      </c>
      <c r="M2" s="23">
        <v>1242</v>
      </c>
    </row>
    <row r="3" spans="1:13" x14ac:dyDescent="0.25">
      <c r="A3" s="23" t="s">
        <v>72</v>
      </c>
      <c r="B3" s="23">
        <v>84.3</v>
      </c>
      <c r="C3" s="23">
        <v>75.5</v>
      </c>
      <c r="D3" s="23">
        <v>130.1</v>
      </c>
      <c r="E3" s="23">
        <v>368.8</v>
      </c>
      <c r="F3" s="23">
        <v>758.6</v>
      </c>
      <c r="G3" s="23">
        <v>527.29999999999995</v>
      </c>
      <c r="H3" s="23">
        <v>286.3</v>
      </c>
      <c r="I3" s="23">
        <v>226.3</v>
      </c>
      <c r="J3" s="23">
        <v>193.3</v>
      </c>
      <c r="K3" s="23">
        <v>166.3</v>
      </c>
      <c r="L3" s="23">
        <v>147.4</v>
      </c>
      <c r="M3" s="23">
        <v>126.5</v>
      </c>
    </row>
    <row r="4" spans="1:13" x14ac:dyDescent="0.25">
      <c r="A4" s="23" t="s">
        <v>73</v>
      </c>
      <c r="B4" s="23">
        <v>90.4</v>
      </c>
      <c r="C4" s="23">
        <v>44.1</v>
      </c>
      <c r="D4" s="23">
        <v>187</v>
      </c>
      <c r="E4" s="23">
        <v>424.1</v>
      </c>
      <c r="F4" s="23">
        <v>631.6</v>
      </c>
      <c r="G4" s="23">
        <v>509.7</v>
      </c>
      <c r="H4" s="23">
        <v>326.3</v>
      </c>
      <c r="I4" s="23">
        <v>207.3</v>
      </c>
      <c r="J4" s="23">
        <v>304.60000000000002</v>
      </c>
      <c r="K4" s="23">
        <v>467.4</v>
      </c>
      <c r="L4" s="23">
        <v>182</v>
      </c>
      <c r="M4" s="23">
        <v>16.5</v>
      </c>
    </row>
    <row r="5" spans="1:13" x14ac:dyDescent="0.25">
      <c r="A5" s="23" t="s">
        <v>74</v>
      </c>
      <c r="B5" s="23">
        <v>59.9</v>
      </c>
      <c r="C5" s="23">
        <v>49.4</v>
      </c>
      <c r="D5" s="23">
        <v>138.6</v>
      </c>
      <c r="E5" s="23">
        <v>354.2</v>
      </c>
      <c r="F5" s="23">
        <v>693.5</v>
      </c>
      <c r="G5" s="23">
        <v>576.9</v>
      </c>
      <c r="H5" s="23">
        <v>123.6</v>
      </c>
      <c r="I5" s="23">
        <v>62.2</v>
      </c>
      <c r="J5" s="23">
        <v>59.6</v>
      </c>
      <c r="K5" s="23">
        <v>65.8</v>
      </c>
      <c r="L5" s="23">
        <v>65.900000000000006</v>
      </c>
      <c r="M5" s="23">
        <v>58.2</v>
      </c>
    </row>
    <row r="6" spans="1:13" x14ac:dyDescent="0.25">
      <c r="A6" s="23" t="s">
        <v>338</v>
      </c>
      <c r="B6" s="23">
        <v>16.8</v>
      </c>
      <c r="C6" s="23">
        <v>18.5</v>
      </c>
      <c r="D6" s="23">
        <v>31.2</v>
      </c>
      <c r="E6" s="23">
        <v>81.2</v>
      </c>
      <c r="F6" s="23">
        <v>363.9</v>
      </c>
      <c r="G6" s="23">
        <v>418</v>
      </c>
      <c r="H6" s="23">
        <v>112.1</v>
      </c>
      <c r="I6" s="23">
        <v>54.8</v>
      </c>
      <c r="J6" s="23">
        <v>36.1</v>
      </c>
      <c r="K6" s="23">
        <v>28.2</v>
      </c>
      <c r="L6" s="23">
        <v>23.3</v>
      </c>
      <c r="M6" s="23">
        <v>17.2</v>
      </c>
    </row>
    <row r="7" spans="1:13" x14ac:dyDescent="0.25">
      <c r="A7" s="23" t="s">
        <v>339</v>
      </c>
      <c r="B7" s="23">
        <v>0</v>
      </c>
      <c r="C7" s="23">
        <v>0</v>
      </c>
      <c r="D7" s="23">
        <v>0</v>
      </c>
      <c r="E7" s="23">
        <v>0</v>
      </c>
      <c r="F7" s="23">
        <v>0</v>
      </c>
      <c r="G7" s="23">
        <v>0</v>
      </c>
      <c r="H7" s="23">
        <v>0</v>
      </c>
      <c r="I7" s="23">
        <v>0</v>
      </c>
      <c r="J7" s="23">
        <v>0</v>
      </c>
      <c r="K7" s="23">
        <v>0</v>
      </c>
      <c r="L7" s="23">
        <v>0</v>
      </c>
      <c r="M7" s="23">
        <v>0</v>
      </c>
    </row>
    <row r="8" spans="1:13" x14ac:dyDescent="0.25">
      <c r="A8" s="23" t="s">
        <v>342</v>
      </c>
      <c r="B8" s="23">
        <v>463.36331990000002</v>
      </c>
      <c r="C8" s="23">
        <v>675.81380950000005</v>
      </c>
      <c r="D8" s="23">
        <v>790.30401879999999</v>
      </c>
      <c r="E8" s="23">
        <v>850.0636528</v>
      </c>
      <c r="F8" s="23">
        <v>563.94782259999999</v>
      </c>
      <c r="G8" s="23">
        <v>555.21690279999996</v>
      </c>
      <c r="H8" s="23">
        <v>0</v>
      </c>
      <c r="I8" s="23">
        <v>0</v>
      </c>
      <c r="J8" s="23">
        <v>223.94075000000001</v>
      </c>
      <c r="K8" s="23">
        <v>268.01337369999999</v>
      </c>
      <c r="L8" s="23">
        <v>328.09822220000001</v>
      </c>
      <c r="M8" s="23">
        <v>594.66295700000001</v>
      </c>
    </row>
    <row r="9" spans="1:13" x14ac:dyDescent="0.25">
      <c r="A9" s="23" t="s">
        <v>343</v>
      </c>
      <c r="B9" s="23">
        <v>75.483508060000005</v>
      </c>
      <c r="C9" s="23">
        <v>96.749583329999993</v>
      </c>
      <c r="D9" s="23">
        <v>111.8062769</v>
      </c>
      <c r="E9" s="23">
        <v>26.633444440000002</v>
      </c>
      <c r="F9" s="23">
        <v>72.871599459999999</v>
      </c>
      <c r="G9" s="23">
        <v>136.29977779999999</v>
      </c>
      <c r="H9" s="23">
        <v>43.000537629999997</v>
      </c>
      <c r="I9" s="23">
        <v>46.741129030000003</v>
      </c>
      <c r="J9" s="23">
        <v>114.6659861</v>
      </c>
      <c r="K9" s="23">
        <v>133.54887099999999</v>
      </c>
      <c r="L9" s="23">
        <v>87.099833329999996</v>
      </c>
      <c r="M9" s="23">
        <v>101.6774059</v>
      </c>
    </row>
    <row r="10" spans="1:13" x14ac:dyDescent="0.25">
      <c r="A10" s="23" t="s">
        <v>344</v>
      </c>
      <c r="B10" s="23">
        <v>1316</v>
      </c>
      <c r="C10" s="23">
        <v>1288</v>
      </c>
      <c r="D10" s="23">
        <v>2418</v>
      </c>
      <c r="E10" s="23">
        <v>3874</v>
      </c>
      <c r="F10" s="23">
        <v>5312</v>
      </c>
      <c r="G10" s="23">
        <v>5469</v>
      </c>
      <c r="H10" s="23">
        <v>2460</v>
      </c>
      <c r="I10" s="23">
        <v>1367</v>
      </c>
      <c r="J10" s="23">
        <v>1391</v>
      </c>
      <c r="K10" s="23">
        <v>1964</v>
      </c>
      <c r="L10" s="23">
        <v>2217</v>
      </c>
      <c r="M10" s="23">
        <v>1738</v>
      </c>
    </row>
    <row r="12" spans="1:13" x14ac:dyDescent="0.25">
      <c r="B12" s="181"/>
      <c r="C12" s="181"/>
      <c r="D12" s="181"/>
      <c r="E12" s="181"/>
      <c r="F12" s="181"/>
      <c r="G12" s="181"/>
      <c r="H12" s="181"/>
      <c r="I12" s="181"/>
      <c r="J12" s="181"/>
      <c r="K12" s="181"/>
      <c r="L12" s="181"/>
      <c r="M12" s="181"/>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M12"/>
  <sheetViews>
    <sheetView workbookViewId="0">
      <selection activeCell="B2" sqref="B2:M10"/>
    </sheetView>
  </sheetViews>
  <sheetFormatPr defaultColWidth="9.125" defaultRowHeight="15" x14ac:dyDescent="0.25"/>
  <cols>
    <col min="1" max="1" width="37.875" style="23" customWidth="1"/>
    <col min="2" max="16384" width="9.125" style="23"/>
  </cols>
  <sheetData>
    <row r="1" spans="1:13" x14ac:dyDescent="0.25">
      <c r="B1" s="23" t="s">
        <v>19</v>
      </c>
      <c r="C1" s="23" t="s">
        <v>20</v>
      </c>
      <c r="D1" s="23" t="s">
        <v>21</v>
      </c>
      <c r="E1" s="23" t="s">
        <v>22</v>
      </c>
      <c r="F1" s="23" t="s">
        <v>23</v>
      </c>
      <c r="G1" s="23" t="s">
        <v>24</v>
      </c>
      <c r="H1" s="23" t="s">
        <v>25</v>
      </c>
      <c r="I1" s="23" t="s">
        <v>26</v>
      </c>
      <c r="J1" s="23" t="s">
        <v>27</v>
      </c>
      <c r="K1" s="23" t="s">
        <v>28</v>
      </c>
      <c r="L1" s="23" t="s">
        <v>29</v>
      </c>
      <c r="M1" s="23" t="s">
        <v>30</v>
      </c>
    </row>
    <row r="2" spans="1:13" x14ac:dyDescent="0.25">
      <c r="A2" s="23" t="s">
        <v>71</v>
      </c>
      <c r="B2" s="23">
        <v>285.58602150000002</v>
      </c>
      <c r="C2" s="23">
        <v>357.0580357</v>
      </c>
      <c r="D2" s="23">
        <v>398.29166670000001</v>
      </c>
      <c r="E2" s="23">
        <v>363.1680556</v>
      </c>
      <c r="F2" s="23">
        <v>242.1626344</v>
      </c>
      <c r="G2" s="23">
        <v>902.79444439999997</v>
      </c>
      <c r="H2" s="23">
        <v>1025.5725809999999</v>
      </c>
      <c r="I2" s="23">
        <v>896.60349459999998</v>
      </c>
      <c r="J2" s="23">
        <v>428.03750000000002</v>
      </c>
      <c r="K2" s="23">
        <v>215.327957</v>
      </c>
      <c r="L2" s="23">
        <v>285.52638889999997</v>
      </c>
      <c r="M2" s="23">
        <v>295.1814516</v>
      </c>
    </row>
    <row r="3" spans="1:13" x14ac:dyDescent="0.25">
      <c r="A3" s="23" t="s">
        <v>72</v>
      </c>
      <c r="B3" s="23">
        <v>29.119690859999999</v>
      </c>
      <c r="C3" s="23">
        <v>28.856339290000001</v>
      </c>
      <c r="D3" s="23">
        <v>36.426854839999997</v>
      </c>
      <c r="E3" s="23">
        <v>41.166888890000003</v>
      </c>
      <c r="F3" s="23">
        <v>24.899327960000001</v>
      </c>
      <c r="G3" s="23">
        <v>25.45369444</v>
      </c>
      <c r="H3" s="23">
        <v>35.000551080000001</v>
      </c>
      <c r="I3" s="23">
        <v>33.94505376</v>
      </c>
      <c r="J3" s="23">
        <v>37.301611110000003</v>
      </c>
      <c r="K3" s="23">
        <v>36.02840054</v>
      </c>
      <c r="L3" s="23">
        <v>36.004222220000003</v>
      </c>
      <c r="M3" s="23">
        <v>33.722244619999998</v>
      </c>
    </row>
    <row r="4" spans="1:13" x14ac:dyDescent="0.25">
      <c r="A4" s="23" t="s">
        <v>73</v>
      </c>
      <c r="B4" s="23">
        <v>90.4</v>
      </c>
      <c r="C4" s="23">
        <v>44.1</v>
      </c>
      <c r="D4" s="23">
        <v>187</v>
      </c>
      <c r="E4" s="23">
        <v>424.1</v>
      </c>
      <c r="F4" s="23">
        <v>631.6</v>
      </c>
      <c r="G4" s="23">
        <v>509.7</v>
      </c>
      <c r="H4" s="23">
        <v>326.3</v>
      </c>
      <c r="I4" s="23">
        <v>207.3</v>
      </c>
      <c r="J4" s="23">
        <v>304.60000000000002</v>
      </c>
      <c r="K4" s="23">
        <v>467.4</v>
      </c>
      <c r="L4" s="23">
        <v>182</v>
      </c>
      <c r="M4" s="23">
        <v>16.5</v>
      </c>
    </row>
    <row r="5" spans="1:13" x14ac:dyDescent="0.25">
      <c r="A5" s="23" t="s">
        <v>74</v>
      </c>
      <c r="B5" s="23">
        <v>15.0550672</v>
      </c>
      <c r="C5" s="23">
        <v>3.5849851190000002</v>
      </c>
      <c r="D5" s="23">
        <v>35.805591399999997</v>
      </c>
      <c r="E5" s="23">
        <v>74.477180559999994</v>
      </c>
      <c r="F5" s="23">
        <v>81.109032260000006</v>
      </c>
      <c r="G5" s="23">
        <v>43.207083330000003</v>
      </c>
      <c r="H5" s="23">
        <v>20.680591400000001</v>
      </c>
      <c r="I5" s="23">
        <v>16.489502689999998</v>
      </c>
      <c r="J5" s="23">
        <v>17.52483333</v>
      </c>
      <c r="K5" s="23">
        <v>18.005255380000001</v>
      </c>
      <c r="L5" s="23">
        <v>19.556625</v>
      </c>
      <c r="M5" s="23">
        <v>17.66697581</v>
      </c>
    </row>
    <row r="6" spans="1:13" x14ac:dyDescent="0.25">
      <c r="A6" s="23" t="s">
        <v>338</v>
      </c>
      <c r="B6" s="23">
        <v>16.8</v>
      </c>
      <c r="C6" s="23">
        <v>18.5</v>
      </c>
      <c r="D6" s="23">
        <v>31.2</v>
      </c>
      <c r="E6" s="23">
        <v>81.2</v>
      </c>
      <c r="F6" s="23">
        <v>363.9</v>
      </c>
      <c r="G6" s="23">
        <v>418</v>
      </c>
      <c r="H6" s="23">
        <v>112.1</v>
      </c>
      <c r="I6" s="23">
        <v>54.8</v>
      </c>
      <c r="J6" s="23">
        <v>36.1</v>
      </c>
      <c r="K6" s="23">
        <v>28.2</v>
      </c>
      <c r="L6" s="23">
        <v>23.3</v>
      </c>
      <c r="M6" s="23">
        <v>17.2</v>
      </c>
    </row>
    <row r="7" spans="1:13" x14ac:dyDescent="0.25">
      <c r="A7" s="23" t="s">
        <v>339</v>
      </c>
      <c r="B7" s="23">
        <v>0</v>
      </c>
      <c r="C7" s="23">
        <v>0</v>
      </c>
      <c r="D7" s="23">
        <v>0</v>
      </c>
      <c r="E7" s="23">
        <v>0</v>
      </c>
      <c r="F7" s="23">
        <v>0</v>
      </c>
      <c r="G7" s="23">
        <v>0</v>
      </c>
      <c r="H7" s="23">
        <v>0</v>
      </c>
      <c r="I7" s="23">
        <v>0</v>
      </c>
      <c r="J7" s="23">
        <v>0</v>
      </c>
      <c r="K7" s="23">
        <v>0</v>
      </c>
      <c r="L7" s="23">
        <v>0</v>
      </c>
      <c r="M7" s="23">
        <v>0</v>
      </c>
    </row>
    <row r="8" spans="1:13" x14ac:dyDescent="0.25">
      <c r="A8" s="23" t="s">
        <v>342</v>
      </c>
      <c r="B8" s="23">
        <v>723.01728490000005</v>
      </c>
      <c r="C8" s="23">
        <v>578.80854169999998</v>
      </c>
      <c r="D8" s="23">
        <v>794.60569889999999</v>
      </c>
      <c r="E8" s="23">
        <v>823.38987499999996</v>
      </c>
      <c r="F8" s="23">
        <v>742.12032260000001</v>
      </c>
      <c r="G8" s="23">
        <v>247.97269439999999</v>
      </c>
      <c r="H8" s="23">
        <v>0</v>
      </c>
      <c r="I8" s="23">
        <v>0</v>
      </c>
      <c r="J8" s="23">
        <v>234.17365280000001</v>
      </c>
      <c r="K8" s="23">
        <v>185.0470565</v>
      </c>
      <c r="L8" s="23">
        <v>303.5721944</v>
      </c>
      <c r="M8" s="23">
        <v>390.35836019999999</v>
      </c>
    </row>
    <row r="9" spans="1:13" x14ac:dyDescent="0.25">
      <c r="A9" s="23" t="s">
        <v>343</v>
      </c>
      <c r="B9" s="23">
        <v>121.28948920000001</v>
      </c>
      <c r="C9" s="23">
        <v>83.428779759999998</v>
      </c>
      <c r="D9" s="23">
        <v>79.451787629999998</v>
      </c>
      <c r="E9" s="23">
        <v>71.099263890000003</v>
      </c>
      <c r="F9" s="23">
        <v>91.516008060000004</v>
      </c>
      <c r="G9" s="23">
        <v>116.8002917</v>
      </c>
      <c r="H9" s="23">
        <v>82.226330649999994</v>
      </c>
      <c r="I9" s="23">
        <v>66.450793009999998</v>
      </c>
      <c r="J9" s="23">
        <v>122.467125</v>
      </c>
      <c r="K9" s="23">
        <v>129.04877690000001</v>
      </c>
      <c r="L9" s="23">
        <v>84.599166670000002</v>
      </c>
      <c r="M9" s="23">
        <v>74.252365589999997</v>
      </c>
    </row>
    <row r="10" spans="1:13" x14ac:dyDescent="0.25">
      <c r="A10" s="23" t="s">
        <v>344</v>
      </c>
      <c r="B10" s="23">
        <v>1316</v>
      </c>
      <c r="C10" s="23">
        <v>1288</v>
      </c>
      <c r="D10" s="23">
        <v>2418</v>
      </c>
      <c r="E10" s="23">
        <v>3874</v>
      </c>
      <c r="F10" s="23">
        <v>5312</v>
      </c>
      <c r="G10" s="23">
        <v>5469</v>
      </c>
      <c r="H10" s="23">
        <v>2460</v>
      </c>
      <c r="I10" s="23">
        <v>1367</v>
      </c>
      <c r="J10" s="23">
        <v>1391</v>
      </c>
      <c r="K10" s="23">
        <v>1964</v>
      </c>
      <c r="L10" s="23">
        <v>2217</v>
      </c>
      <c r="M10" s="23">
        <v>1738</v>
      </c>
    </row>
    <row r="12" spans="1:13" x14ac:dyDescent="0.25">
      <c r="B12" s="23">
        <v>15.0550672</v>
      </c>
      <c r="C12" s="23">
        <v>3.5849851190000002</v>
      </c>
      <c r="D12" s="23">
        <v>35.805591399999997</v>
      </c>
      <c r="E12" s="23">
        <v>74.477180559999994</v>
      </c>
      <c r="F12" s="23">
        <v>81.109032260000006</v>
      </c>
      <c r="G12" s="23">
        <v>43.207083330000003</v>
      </c>
      <c r="H12" s="23">
        <v>20.680591400000001</v>
      </c>
      <c r="I12" s="23">
        <v>16.489502689999998</v>
      </c>
      <c r="J12" s="23">
        <v>17.52483333</v>
      </c>
      <c r="K12" s="23">
        <v>18.005255380000001</v>
      </c>
      <c r="L12" s="23">
        <v>19.556625</v>
      </c>
      <c r="M12" s="23">
        <v>17.66697581</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S64"/>
  <sheetViews>
    <sheetView workbookViewId="0">
      <selection activeCell="M11" sqref="M11"/>
    </sheetView>
  </sheetViews>
  <sheetFormatPr defaultRowHeight="15" x14ac:dyDescent="0.25"/>
  <cols>
    <col min="1" max="1" width="10.125" bestFit="1" customWidth="1"/>
    <col min="3" max="5" width="11.625" bestFit="1" customWidth="1"/>
  </cols>
  <sheetData>
    <row r="1" spans="1:19" x14ac:dyDescent="0.25">
      <c r="A1" s="23"/>
      <c r="B1" s="23"/>
      <c r="C1" s="23"/>
      <c r="D1" s="23" t="s">
        <v>19</v>
      </c>
      <c r="E1" s="23" t="s">
        <v>20</v>
      </c>
      <c r="F1" s="23" t="s">
        <v>21</v>
      </c>
      <c r="G1" s="23" t="s">
        <v>22</v>
      </c>
      <c r="H1" s="23" t="s">
        <v>23</v>
      </c>
      <c r="I1" s="23" t="s">
        <v>24</v>
      </c>
      <c r="J1" s="23" t="s">
        <v>25</v>
      </c>
      <c r="K1" s="23" t="s">
        <v>26</v>
      </c>
      <c r="L1" s="23" t="s">
        <v>27</v>
      </c>
      <c r="M1" s="23" t="s">
        <v>28</v>
      </c>
      <c r="N1" s="23" t="s">
        <v>29</v>
      </c>
      <c r="O1" s="23" t="s">
        <v>30</v>
      </c>
      <c r="P1" s="1"/>
      <c r="Q1" s="1"/>
      <c r="R1" s="1"/>
      <c r="S1" s="1"/>
    </row>
    <row r="2" spans="1:19" x14ac:dyDescent="0.25">
      <c r="A2" s="26" t="s">
        <v>0</v>
      </c>
      <c r="B2" s="23" t="s">
        <v>32</v>
      </c>
      <c r="C2" s="23" t="s">
        <v>33</v>
      </c>
      <c r="D2" s="24">
        <v>1</v>
      </c>
      <c r="E2" s="24">
        <v>1</v>
      </c>
      <c r="F2" s="24">
        <v>1</v>
      </c>
      <c r="G2" s="24">
        <v>1</v>
      </c>
      <c r="H2" s="24">
        <v>1</v>
      </c>
      <c r="I2" s="24">
        <v>1</v>
      </c>
      <c r="J2" s="24">
        <v>1</v>
      </c>
      <c r="K2" s="24">
        <v>1</v>
      </c>
      <c r="L2" s="24">
        <v>1</v>
      </c>
      <c r="M2" s="24">
        <v>1</v>
      </c>
      <c r="N2" s="24">
        <v>1</v>
      </c>
      <c r="O2" s="24">
        <v>1</v>
      </c>
      <c r="P2" s="1"/>
      <c r="Q2" s="1"/>
      <c r="R2" s="1"/>
      <c r="S2" s="1"/>
    </row>
    <row r="3" spans="1:19" x14ac:dyDescent="0.25">
      <c r="A3" s="26" t="s">
        <v>1</v>
      </c>
      <c r="B3" s="23" t="s">
        <v>32</v>
      </c>
      <c r="C3" s="23" t="s">
        <v>33</v>
      </c>
      <c r="D3" s="24">
        <v>1</v>
      </c>
      <c r="E3" s="24">
        <v>1</v>
      </c>
      <c r="F3" s="24">
        <v>1</v>
      </c>
      <c r="G3" s="24">
        <v>1</v>
      </c>
      <c r="H3" s="24">
        <v>1</v>
      </c>
      <c r="I3" s="24">
        <v>1</v>
      </c>
      <c r="J3" s="24">
        <v>1</v>
      </c>
      <c r="K3" s="24">
        <v>1</v>
      </c>
      <c r="L3" s="24">
        <v>1</v>
      </c>
      <c r="M3" s="24">
        <v>1</v>
      </c>
      <c r="N3" s="24">
        <v>1</v>
      </c>
      <c r="O3" s="24">
        <v>1</v>
      </c>
      <c r="P3" s="1"/>
      <c r="Q3" s="1"/>
      <c r="R3" s="1"/>
      <c r="S3" s="1"/>
    </row>
    <row r="4" spans="1:19" x14ac:dyDescent="0.25">
      <c r="A4" s="26" t="s">
        <v>2</v>
      </c>
      <c r="B4" s="23" t="s">
        <v>32</v>
      </c>
      <c r="C4" s="23" t="s">
        <v>33</v>
      </c>
      <c r="D4" s="24">
        <v>0</v>
      </c>
      <c r="E4" s="24">
        <v>0</v>
      </c>
      <c r="F4" s="24">
        <v>0</v>
      </c>
      <c r="G4" s="24">
        <v>0</v>
      </c>
      <c r="H4" s="24">
        <v>0</v>
      </c>
      <c r="I4" s="24">
        <v>0</v>
      </c>
      <c r="J4" s="24">
        <v>0</v>
      </c>
      <c r="K4" s="24">
        <v>0</v>
      </c>
      <c r="L4" s="24">
        <v>0</v>
      </c>
      <c r="M4" s="24">
        <v>0</v>
      </c>
      <c r="N4" s="24">
        <v>0</v>
      </c>
      <c r="O4" s="24">
        <v>0</v>
      </c>
      <c r="P4" s="1"/>
      <c r="Q4" s="1"/>
      <c r="R4" s="1"/>
      <c r="S4" s="1"/>
    </row>
    <row r="5" spans="1:19" x14ac:dyDescent="0.25">
      <c r="A5" s="26"/>
      <c r="B5" s="23"/>
      <c r="C5" s="23"/>
      <c r="D5" s="24"/>
      <c r="E5" s="24"/>
      <c r="F5" s="24"/>
      <c r="G5" s="24"/>
      <c r="H5" s="24"/>
      <c r="I5" s="24"/>
      <c r="J5" s="24"/>
      <c r="K5" s="24"/>
      <c r="L5" s="24"/>
      <c r="M5" s="24"/>
      <c r="N5" s="24"/>
      <c r="O5" s="24"/>
      <c r="P5" s="1"/>
      <c r="Q5" s="1"/>
      <c r="R5" s="1"/>
      <c r="S5" s="1"/>
    </row>
    <row r="6" spans="1:19" x14ac:dyDescent="0.25">
      <c r="A6" s="26"/>
      <c r="B6" s="23"/>
      <c r="C6" s="23"/>
      <c r="D6" s="24"/>
      <c r="E6" s="24"/>
      <c r="F6" s="24"/>
      <c r="G6" s="24"/>
      <c r="H6" s="24"/>
      <c r="I6" s="24"/>
      <c r="J6" s="24"/>
      <c r="K6" s="24"/>
      <c r="L6" s="24"/>
      <c r="M6" s="24"/>
      <c r="N6" s="24"/>
      <c r="O6" s="24"/>
      <c r="P6" s="1"/>
      <c r="Q6" s="1"/>
      <c r="R6" s="1"/>
      <c r="S6" s="1"/>
    </row>
    <row r="7" spans="1:19" x14ac:dyDescent="0.25">
      <c r="A7" s="26"/>
      <c r="B7" s="23"/>
      <c r="C7" s="23"/>
      <c r="D7" s="24"/>
      <c r="E7" s="24"/>
      <c r="F7" s="24"/>
      <c r="G7" s="24"/>
      <c r="H7" s="24"/>
      <c r="I7" s="24"/>
      <c r="J7" s="24"/>
      <c r="K7" s="24"/>
      <c r="L7" s="24"/>
      <c r="M7" s="24"/>
      <c r="N7" s="24"/>
      <c r="O7" s="24"/>
      <c r="P7" s="1"/>
      <c r="Q7" s="1"/>
      <c r="R7" s="1"/>
      <c r="S7" s="1"/>
    </row>
    <row r="8" spans="1:19" x14ac:dyDescent="0.25">
      <c r="A8" s="26"/>
      <c r="B8" s="23"/>
      <c r="C8" s="23"/>
      <c r="D8" s="24"/>
      <c r="E8" s="24"/>
      <c r="F8" s="24"/>
      <c r="G8" s="24"/>
      <c r="H8" s="24"/>
      <c r="I8" s="24"/>
      <c r="J8" s="24"/>
      <c r="K8" s="24"/>
      <c r="L8" s="24"/>
      <c r="M8" s="24"/>
      <c r="N8" s="24"/>
      <c r="O8" s="24"/>
      <c r="P8" s="1"/>
      <c r="Q8" s="1"/>
      <c r="R8" s="1"/>
      <c r="S8" s="1"/>
    </row>
    <row r="9" spans="1:19" x14ac:dyDescent="0.25">
      <c r="A9" s="26"/>
      <c r="B9" s="23"/>
      <c r="C9" s="23"/>
      <c r="D9" s="24"/>
      <c r="E9" s="24"/>
      <c r="F9" s="24"/>
      <c r="G9" s="24"/>
      <c r="H9" s="24"/>
      <c r="I9" s="24"/>
      <c r="J9" s="24"/>
      <c r="K9" s="24"/>
      <c r="L9" s="24"/>
      <c r="M9" s="24"/>
      <c r="N9" s="24"/>
      <c r="O9" s="24"/>
      <c r="P9" s="1"/>
      <c r="Q9" s="1"/>
      <c r="R9" s="1"/>
      <c r="S9" s="1"/>
    </row>
    <row r="10" spans="1:19" ht="15.75" customHeight="1" x14ac:dyDescent="0.25">
      <c r="A10" s="26"/>
      <c r="B10" s="23"/>
      <c r="C10" s="23"/>
      <c r="D10" s="24"/>
      <c r="E10" s="24"/>
      <c r="F10" s="24"/>
      <c r="G10" s="24"/>
      <c r="H10" s="24"/>
      <c r="I10" s="24"/>
      <c r="J10" s="24"/>
      <c r="K10" s="24"/>
      <c r="L10" s="24"/>
      <c r="M10" s="24"/>
      <c r="N10" s="24"/>
      <c r="O10" s="24"/>
      <c r="P10" s="1"/>
      <c r="Q10" s="1"/>
      <c r="R10" s="1"/>
      <c r="S10" s="1"/>
    </row>
    <row r="11" spans="1:19" x14ac:dyDescent="0.25">
      <c r="A11" s="26"/>
      <c r="B11" s="23"/>
      <c r="C11" s="23"/>
      <c r="D11" s="24"/>
      <c r="E11" s="24"/>
      <c r="F11" s="24"/>
      <c r="G11" s="24"/>
      <c r="H11" s="24"/>
      <c r="I11" s="24"/>
      <c r="J11" s="24"/>
      <c r="K11" s="24"/>
      <c r="L11" s="24"/>
      <c r="M11" s="24"/>
      <c r="N11" s="24"/>
      <c r="O11" s="24"/>
      <c r="P11" s="1"/>
      <c r="Q11" s="1"/>
      <c r="R11" s="1"/>
      <c r="S11" s="1"/>
    </row>
    <row r="12" spans="1:19" x14ac:dyDescent="0.25">
      <c r="A12" s="26"/>
      <c r="B12" s="23"/>
      <c r="C12" s="23"/>
      <c r="D12" s="24"/>
      <c r="E12" s="24"/>
      <c r="F12" s="24"/>
      <c r="G12" s="24"/>
      <c r="H12" s="24"/>
      <c r="I12" s="24"/>
      <c r="J12" s="24"/>
      <c r="K12" s="24"/>
      <c r="L12" s="24"/>
      <c r="M12" s="24"/>
      <c r="N12" s="24"/>
      <c r="O12" s="24"/>
      <c r="P12" s="1"/>
      <c r="Q12" s="1"/>
      <c r="R12" s="1"/>
      <c r="S12" s="1"/>
    </row>
    <row r="13" spans="1:19" x14ac:dyDescent="0.25">
      <c r="A13" s="26"/>
      <c r="B13" s="23"/>
      <c r="C13" s="23"/>
      <c r="D13" s="24"/>
      <c r="E13" s="24"/>
      <c r="F13" s="24"/>
      <c r="G13" s="24"/>
      <c r="H13" s="24"/>
      <c r="I13" s="24"/>
      <c r="J13" s="24"/>
      <c r="K13" s="24"/>
      <c r="L13" s="24"/>
      <c r="M13" s="24"/>
      <c r="N13" s="24"/>
      <c r="O13" s="24"/>
      <c r="P13" s="1"/>
      <c r="Q13" s="1"/>
      <c r="R13" s="1"/>
    </row>
    <row r="14" spans="1:19" x14ac:dyDescent="0.25">
      <c r="A14" s="26"/>
      <c r="B14" s="23"/>
      <c r="C14" s="23"/>
      <c r="D14" s="24"/>
      <c r="E14" s="24"/>
      <c r="F14" s="24"/>
      <c r="G14" s="24"/>
      <c r="H14" s="24"/>
      <c r="I14" s="24"/>
      <c r="J14" s="24"/>
      <c r="K14" s="24"/>
      <c r="L14" s="24"/>
      <c r="M14" s="24"/>
      <c r="N14" s="24"/>
      <c r="O14" s="24"/>
    </row>
    <row r="15" spans="1:19" x14ac:dyDescent="0.25">
      <c r="A15" s="26"/>
      <c r="B15" s="23"/>
      <c r="C15" s="23"/>
      <c r="D15" s="24"/>
      <c r="E15" s="24"/>
      <c r="F15" s="24"/>
      <c r="G15" s="24"/>
      <c r="H15" s="24"/>
      <c r="I15" s="24"/>
      <c r="J15" s="24"/>
      <c r="K15" s="24"/>
      <c r="L15" s="24"/>
      <c r="M15" s="24"/>
      <c r="N15" s="24"/>
      <c r="O15" s="24"/>
    </row>
    <row r="16" spans="1:19" x14ac:dyDescent="0.25">
      <c r="A16" s="26"/>
      <c r="B16" s="23"/>
      <c r="C16" s="23"/>
      <c r="D16" s="24"/>
      <c r="E16" s="24"/>
      <c r="F16" s="24"/>
      <c r="G16" s="24"/>
      <c r="H16" s="24"/>
      <c r="I16" s="24"/>
      <c r="J16" s="24"/>
      <c r="K16" s="24"/>
      <c r="L16" s="24"/>
      <c r="M16" s="24"/>
      <c r="N16" s="24"/>
      <c r="O16" s="24"/>
    </row>
    <row r="17" spans="1:15" x14ac:dyDescent="0.25">
      <c r="A17" s="26"/>
      <c r="B17" s="23"/>
      <c r="C17" s="23"/>
      <c r="D17" s="24"/>
      <c r="E17" s="24"/>
      <c r="F17" s="24"/>
      <c r="G17" s="24"/>
      <c r="H17" s="24"/>
      <c r="I17" s="24"/>
      <c r="J17" s="24"/>
      <c r="K17" s="24"/>
      <c r="L17" s="24"/>
      <c r="M17" s="24"/>
      <c r="N17" s="24"/>
      <c r="O17" s="24"/>
    </row>
    <row r="18" spans="1:15" x14ac:dyDescent="0.25">
      <c r="A18" s="26"/>
      <c r="B18" s="23"/>
      <c r="C18" s="23"/>
      <c r="D18" s="24"/>
      <c r="E18" s="24"/>
      <c r="F18" s="24"/>
      <c r="G18" s="24"/>
      <c r="H18" s="24"/>
      <c r="I18" s="24"/>
      <c r="J18" s="24"/>
      <c r="K18" s="24"/>
      <c r="L18" s="24"/>
      <c r="M18" s="24"/>
      <c r="N18" s="24"/>
      <c r="O18" s="24"/>
    </row>
    <row r="19" spans="1:15" x14ac:dyDescent="0.25">
      <c r="A19" s="26"/>
      <c r="B19" s="23"/>
      <c r="C19" s="23"/>
      <c r="D19" s="24"/>
      <c r="E19" s="24"/>
      <c r="F19" s="24"/>
      <c r="G19" s="24"/>
      <c r="H19" s="24"/>
      <c r="I19" s="24"/>
      <c r="J19" s="24"/>
      <c r="K19" s="24"/>
      <c r="L19" s="24"/>
      <c r="M19" s="24"/>
      <c r="N19" s="24"/>
      <c r="O19" s="24"/>
    </row>
    <row r="20" spans="1:15" x14ac:dyDescent="0.25">
      <c r="A20" s="26"/>
      <c r="D20" s="24"/>
      <c r="E20" s="24"/>
      <c r="F20" s="24"/>
      <c r="G20" s="24"/>
      <c r="H20" s="24"/>
      <c r="I20" s="24"/>
      <c r="J20" s="24"/>
      <c r="K20" s="24"/>
      <c r="L20" s="24"/>
      <c r="M20" s="24"/>
      <c r="N20" s="24"/>
      <c r="O20" s="24"/>
    </row>
    <row r="21" spans="1:15" x14ac:dyDescent="0.25">
      <c r="A21" s="26"/>
      <c r="B21" s="23"/>
      <c r="C21" s="23"/>
      <c r="D21" s="24"/>
      <c r="E21" s="24"/>
      <c r="F21" s="24"/>
      <c r="G21" s="24"/>
      <c r="H21" s="24"/>
      <c r="I21" s="24"/>
      <c r="J21" s="24"/>
      <c r="K21" s="24"/>
      <c r="L21" s="24"/>
      <c r="M21" s="24"/>
      <c r="N21" s="24"/>
      <c r="O21" s="24"/>
    </row>
    <row r="22" spans="1:15" x14ac:dyDescent="0.25">
      <c r="A22" s="26"/>
      <c r="B22" s="23"/>
      <c r="C22" s="23"/>
      <c r="D22" s="24"/>
      <c r="E22" s="24"/>
      <c r="F22" s="24"/>
      <c r="G22" s="24"/>
      <c r="H22" s="24"/>
      <c r="I22" s="24"/>
      <c r="J22" s="24"/>
      <c r="K22" s="24"/>
      <c r="L22" s="24"/>
      <c r="M22" s="24"/>
      <c r="N22" s="24"/>
      <c r="O22" s="24"/>
    </row>
    <row r="23" spans="1:15" x14ac:dyDescent="0.25">
      <c r="A23" s="26"/>
      <c r="B23" s="23"/>
      <c r="C23" s="23"/>
      <c r="D23" s="24"/>
      <c r="E23" s="24"/>
      <c r="F23" s="24"/>
      <c r="G23" s="24"/>
      <c r="H23" s="24"/>
      <c r="I23" s="24"/>
      <c r="J23" s="24"/>
      <c r="K23" s="24"/>
      <c r="L23" s="24"/>
      <c r="M23" s="24"/>
      <c r="N23" s="24"/>
      <c r="O23" s="24"/>
    </row>
    <row r="24" spans="1:15" x14ac:dyDescent="0.25">
      <c r="A24" s="26"/>
      <c r="B24" s="23"/>
      <c r="C24" s="23"/>
      <c r="D24" s="24"/>
      <c r="E24" s="24"/>
      <c r="F24" s="24"/>
      <c r="G24" s="24"/>
      <c r="H24" s="24"/>
      <c r="I24" s="24"/>
      <c r="J24" s="24"/>
      <c r="K24" s="24"/>
      <c r="L24" s="24"/>
      <c r="M24" s="24"/>
      <c r="N24" s="24"/>
      <c r="O24" s="24"/>
    </row>
    <row r="25" spans="1:15" x14ac:dyDescent="0.25">
      <c r="A25" s="26"/>
      <c r="B25" s="23"/>
      <c r="C25" s="23"/>
      <c r="D25" s="24"/>
      <c r="E25" s="24"/>
      <c r="F25" s="24"/>
      <c r="G25" s="24"/>
      <c r="H25" s="24"/>
      <c r="I25" s="24"/>
      <c r="J25" s="24"/>
      <c r="K25" s="24"/>
      <c r="L25" s="24"/>
      <c r="M25" s="24"/>
      <c r="N25" s="24"/>
      <c r="O25" s="24"/>
    </row>
    <row r="26" spans="1:15" x14ac:dyDescent="0.25">
      <c r="A26" s="26"/>
      <c r="B26" s="23"/>
      <c r="C26" s="23"/>
      <c r="D26" s="24"/>
      <c r="E26" s="24"/>
      <c r="F26" s="24"/>
      <c r="G26" s="24"/>
      <c r="H26" s="24"/>
      <c r="I26" s="24"/>
      <c r="J26" s="24"/>
      <c r="K26" s="24"/>
      <c r="L26" s="24"/>
      <c r="M26" s="24"/>
      <c r="N26" s="24"/>
      <c r="O26" s="24"/>
    </row>
    <row r="27" spans="1:15" x14ac:dyDescent="0.25">
      <c r="A27" s="26"/>
      <c r="B27" s="23"/>
      <c r="C27" s="23"/>
      <c r="D27" s="24"/>
      <c r="E27" s="24"/>
      <c r="F27" s="24"/>
      <c r="G27" s="24"/>
      <c r="H27" s="24"/>
      <c r="I27" s="24"/>
      <c r="J27" s="24"/>
      <c r="K27" s="24"/>
      <c r="L27" s="24"/>
      <c r="M27" s="24"/>
      <c r="N27" s="24"/>
      <c r="O27" s="24"/>
    </row>
    <row r="28" spans="1:15" x14ac:dyDescent="0.25">
      <c r="A28" s="26"/>
      <c r="B28" s="23"/>
      <c r="C28" s="23"/>
      <c r="D28" s="24"/>
      <c r="E28" s="24"/>
      <c r="F28" s="24"/>
      <c r="G28" s="24"/>
      <c r="H28" s="24"/>
      <c r="I28" s="24"/>
      <c r="J28" s="24"/>
      <c r="K28" s="24"/>
      <c r="L28" s="24"/>
      <c r="M28" s="24"/>
      <c r="N28" s="24"/>
      <c r="O28" s="24"/>
    </row>
    <row r="29" spans="1:15" x14ac:dyDescent="0.25">
      <c r="A29" s="26"/>
      <c r="B29" s="23"/>
      <c r="C29" s="23"/>
      <c r="D29" s="24"/>
      <c r="E29" s="24"/>
      <c r="F29" s="24"/>
      <c r="G29" s="24"/>
      <c r="H29" s="24"/>
      <c r="I29" s="24"/>
      <c r="J29" s="24"/>
      <c r="K29" s="24"/>
      <c r="L29" s="24"/>
      <c r="M29" s="24"/>
      <c r="N29" s="24"/>
      <c r="O29" s="24"/>
    </row>
    <row r="30" spans="1:15" x14ac:dyDescent="0.25">
      <c r="A30" s="26"/>
      <c r="B30" s="23"/>
      <c r="C30" s="23"/>
      <c r="D30" s="24"/>
      <c r="E30" s="24"/>
      <c r="F30" s="24"/>
      <c r="G30" s="24"/>
      <c r="H30" s="24"/>
      <c r="I30" s="24"/>
      <c r="J30" s="24"/>
      <c r="K30" s="24"/>
      <c r="L30" s="24"/>
      <c r="M30" s="24"/>
      <c r="N30" s="24"/>
      <c r="O30" s="24"/>
    </row>
    <row r="31" spans="1:15" x14ac:dyDescent="0.25">
      <c r="A31" s="26"/>
      <c r="B31" s="23"/>
      <c r="C31" s="23"/>
      <c r="D31" s="24"/>
      <c r="E31" s="24"/>
      <c r="F31" s="24"/>
      <c r="G31" s="24"/>
      <c r="H31" s="24"/>
      <c r="I31" s="24"/>
      <c r="J31" s="24"/>
      <c r="K31" s="24"/>
      <c r="L31" s="24"/>
      <c r="M31" s="24"/>
      <c r="N31" s="24"/>
      <c r="O31" s="24"/>
    </row>
    <row r="32" spans="1:15" x14ac:dyDescent="0.25">
      <c r="A32" s="26"/>
      <c r="B32" s="23"/>
      <c r="C32" s="23"/>
      <c r="D32" s="24"/>
      <c r="E32" s="24"/>
      <c r="F32" s="24"/>
      <c r="G32" s="24"/>
      <c r="H32" s="24"/>
      <c r="I32" s="24"/>
      <c r="J32" s="24"/>
      <c r="K32" s="24"/>
      <c r="L32" s="24"/>
      <c r="M32" s="24"/>
      <c r="N32" s="24"/>
      <c r="O32" s="24"/>
    </row>
    <row r="33" spans="1:15" x14ac:dyDescent="0.25">
      <c r="A33" s="26"/>
      <c r="B33" s="23"/>
      <c r="C33" s="23"/>
      <c r="D33" s="24"/>
      <c r="E33" s="24"/>
      <c r="F33" s="24"/>
      <c r="G33" s="24"/>
      <c r="H33" s="24"/>
      <c r="I33" s="24"/>
      <c r="J33" s="24"/>
      <c r="K33" s="24"/>
      <c r="L33" s="24"/>
      <c r="M33" s="24"/>
      <c r="N33" s="24"/>
      <c r="O33" s="24"/>
    </row>
    <row r="34" spans="1:15" x14ac:dyDescent="0.25">
      <c r="A34" s="26"/>
      <c r="B34" s="23"/>
      <c r="C34" s="23"/>
      <c r="D34" s="24"/>
      <c r="E34" s="24"/>
      <c r="F34" s="24"/>
      <c r="G34" s="24"/>
      <c r="H34" s="24"/>
      <c r="I34" s="24"/>
      <c r="J34" s="24"/>
      <c r="K34" s="24"/>
      <c r="L34" s="24"/>
      <c r="M34" s="24"/>
      <c r="N34" s="24"/>
      <c r="O34" s="24"/>
    </row>
    <row r="35" spans="1:15" x14ac:dyDescent="0.25">
      <c r="A35" s="26"/>
      <c r="B35" s="23"/>
      <c r="C35" s="23"/>
      <c r="D35" s="24"/>
      <c r="E35" s="24"/>
      <c r="F35" s="24"/>
      <c r="G35" s="24"/>
      <c r="H35" s="24"/>
      <c r="I35" s="24"/>
      <c r="J35" s="24"/>
      <c r="K35" s="24"/>
      <c r="L35" s="24"/>
      <c r="M35" s="24"/>
      <c r="N35" s="24"/>
      <c r="O35" s="24"/>
    </row>
    <row r="36" spans="1:15" x14ac:dyDescent="0.25">
      <c r="A36" s="26"/>
      <c r="B36" s="23"/>
      <c r="C36" s="23"/>
      <c r="D36" s="24"/>
      <c r="E36" s="24"/>
      <c r="F36" s="24"/>
      <c r="G36" s="24"/>
      <c r="H36" s="24"/>
      <c r="I36" s="24"/>
      <c r="J36" s="24"/>
      <c r="K36" s="24"/>
      <c r="L36" s="24"/>
      <c r="M36" s="24"/>
      <c r="N36" s="24"/>
      <c r="O36" s="24"/>
    </row>
    <row r="37" spans="1:15" x14ac:dyDescent="0.25">
      <c r="A37" s="26"/>
      <c r="B37" s="23"/>
      <c r="C37" s="23"/>
      <c r="D37" s="24"/>
      <c r="E37" s="24"/>
      <c r="F37" s="24"/>
      <c r="G37" s="24"/>
      <c r="H37" s="24"/>
      <c r="I37" s="24"/>
      <c r="J37" s="24"/>
      <c r="K37" s="24"/>
      <c r="L37" s="24"/>
      <c r="M37" s="24"/>
      <c r="N37" s="24"/>
      <c r="O37" s="24"/>
    </row>
    <row r="38" spans="1:15" x14ac:dyDescent="0.25">
      <c r="A38" s="26"/>
      <c r="B38" s="23"/>
      <c r="C38" s="23"/>
      <c r="D38" s="24"/>
      <c r="E38" s="24"/>
      <c r="F38" s="24"/>
      <c r="G38" s="24"/>
      <c r="H38" s="24"/>
      <c r="I38" s="24"/>
      <c r="J38" s="24"/>
      <c r="K38" s="24"/>
      <c r="L38" s="24"/>
      <c r="M38" s="24"/>
      <c r="N38" s="24"/>
      <c r="O38" s="24"/>
    </row>
    <row r="39" spans="1:15" x14ac:dyDescent="0.25">
      <c r="A39" s="26"/>
      <c r="B39" s="23"/>
      <c r="C39" s="23"/>
      <c r="D39" s="24"/>
      <c r="E39" s="24"/>
      <c r="F39" s="24"/>
      <c r="G39" s="24"/>
      <c r="H39" s="24"/>
      <c r="I39" s="24"/>
      <c r="J39" s="24"/>
      <c r="K39" s="24"/>
      <c r="L39" s="24"/>
      <c r="M39" s="24"/>
      <c r="N39" s="24"/>
      <c r="O39" s="24"/>
    </row>
    <row r="40" spans="1:15" x14ac:dyDescent="0.25">
      <c r="A40" s="26"/>
      <c r="B40" s="23"/>
      <c r="C40" s="23"/>
      <c r="D40" s="24"/>
      <c r="E40" s="24"/>
      <c r="F40" s="24"/>
      <c r="G40" s="24"/>
      <c r="H40" s="24"/>
      <c r="I40" s="24"/>
      <c r="J40" s="24"/>
      <c r="K40" s="24"/>
      <c r="L40" s="24"/>
      <c r="M40" s="24"/>
      <c r="N40" s="24"/>
      <c r="O40" s="24"/>
    </row>
    <row r="41" spans="1:15" x14ac:dyDescent="0.25">
      <c r="A41" s="26"/>
      <c r="B41" s="23"/>
      <c r="C41" s="23"/>
      <c r="D41" s="24"/>
      <c r="E41" s="24"/>
      <c r="F41" s="24"/>
      <c r="G41" s="24"/>
      <c r="H41" s="24"/>
      <c r="I41" s="24"/>
      <c r="J41" s="24"/>
      <c r="K41" s="24"/>
      <c r="L41" s="24"/>
      <c r="M41" s="24"/>
      <c r="N41" s="24"/>
      <c r="O41" s="24"/>
    </row>
    <row r="42" spans="1:15" x14ac:dyDescent="0.25">
      <c r="A42" s="26"/>
      <c r="B42" s="23"/>
      <c r="C42" s="23"/>
      <c r="D42" s="24"/>
      <c r="E42" s="24"/>
      <c r="F42" s="24"/>
      <c r="G42" s="24"/>
      <c r="H42" s="24"/>
      <c r="I42" s="24"/>
      <c r="J42" s="24"/>
      <c r="K42" s="24"/>
      <c r="L42" s="24"/>
      <c r="M42" s="24"/>
      <c r="N42" s="24"/>
      <c r="O42" s="24"/>
    </row>
    <row r="43" spans="1:15" x14ac:dyDescent="0.25">
      <c r="A43" s="26"/>
      <c r="B43" s="23"/>
      <c r="C43" s="23"/>
      <c r="D43" s="24"/>
      <c r="E43" s="24"/>
      <c r="F43" s="24"/>
      <c r="G43" s="24"/>
      <c r="H43" s="24"/>
      <c r="I43" s="24"/>
      <c r="J43" s="24"/>
      <c r="K43" s="24"/>
      <c r="L43" s="24"/>
      <c r="M43" s="24"/>
      <c r="N43" s="24"/>
      <c r="O43" s="24"/>
    </row>
    <row r="44" spans="1:15" x14ac:dyDescent="0.25">
      <c r="A44" s="26"/>
      <c r="B44" s="23"/>
      <c r="C44" s="23"/>
      <c r="D44" s="24"/>
      <c r="E44" s="24"/>
      <c r="F44" s="24"/>
      <c r="G44" s="24"/>
      <c r="H44" s="24"/>
      <c r="I44" s="24"/>
      <c r="J44" s="24"/>
      <c r="K44" s="24"/>
      <c r="L44" s="24"/>
      <c r="M44" s="24"/>
      <c r="N44" s="24"/>
      <c r="O44" s="24"/>
    </row>
    <row r="45" spans="1:15" x14ac:dyDescent="0.25">
      <c r="A45" s="26"/>
      <c r="B45" s="23"/>
      <c r="C45" s="23"/>
      <c r="D45" s="24"/>
      <c r="E45" s="24"/>
      <c r="F45" s="24"/>
      <c r="G45" s="24"/>
      <c r="H45" s="24"/>
      <c r="I45" s="24"/>
      <c r="J45" s="24"/>
      <c r="K45" s="24"/>
      <c r="L45" s="24"/>
      <c r="M45" s="24"/>
      <c r="N45" s="24"/>
      <c r="O45" s="24"/>
    </row>
    <row r="46" spans="1:15" x14ac:dyDescent="0.25">
      <c r="A46" s="26"/>
      <c r="B46" s="23"/>
      <c r="C46" s="23"/>
      <c r="D46" s="24"/>
      <c r="E46" s="24"/>
      <c r="F46" s="24"/>
      <c r="G46" s="24"/>
      <c r="H46" s="24"/>
      <c r="I46" s="24"/>
      <c r="J46" s="24"/>
      <c r="K46" s="24"/>
      <c r="L46" s="24"/>
      <c r="M46" s="24"/>
      <c r="N46" s="24"/>
      <c r="O46" s="24"/>
    </row>
    <row r="47" spans="1:15" x14ac:dyDescent="0.25">
      <c r="A47" s="26"/>
      <c r="B47" s="23"/>
      <c r="C47" s="23"/>
      <c r="D47" s="24"/>
      <c r="E47" s="24"/>
      <c r="F47" s="24"/>
      <c r="G47" s="24"/>
      <c r="H47" s="24"/>
      <c r="I47" s="24"/>
      <c r="J47" s="24"/>
      <c r="K47" s="24"/>
      <c r="L47" s="24"/>
      <c r="M47" s="24"/>
      <c r="N47" s="24"/>
      <c r="O47" s="24"/>
    </row>
    <row r="48" spans="1:15" x14ac:dyDescent="0.25">
      <c r="A48" s="26"/>
      <c r="B48" s="23"/>
      <c r="C48" s="23"/>
      <c r="D48" s="24"/>
      <c r="E48" s="24"/>
      <c r="F48" s="24"/>
      <c r="G48" s="24"/>
      <c r="H48" s="24"/>
      <c r="I48" s="24"/>
      <c r="J48" s="24"/>
      <c r="K48" s="24"/>
      <c r="L48" s="24"/>
      <c r="M48" s="24"/>
      <c r="N48" s="24"/>
      <c r="O48" s="24"/>
    </row>
    <row r="49" spans="1:15" x14ac:dyDescent="0.25">
      <c r="A49" s="26"/>
      <c r="B49" s="23"/>
      <c r="C49" s="23"/>
      <c r="D49" s="24"/>
      <c r="E49" s="24"/>
      <c r="F49" s="24"/>
      <c r="G49" s="24"/>
      <c r="H49" s="24"/>
      <c r="I49" s="24"/>
      <c r="J49" s="24"/>
      <c r="K49" s="24"/>
      <c r="L49" s="24"/>
      <c r="M49" s="24"/>
      <c r="N49" s="24"/>
      <c r="O49" s="24"/>
    </row>
    <row r="50" spans="1:15" x14ac:dyDescent="0.25">
      <c r="A50" s="26"/>
      <c r="B50" s="23"/>
      <c r="C50" s="23"/>
      <c r="D50" s="24"/>
      <c r="E50" s="24"/>
      <c r="F50" s="24"/>
      <c r="G50" s="24"/>
      <c r="H50" s="24"/>
      <c r="I50" s="24"/>
      <c r="J50" s="24"/>
      <c r="K50" s="24"/>
      <c r="L50" s="24"/>
      <c r="M50" s="24"/>
      <c r="N50" s="24"/>
      <c r="O50" s="24"/>
    </row>
    <row r="51" spans="1:15" x14ac:dyDescent="0.25">
      <c r="A51" s="26"/>
      <c r="B51" s="23"/>
      <c r="C51" s="23"/>
      <c r="D51" s="24"/>
      <c r="E51" s="24"/>
      <c r="F51" s="24"/>
      <c r="G51" s="24"/>
      <c r="H51" s="24"/>
      <c r="I51" s="24"/>
      <c r="J51" s="24"/>
      <c r="K51" s="24"/>
      <c r="L51" s="24"/>
      <c r="M51" s="24"/>
      <c r="N51" s="24"/>
      <c r="O51" s="24"/>
    </row>
    <row r="52" spans="1:15" x14ac:dyDescent="0.25">
      <c r="A52" s="26"/>
      <c r="B52" s="23"/>
      <c r="C52" s="23"/>
      <c r="D52" s="24"/>
      <c r="E52" s="24"/>
      <c r="F52" s="24"/>
      <c r="G52" s="24"/>
      <c r="H52" s="24"/>
      <c r="I52" s="24"/>
      <c r="J52" s="24"/>
      <c r="K52" s="24"/>
      <c r="L52" s="24"/>
      <c r="M52" s="24"/>
      <c r="N52" s="24"/>
      <c r="O52" s="24"/>
    </row>
    <row r="53" spans="1:15" x14ac:dyDescent="0.25">
      <c r="A53" s="26"/>
      <c r="D53" s="24"/>
      <c r="E53" s="24"/>
      <c r="F53" s="24"/>
      <c r="G53" s="24"/>
      <c r="H53" s="24"/>
      <c r="I53" s="24"/>
      <c r="J53" s="24"/>
      <c r="K53" s="24"/>
      <c r="L53" s="24"/>
      <c r="M53" s="24"/>
      <c r="N53" s="24"/>
      <c r="O53" s="24"/>
    </row>
    <row r="54" spans="1:15" x14ac:dyDescent="0.25">
      <c r="A54" s="26"/>
      <c r="B54" s="23"/>
      <c r="C54" s="23"/>
      <c r="D54" s="24"/>
      <c r="E54" s="24"/>
      <c r="F54" s="24"/>
      <c r="G54" s="24"/>
      <c r="H54" s="24"/>
      <c r="I54" s="24"/>
      <c r="J54" s="24"/>
      <c r="K54" s="24"/>
      <c r="L54" s="24"/>
      <c r="M54" s="24"/>
      <c r="N54" s="24"/>
      <c r="O54" s="24"/>
    </row>
    <row r="55" spans="1:15" x14ac:dyDescent="0.25">
      <c r="A55" s="26"/>
      <c r="B55" s="23"/>
      <c r="C55" s="23"/>
      <c r="D55" s="24"/>
      <c r="E55" s="24"/>
      <c r="F55" s="24"/>
      <c r="G55" s="24"/>
      <c r="H55" s="24"/>
      <c r="I55" s="24"/>
      <c r="J55" s="24"/>
      <c r="K55" s="24"/>
      <c r="L55" s="24"/>
      <c r="M55" s="24"/>
      <c r="N55" s="24"/>
      <c r="O55" s="24"/>
    </row>
    <row r="56" spans="1:15" x14ac:dyDescent="0.25">
      <c r="A56" s="26"/>
      <c r="D56" s="24"/>
      <c r="E56" s="24"/>
      <c r="F56" s="24"/>
      <c r="G56" s="24"/>
      <c r="H56" s="24"/>
      <c r="I56" s="24"/>
      <c r="J56" s="24"/>
      <c r="K56" s="24"/>
      <c r="L56" s="24"/>
      <c r="M56" s="24"/>
      <c r="N56" s="24"/>
      <c r="O56" s="24"/>
    </row>
    <row r="57" spans="1:15" x14ac:dyDescent="0.25">
      <c r="A57" s="26"/>
      <c r="B57" s="23"/>
      <c r="C57" s="23"/>
      <c r="D57" s="24"/>
      <c r="E57" s="24"/>
      <c r="F57" s="24"/>
      <c r="G57" s="24"/>
      <c r="H57" s="24"/>
      <c r="I57" s="24"/>
      <c r="J57" s="24"/>
      <c r="K57" s="24"/>
      <c r="L57" s="24"/>
      <c r="M57" s="24"/>
      <c r="N57" s="24"/>
      <c r="O57" s="24"/>
    </row>
    <row r="58" spans="1:15" x14ac:dyDescent="0.25">
      <c r="A58" s="26"/>
      <c r="B58" s="23"/>
      <c r="C58" s="23"/>
      <c r="D58" s="24"/>
      <c r="E58" s="24"/>
      <c r="F58" s="24"/>
      <c r="G58" s="24"/>
      <c r="H58" s="24"/>
      <c r="I58" s="24"/>
      <c r="J58" s="24"/>
      <c r="K58" s="24"/>
      <c r="L58" s="24"/>
      <c r="M58" s="24"/>
      <c r="N58" s="24"/>
      <c r="O58" s="24"/>
    </row>
    <row r="59" spans="1:15" x14ac:dyDescent="0.25">
      <c r="A59" s="26"/>
    </row>
    <row r="60" spans="1:15" x14ac:dyDescent="0.25">
      <c r="A60" s="26"/>
    </row>
    <row r="61" spans="1:15" x14ac:dyDescent="0.25">
      <c r="A61" s="26"/>
    </row>
    <row r="62" spans="1:15" x14ac:dyDescent="0.25">
      <c r="A62" s="26"/>
    </row>
    <row r="63" spans="1:15" x14ac:dyDescent="0.25">
      <c r="A63" s="26"/>
    </row>
    <row r="64" spans="1:15" x14ac:dyDescent="0.25">
      <c r="A64" s="26"/>
    </row>
  </sheetData>
  <pageMargins left="0.7" right="0.7" top="0.75" bottom="0.75" header="0.3" footer="0.3"/>
  <pageSetup orientation="portrait" horizontalDpi="1200" verticalDpi="12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
  <sheetViews>
    <sheetView workbookViewId="0">
      <selection activeCell="E16" sqref="E16"/>
    </sheetView>
  </sheetViews>
  <sheetFormatPr defaultRowHeight="15" x14ac:dyDescent="0.25"/>
  <cols>
    <col min="1" max="1" width="16.875" bestFit="1" customWidth="1"/>
    <col min="4" max="5" width="11" bestFit="1" customWidth="1"/>
  </cols>
  <sheetData>
    <row r="1" spans="1:1" x14ac:dyDescent="0.25">
      <c r="A1" s="31">
        <v>1000000</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C24"/>
  <sheetViews>
    <sheetView workbookViewId="0">
      <selection activeCell="E15" sqref="E15"/>
    </sheetView>
  </sheetViews>
  <sheetFormatPr defaultRowHeight="15" x14ac:dyDescent="0.25"/>
  <cols>
    <col min="1" max="1" width="13.25" bestFit="1" customWidth="1"/>
    <col min="4" max="5" width="11" bestFit="1" customWidth="1"/>
  </cols>
  <sheetData>
    <row r="1" spans="1:3" x14ac:dyDescent="0.25">
      <c r="A1" s="23" t="s">
        <v>32</v>
      </c>
      <c r="B1" s="23" t="s">
        <v>33</v>
      </c>
      <c r="C1">
        <v>7</v>
      </c>
    </row>
    <row r="2" spans="1:3" x14ac:dyDescent="0.25">
      <c r="A2" s="23"/>
      <c r="B2" s="23"/>
    </row>
    <row r="3" spans="1:3" x14ac:dyDescent="0.25">
      <c r="A3" s="23"/>
      <c r="B3" s="23"/>
    </row>
    <row r="4" spans="1:3" x14ac:dyDescent="0.25">
      <c r="A4" s="23"/>
      <c r="B4" s="23"/>
      <c r="C4" s="23"/>
    </row>
    <row r="5" spans="1:3" x14ac:dyDescent="0.25">
      <c r="A5" s="23"/>
      <c r="B5" s="23"/>
      <c r="C5" s="23"/>
    </row>
    <row r="6" spans="1:3" x14ac:dyDescent="0.25">
      <c r="A6" s="23"/>
      <c r="B6" s="23"/>
      <c r="C6" s="23"/>
    </row>
    <row r="7" spans="1:3" x14ac:dyDescent="0.25">
      <c r="A7" s="23"/>
      <c r="B7" s="23"/>
      <c r="C7" s="23"/>
    </row>
    <row r="8" spans="1:3" x14ac:dyDescent="0.25">
      <c r="A8" s="23"/>
      <c r="B8" s="23"/>
      <c r="C8" s="23"/>
    </row>
    <row r="9" spans="1:3" x14ac:dyDescent="0.25">
      <c r="A9" s="23"/>
      <c r="B9" s="23"/>
      <c r="C9" s="23"/>
    </row>
    <row r="10" spans="1:3" x14ac:dyDescent="0.25">
      <c r="A10" s="23"/>
      <c r="B10" s="23"/>
      <c r="C10" s="23"/>
    </row>
    <row r="11" spans="1:3" x14ac:dyDescent="0.25">
      <c r="A11" s="23"/>
      <c r="B11" s="23"/>
      <c r="C11" s="23"/>
    </row>
    <row r="12" spans="1:3" x14ac:dyDescent="0.25">
      <c r="A12" s="23"/>
      <c r="B12" s="23"/>
      <c r="C12" s="23"/>
    </row>
    <row r="13" spans="1:3" x14ac:dyDescent="0.25">
      <c r="A13" s="23"/>
      <c r="B13" s="23"/>
      <c r="C13" s="23"/>
    </row>
    <row r="14" spans="1:3" x14ac:dyDescent="0.25">
      <c r="A14" s="23"/>
      <c r="B14" s="23"/>
      <c r="C14" s="23"/>
    </row>
    <row r="15" spans="1:3" x14ac:dyDescent="0.25">
      <c r="A15" s="23"/>
      <c r="B15" s="23"/>
      <c r="C15" s="23"/>
    </row>
    <row r="16" spans="1:3" x14ac:dyDescent="0.25">
      <c r="A16" s="23"/>
      <c r="B16" s="23"/>
      <c r="C16" s="23"/>
    </row>
    <row r="17" spans="1:3" x14ac:dyDescent="0.25">
      <c r="A17" s="23"/>
      <c r="B17" s="23"/>
      <c r="C17" s="23"/>
    </row>
    <row r="18" spans="1:3" x14ac:dyDescent="0.25">
      <c r="A18" s="23"/>
      <c r="B18" s="23"/>
      <c r="C18" s="23"/>
    </row>
    <row r="19" spans="1:3" x14ac:dyDescent="0.25">
      <c r="A19" s="23"/>
      <c r="B19" s="23"/>
      <c r="C19" s="23"/>
    </row>
    <row r="20" spans="1:3" x14ac:dyDescent="0.25">
      <c r="A20" s="23"/>
      <c r="B20" s="23"/>
      <c r="C20" s="23"/>
    </row>
    <row r="21" spans="1:3" x14ac:dyDescent="0.25">
      <c r="A21" s="23"/>
      <c r="B21" s="23"/>
      <c r="C21" s="23"/>
    </row>
    <row r="22" spans="1:3" x14ac:dyDescent="0.25">
      <c r="A22" s="23"/>
      <c r="B22" s="23"/>
      <c r="C22" s="23"/>
    </row>
    <row r="23" spans="1:3" x14ac:dyDescent="0.25">
      <c r="A23" s="23"/>
      <c r="B23" s="23"/>
      <c r="C23" s="23"/>
    </row>
    <row r="24" spans="1:3" x14ac:dyDescent="0.25">
      <c r="A24" s="23"/>
      <c r="B24" s="23"/>
      <c r="C24" s="23"/>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C24"/>
  <sheetViews>
    <sheetView workbookViewId="0">
      <selection activeCell="A2" sqref="A2:C20"/>
    </sheetView>
  </sheetViews>
  <sheetFormatPr defaultRowHeight="15" x14ac:dyDescent="0.25"/>
  <cols>
    <col min="1" max="1" width="13.25" bestFit="1" customWidth="1"/>
    <col min="4" max="5" width="11" bestFit="1" customWidth="1"/>
  </cols>
  <sheetData>
    <row r="1" spans="1:3" x14ac:dyDescent="0.25">
      <c r="A1" s="23" t="s">
        <v>32</v>
      </c>
      <c r="B1" s="23" t="s">
        <v>33</v>
      </c>
      <c r="C1" s="23">
        <v>0.1</v>
      </c>
    </row>
    <row r="2" spans="1:3" x14ac:dyDescent="0.25">
      <c r="A2" s="23"/>
      <c r="B2" s="23"/>
      <c r="C2" s="23"/>
    </row>
    <row r="3" spans="1:3" x14ac:dyDescent="0.25">
      <c r="A3" s="23"/>
      <c r="B3" s="23"/>
      <c r="C3" s="23"/>
    </row>
    <row r="4" spans="1:3" x14ac:dyDescent="0.25">
      <c r="A4" s="23"/>
      <c r="B4" s="23"/>
      <c r="C4" s="23"/>
    </row>
    <row r="5" spans="1:3" x14ac:dyDescent="0.25">
      <c r="A5" s="23"/>
      <c r="B5" s="23"/>
      <c r="C5" s="23"/>
    </row>
    <row r="6" spans="1:3" x14ac:dyDescent="0.25">
      <c r="A6" s="23"/>
      <c r="B6" s="23"/>
      <c r="C6" s="23"/>
    </row>
    <row r="7" spans="1:3" x14ac:dyDescent="0.25">
      <c r="A7" s="23"/>
      <c r="B7" s="23"/>
      <c r="C7" s="23"/>
    </row>
    <row r="8" spans="1:3" x14ac:dyDescent="0.25">
      <c r="A8" s="23"/>
      <c r="B8" s="23"/>
      <c r="C8" s="23"/>
    </row>
    <row r="9" spans="1:3" x14ac:dyDescent="0.25">
      <c r="A9" s="23"/>
      <c r="B9" s="23"/>
      <c r="C9" s="23"/>
    </row>
    <row r="10" spans="1:3" x14ac:dyDescent="0.25">
      <c r="A10" s="23"/>
      <c r="B10" s="23"/>
      <c r="C10" s="23"/>
    </row>
    <row r="11" spans="1:3" x14ac:dyDescent="0.25">
      <c r="A11" s="23"/>
      <c r="B11" s="23"/>
      <c r="C11" s="23"/>
    </row>
    <row r="12" spans="1:3" x14ac:dyDescent="0.25">
      <c r="A12" s="23"/>
      <c r="B12" s="23"/>
      <c r="C12" s="23"/>
    </row>
    <row r="13" spans="1:3" x14ac:dyDescent="0.25">
      <c r="A13" s="23"/>
      <c r="B13" s="23"/>
      <c r="C13" s="23"/>
    </row>
    <row r="14" spans="1:3" x14ac:dyDescent="0.25">
      <c r="A14" s="23"/>
      <c r="B14" s="23"/>
      <c r="C14" s="23"/>
    </row>
    <row r="15" spans="1:3" x14ac:dyDescent="0.25">
      <c r="A15" s="23"/>
      <c r="B15" s="23"/>
      <c r="C15" s="23"/>
    </row>
    <row r="16" spans="1:3" x14ac:dyDescent="0.25">
      <c r="A16" s="23"/>
      <c r="B16" s="23"/>
      <c r="C16" s="23"/>
    </row>
    <row r="17" spans="1:3" x14ac:dyDescent="0.25">
      <c r="A17" s="23"/>
      <c r="B17" s="23"/>
      <c r="C17" s="23"/>
    </row>
    <row r="18" spans="1:3" x14ac:dyDescent="0.25">
      <c r="A18" s="23"/>
      <c r="B18" s="23"/>
      <c r="C18" s="23"/>
    </row>
    <row r="19" spans="1:3" x14ac:dyDescent="0.25">
      <c r="A19" s="23"/>
      <c r="B19" s="23"/>
      <c r="C19" s="23"/>
    </row>
    <row r="20" spans="1:3" x14ac:dyDescent="0.25">
      <c r="A20" s="23"/>
      <c r="B20" s="23"/>
      <c r="C20" s="23"/>
    </row>
    <row r="21" spans="1:3" x14ac:dyDescent="0.25">
      <c r="A21" s="23"/>
      <c r="B21" s="23"/>
      <c r="C21" s="23"/>
    </row>
    <row r="22" spans="1:3" x14ac:dyDescent="0.25">
      <c r="A22" s="23"/>
      <c r="B22" s="23"/>
      <c r="C22" s="23"/>
    </row>
    <row r="23" spans="1:3" x14ac:dyDescent="0.25">
      <c r="A23" s="23"/>
      <c r="B23" s="23"/>
      <c r="C23" s="23"/>
    </row>
    <row r="24" spans="1:3" x14ac:dyDescent="0.25">
      <c r="A24" s="23"/>
      <c r="B24" s="23"/>
      <c r="C24"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12"/>
  <sheetViews>
    <sheetView zoomScale="85" zoomScaleNormal="85" workbookViewId="0">
      <selection activeCell="H21" sqref="H21"/>
    </sheetView>
  </sheetViews>
  <sheetFormatPr defaultRowHeight="15" x14ac:dyDescent="0.25"/>
  <cols>
    <col min="2" max="2" width="10.25" bestFit="1" customWidth="1"/>
  </cols>
  <sheetData>
    <row r="1" spans="1:1" x14ac:dyDescent="0.25">
      <c r="A1" t="s">
        <v>19</v>
      </c>
    </row>
    <row r="2" spans="1:1" x14ac:dyDescent="0.25">
      <c r="A2" t="s">
        <v>20</v>
      </c>
    </row>
    <row r="3" spans="1:1" x14ac:dyDescent="0.25">
      <c r="A3" t="s">
        <v>21</v>
      </c>
    </row>
    <row r="4" spans="1:1" x14ac:dyDescent="0.25">
      <c r="A4" t="s">
        <v>22</v>
      </c>
    </row>
    <row r="5" spans="1:1" x14ac:dyDescent="0.25">
      <c r="A5" t="s">
        <v>23</v>
      </c>
    </row>
    <row r="6" spans="1:1" x14ac:dyDescent="0.25">
      <c r="A6" t="s">
        <v>24</v>
      </c>
    </row>
    <row r="7" spans="1:1" x14ac:dyDescent="0.25">
      <c r="A7" t="s">
        <v>25</v>
      </c>
    </row>
    <row r="8" spans="1:1" x14ac:dyDescent="0.25">
      <c r="A8" t="s">
        <v>26</v>
      </c>
    </row>
    <row r="9" spans="1:1" x14ac:dyDescent="0.25">
      <c r="A9" t="s">
        <v>27</v>
      </c>
    </row>
    <row r="10" spans="1:1" x14ac:dyDescent="0.25">
      <c r="A10" t="s">
        <v>28</v>
      </c>
    </row>
    <row r="11" spans="1:1" x14ac:dyDescent="0.25">
      <c r="A11" t="s">
        <v>29</v>
      </c>
    </row>
    <row r="12" spans="1:1" x14ac:dyDescent="0.25">
      <c r="A12" t="s">
        <v>30</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B1"/>
  <sheetViews>
    <sheetView workbookViewId="0">
      <selection activeCell="G11" sqref="G11"/>
    </sheetView>
  </sheetViews>
  <sheetFormatPr defaultRowHeight="15" x14ac:dyDescent="0.25"/>
  <cols>
    <col min="1" max="1" width="13.25" bestFit="1" customWidth="1"/>
    <col min="2" max="2" width="10.625" bestFit="1" customWidth="1"/>
  </cols>
  <sheetData>
    <row r="1" spans="1:2" x14ac:dyDescent="0.25">
      <c r="A1" t="s">
        <v>4</v>
      </c>
      <c r="B1" s="31">
        <v>1000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A30"/>
  <sheetViews>
    <sheetView workbookViewId="0">
      <selection activeCell="K19" sqref="K19"/>
    </sheetView>
  </sheetViews>
  <sheetFormatPr defaultColWidth="9.125" defaultRowHeight="15" x14ac:dyDescent="0.25"/>
  <cols>
    <col min="1" max="16384" width="9.125" style="23"/>
  </cols>
  <sheetData>
    <row r="1" spans="1:1" x14ac:dyDescent="0.25">
      <c r="A1" s="23" t="s">
        <v>345</v>
      </c>
    </row>
    <row r="2" spans="1:1" x14ac:dyDescent="0.25">
      <c r="A2" s="23" t="s">
        <v>346</v>
      </c>
    </row>
    <row r="3" spans="1:1" x14ac:dyDescent="0.25">
      <c r="A3" s="23" t="s">
        <v>347</v>
      </c>
    </row>
    <row r="4" spans="1:1" x14ac:dyDescent="0.25">
      <c r="A4" s="23" t="s">
        <v>348</v>
      </c>
    </row>
    <row r="5" spans="1:1" x14ac:dyDescent="0.25">
      <c r="A5" s="23" t="s">
        <v>349</v>
      </c>
    </row>
    <row r="6" spans="1:1" x14ac:dyDescent="0.25">
      <c r="A6" s="23" t="s">
        <v>350</v>
      </c>
    </row>
    <row r="7" spans="1:1" x14ac:dyDescent="0.25">
      <c r="A7" s="23" t="s">
        <v>351</v>
      </c>
    </row>
    <row r="8" spans="1:1" x14ac:dyDescent="0.25">
      <c r="A8" s="23" t="s">
        <v>352</v>
      </c>
    </row>
    <row r="9" spans="1:1" x14ac:dyDescent="0.25">
      <c r="A9" s="23" t="s">
        <v>353</v>
      </c>
    </row>
    <row r="10" spans="1:1" x14ac:dyDescent="0.25">
      <c r="A10" s="23" t="s">
        <v>354</v>
      </c>
    </row>
    <row r="11" spans="1:1" x14ac:dyDescent="0.25">
      <c r="A11" s="23" t="s">
        <v>355</v>
      </c>
    </row>
    <row r="12" spans="1:1" x14ac:dyDescent="0.25">
      <c r="A12" s="23" t="s">
        <v>356</v>
      </c>
    </row>
    <row r="13" spans="1:1" x14ac:dyDescent="0.25">
      <c r="A13" s="23" t="s">
        <v>357</v>
      </c>
    </row>
    <row r="14" spans="1:1" x14ac:dyDescent="0.25">
      <c r="A14" s="23" t="s">
        <v>358</v>
      </c>
    </row>
    <row r="15" spans="1:1" x14ac:dyDescent="0.25">
      <c r="A15" s="23" t="s">
        <v>359</v>
      </c>
    </row>
    <row r="16" spans="1:1" x14ac:dyDescent="0.25">
      <c r="A16" s="23" t="s">
        <v>360</v>
      </c>
    </row>
    <row r="17" spans="1:1" x14ac:dyDescent="0.25">
      <c r="A17" s="23" t="s">
        <v>361</v>
      </c>
    </row>
    <row r="18" spans="1:1" x14ac:dyDescent="0.25">
      <c r="A18" s="23" t="s">
        <v>362</v>
      </c>
    </row>
    <row r="19" spans="1:1" x14ac:dyDescent="0.25">
      <c r="A19" s="23" t="s">
        <v>363</v>
      </c>
    </row>
    <row r="20" spans="1:1" x14ac:dyDescent="0.25">
      <c r="A20" s="23" t="s">
        <v>364</v>
      </c>
    </row>
    <row r="21" spans="1:1" x14ac:dyDescent="0.25">
      <c r="A21" s="23" t="s">
        <v>397</v>
      </c>
    </row>
    <row r="22" spans="1:1" x14ac:dyDescent="0.25">
      <c r="A22" s="23" t="s">
        <v>398</v>
      </c>
    </row>
    <row r="23" spans="1:1" x14ac:dyDescent="0.25">
      <c r="A23" s="23" t="s">
        <v>399</v>
      </c>
    </row>
    <row r="24" spans="1:1" x14ac:dyDescent="0.25">
      <c r="A24" s="23" t="s">
        <v>400</v>
      </c>
    </row>
    <row r="25" spans="1:1" x14ac:dyDescent="0.25">
      <c r="A25" s="23" t="s">
        <v>401</v>
      </c>
    </row>
    <row r="26" spans="1:1" x14ac:dyDescent="0.25">
      <c r="A26" s="23" t="s">
        <v>402</v>
      </c>
    </row>
    <row r="27" spans="1:1" x14ac:dyDescent="0.25">
      <c r="A27" s="23" t="s">
        <v>403</v>
      </c>
    </row>
    <row r="28" spans="1:1" x14ac:dyDescent="0.25">
      <c r="A28" s="23" t="s">
        <v>404</v>
      </c>
    </row>
    <row r="29" spans="1:1" x14ac:dyDescent="0.25">
      <c r="A29" s="23" t="s">
        <v>405</v>
      </c>
    </row>
    <row r="30" spans="1:1" x14ac:dyDescent="0.25">
      <c r="A30" s="23" t="s">
        <v>406</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B30"/>
  <sheetViews>
    <sheetView topLeftCell="A12" zoomScale="85" zoomScaleNormal="85" workbookViewId="0">
      <selection activeCell="R25" sqref="R25"/>
    </sheetView>
  </sheetViews>
  <sheetFormatPr defaultColWidth="9.125" defaultRowHeight="15" x14ac:dyDescent="0.25"/>
  <cols>
    <col min="1" max="16384" width="9.125" style="23"/>
  </cols>
  <sheetData>
    <row r="1" spans="1:2" x14ac:dyDescent="0.25">
      <c r="A1" s="23" t="s">
        <v>345</v>
      </c>
      <c r="B1" s="23">
        <v>0.1</v>
      </c>
    </row>
    <row r="2" spans="1:2" x14ac:dyDescent="0.25">
      <c r="A2" s="23" t="s">
        <v>346</v>
      </c>
      <c r="B2" s="23">
        <v>0.2</v>
      </c>
    </row>
    <row r="3" spans="1:2" x14ac:dyDescent="0.25">
      <c r="A3" s="23" t="s">
        <v>347</v>
      </c>
      <c r="B3" s="23">
        <v>0.3</v>
      </c>
    </row>
    <row r="4" spans="1:2" x14ac:dyDescent="0.25">
      <c r="A4" s="23" t="s">
        <v>348</v>
      </c>
      <c r="B4" s="23">
        <v>0.4</v>
      </c>
    </row>
    <row r="5" spans="1:2" x14ac:dyDescent="0.25">
      <c r="A5" s="23" t="s">
        <v>349</v>
      </c>
      <c r="B5" s="23">
        <v>0.5</v>
      </c>
    </row>
    <row r="6" spans="1:2" x14ac:dyDescent="0.25">
      <c r="A6" s="23" t="s">
        <v>350</v>
      </c>
      <c r="B6" s="23">
        <v>0.6</v>
      </c>
    </row>
    <row r="7" spans="1:2" x14ac:dyDescent="0.25">
      <c r="A7" s="23" t="s">
        <v>351</v>
      </c>
      <c r="B7" s="23">
        <v>0.7</v>
      </c>
    </row>
    <row r="8" spans="1:2" x14ac:dyDescent="0.25">
      <c r="A8" s="23" t="s">
        <v>352</v>
      </c>
      <c r="B8" s="23">
        <v>0.8</v>
      </c>
    </row>
    <row r="9" spans="1:2" x14ac:dyDescent="0.25">
      <c r="A9" s="23" t="s">
        <v>353</v>
      </c>
      <c r="B9" s="23">
        <v>0.9</v>
      </c>
    </row>
    <row r="10" spans="1:2" x14ac:dyDescent="0.25">
      <c r="A10" s="23" t="s">
        <v>354</v>
      </c>
      <c r="B10" s="23">
        <v>1</v>
      </c>
    </row>
    <row r="11" spans="1:2" x14ac:dyDescent="0.25">
      <c r="A11" s="23" t="s">
        <v>355</v>
      </c>
      <c r="B11" s="23">
        <v>1.01</v>
      </c>
    </row>
    <row r="12" spans="1:2" x14ac:dyDescent="0.25">
      <c r="A12" s="23" t="s">
        <v>356</v>
      </c>
      <c r="B12" s="23">
        <v>1.02</v>
      </c>
    </row>
    <row r="13" spans="1:2" x14ac:dyDescent="0.25">
      <c r="A13" s="23" t="s">
        <v>357</v>
      </c>
      <c r="B13" s="23">
        <v>1.03</v>
      </c>
    </row>
    <row r="14" spans="1:2" x14ac:dyDescent="0.25">
      <c r="A14" s="23" t="s">
        <v>358</v>
      </c>
      <c r="B14" s="23">
        <v>1.04</v>
      </c>
    </row>
    <row r="15" spans="1:2" x14ac:dyDescent="0.25">
      <c r="A15" s="23" t="s">
        <v>359</v>
      </c>
      <c r="B15" s="23">
        <v>1.05</v>
      </c>
    </row>
    <row r="16" spans="1:2" x14ac:dyDescent="0.25">
      <c r="A16" s="23" t="s">
        <v>360</v>
      </c>
      <c r="B16" s="23">
        <v>1.06</v>
      </c>
    </row>
    <row r="17" spans="1:2" x14ac:dyDescent="0.25">
      <c r="A17" s="23" t="s">
        <v>361</v>
      </c>
      <c r="B17" s="23">
        <v>1.07</v>
      </c>
    </row>
    <row r="18" spans="1:2" x14ac:dyDescent="0.25">
      <c r="A18" s="23" t="s">
        <v>362</v>
      </c>
      <c r="B18" s="23">
        <v>1.08</v>
      </c>
    </row>
    <row r="19" spans="1:2" x14ac:dyDescent="0.25">
      <c r="A19" s="23" t="s">
        <v>363</v>
      </c>
      <c r="B19" s="23">
        <v>1.0900000000000001</v>
      </c>
    </row>
    <row r="20" spans="1:2" x14ac:dyDescent="0.25">
      <c r="A20" s="23" t="s">
        <v>364</v>
      </c>
      <c r="B20" s="23">
        <v>1.1000000000000001</v>
      </c>
    </row>
    <row r="21" spans="1:2" x14ac:dyDescent="0.25">
      <c r="A21" s="23" t="s">
        <v>397</v>
      </c>
      <c r="B21" s="23">
        <v>1.1100000000000001</v>
      </c>
    </row>
    <row r="22" spans="1:2" x14ac:dyDescent="0.25">
      <c r="A22" s="23" t="s">
        <v>398</v>
      </c>
      <c r="B22" s="23">
        <v>1.1200000000000001</v>
      </c>
    </row>
    <row r="23" spans="1:2" x14ac:dyDescent="0.25">
      <c r="A23" s="23" t="s">
        <v>399</v>
      </c>
      <c r="B23" s="23">
        <v>1.1299999999999999</v>
      </c>
    </row>
    <row r="24" spans="1:2" x14ac:dyDescent="0.25">
      <c r="A24" s="23" t="s">
        <v>400</v>
      </c>
      <c r="B24" s="23">
        <v>1.1399999999999999</v>
      </c>
    </row>
    <row r="25" spans="1:2" x14ac:dyDescent="0.25">
      <c r="A25" s="23" t="s">
        <v>401</v>
      </c>
      <c r="B25" s="23">
        <v>1.1499999999999999</v>
      </c>
    </row>
    <row r="26" spans="1:2" x14ac:dyDescent="0.25">
      <c r="A26" s="23" t="s">
        <v>402</v>
      </c>
      <c r="B26" s="23">
        <v>1.1599999999999999</v>
      </c>
    </row>
    <row r="27" spans="1:2" x14ac:dyDescent="0.25">
      <c r="A27" s="23" t="s">
        <v>403</v>
      </c>
      <c r="B27" s="23">
        <v>1.17</v>
      </c>
    </row>
    <row r="28" spans="1:2" x14ac:dyDescent="0.25">
      <c r="A28" s="23" t="s">
        <v>404</v>
      </c>
      <c r="B28" s="23">
        <v>1.18</v>
      </c>
    </row>
    <row r="29" spans="1:2" x14ac:dyDescent="0.25">
      <c r="A29" s="23" t="s">
        <v>405</v>
      </c>
      <c r="B29" s="23">
        <v>1.19</v>
      </c>
    </row>
    <row r="30" spans="1:2" x14ac:dyDescent="0.25">
      <c r="A30" s="23" t="s">
        <v>406</v>
      </c>
      <c r="B30" s="23">
        <v>1.2</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A10"/>
  <sheetViews>
    <sheetView workbookViewId="0">
      <selection activeCell="N13" sqref="N13"/>
    </sheetView>
  </sheetViews>
  <sheetFormatPr defaultRowHeight="15" x14ac:dyDescent="0.25"/>
  <sheetData>
    <row r="1" spans="1:1" x14ac:dyDescent="0.25">
      <c r="A1" s="23" t="s">
        <v>407</v>
      </c>
    </row>
    <row r="2" spans="1:1" x14ac:dyDescent="0.25">
      <c r="A2" s="23" t="s">
        <v>408</v>
      </c>
    </row>
    <row r="3" spans="1:1" x14ac:dyDescent="0.25">
      <c r="A3" s="23" t="s">
        <v>409</v>
      </c>
    </row>
    <row r="4" spans="1:1" x14ac:dyDescent="0.25">
      <c r="A4" s="23" t="s">
        <v>410</v>
      </c>
    </row>
    <row r="5" spans="1:1" x14ac:dyDescent="0.25">
      <c r="A5" s="23" t="s">
        <v>411</v>
      </c>
    </row>
    <row r="6" spans="1:1" x14ac:dyDescent="0.25">
      <c r="A6" s="23" t="s">
        <v>412</v>
      </c>
    </row>
    <row r="7" spans="1:1" x14ac:dyDescent="0.25">
      <c r="A7" s="23" t="s">
        <v>413</v>
      </c>
    </row>
    <row r="8" spans="1:1" x14ac:dyDescent="0.25">
      <c r="A8" s="23" t="s">
        <v>414</v>
      </c>
    </row>
    <row r="9" spans="1:1" x14ac:dyDescent="0.25">
      <c r="A9" s="23" t="s">
        <v>415</v>
      </c>
    </row>
    <row r="10" spans="1:1" x14ac:dyDescent="0.25">
      <c r="A10" s="23" t="s">
        <v>416</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B10"/>
  <sheetViews>
    <sheetView workbookViewId="0">
      <selection activeCell="Q13" sqref="Q13"/>
    </sheetView>
  </sheetViews>
  <sheetFormatPr defaultColWidth="9.125" defaultRowHeight="15" x14ac:dyDescent="0.25"/>
  <cols>
    <col min="1" max="16384" width="9.125" style="23"/>
  </cols>
  <sheetData>
    <row r="1" spans="1:2" x14ac:dyDescent="0.25">
      <c r="A1" s="23" t="s">
        <v>407</v>
      </c>
      <c r="B1" s="23">
        <v>22.339834539269997</v>
      </c>
    </row>
    <row r="2" spans="1:2" x14ac:dyDescent="0.25">
      <c r="A2" s="23" t="s">
        <v>408</v>
      </c>
      <c r="B2" s="23">
        <v>26.063140295815</v>
      </c>
    </row>
    <row r="3" spans="1:2" x14ac:dyDescent="0.25">
      <c r="A3" s="23" t="s">
        <v>409</v>
      </c>
      <c r="B3" s="23">
        <v>29.786446052359999</v>
      </c>
    </row>
    <row r="4" spans="1:2" x14ac:dyDescent="0.25">
      <c r="A4" s="23" t="s">
        <v>410</v>
      </c>
      <c r="B4" s="23">
        <v>33.509751808905001</v>
      </c>
    </row>
    <row r="5" spans="1:2" x14ac:dyDescent="0.25">
      <c r="A5" s="23" t="s">
        <v>411</v>
      </c>
      <c r="B5" s="23">
        <v>37.233057565449997</v>
      </c>
    </row>
    <row r="6" spans="1:2" x14ac:dyDescent="0.25">
      <c r="A6" s="23" t="s">
        <v>412</v>
      </c>
      <c r="B6" s="23">
        <v>40.956363321994999</v>
      </c>
    </row>
    <row r="7" spans="1:2" x14ac:dyDescent="0.25">
      <c r="A7" s="23" t="s">
        <v>413</v>
      </c>
      <c r="B7" s="23">
        <v>44.679669078539995</v>
      </c>
    </row>
    <row r="8" spans="1:2" x14ac:dyDescent="0.25">
      <c r="A8" s="23" t="s">
        <v>414</v>
      </c>
      <c r="B8" s="23">
        <v>48.402974835084997</v>
      </c>
    </row>
    <row r="9" spans="1:2" x14ac:dyDescent="0.25">
      <c r="A9" s="23" t="s">
        <v>415</v>
      </c>
      <c r="B9" s="23">
        <v>52.12628059163</v>
      </c>
    </row>
    <row r="10" spans="1:2" x14ac:dyDescent="0.25">
      <c r="A10" s="23" t="s">
        <v>416</v>
      </c>
      <c r="B10" s="23">
        <v>55.849586348174995</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theme="7" tint="0.39997558519241921"/>
  </sheetPr>
  <dimension ref="A1:M136"/>
  <sheetViews>
    <sheetView zoomScale="65" zoomScaleNormal="90" workbookViewId="0">
      <selection activeCell="N113" sqref="N113"/>
    </sheetView>
  </sheetViews>
  <sheetFormatPr defaultColWidth="9.125" defaultRowHeight="15" x14ac:dyDescent="0.25"/>
  <cols>
    <col min="1" max="1" width="9.125" style="23"/>
    <col min="2" max="2" width="13.875" style="23" customWidth="1"/>
    <col min="3" max="3" width="13.125" style="23" bestFit="1" customWidth="1"/>
    <col min="4" max="4" width="14" style="23" customWidth="1"/>
    <col min="5" max="5" width="11.25" style="23" customWidth="1"/>
    <col min="6" max="6" width="9.125" style="23"/>
    <col min="7" max="7" width="10.125" style="23" bestFit="1" customWidth="1"/>
    <col min="8" max="8" width="13.125" style="23" bestFit="1" customWidth="1"/>
    <col min="9" max="9" width="24.875" style="23" bestFit="1" customWidth="1"/>
    <col min="10" max="10" width="13.375" style="23" customWidth="1"/>
    <col min="11" max="16384" width="9.125" style="23"/>
  </cols>
  <sheetData>
    <row r="1" spans="1:9" x14ac:dyDescent="0.25">
      <c r="B1" s="23" t="s">
        <v>75</v>
      </c>
      <c r="C1" s="23" t="s">
        <v>76</v>
      </c>
      <c r="D1" s="23" t="s">
        <v>77</v>
      </c>
      <c r="E1" s="23" t="s">
        <v>78</v>
      </c>
      <c r="I1" s="23" t="s">
        <v>79</v>
      </c>
    </row>
    <row r="2" spans="1:9" x14ac:dyDescent="0.25">
      <c r="A2" s="23">
        <v>0</v>
      </c>
      <c r="B2" s="23">
        <v>0</v>
      </c>
      <c r="C2" s="23">
        <v>1399.0320000000002</v>
      </c>
      <c r="D2" s="23">
        <v>0</v>
      </c>
      <c r="E2" s="23">
        <f>(B3-B2/C3-C2)*2</f>
        <v>317907.2183832</v>
      </c>
      <c r="I2" s="23">
        <v>1399.0320000000002</v>
      </c>
    </row>
    <row r="3" spans="1:9" x14ac:dyDescent="0.25">
      <c r="A3" s="23">
        <v>1</v>
      </c>
      <c r="B3" s="23">
        <v>160352.64119160001</v>
      </c>
      <c r="C3" s="23">
        <v>1402.0800000000002</v>
      </c>
      <c r="D3" s="23">
        <f>E2-D2</f>
        <v>317907.2183832</v>
      </c>
      <c r="E3" s="23">
        <f t="shared" ref="E3:E18" si="0">(B4-B3/C4-C3)*2</f>
        <v>1598027.0490112202</v>
      </c>
    </row>
    <row r="4" spans="1:9" x14ac:dyDescent="0.25">
      <c r="A4" s="23">
        <v>2</v>
      </c>
      <c r="B4" s="23">
        <v>800529.72410267999</v>
      </c>
      <c r="C4" s="23">
        <v>1405.1280000000002</v>
      </c>
      <c r="D4" s="23">
        <f>E3-D3</f>
        <v>1280119.8306280202</v>
      </c>
      <c r="E4" s="23">
        <f t="shared" si="0"/>
        <v>4286102.6628393326</v>
      </c>
    </row>
    <row r="5" spans="1:9" x14ac:dyDescent="0.25">
      <c r="A5" s="23">
        <v>3</v>
      </c>
      <c r="B5" s="23">
        <v>2145024.9464014801</v>
      </c>
      <c r="C5" s="23">
        <v>1408.1760000000002</v>
      </c>
      <c r="D5" s="23">
        <f t="shared" ref="D5:D19" si="1">E4-D4</f>
        <v>3005982.8322113124</v>
      </c>
      <c r="E5" s="23">
        <f t="shared" si="0"/>
        <v>8519970.2823303919</v>
      </c>
    </row>
    <row r="6" spans="1:9" x14ac:dyDescent="0.25">
      <c r="A6" s="23">
        <v>4</v>
      </c>
      <c r="B6" s="23">
        <v>4262913.2919859197</v>
      </c>
      <c r="C6" s="23">
        <v>1411.2240000000002</v>
      </c>
      <c r="D6" s="23">
        <f t="shared" si="1"/>
        <v>5513987.45011908</v>
      </c>
      <c r="E6" s="23">
        <f t="shared" si="0"/>
        <v>14637512.681381175</v>
      </c>
    </row>
    <row r="7" spans="1:9" x14ac:dyDescent="0.25">
      <c r="A7" s="23">
        <v>5</v>
      </c>
      <c r="B7" s="23">
        <v>7323181.7750348402</v>
      </c>
      <c r="C7" s="23">
        <v>1414.2720000000002</v>
      </c>
      <c r="D7" s="23">
        <f t="shared" si="1"/>
        <v>9123525.2312620953</v>
      </c>
      <c r="E7" s="23">
        <f t="shared" si="0"/>
        <v>22771714.443631914</v>
      </c>
    </row>
    <row r="8" spans="1:9" x14ac:dyDescent="0.25">
      <c r="A8" s="23">
        <v>6</v>
      </c>
      <c r="B8" s="23">
        <v>11392438.41573552</v>
      </c>
      <c r="C8" s="23">
        <v>1417.3200000000002</v>
      </c>
      <c r="D8" s="23">
        <f t="shared" si="1"/>
        <v>13648189.212369818</v>
      </c>
      <c r="E8" s="23">
        <f t="shared" si="0"/>
        <v>32559846.592044104</v>
      </c>
    </row>
    <row r="9" spans="1:9" x14ac:dyDescent="0.25">
      <c r="A9" s="23">
        <v>7</v>
      </c>
      <c r="B9" s="23">
        <v>16289361.381355921</v>
      </c>
      <c r="C9" s="23">
        <v>1420.3680000000002</v>
      </c>
      <c r="D9" s="23">
        <f t="shared" si="1"/>
        <v>18911657.379674286</v>
      </c>
      <c r="E9" s="23">
        <f t="shared" si="0"/>
        <v>43691335.477174677</v>
      </c>
    </row>
    <row r="10" spans="1:9" x14ac:dyDescent="0.25">
      <c r="A10" s="23">
        <v>8</v>
      </c>
      <c r="B10" s="23">
        <v>21858531.958125722</v>
      </c>
      <c r="C10" s="23">
        <v>1423.4160000000002</v>
      </c>
      <c r="D10" s="23">
        <f t="shared" si="1"/>
        <v>24779678.097500391</v>
      </c>
      <c r="E10" s="23">
        <f t="shared" si="0"/>
        <v>46059203.504166842</v>
      </c>
    </row>
    <row r="11" spans="1:9" x14ac:dyDescent="0.25">
      <c r="A11" s="23">
        <v>9</v>
      </c>
      <c r="B11" s="23">
        <v>23046374.984798882</v>
      </c>
      <c r="C11" s="23">
        <v>1424.0256000000002</v>
      </c>
      <c r="D11" s="23">
        <f t="shared" si="1"/>
        <v>21279525.40666645</v>
      </c>
      <c r="E11" s="23">
        <f t="shared" si="0"/>
        <v>55718219.216748796</v>
      </c>
    </row>
    <row r="12" spans="1:9" x14ac:dyDescent="0.25">
      <c r="A12" s="23">
        <v>10</v>
      </c>
      <c r="B12" s="23">
        <v>27876689.930232</v>
      </c>
      <c r="C12" s="23">
        <v>1426.4640000000002</v>
      </c>
      <c r="D12" s="23">
        <f t="shared" si="1"/>
        <v>34438693.810082346</v>
      </c>
      <c r="E12" s="23">
        <f t="shared" si="0"/>
        <v>69279825.65379253</v>
      </c>
    </row>
    <row r="13" spans="1:9" x14ac:dyDescent="0.25">
      <c r="A13" s="23">
        <v>11</v>
      </c>
      <c r="B13" s="23">
        <v>34660840.134492002</v>
      </c>
      <c r="C13" s="23">
        <v>1429.5120000000002</v>
      </c>
      <c r="D13" s="23">
        <f t="shared" si="1"/>
        <v>34841131.843710184</v>
      </c>
      <c r="E13" s="23">
        <f t="shared" si="0"/>
        <v>84072213.437714234</v>
      </c>
    </row>
    <row r="14" spans="1:9" x14ac:dyDescent="0.25">
      <c r="A14" s="23">
        <v>12</v>
      </c>
      <c r="B14" s="23">
        <v>42061731.266411997</v>
      </c>
      <c r="C14" s="23">
        <v>1432.5600000000002</v>
      </c>
      <c r="D14" s="23">
        <f t="shared" si="1"/>
        <v>49231081.59400405</v>
      </c>
      <c r="E14" s="23">
        <f t="shared" si="0"/>
        <v>100343960.10857148</v>
      </c>
    </row>
    <row r="15" spans="1:9" x14ac:dyDescent="0.25">
      <c r="A15" s="23">
        <v>13</v>
      </c>
      <c r="B15" s="23">
        <v>50202711.511523999</v>
      </c>
      <c r="C15" s="23">
        <v>1435.6080000000002</v>
      </c>
      <c r="D15" s="23">
        <f t="shared" si="1"/>
        <v>51112878.514567435</v>
      </c>
      <c r="E15" s="23">
        <f t="shared" si="0"/>
        <v>118094899.39706072</v>
      </c>
    </row>
    <row r="16" spans="1:9" x14ac:dyDescent="0.25">
      <c r="A16" s="23">
        <v>14</v>
      </c>
      <c r="B16" s="23">
        <v>59083780.869828001</v>
      </c>
      <c r="C16" s="23">
        <v>1438.6560000000002</v>
      </c>
      <c r="D16" s="23">
        <f t="shared" si="1"/>
        <v>66982020.882493287</v>
      </c>
      <c r="E16" s="23">
        <f t="shared" si="0"/>
        <v>137571733.92546424</v>
      </c>
    </row>
    <row r="17" spans="1:13" x14ac:dyDescent="0.25">
      <c r="A17" s="23">
        <v>15</v>
      </c>
      <c r="B17" s="23">
        <v>68828287.526856005</v>
      </c>
      <c r="C17" s="23">
        <v>1441.7040000000002</v>
      </c>
      <c r="D17" s="23">
        <f t="shared" si="1"/>
        <v>70589713.042970955</v>
      </c>
      <c r="E17" s="23">
        <f t="shared" si="0"/>
        <v>159020995.50987345</v>
      </c>
    </row>
    <row r="18" spans="1:13" x14ac:dyDescent="0.25">
      <c r="A18" s="23">
        <v>16</v>
      </c>
      <c r="B18" s="23">
        <v>79559579.668139994</v>
      </c>
      <c r="C18" s="23">
        <v>1444.7520000000002</v>
      </c>
      <c r="D18" s="23">
        <f t="shared" si="1"/>
        <v>88431282.466902494</v>
      </c>
      <c r="E18" s="23">
        <f t="shared" si="0"/>
        <v>182195824.60997781</v>
      </c>
    </row>
    <row r="19" spans="1:13" x14ac:dyDescent="0.25">
      <c r="A19" s="23">
        <v>17</v>
      </c>
      <c r="B19" s="23">
        <v>91154309.108148009</v>
      </c>
      <c r="C19" s="23">
        <v>1447.8000000000002</v>
      </c>
      <c r="D19" s="23">
        <f t="shared" si="1"/>
        <v>93764542.143075317</v>
      </c>
      <c r="E19" s="23">
        <f>(B19/C19)*2</f>
        <v>125921.1342839453</v>
      </c>
    </row>
    <row r="25" spans="1:13" x14ac:dyDescent="0.25">
      <c r="A25" s="28" t="s">
        <v>52</v>
      </c>
      <c r="B25" s="28" t="s">
        <v>80</v>
      </c>
      <c r="I25" s="29" t="s">
        <v>81</v>
      </c>
    </row>
    <row r="26" spans="1:13" x14ac:dyDescent="0.25">
      <c r="A26" s="30"/>
      <c r="B26" s="30" t="s">
        <v>75</v>
      </c>
      <c r="C26" s="30" t="s">
        <v>76</v>
      </c>
      <c r="D26" s="30" t="s">
        <v>77</v>
      </c>
      <c r="E26" s="30" t="s">
        <v>78</v>
      </c>
      <c r="F26" s="30" t="s">
        <v>82</v>
      </c>
      <c r="G26" s="30" t="s">
        <v>83</v>
      </c>
      <c r="H26" s="30"/>
      <c r="I26" s="30" t="s">
        <v>84</v>
      </c>
      <c r="J26" s="30" t="s">
        <v>85</v>
      </c>
      <c r="K26" s="30"/>
      <c r="L26" s="30" t="s">
        <v>82</v>
      </c>
      <c r="M26" s="30" t="s">
        <v>86</v>
      </c>
    </row>
    <row r="27" spans="1:13" x14ac:dyDescent="0.25">
      <c r="B27" s="23">
        <f>I27*1233.48/1000000</f>
        <v>0</v>
      </c>
      <c r="C27" s="23">
        <f t="shared" ref="C27:C40" si="2">J27*0.3048</f>
        <v>1690.4208000000001</v>
      </c>
      <c r="D27" s="23">
        <v>0</v>
      </c>
      <c r="E27" s="23">
        <f>(B28-B27)/(C28-C27)*2*1000000</f>
        <v>19078.008998875132</v>
      </c>
      <c r="F27" s="23" t="s">
        <v>19</v>
      </c>
      <c r="G27" s="23">
        <f>M27*0.3048</f>
        <v>0</v>
      </c>
      <c r="I27" s="23">
        <v>0</v>
      </c>
      <c r="J27" s="23">
        <v>5546</v>
      </c>
      <c r="L27" s="23" t="s">
        <v>19</v>
      </c>
      <c r="M27" s="23">
        <v>0</v>
      </c>
    </row>
    <row r="28" spans="1:13" x14ac:dyDescent="0.25">
      <c r="B28" s="23">
        <f t="shared" ref="B28:B40" si="3">I28*1233.48/1000000</f>
        <v>4.0704840000000006E-2</v>
      </c>
      <c r="C28" s="23">
        <f t="shared" si="2"/>
        <v>1694.6880000000001</v>
      </c>
      <c r="D28" s="23">
        <f>(E27-D27)/1000000</f>
        <v>1.9078008998875132E-2</v>
      </c>
      <c r="E28" s="23">
        <f t="shared" ref="E28:E40" si="4">(B29-B28)/(C29-C28)*2*1000000</f>
        <v>142044.44881889754</v>
      </c>
      <c r="F28" s="23" t="s">
        <v>20</v>
      </c>
      <c r="G28" s="23">
        <f t="shared" ref="G28:G38" si="5">M28*0.3048</f>
        <v>0</v>
      </c>
      <c r="I28" s="23">
        <v>33</v>
      </c>
      <c r="J28" s="23">
        <v>5560</v>
      </c>
      <c r="L28" s="23" t="s">
        <v>20</v>
      </c>
      <c r="M28" s="23">
        <v>0</v>
      </c>
    </row>
    <row r="29" spans="1:13" x14ac:dyDescent="0.25">
      <c r="B29" s="23">
        <f t="shared" si="3"/>
        <v>0.47365632000000002</v>
      </c>
      <c r="C29" s="23">
        <f t="shared" si="2"/>
        <v>1700.7840000000001</v>
      </c>
      <c r="D29" s="23">
        <f t="shared" ref="D29:D40" si="6">(E28-D28)/1000000</f>
        <v>0.14204442974088854</v>
      </c>
      <c r="E29" s="23">
        <f t="shared" si="4"/>
        <v>297848.18897637783</v>
      </c>
      <c r="F29" s="23" t="s">
        <v>21</v>
      </c>
      <c r="G29" s="23">
        <f t="shared" si="5"/>
        <v>0</v>
      </c>
      <c r="I29" s="23">
        <v>384</v>
      </c>
      <c r="J29" s="23">
        <v>5580</v>
      </c>
      <c r="L29" s="23" t="s">
        <v>21</v>
      </c>
      <c r="M29" s="23">
        <v>0</v>
      </c>
    </row>
    <row r="30" spans="1:13" x14ac:dyDescent="0.25">
      <c r="B30" s="23">
        <f t="shared" si="3"/>
        <v>1.3814976000000001</v>
      </c>
      <c r="C30" s="23">
        <f t="shared" si="2"/>
        <v>1706.88</v>
      </c>
      <c r="D30" s="23">
        <f t="shared" si="6"/>
        <v>0.29784804693194811</v>
      </c>
      <c r="E30" s="23">
        <f t="shared" si="4"/>
        <v>475909.60629921238</v>
      </c>
      <c r="F30" s="23" t="s">
        <v>22</v>
      </c>
      <c r="G30" s="23">
        <f t="shared" si="5"/>
        <v>3.0480000000000004E-2</v>
      </c>
      <c r="I30" s="23">
        <v>1120</v>
      </c>
      <c r="J30" s="23">
        <v>5600</v>
      </c>
      <c r="L30" s="23" t="s">
        <v>22</v>
      </c>
      <c r="M30" s="23">
        <v>0.1</v>
      </c>
    </row>
    <row r="31" spans="1:13" x14ac:dyDescent="0.25">
      <c r="B31" s="23">
        <f t="shared" si="3"/>
        <v>2.8320700800000003</v>
      </c>
      <c r="C31" s="23">
        <f t="shared" si="2"/>
        <v>1712.9760000000001</v>
      </c>
      <c r="D31" s="23">
        <f t="shared" si="6"/>
        <v>0.47590930845116547</v>
      </c>
      <c r="E31" s="23">
        <f t="shared" si="4"/>
        <v>698486.37795275543</v>
      </c>
      <c r="F31" s="23" t="s">
        <v>23</v>
      </c>
      <c r="G31" s="23">
        <f t="shared" si="5"/>
        <v>0.12192000000000001</v>
      </c>
      <c r="I31" s="23">
        <v>2296</v>
      </c>
      <c r="J31" s="23">
        <v>5620</v>
      </c>
      <c r="L31" s="23" t="s">
        <v>23</v>
      </c>
      <c r="M31" s="23">
        <v>0.4</v>
      </c>
    </row>
    <row r="32" spans="1:13" x14ac:dyDescent="0.25">
      <c r="B32" s="23">
        <f t="shared" si="3"/>
        <v>4.9610565600000003</v>
      </c>
      <c r="C32" s="23">
        <f t="shared" si="2"/>
        <v>1719.0720000000001</v>
      </c>
      <c r="D32" s="23">
        <f t="shared" si="6"/>
        <v>0.69848590204344696</v>
      </c>
      <c r="E32" s="23">
        <f t="shared" si="4"/>
        <v>985812.75590551109</v>
      </c>
      <c r="F32" s="23" t="s">
        <v>24</v>
      </c>
      <c r="G32" s="23">
        <f t="shared" si="5"/>
        <v>0.15240000000000001</v>
      </c>
      <c r="I32" s="23">
        <v>4022</v>
      </c>
      <c r="J32" s="23">
        <v>5640</v>
      </c>
      <c r="L32" s="23" t="s">
        <v>24</v>
      </c>
      <c r="M32" s="23">
        <v>0.5</v>
      </c>
    </row>
    <row r="33" spans="1:13" x14ac:dyDescent="0.25">
      <c r="B33" s="23">
        <f t="shared" si="3"/>
        <v>7.96581384</v>
      </c>
      <c r="C33" s="23">
        <f t="shared" si="2"/>
        <v>1725.1680000000001</v>
      </c>
      <c r="D33" s="23">
        <f t="shared" si="6"/>
        <v>0.98581205741960909</v>
      </c>
      <c r="E33" s="23">
        <f t="shared" si="4"/>
        <v>1573415.4330708655</v>
      </c>
      <c r="F33" s="23" t="s">
        <v>25</v>
      </c>
      <c r="G33" s="23">
        <f t="shared" si="5"/>
        <v>0.18288000000000001</v>
      </c>
      <c r="I33" s="23">
        <v>6458</v>
      </c>
      <c r="J33" s="23">
        <v>5660</v>
      </c>
      <c r="L33" s="23" t="s">
        <v>25</v>
      </c>
      <c r="M33" s="23">
        <v>0.6</v>
      </c>
    </row>
    <row r="34" spans="1:13" x14ac:dyDescent="0.25">
      <c r="B34" s="23">
        <f t="shared" si="3"/>
        <v>12.76158408</v>
      </c>
      <c r="C34" s="23">
        <f t="shared" si="2"/>
        <v>1731.2640000000001</v>
      </c>
      <c r="D34" s="23">
        <f t="shared" si="6"/>
        <v>1.5734144472588079</v>
      </c>
      <c r="E34" s="23">
        <f t="shared" si="4"/>
        <v>2167088.3858267707</v>
      </c>
      <c r="F34" s="23" t="s">
        <v>26</v>
      </c>
      <c r="G34" s="23">
        <f t="shared" si="5"/>
        <v>0.15240000000000001</v>
      </c>
      <c r="I34" s="23">
        <v>10346</v>
      </c>
      <c r="J34" s="23">
        <v>5680</v>
      </c>
      <c r="L34" s="23" t="s">
        <v>26</v>
      </c>
      <c r="M34" s="23">
        <v>0.5</v>
      </c>
    </row>
    <row r="35" spans="1:13" x14ac:dyDescent="0.25">
      <c r="B35" s="23">
        <f t="shared" si="3"/>
        <v>19.366869480000002</v>
      </c>
      <c r="C35" s="23">
        <f t="shared" si="2"/>
        <v>1737.3600000000001</v>
      </c>
      <c r="D35" s="23">
        <f t="shared" si="6"/>
        <v>2.1670868124123235</v>
      </c>
      <c r="E35" s="23">
        <f t="shared" si="4"/>
        <v>2838865.5511810998</v>
      </c>
      <c r="F35" s="23" t="s">
        <v>27</v>
      </c>
      <c r="G35" s="23">
        <f t="shared" si="5"/>
        <v>9.1440000000000007E-2</v>
      </c>
      <c r="I35" s="23">
        <v>15701</v>
      </c>
      <c r="J35" s="23">
        <v>5700</v>
      </c>
      <c r="L35" s="23" t="s">
        <v>27</v>
      </c>
      <c r="M35" s="23">
        <v>0.3</v>
      </c>
    </row>
    <row r="36" spans="1:13" x14ac:dyDescent="0.25">
      <c r="B36" s="23">
        <f t="shared" si="3"/>
        <v>28.01973168</v>
      </c>
      <c r="C36" s="23">
        <f t="shared" si="2"/>
        <v>1743.4560000000001</v>
      </c>
      <c r="D36" s="23">
        <f t="shared" si="6"/>
        <v>2.8388633840942878</v>
      </c>
      <c r="E36" s="23">
        <f t="shared" si="4"/>
        <v>3569726.7322834623</v>
      </c>
      <c r="F36" s="23" t="s">
        <v>28</v>
      </c>
      <c r="G36" s="23">
        <f t="shared" si="5"/>
        <v>9.1440000000000007E-2</v>
      </c>
      <c r="I36" s="23">
        <v>22716</v>
      </c>
      <c r="J36" s="23">
        <v>5720</v>
      </c>
      <c r="L36" s="23" t="s">
        <v>28</v>
      </c>
      <c r="M36" s="23">
        <v>0.3</v>
      </c>
    </row>
    <row r="37" spans="1:13" x14ac:dyDescent="0.25">
      <c r="B37" s="23">
        <f t="shared" si="3"/>
        <v>38.90025876</v>
      </c>
      <c r="C37" s="23">
        <f t="shared" si="2"/>
        <v>1749.5520000000001</v>
      </c>
      <c r="D37" s="23">
        <f t="shared" si="6"/>
        <v>3.5697238934200781</v>
      </c>
      <c r="E37" s="23">
        <f t="shared" si="4"/>
        <v>4366146.8897637799</v>
      </c>
      <c r="F37" s="23" t="s">
        <v>29</v>
      </c>
      <c r="G37" s="23">
        <f t="shared" si="5"/>
        <v>0</v>
      </c>
      <c r="I37" s="23">
        <v>31537</v>
      </c>
      <c r="J37" s="23">
        <v>5740</v>
      </c>
      <c r="L37" s="23" t="s">
        <v>29</v>
      </c>
      <c r="M37" s="23">
        <v>0</v>
      </c>
    </row>
    <row r="38" spans="1:13" x14ac:dyDescent="0.25">
      <c r="B38" s="23">
        <f t="shared" si="3"/>
        <v>52.208274480000007</v>
      </c>
      <c r="C38" s="23">
        <f t="shared" si="2"/>
        <v>1755.6480000000001</v>
      </c>
      <c r="D38" s="23">
        <f t="shared" si="6"/>
        <v>4.3661433200398871</v>
      </c>
      <c r="E38" s="23">
        <f t="shared" si="4"/>
        <v>5181991.929133852</v>
      </c>
      <c r="F38" s="23" t="s">
        <v>30</v>
      </c>
      <c r="G38" s="23">
        <f t="shared" si="5"/>
        <v>0</v>
      </c>
      <c r="I38" s="23">
        <v>42326</v>
      </c>
      <c r="J38" s="23">
        <v>5760</v>
      </c>
      <c r="L38" s="23" t="s">
        <v>30</v>
      </c>
      <c r="M38" s="23">
        <v>0</v>
      </c>
    </row>
    <row r="39" spans="1:13" x14ac:dyDescent="0.25">
      <c r="B39" s="23">
        <f t="shared" si="3"/>
        <v>68.002985879999997</v>
      </c>
      <c r="C39" s="23">
        <f t="shared" si="2"/>
        <v>1761.7440000000001</v>
      </c>
      <c r="D39" s="23">
        <f t="shared" si="6"/>
        <v>5.1819875629905319</v>
      </c>
      <c r="E39" s="23">
        <f t="shared" si="4"/>
        <v>6052064.7637795247</v>
      </c>
      <c r="I39" s="23">
        <v>55131</v>
      </c>
      <c r="J39" s="23">
        <v>5780</v>
      </c>
    </row>
    <row r="40" spans="1:13" x14ac:dyDescent="0.25">
      <c r="B40" s="23">
        <f t="shared" si="3"/>
        <v>86.449679279999998</v>
      </c>
      <c r="C40" s="23">
        <f t="shared" si="2"/>
        <v>1767.8400000000001</v>
      </c>
      <c r="D40" s="23">
        <f t="shared" si="6"/>
        <v>6.0520595817919611</v>
      </c>
      <c r="E40" s="23">
        <f t="shared" si="4"/>
        <v>97802.605756177029</v>
      </c>
      <c r="I40" s="23">
        <v>70086</v>
      </c>
      <c r="J40" s="23">
        <v>5800</v>
      </c>
    </row>
    <row r="45" spans="1:13" x14ac:dyDescent="0.25">
      <c r="A45" s="28" t="s">
        <v>34</v>
      </c>
      <c r="B45" s="28" t="s">
        <v>87</v>
      </c>
      <c r="I45" s="29" t="s">
        <v>81</v>
      </c>
    </row>
    <row r="46" spans="1:13" x14ac:dyDescent="0.25">
      <c r="A46" s="30"/>
      <c r="B46" s="30" t="s">
        <v>75</v>
      </c>
      <c r="C46" s="30" t="s">
        <v>76</v>
      </c>
      <c r="D46" s="30" t="s">
        <v>77</v>
      </c>
      <c r="E46" s="30" t="s">
        <v>78</v>
      </c>
      <c r="F46" s="30" t="s">
        <v>82</v>
      </c>
      <c r="G46" s="30" t="s">
        <v>83</v>
      </c>
      <c r="H46" s="30"/>
      <c r="I46" s="30" t="s">
        <v>84</v>
      </c>
      <c r="J46" s="30" t="s">
        <v>85</v>
      </c>
      <c r="K46" s="30"/>
      <c r="L46" s="30" t="s">
        <v>82</v>
      </c>
      <c r="M46" s="30" t="s">
        <v>86</v>
      </c>
    </row>
    <row r="47" spans="1:13" x14ac:dyDescent="0.25">
      <c r="B47" s="23">
        <f>I47*1233.48/1000000</f>
        <v>0</v>
      </c>
      <c r="C47" s="23">
        <f t="shared" ref="C47:C53" si="7">J47*0.3048</f>
        <v>1284.1224</v>
      </c>
      <c r="D47" s="23">
        <v>0</v>
      </c>
      <c r="E47" s="23">
        <f>(B48-B47)/(C48-C47)*2*1000000</f>
        <v>3570750.3473829674</v>
      </c>
      <c r="F47" s="23" t="s">
        <v>19</v>
      </c>
      <c r="G47" s="23">
        <f>M47*0.3048</f>
        <v>0</v>
      </c>
      <c r="I47" s="23">
        <v>0</v>
      </c>
      <c r="J47" s="23">
        <v>4213</v>
      </c>
      <c r="L47" s="23" t="s">
        <v>19</v>
      </c>
      <c r="M47" s="23">
        <v>0</v>
      </c>
    </row>
    <row r="48" spans="1:13" x14ac:dyDescent="0.25">
      <c r="B48" s="23">
        <f t="shared" ref="B48:B53" si="8">I48*1233.48/1000000</f>
        <v>9.2510999999999992</v>
      </c>
      <c r="C48" s="23">
        <f t="shared" si="7"/>
        <v>1289.3040000000001</v>
      </c>
      <c r="D48" s="23">
        <f t="shared" ref="D48:D53" si="9">(E47-D47)/1000000</f>
        <v>3.5707503473829671</v>
      </c>
      <c r="E48" s="23">
        <f t="shared" ref="E48:E53" si="10">(B49-B48)/(C49-C48)*2*1000000</f>
        <v>11128838.582677158</v>
      </c>
      <c r="F48" s="23" t="s">
        <v>20</v>
      </c>
      <c r="G48" s="23">
        <f t="shared" ref="G48:G58" si="11">M48*0.3048</f>
        <v>0</v>
      </c>
      <c r="I48" s="23">
        <v>7500</v>
      </c>
      <c r="J48" s="23">
        <v>4230</v>
      </c>
      <c r="L48" s="23" t="s">
        <v>20</v>
      </c>
      <c r="M48" s="23">
        <v>0</v>
      </c>
    </row>
    <row r="49" spans="1:13" x14ac:dyDescent="0.25">
      <c r="B49" s="23">
        <f t="shared" si="8"/>
        <v>26.211449999999999</v>
      </c>
      <c r="C49" s="23">
        <f t="shared" si="7"/>
        <v>1292.3520000000001</v>
      </c>
      <c r="D49" s="23">
        <f t="shared" si="9"/>
        <v>11.128835011926808</v>
      </c>
      <c r="E49" s="23">
        <f t="shared" si="10"/>
        <v>17199114.173228335</v>
      </c>
      <c r="F49" s="23" t="s">
        <v>21</v>
      </c>
      <c r="G49" s="23">
        <f t="shared" si="11"/>
        <v>0</v>
      </c>
      <c r="I49" s="23">
        <v>21250</v>
      </c>
      <c r="J49" s="23">
        <v>4240</v>
      </c>
      <c r="L49" s="23" t="s">
        <v>21</v>
      </c>
      <c r="M49" s="23">
        <v>0</v>
      </c>
    </row>
    <row r="50" spans="1:13" x14ac:dyDescent="0.25">
      <c r="B50" s="23">
        <f t="shared" si="8"/>
        <v>52.422899999999998</v>
      </c>
      <c r="C50" s="23">
        <f t="shared" si="7"/>
        <v>1295.4000000000001</v>
      </c>
      <c r="D50" s="23">
        <f t="shared" si="9"/>
        <v>17.199103044393322</v>
      </c>
      <c r="E50" s="23">
        <f t="shared" si="10"/>
        <v>22257677.165354315</v>
      </c>
      <c r="F50" s="23" t="s">
        <v>22</v>
      </c>
      <c r="G50" s="23">
        <f t="shared" si="11"/>
        <v>3.0480000000000004E-2</v>
      </c>
      <c r="I50" s="23">
        <v>42500</v>
      </c>
      <c r="J50" s="23">
        <v>4250</v>
      </c>
      <c r="L50" s="23" t="s">
        <v>22</v>
      </c>
      <c r="M50" s="23">
        <v>0.1</v>
      </c>
    </row>
    <row r="51" spans="1:13" x14ac:dyDescent="0.25">
      <c r="B51" s="23">
        <f t="shared" si="8"/>
        <v>86.343599999999995</v>
      </c>
      <c r="C51" s="23">
        <f t="shared" si="7"/>
        <v>1298.4480000000001</v>
      </c>
      <c r="D51" s="23">
        <f t="shared" si="9"/>
        <v>22.257659966251268</v>
      </c>
      <c r="E51" s="23">
        <f t="shared" si="10"/>
        <v>25292814.960629907</v>
      </c>
      <c r="F51" s="23" t="s">
        <v>23</v>
      </c>
      <c r="G51" s="23">
        <f t="shared" si="11"/>
        <v>0.12192000000000001</v>
      </c>
      <c r="I51" s="23">
        <v>70000</v>
      </c>
      <c r="J51" s="23">
        <v>4260</v>
      </c>
      <c r="L51" s="23" t="s">
        <v>23</v>
      </c>
      <c r="M51" s="23">
        <v>0.4</v>
      </c>
    </row>
    <row r="52" spans="1:13" x14ac:dyDescent="0.25">
      <c r="B52" s="23">
        <f t="shared" si="8"/>
        <v>117.1806</v>
      </c>
      <c r="C52" s="23">
        <f t="shared" si="7"/>
        <v>1300.8864000000001</v>
      </c>
      <c r="D52" s="23">
        <f t="shared" si="9"/>
        <v>25.292792702969937</v>
      </c>
      <c r="E52" s="23">
        <f t="shared" si="10"/>
        <v>28906074.240721423</v>
      </c>
      <c r="F52" s="23" t="s">
        <v>24</v>
      </c>
      <c r="G52" s="23">
        <f t="shared" si="11"/>
        <v>0.15240000000000001</v>
      </c>
      <c r="I52" s="23">
        <v>95000</v>
      </c>
      <c r="J52" s="23">
        <v>4268</v>
      </c>
      <c r="L52" s="23" t="s">
        <v>24</v>
      </c>
      <c r="M52" s="23">
        <v>0.5</v>
      </c>
    </row>
    <row r="53" spans="1:13" x14ac:dyDescent="0.25">
      <c r="B53" s="23">
        <f t="shared" si="8"/>
        <v>148.01759999999999</v>
      </c>
      <c r="C53" s="23">
        <f t="shared" si="7"/>
        <v>1303.02</v>
      </c>
      <c r="D53" s="23">
        <f t="shared" si="9"/>
        <v>28.906048947928721</v>
      </c>
      <c r="E53" s="23">
        <f t="shared" si="10"/>
        <v>227191.60104986874</v>
      </c>
      <c r="F53" s="23" t="s">
        <v>25</v>
      </c>
      <c r="G53" s="23">
        <f t="shared" si="11"/>
        <v>0.18288000000000001</v>
      </c>
      <c r="I53" s="23">
        <v>120000</v>
      </c>
      <c r="J53" s="23">
        <v>4275</v>
      </c>
      <c r="L53" s="23" t="s">
        <v>25</v>
      </c>
      <c r="M53" s="23">
        <v>0.6</v>
      </c>
    </row>
    <row r="54" spans="1:13" x14ac:dyDescent="0.25">
      <c r="F54" s="23" t="s">
        <v>26</v>
      </c>
      <c r="G54" s="23">
        <f t="shared" si="11"/>
        <v>0.15240000000000001</v>
      </c>
      <c r="L54" s="23" t="s">
        <v>26</v>
      </c>
      <c r="M54" s="23">
        <v>0.5</v>
      </c>
    </row>
    <row r="55" spans="1:13" x14ac:dyDescent="0.25">
      <c r="F55" s="23" t="s">
        <v>27</v>
      </c>
      <c r="G55" s="23">
        <f t="shared" si="11"/>
        <v>9.1440000000000007E-2</v>
      </c>
      <c r="L55" s="23" t="s">
        <v>27</v>
      </c>
      <c r="M55" s="23">
        <v>0.3</v>
      </c>
    </row>
    <row r="56" spans="1:13" x14ac:dyDescent="0.25">
      <c r="F56" s="23" t="s">
        <v>28</v>
      </c>
      <c r="G56" s="23">
        <f t="shared" si="11"/>
        <v>9.1440000000000007E-2</v>
      </c>
      <c r="L56" s="23" t="s">
        <v>28</v>
      </c>
      <c r="M56" s="23">
        <v>0.3</v>
      </c>
    </row>
    <row r="57" spans="1:13" x14ac:dyDescent="0.25">
      <c r="F57" s="23" t="s">
        <v>29</v>
      </c>
      <c r="G57" s="23">
        <f t="shared" si="11"/>
        <v>0</v>
      </c>
      <c r="L57" s="23" t="s">
        <v>29</v>
      </c>
      <c r="M57" s="23">
        <v>0</v>
      </c>
    </row>
    <row r="58" spans="1:13" x14ac:dyDescent="0.25">
      <c r="F58" s="23" t="s">
        <v>30</v>
      </c>
      <c r="G58" s="23">
        <f t="shared" si="11"/>
        <v>0</v>
      </c>
      <c r="L58" s="23" t="s">
        <v>30</v>
      </c>
      <c r="M58" s="23">
        <v>0</v>
      </c>
    </row>
    <row r="62" spans="1:13" x14ac:dyDescent="0.25">
      <c r="A62" s="28" t="s">
        <v>31</v>
      </c>
      <c r="B62" s="28" t="s">
        <v>88</v>
      </c>
      <c r="I62" s="29" t="s">
        <v>81</v>
      </c>
    </row>
    <row r="63" spans="1:13" x14ac:dyDescent="0.25">
      <c r="A63" s="30"/>
      <c r="B63" s="30" t="s">
        <v>75</v>
      </c>
      <c r="C63" s="30" t="s">
        <v>76</v>
      </c>
      <c r="D63" s="30" t="s">
        <v>77</v>
      </c>
      <c r="E63" s="30" t="s">
        <v>78</v>
      </c>
      <c r="F63" s="30" t="s">
        <v>82</v>
      </c>
      <c r="G63" s="30" t="s">
        <v>83</v>
      </c>
      <c r="H63" s="30"/>
      <c r="I63" s="30" t="s">
        <v>84</v>
      </c>
      <c r="J63" s="30" t="s">
        <v>85</v>
      </c>
      <c r="K63" s="30"/>
      <c r="L63" s="30" t="s">
        <v>82</v>
      </c>
      <c r="M63" s="30" t="s">
        <v>86</v>
      </c>
    </row>
    <row r="64" spans="1:13" x14ac:dyDescent="0.25">
      <c r="B64" s="23">
        <f>(I64*1233.48)/1000000</f>
        <v>0</v>
      </c>
      <c r="C64" s="23">
        <f t="shared" ref="C64:C72" si="12">J64*0.3048</f>
        <v>13621.816800000001</v>
      </c>
      <c r="D64" s="23">
        <v>0</v>
      </c>
      <c r="E64" s="23">
        <f>(B65-B64)/(C65-C64)*2*1000000</f>
        <v>-985.17919494297439</v>
      </c>
      <c r="F64" s="23" t="s">
        <v>19</v>
      </c>
      <c r="G64" s="23">
        <f>M64*0.3048</f>
        <v>0</v>
      </c>
      <c r="I64" s="23">
        <v>0</v>
      </c>
      <c r="J64" s="23">
        <v>44691</v>
      </c>
      <c r="L64" s="23" t="s">
        <v>19</v>
      </c>
      <c r="M64" s="23">
        <v>0</v>
      </c>
    </row>
    <row r="65" spans="1:13" x14ac:dyDescent="0.25">
      <c r="B65" s="23">
        <f t="shared" ref="B65:B72" si="13">(I65*1233.48)/1000000</f>
        <v>5.9996467199999994</v>
      </c>
      <c r="C65" s="23">
        <f t="shared" si="12"/>
        <v>1442.0088000000001</v>
      </c>
      <c r="D65" s="23">
        <f>(E64-D64)/1000000</f>
        <v>-9.851791949429744E-4</v>
      </c>
      <c r="E65" s="23">
        <f t="shared" ref="E65:E72" si="14">(B66-B65)/(C66-C65)*2*1000000</f>
        <v>2258790.0157479965</v>
      </c>
      <c r="F65" s="23" t="s">
        <v>20</v>
      </c>
      <c r="G65" s="23">
        <f t="shared" ref="G65:G75" si="15">M65*0.3048</f>
        <v>0</v>
      </c>
      <c r="I65" s="23">
        <v>4864</v>
      </c>
      <c r="J65" s="23">
        <v>4731</v>
      </c>
      <c r="L65" s="23" t="s">
        <v>20</v>
      </c>
      <c r="M65" s="23">
        <v>0</v>
      </c>
    </row>
    <row r="66" spans="1:13" x14ac:dyDescent="0.25">
      <c r="B66" s="23">
        <f t="shared" si="13"/>
        <v>14.60563668</v>
      </c>
      <c r="C66" s="23">
        <f t="shared" si="12"/>
        <v>1449.6288000000002</v>
      </c>
      <c r="D66" s="23">
        <f t="shared" ref="D66:D72" si="16">(E65-D65)/1000000</f>
        <v>2.2587900167331756</v>
      </c>
      <c r="E66" s="23">
        <f t="shared" si="14"/>
        <v>3050030.2047244534</v>
      </c>
      <c r="F66" s="23" t="s">
        <v>21</v>
      </c>
      <c r="G66" s="23">
        <f t="shared" si="15"/>
        <v>0</v>
      </c>
      <c r="I66" s="23">
        <v>11841</v>
      </c>
      <c r="J66" s="23">
        <v>4756</v>
      </c>
      <c r="L66" s="23" t="s">
        <v>21</v>
      </c>
      <c r="M66" s="23">
        <v>0</v>
      </c>
    </row>
    <row r="67" spans="1:13" x14ac:dyDescent="0.25">
      <c r="B67" s="23">
        <f t="shared" si="13"/>
        <v>26.22625176</v>
      </c>
      <c r="C67" s="23">
        <f t="shared" si="12"/>
        <v>1457.2488000000001</v>
      </c>
      <c r="D67" s="23">
        <f t="shared" si="16"/>
        <v>3.0500279459344366</v>
      </c>
      <c r="E67" s="23">
        <f t="shared" si="14"/>
        <v>3739613.5118110781</v>
      </c>
      <c r="F67" s="23" t="s">
        <v>22</v>
      </c>
      <c r="G67" s="23">
        <f t="shared" si="15"/>
        <v>3.0480000000000004E-2</v>
      </c>
      <c r="I67" s="23">
        <v>21262</v>
      </c>
      <c r="J67" s="23">
        <v>4781</v>
      </c>
      <c r="L67" s="23" t="s">
        <v>22</v>
      </c>
      <c r="M67" s="23">
        <v>0.1</v>
      </c>
    </row>
    <row r="68" spans="1:13" x14ac:dyDescent="0.25">
      <c r="B68" s="23">
        <f t="shared" si="13"/>
        <v>40.474179240000005</v>
      </c>
      <c r="C68" s="23">
        <f t="shared" si="12"/>
        <v>1464.8688</v>
      </c>
      <c r="D68" s="23">
        <f t="shared" si="16"/>
        <v>3.7396104617831321</v>
      </c>
      <c r="E68" s="23">
        <f t="shared" si="14"/>
        <v>4421750.614173159</v>
      </c>
      <c r="F68" s="23" t="s">
        <v>23</v>
      </c>
      <c r="G68" s="23">
        <f t="shared" si="15"/>
        <v>0.12192000000000001</v>
      </c>
      <c r="I68" s="23">
        <v>32813</v>
      </c>
      <c r="J68" s="23">
        <v>4806</v>
      </c>
      <c r="L68" s="23" t="s">
        <v>23</v>
      </c>
      <c r="M68" s="23">
        <v>0.4</v>
      </c>
    </row>
    <row r="69" spans="1:13" x14ac:dyDescent="0.25">
      <c r="B69" s="23">
        <f t="shared" si="13"/>
        <v>57.321049080000002</v>
      </c>
      <c r="C69" s="23">
        <f t="shared" si="12"/>
        <v>1472.4888000000001</v>
      </c>
      <c r="D69" s="23">
        <f t="shared" si="16"/>
        <v>4.4217468745626975</v>
      </c>
      <c r="E69" s="23">
        <f t="shared" si="14"/>
        <v>5518932.6929134652</v>
      </c>
      <c r="F69" s="23" t="s">
        <v>24</v>
      </c>
      <c r="G69" s="23">
        <f t="shared" si="15"/>
        <v>0.15240000000000001</v>
      </c>
      <c r="I69" s="23">
        <v>46471</v>
      </c>
      <c r="J69" s="23">
        <v>4831</v>
      </c>
      <c r="L69" s="23" t="s">
        <v>24</v>
      </c>
      <c r="M69" s="23">
        <v>0.5</v>
      </c>
    </row>
    <row r="70" spans="1:13" x14ac:dyDescent="0.25">
      <c r="B70" s="23">
        <f t="shared" si="13"/>
        <v>78.348182640000005</v>
      </c>
      <c r="C70" s="23">
        <f t="shared" si="12"/>
        <v>1480.1088</v>
      </c>
      <c r="D70" s="23">
        <f t="shared" si="16"/>
        <v>5.5189282711665912</v>
      </c>
      <c r="E70" s="23">
        <f t="shared" si="14"/>
        <v>8608136.4094486833</v>
      </c>
      <c r="F70" s="23" t="s">
        <v>25</v>
      </c>
      <c r="G70" s="23">
        <f t="shared" si="15"/>
        <v>0.18288000000000001</v>
      </c>
      <c r="I70" s="23">
        <v>63518</v>
      </c>
      <c r="J70" s="23">
        <v>4856</v>
      </c>
      <c r="L70" s="23" t="s">
        <v>25</v>
      </c>
      <c r="M70" s="23">
        <v>0.6</v>
      </c>
    </row>
    <row r="71" spans="1:13" x14ac:dyDescent="0.25">
      <c r="B71" s="23">
        <f t="shared" si="13"/>
        <v>111.14518235999999</v>
      </c>
      <c r="C71" s="23">
        <f t="shared" si="12"/>
        <v>1487.7288000000001</v>
      </c>
      <c r="D71" s="23">
        <f t="shared" si="16"/>
        <v>8.6081308905204121</v>
      </c>
      <c r="E71" s="23">
        <f t="shared" si="14"/>
        <v>9929028.3779528979</v>
      </c>
      <c r="F71" s="23" t="s">
        <v>26</v>
      </c>
      <c r="G71" s="23">
        <f t="shared" si="15"/>
        <v>0.15240000000000001</v>
      </c>
      <c r="I71" s="23">
        <v>90107</v>
      </c>
      <c r="J71" s="23">
        <v>4881</v>
      </c>
      <c r="L71" s="23" t="s">
        <v>26</v>
      </c>
      <c r="M71" s="23">
        <v>0.5</v>
      </c>
    </row>
    <row r="72" spans="1:13" x14ac:dyDescent="0.25">
      <c r="B72" s="23">
        <f t="shared" si="13"/>
        <v>148.97478047999999</v>
      </c>
      <c r="C72" s="23">
        <f t="shared" si="12"/>
        <v>1495.3488</v>
      </c>
      <c r="D72" s="23">
        <f t="shared" si="16"/>
        <v>9.9290197698220073</v>
      </c>
      <c r="E72" s="23">
        <f t="shared" si="14"/>
        <v>199250.87776176367</v>
      </c>
      <c r="F72" s="23" t="s">
        <v>27</v>
      </c>
      <c r="G72" s="23">
        <f t="shared" si="15"/>
        <v>9.1440000000000007E-2</v>
      </c>
      <c r="I72" s="23">
        <v>120776</v>
      </c>
      <c r="J72" s="23">
        <v>4906</v>
      </c>
      <c r="L72" s="23" t="s">
        <v>27</v>
      </c>
      <c r="M72" s="23">
        <v>0.3</v>
      </c>
    </row>
    <row r="73" spans="1:13" x14ac:dyDescent="0.25">
      <c r="F73" s="23" t="s">
        <v>28</v>
      </c>
      <c r="G73" s="23">
        <f t="shared" si="15"/>
        <v>9.1440000000000007E-2</v>
      </c>
      <c r="L73" s="23" t="s">
        <v>28</v>
      </c>
      <c r="M73" s="23">
        <v>0.3</v>
      </c>
    </row>
    <row r="74" spans="1:13" x14ac:dyDescent="0.25">
      <c r="F74" s="23" t="s">
        <v>29</v>
      </c>
      <c r="G74" s="23">
        <f t="shared" si="15"/>
        <v>0</v>
      </c>
      <c r="L74" s="23" t="s">
        <v>29</v>
      </c>
      <c r="M74" s="23">
        <v>0</v>
      </c>
    </row>
    <row r="75" spans="1:13" x14ac:dyDescent="0.25">
      <c r="F75" s="23" t="s">
        <v>30</v>
      </c>
      <c r="G75" s="23">
        <f t="shared" si="15"/>
        <v>0</v>
      </c>
      <c r="L75" s="23" t="s">
        <v>30</v>
      </c>
      <c r="M75" s="23">
        <v>0</v>
      </c>
    </row>
    <row r="80" spans="1:13" x14ac:dyDescent="0.25">
      <c r="A80" s="28" t="s">
        <v>42</v>
      </c>
      <c r="B80" s="28" t="s">
        <v>89</v>
      </c>
      <c r="I80" s="29" t="s">
        <v>81</v>
      </c>
    </row>
    <row r="81" spans="1:13" x14ac:dyDescent="0.25">
      <c r="A81" s="30"/>
      <c r="B81" s="30" t="s">
        <v>91</v>
      </c>
      <c r="C81" s="30" t="s">
        <v>76</v>
      </c>
      <c r="D81" s="30" t="s">
        <v>92</v>
      </c>
      <c r="E81" s="30" t="s">
        <v>78</v>
      </c>
      <c r="F81" s="30" t="s">
        <v>82</v>
      </c>
      <c r="G81" s="30" t="s">
        <v>83</v>
      </c>
      <c r="H81" s="30"/>
      <c r="I81" s="30" t="s">
        <v>84</v>
      </c>
      <c r="J81" s="30" t="s">
        <v>85</v>
      </c>
      <c r="K81" s="30"/>
      <c r="L81" s="30" t="s">
        <v>82</v>
      </c>
      <c r="M81" s="30" t="s">
        <v>86</v>
      </c>
    </row>
    <row r="82" spans="1:13" x14ac:dyDescent="0.25">
      <c r="B82" s="23">
        <f>I82*1233.48/1000000</f>
        <v>0</v>
      </c>
      <c r="C82" s="23">
        <f t="shared" ref="C82:C88" si="17">J82*0.3048</f>
        <v>1284.1224</v>
      </c>
      <c r="D82" s="23">
        <v>0</v>
      </c>
      <c r="E82" s="23">
        <f>(B83-B82)/(C83-C82)*2*1000000</f>
        <v>3570750.3473829674</v>
      </c>
      <c r="F82" s="23" t="s">
        <v>19</v>
      </c>
      <c r="G82" s="23">
        <f>M82*0.3048</f>
        <v>0</v>
      </c>
      <c r="I82" s="23">
        <v>0</v>
      </c>
      <c r="J82" s="23">
        <v>4213</v>
      </c>
      <c r="L82" s="23" t="s">
        <v>19</v>
      </c>
      <c r="M82" s="23">
        <v>0</v>
      </c>
    </row>
    <row r="83" spans="1:13" x14ac:dyDescent="0.25">
      <c r="B83" s="23">
        <f t="shared" ref="B83:B88" si="18">I83*1233.48/1000000</f>
        <v>9.2510999999999992</v>
      </c>
      <c r="C83" s="23">
        <f t="shared" si="17"/>
        <v>1289.3040000000001</v>
      </c>
      <c r="D83" s="23">
        <f t="shared" ref="D83:D88" si="19">(E82-D82)/1000000</f>
        <v>3.5707503473829671</v>
      </c>
      <c r="E83" s="23">
        <f t="shared" ref="E83:E88" si="20">(B84-B83)/(C84-C83)*2*1000000</f>
        <v>11128838.582677158</v>
      </c>
      <c r="F83" s="23" t="s">
        <v>20</v>
      </c>
      <c r="G83" s="23">
        <f t="shared" ref="G83:G93" si="21">M83*0.3048</f>
        <v>0</v>
      </c>
      <c r="I83" s="23">
        <v>7500</v>
      </c>
      <c r="J83" s="23">
        <v>4230</v>
      </c>
      <c r="L83" s="23" t="s">
        <v>20</v>
      </c>
      <c r="M83" s="23">
        <v>0</v>
      </c>
    </row>
    <row r="84" spans="1:13" x14ac:dyDescent="0.25">
      <c r="B84" s="23">
        <f t="shared" si="18"/>
        <v>26.211449999999999</v>
      </c>
      <c r="C84" s="23">
        <f t="shared" si="17"/>
        <v>1292.3520000000001</v>
      </c>
      <c r="D84" s="23">
        <f t="shared" si="19"/>
        <v>11.128835011926808</v>
      </c>
      <c r="E84" s="23">
        <f t="shared" si="20"/>
        <v>17199114.173228335</v>
      </c>
      <c r="F84" s="23" t="s">
        <v>21</v>
      </c>
      <c r="G84" s="23">
        <f t="shared" si="21"/>
        <v>0</v>
      </c>
      <c r="I84" s="23">
        <v>21250</v>
      </c>
      <c r="J84" s="23">
        <v>4240</v>
      </c>
      <c r="L84" s="23" t="s">
        <v>21</v>
      </c>
      <c r="M84" s="23">
        <v>0</v>
      </c>
    </row>
    <row r="85" spans="1:13" x14ac:dyDescent="0.25">
      <c r="B85" s="23">
        <f t="shared" si="18"/>
        <v>52.422899999999998</v>
      </c>
      <c r="C85" s="23">
        <f t="shared" si="17"/>
        <v>1295.4000000000001</v>
      </c>
      <c r="D85" s="23">
        <f t="shared" si="19"/>
        <v>17.199103044393322</v>
      </c>
      <c r="E85" s="23">
        <f t="shared" si="20"/>
        <v>22257677.165354315</v>
      </c>
      <c r="F85" s="23" t="s">
        <v>22</v>
      </c>
      <c r="G85" s="23">
        <f t="shared" si="21"/>
        <v>3.0480000000000004E-2</v>
      </c>
      <c r="I85" s="23">
        <v>42500</v>
      </c>
      <c r="J85" s="23">
        <v>4250</v>
      </c>
      <c r="L85" s="23" t="s">
        <v>22</v>
      </c>
      <c r="M85" s="23">
        <v>0.1</v>
      </c>
    </row>
    <row r="86" spans="1:13" x14ac:dyDescent="0.25">
      <c r="B86" s="23">
        <f t="shared" si="18"/>
        <v>86.343599999999995</v>
      </c>
      <c r="C86" s="23">
        <f t="shared" si="17"/>
        <v>1298.4480000000001</v>
      </c>
      <c r="D86" s="23">
        <f t="shared" si="19"/>
        <v>22.257659966251268</v>
      </c>
      <c r="E86" s="23">
        <f t="shared" si="20"/>
        <v>25292814.960629907</v>
      </c>
      <c r="F86" s="23" t="s">
        <v>23</v>
      </c>
      <c r="G86" s="23">
        <f t="shared" si="21"/>
        <v>0.12192000000000001</v>
      </c>
      <c r="I86" s="23">
        <v>70000</v>
      </c>
      <c r="J86" s="23">
        <v>4260</v>
      </c>
      <c r="L86" s="23" t="s">
        <v>23</v>
      </c>
      <c r="M86" s="23">
        <v>0.4</v>
      </c>
    </row>
    <row r="87" spans="1:13" x14ac:dyDescent="0.25">
      <c r="B87" s="23">
        <f t="shared" si="18"/>
        <v>117.1806</v>
      </c>
      <c r="C87" s="23">
        <f t="shared" si="17"/>
        <v>1300.8864000000001</v>
      </c>
      <c r="D87" s="23">
        <f t="shared" si="19"/>
        <v>25.292792702969937</v>
      </c>
      <c r="E87" s="23">
        <f t="shared" si="20"/>
        <v>28906074.240721423</v>
      </c>
      <c r="F87" s="23" t="s">
        <v>24</v>
      </c>
      <c r="G87" s="23">
        <f t="shared" si="21"/>
        <v>0.15240000000000001</v>
      </c>
      <c r="I87" s="23">
        <v>95000</v>
      </c>
      <c r="J87" s="23">
        <v>4268</v>
      </c>
      <c r="L87" s="23" t="s">
        <v>24</v>
      </c>
      <c r="M87" s="23">
        <v>0.5</v>
      </c>
    </row>
    <row r="88" spans="1:13" x14ac:dyDescent="0.25">
      <c r="B88" s="23">
        <f t="shared" si="18"/>
        <v>148.01759999999999</v>
      </c>
      <c r="C88" s="23">
        <f t="shared" si="17"/>
        <v>1303.02</v>
      </c>
      <c r="D88" s="23">
        <f t="shared" si="19"/>
        <v>28.906048947928721</v>
      </c>
      <c r="E88" s="23">
        <f t="shared" si="20"/>
        <v>227191.60104986874</v>
      </c>
      <c r="F88" s="23" t="s">
        <v>25</v>
      </c>
      <c r="G88" s="23">
        <f t="shared" si="21"/>
        <v>0.18288000000000001</v>
      </c>
      <c r="I88" s="23">
        <v>120000</v>
      </c>
      <c r="J88" s="23">
        <v>4275</v>
      </c>
      <c r="L88" s="23" t="s">
        <v>25</v>
      </c>
      <c r="M88" s="23">
        <v>0.6</v>
      </c>
    </row>
    <row r="89" spans="1:13" x14ac:dyDescent="0.25">
      <c r="F89" s="23" t="s">
        <v>26</v>
      </c>
      <c r="G89" s="23">
        <f t="shared" si="21"/>
        <v>0.15240000000000001</v>
      </c>
      <c r="L89" s="23" t="s">
        <v>26</v>
      </c>
      <c r="M89" s="23">
        <v>0.5</v>
      </c>
    </row>
    <row r="90" spans="1:13" x14ac:dyDescent="0.25">
      <c r="F90" s="23" t="s">
        <v>27</v>
      </c>
      <c r="G90" s="23">
        <f t="shared" si="21"/>
        <v>9.1440000000000007E-2</v>
      </c>
      <c r="L90" s="23" t="s">
        <v>27</v>
      </c>
      <c r="M90" s="23">
        <v>0.3</v>
      </c>
    </row>
    <row r="91" spans="1:13" x14ac:dyDescent="0.25">
      <c r="F91" s="23" t="s">
        <v>28</v>
      </c>
      <c r="G91" s="23">
        <f t="shared" si="21"/>
        <v>9.1440000000000007E-2</v>
      </c>
      <c r="L91" s="23" t="s">
        <v>28</v>
      </c>
      <c r="M91" s="23">
        <v>0.3</v>
      </c>
    </row>
    <row r="92" spans="1:13" x14ac:dyDescent="0.25">
      <c r="F92" s="23" t="s">
        <v>29</v>
      </c>
      <c r="G92" s="23">
        <f t="shared" si="21"/>
        <v>0</v>
      </c>
      <c r="L92" s="23" t="s">
        <v>29</v>
      </c>
      <c r="M92" s="23">
        <v>0</v>
      </c>
    </row>
    <row r="93" spans="1:13" x14ac:dyDescent="0.25">
      <c r="F93" s="23" t="s">
        <v>30</v>
      </c>
      <c r="G93" s="23">
        <f t="shared" si="21"/>
        <v>0</v>
      </c>
      <c r="L93" s="23" t="s">
        <v>30</v>
      </c>
      <c r="M93" s="23">
        <v>0</v>
      </c>
    </row>
    <row r="96" spans="1:13" x14ac:dyDescent="0.25">
      <c r="A96" s="28" t="s">
        <v>10</v>
      </c>
      <c r="B96" s="28" t="s">
        <v>90</v>
      </c>
      <c r="I96" s="29" t="s">
        <v>81</v>
      </c>
    </row>
    <row r="97" spans="1:13" x14ac:dyDescent="0.25">
      <c r="A97" s="30"/>
      <c r="B97" s="30" t="s">
        <v>91</v>
      </c>
      <c r="C97" s="30" t="s">
        <v>76</v>
      </c>
      <c r="D97" s="30" t="s">
        <v>92</v>
      </c>
      <c r="E97" s="30" t="s">
        <v>78</v>
      </c>
      <c r="F97" s="30" t="s">
        <v>82</v>
      </c>
      <c r="G97" s="30" t="s">
        <v>83</v>
      </c>
      <c r="H97" s="30"/>
      <c r="I97" s="30" t="s">
        <v>84</v>
      </c>
      <c r="J97" s="30" t="s">
        <v>85</v>
      </c>
      <c r="K97" s="30"/>
      <c r="L97" s="30" t="s">
        <v>82</v>
      </c>
      <c r="M97" s="30" t="s">
        <v>86</v>
      </c>
    </row>
    <row r="98" spans="1:13" x14ac:dyDescent="0.25">
      <c r="B98" s="23">
        <f>I98*1233.48/1000000</f>
        <v>0</v>
      </c>
      <c r="C98" s="23">
        <f t="shared" ref="C98:C115" si="22">J98*0.3048</f>
        <v>1399.0320000000002</v>
      </c>
      <c r="D98" s="23">
        <v>0</v>
      </c>
      <c r="E98" s="23">
        <f>(B99-B98)/(C99-C98)*2*1000000</f>
        <v>105218.11023622041</v>
      </c>
      <c r="F98" s="23" t="s">
        <v>19</v>
      </c>
      <c r="G98" s="23">
        <f>M98*0.3048</f>
        <v>0</v>
      </c>
      <c r="I98" s="23">
        <v>0</v>
      </c>
      <c r="J98" s="23">
        <v>4590</v>
      </c>
      <c r="L98" s="23" t="s">
        <v>19</v>
      </c>
      <c r="M98" s="23">
        <v>0</v>
      </c>
    </row>
    <row r="99" spans="1:13" x14ac:dyDescent="0.25">
      <c r="B99" s="23">
        <f t="shared" ref="B99:B115" si="23">I99*1233.48/1000000</f>
        <v>0.16035240000000001</v>
      </c>
      <c r="C99" s="23">
        <f t="shared" si="22"/>
        <v>1402.0800000000002</v>
      </c>
      <c r="D99" s="23">
        <f>(E98-D98)/1000000</f>
        <v>0.10521811023622041</v>
      </c>
      <c r="E99" s="23">
        <f t="shared" ref="E99:E115" si="24">(B100-B99)/(C100-C99)*2*1000000</f>
        <v>420063.07086614147</v>
      </c>
      <c r="F99" s="23" t="s">
        <v>20</v>
      </c>
      <c r="G99" s="23">
        <f t="shared" ref="G99:G109" si="25">M99*0.3048</f>
        <v>0</v>
      </c>
      <c r="I99" s="23">
        <v>130</v>
      </c>
      <c r="J99" s="23">
        <v>4600</v>
      </c>
      <c r="L99" s="23" t="s">
        <v>20</v>
      </c>
      <c r="M99" s="23">
        <v>0</v>
      </c>
    </row>
    <row r="100" spans="1:13" x14ac:dyDescent="0.25">
      <c r="B100" s="23">
        <f t="shared" si="23"/>
        <v>0.80052851999999997</v>
      </c>
      <c r="C100" s="23">
        <f t="shared" si="22"/>
        <v>1405.1280000000002</v>
      </c>
      <c r="D100" s="23">
        <f t="shared" ref="D100:D115" si="26">(E99-D99)/1000000</f>
        <v>0.42006296564803119</v>
      </c>
      <c r="E100" s="23">
        <f t="shared" si="24"/>
        <v>882213.3858267715</v>
      </c>
      <c r="F100" s="23" t="s">
        <v>21</v>
      </c>
      <c r="G100" s="23">
        <f t="shared" si="25"/>
        <v>0</v>
      </c>
      <c r="I100" s="23">
        <v>649</v>
      </c>
      <c r="J100" s="23">
        <v>4610</v>
      </c>
      <c r="L100" s="23" t="s">
        <v>21</v>
      </c>
      <c r="M100" s="23">
        <v>0</v>
      </c>
    </row>
    <row r="101" spans="1:13" x14ac:dyDescent="0.25">
      <c r="B101" s="23">
        <f t="shared" si="23"/>
        <v>2.1450217200000004</v>
      </c>
      <c r="C101" s="23">
        <f t="shared" si="22"/>
        <v>1408.1760000000002</v>
      </c>
      <c r="D101" s="23">
        <f t="shared" si="26"/>
        <v>0.88221296576380592</v>
      </c>
      <c r="E101" s="23">
        <f t="shared" si="24"/>
        <v>1389688.4251968493</v>
      </c>
      <c r="F101" s="23" t="s">
        <v>22</v>
      </c>
      <c r="G101" s="23">
        <f t="shared" si="25"/>
        <v>3.0480000000000004E-2</v>
      </c>
      <c r="I101" s="23">
        <v>1739</v>
      </c>
      <c r="J101" s="23">
        <v>4620</v>
      </c>
      <c r="L101" s="23" t="s">
        <v>22</v>
      </c>
      <c r="M101" s="23">
        <v>0.1</v>
      </c>
    </row>
    <row r="102" spans="1:13" x14ac:dyDescent="0.25">
      <c r="B102" s="23">
        <f t="shared" si="23"/>
        <v>4.2629068800000001</v>
      </c>
      <c r="C102" s="23">
        <f t="shared" si="22"/>
        <v>1411.2240000000002</v>
      </c>
      <c r="D102" s="23">
        <f t="shared" si="26"/>
        <v>1.3896875429838835</v>
      </c>
      <c r="E102" s="23">
        <f t="shared" si="24"/>
        <v>2008047.1653543292</v>
      </c>
      <c r="F102" s="23" t="s">
        <v>23</v>
      </c>
      <c r="G102" s="23">
        <f t="shared" si="25"/>
        <v>0.12192000000000001</v>
      </c>
      <c r="I102" s="23">
        <v>3456</v>
      </c>
      <c r="J102" s="23">
        <v>4630</v>
      </c>
      <c r="L102" s="23" t="s">
        <v>23</v>
      </c>
      <c r="M102" s="23">
        <v>0.4</v>
      </c>
    </row>
    <row r="103" spans="1:13" x14ac:dyDescent="0.25">
      <c r="B103" s="23">
        <f t="shared" si="23"/>
        <v>7.32317076</v>
      </c>
      <c r="C103" s="23">
        <f t="shared" si="22"/>
        <v>1414.2720000000002</v>
      </c>
      <c r="D103" s="23">
        <f t="shared" si="26"/>
        <v>2.008045775666786</v>
      </c>
      <c r="E103" s="23">
        <f t="shared" si="24"/>
        <v>2670111.8897637771</v>
      </c>
      <c r="F103" s="23" t="s">
        <v>24</v>
      </c>
      <c r="G103" s="23">
        <f t="shared" si="25"/>
        <v>0.15240000000000001</v>
      </c>
      <c r="I103" s="23">
        <v>5937</v>
      </c>
      <c r="J103" s="23">
        <v>4640</v>
      </c>
      <c r="L103" s="23" t="s">
        <v>24</v>
      </c>
      <c r="M103" s="23">
        <v>0.5</v>
      </c>
    </row>
    <row r="104" spans="1:13" x14ac:dyDescent="0.25">
      <c r="B104" s="23">
        <f t="shared" si="23"/>
        <v>11.392421279999999</v>
      </c>
      <c r="C104" s="23">
        <f t="shared" si="22"/>
        <v>1417.3200000000002</v>
      </c>
      <c r="D104" s="23">
        <f t="shared" si="26"/>
        <v>2.6701098817180013</v>
      </c>
      <c r="E104" s="23">
        <f t="shared" si="24"/>
        <v>3213199.2125984239</v>
      </c>
      <c r="F104" s="23" t="s">
        <v>25</v>
      </c>
      <c r="G104" s="23">
        <f t="shared" si="25"/>
        <v>0.18288000000000001</v>
      </c>
      <c r="I104" s="23">
        <v>9236</v>
      </c>
      <c r="J104" s="23">
        <v>4650</v>
      </c>
      <c r="L104" s="23" t="s">
        <v>25</v>
      </c>
      <c r="M104" s="23">
        <v>0.6</v>
      </c>
    </row>
    <row r="105" spans="1:13" x14ac:dyDescent="0.25">
      <c r="B105" s="23">
        <f t="shared" si="23"/>
        <v>16.28933688</v>
      </c>
      <c r="C105" s="23">
        <f t="shared" si="22"/>
        <v>1420.3680000000002</v>
      </c>
      <c r="D105" s="23">
        <f t="shared" si="26"/>
        <v>3.2131965424885425</v>
      </c>
      <c r="E105" s="23">
        <f t="shared" si="24"/>
        <v>3654305.9055118095</v>
      </c>
      <c r="F105" s="23" t="s">
        <v>26</v>
      </c>
      <c r="G105" s="23">
        <f t="shared" si="25"/>
        <v>0.15240000000000001</v>
      </c>
      <c r="I105" s="23">
        <v>13206</v>
      </c>
      <c r="J105" s="23">
        <v>4660</v>
      </c>
      <c r="L105" s="23" t="s">
        <v>26</v>
      </c>
      <c r="M105" s="23">
        <v>0.5</v>
      </c>
    </row>
    <row r="106" spans="1:13" x14ac:dyDescent="0.25">
      <c r="B106" s="23">
        <f t="shared" si="23"/>
        <v>21.858499080000001</v>
      </c>
      <c r="C106" s="23">
        <f t="shared" si="22"/>
        <v>1423.4160000000002</v>
      </c>
      <c r="D106" s="23">
        <f t="shared" si="26"/>
        <v>3.6543026923152668</v>
      </c>
      <c r="E106" s="23">
        <f t="shared" si="24"/>
        <v>3897116.9291338474</v>
      </c>
      <c r="F106" s="23" t="s">
        <v>27</v>
      </c>
      <c r="G106" s="23">
        <f t="shared" si="25"/>
        <v>9.1440000000000007E-2</v>
      </c>
      <c r="I106" s="23">
        <v>17721</v>
      </c>
      <c r="J106" s="23">
        <v>4670</v>
      </c>
      <c r="L106" s="23" t="s">
        <v>27</v>
      </c>
      <c r="M106" s="23">
        <v>0.3</v>
      </c>
    </row>
    <row r="107" spans="1:13" x14ac:dyDescent="0.25">
      <c r="B107" s="23">
        <f t="shared" si="23"/>
        <v>23.046340319999999</v>
      </c>
      <c r="C107" s="23">
        <f t="shared" si="22"/>
        <v>1424.0256000000002</v>
      </c>
      <c r="D107" s="23">
        <f t="shared" si="26"/>
        <v>3.8971132748311548</v>
      </c>
      <c r="E107" s="23">
        <f t="shared" si="24"/>
        <v>3961866.5354330689</v>
      </c>
      <c r="F107" s="23" t="s">
        <v>28</v>
      </c>
      <c r="G107" s="23">
        <f t="shared" si="25"/>
        <v>9.1440000000000007E-2</v>
      </c>
      <c r="I107" s="23">
        <v>18684</v>
      </c>
      <c r="J107" s="23">
        <v>4672</v>
      </c>
      <c r="L107" s="23" t="s">
        <v>28</v>
      </c>
      <c r="M107" s="23">
        <v>0.3</v>
      </c>
    </row>
    <row r="108" spans="1:13" x14ac:dyDescent="0.25">
      <c r="B108" s="23">
        <f t="shared" si="23"/>
        <v>27.876647999999999</v>
      </c>
      <c r="C108" s="23">
        <f t="shared" si="22"/>
        <v>1426.4640000000002</v>
      </c>
      <c r="D108" s="23">
        <f t="shared" si="26"/>
        <v>3.9618626383197939</v>
      </c>
      <c r="E108" s="23">
        <f t="shared" si="24"/>
        <v>4451535.4330708617</v>
      </c>
      <c r="F108" s="23" t="s">
        <v>29</v>
      </c>
      <c r="G108" s="23">
        <f t="shared" si="25"/>
        <v>0</v>
      </c>
      <c r="I108" s="23">
        <v>22600</v>
      </c>
      <c r="J108" s="23">
        <v>4680</v>
      </c>
      <c r="L108" s="23" t="s">
        <v>29</v>
      </c>
      <c r="M108" s="23">
        <v>0</v>
      </c>
    </row>
    <row r="109" spans="1:13" x14ac:dyDescent="0.25">
      <c r="B109" s="23">
        <f t="shared" si="23"/>
        <v>34.660787999999997</v>
      </c>
      <c r="C109" s="23">
        <f t="shared" si="22"/>
        <v>1429.5120000000002</v>
      </c>
      <c r="D109" s="23">
        <f t="shared" si="26"/>
        <v>4.4515314712082228</v>
      </c>
      <c r="E109" s="23">
        <f t="shared" si="24"/>
        <v>4856220.4724409431</v>
      </c>
      <c r="F109" s="23" t="s">
        <v>30</v>
      </c>
      <c r="G109" s="23">
        <f t="shared" si="25"/>
        <v>0</v>
      </c>
      <c r="I109" s="23">
        <v>28100</v>
      </c>
      <c r="J109" s="23">
        <v>4690</v>
      </c>
      <c r="L109" s="23" t="s">
        <v>30</v>
      </c>
      <c r="M109" s="23">
        <v>0</v>
      </c>
    </row>
    <row r="110" spans="1:13" x14ac:dyDescent="0.25">
      <c r="B110" s="23">
        <f t="shared" si="23"/>
        <v>42.061667999999997</v>
      </c>
      <c r="C110" s="23">
        <f t="shared" si="22"/>
        <v>1432.5600000000002</v>
      </c>
      <c r="D110" s="23">
        <f t="shared" si="26"/>
        <v>4.8562160209094722</v>
      </c>
      <c r="E110" s="23">
        <f t="shared" si="24"/>
        <v>5341842.5196850374</v>
      </c>
      <c r="I110" s="23">
        <v>34100</v>
      </c>
      <c r="J110" s="23">
        <v>4700</v>
      </c>
    </row>
    <row r="111" spans="1:13" x14ac:dyDescent="0.25">
      <c r="B111" s="23">
        <f t="shared" si="23"/>
        <v>50.202635999999998</v>
      </c>
      <c r="C111" s="23">
        <f t="shared" si="22"/>
        <v>1435.6080000000002</v>
      </c>
      <c r="D111" s="23">
        <f t="shared" si="26"/>
        <v>5.3418376634690166</v>
      </c>
      <c r="E111" s="23">
        <f t="shared" si="24"/>
        <v>5827464.5669291308</v>
      </c>
      <c r="I111" s="23">
        <v>40700</v>
      </c>
      <c r="J111" s="23">
        <v>4710</v>
      </c>
    </row>
    <row r="112" spans="1:13" x14ac:dyDescent="0.25">
      <c r="B112" s="23">
        <f t="shared" si="23"/>
        <v>59.083691999999999</v>
      </c>
      <c r="C112" s="23">
        <f t="shared" si="22"/>
        <v>1438.6560000000002</v>
      </c>
      <c r="D112" s="23">
        <f t="shared" si="26"/>
        <v>5.8274592250914674</v>
      </c>
      <c r="E112" s="23">
        <f t="shared" si="24"/>
        <v>6394023.6220472362</v>
      </c>
      <c r="I112" s="23">
        <v>47900</v>
      </c>
      <c r="J112" s="23">
        <v>4720</v>
      </c>
    </row>
    <row r="113" spans="1:13" x14ac:dyDescent="0.25">
      <c r="B113" s="23">
        <f t="shared" si="23"/>
        <v>68.828183999999993</v>
      </c>
      <c r="C113" s="23">
        <f t="shared" si="22"/>
        <v>1441.7040000000002</v>
      </c>
      <c r="D113" s="23">
        <f t="shared" si="26"/>
        <v>6.3940177945880103</v>
      </c>
      <c r="E113" s="23">
        <f t="shared" si="24"/>
        <v>7041519.6850393713</v>
      </c>
      <c r="I113" s="23">
        <v>55800</v>
      </c>
      <c r="J113" s="23">
        <v>4730</v>
      </c>
    </row>
    <row r="114" spans="1:13" x14ac:dyDescent="0.25">
      <c r="B114" s="23">
        <f t="shared" si="23"/>
        <v>79.559460000000001</v>
      </c>
      <c r="C114" s="23">
        <f t="shared" si="22"/>
        <v>1444.7520000000002</v>
      </c>
      <c r="D114" s="23">
        <f t="shared" si="26"/>
        <v>7.0415132910215767</v>
      </c>
      <c r="E114" s="23">
        <f t="shared" si="24"/>
        <v>7608078.7401574766</v>
      </c>
      <c r="I114" s="23">
        <v>64500</v>
      </c>
      <c r="J114" s="23">
        <v>4740</v>
      </c>
    </row>
    <row r="115" spans="1:13" x14ac:dyDescent="0.25">
      <c r="B115" s="23">
        <f t="shared" si="23"/>
        <v>91.154172000000003</v>
      </c>
      <c r="C115" s="23">
        <f t="shared" si="22"/>
        <v>1447.8000000000002</v>
      </c>
      <c r="D115" s="23">
        <f t="shared" si="26"/>
        <v>7.6080716986441859</v>
      </c>
      <c r="E115" s="23">
        <f t="shared" si="24"/>
        <v>125920.94488188977</v>
      </c>
      <c r="I115" s="23">
        <v>73900</v>
      </c>
      <c r="J115" s="23">
        <v>4750</v>
      </c>
    </row>
    <row r="120" spans="1:13" x14ac:dyDescent="0.25">
      <c r="A120" s="28" t="s">
        <v>55</v>
      </c>
      <c r="B120" s="28" t="s">
        <v>340</v>
      </c>
      <c r="I120" s="29" t="s">
        <v>81</v>
      </c>
    </row>
    <row r="121" spans="1:13" x14ac:dyDescent="0.25">
      <c r="A121" s="30"/>
      <c r="B121" s="30" t="s">
        <v>91</v>
      </c>
      <c r="C121" s="30" t="s">
        <v>76</v>
      </c>
      <c r="D121" s="30" t="s">
        <v>92</v>
      </c>
      <c r="E121" s="30" t="s">
        <v>78</v>
      </c>
      <c r="F121" s="30" t="s">
        <v>82</v>
      </c>
      <c r="G121" s="30" t="s">
        <v>83</v>
      </c>
      <c r="H121" s="30"/>
      <c r="I121" s="30" t="s">
        <v>84</v>
      </c>
      <c r="J121" s="30" t="s">
        <v>85</v>
      </c>
      <c r="K121" s="30" t="s">
        <v>341</v>
      </c>
      <c r="L121" s="30" t="s">
        <v>82</v>
      </c>
      <c r="M121" s="30" t="s">
        <v>86</v>
      </c>
    </row>
    <row r="122" spans="1:13" x14ac:dyDescent="0.25">
      <c r="B122" s="23">
        <f>I122*1233.48/1000000</f>
        <v>0</v>
      </c>
      <c r="C122" s="23">
        <f t="shared" ref="C122:C136" si="27">J122*0.3048</f>
        <v>1597.152</v>
      </c>
      <c r="D122" s="23">
        <f>K122*4046.856/1000000</f>
        <v>0</v>
      </c>
      <c r="E122" s="23">
        <f>(B123-B122)/(C123-C122)*2*1000000</f>
        <v>101171.25984251962</v>
      </c>
      <c r="F122" s="23" t="s">
        <v>19</v>
      </c>
      <c r="G122" s="23">
        <f>M122*0.3048</f>
        <v>0</v>
      </c>
      <c r="I122" s="148">
        <v>0</v>
      </c>
      <c r="J122" s="148">
        <v>5240</v>
      </c>
      <c r="K122" s="148">
        <v>0</v>
      </c>
      <c r="L122" s="23" t="s">
        <v>19</v>
      </c>
      <c r="M122" s="23">
        <v>0</v>
      </c>
    </row>
    <row r="123" spans="1:13" x14ac:dyDescent="0.25">
      <c r="B123" s="23">
        <f t="shared" ref="B123:B136" si="28">I123*1233.48/1000000</f>
        <v>0.30836999999999998</v>
      </c>
      <c r="C123" s="23">
        <f t="shared" si="27"/>
        <v>1603.248</v>
      </c>
      <c r="D123" s="23">
        <f t="shared" ref="D123:D136" si="29">K123*4046.856/1000000</f>
        <v>0.10117140000000001</v>
      </c>
      <c r="E123" s="23">
        <f t="shared" ref="E123:E136" si="30">(B124-B123)/(C124-C123)*2*1000000</f>
        <v>256300.52493438305</v>
      </c>
      <c r="F123" s="23" t="s">
        <v>20</v>
      </c>
      <c r="G123" s="23">
        <f t="shared" ref="G123:G133" si="31">M123*0.3048</f>
        <v>0</v>
      </c>
      <c r="I123" s="148">
        <v>250</v>
      </c>
      <c r="J123" s="148">
        <v>5260</v>
      </c>
      <c r="K123" s="148">
        <v>25</v>
      </c>
      <c r="L123" s="23" t="s">
        <v>20</v>
      </c>
      <c r="M123" s="23">
        <v>0</v>
      </c>
    </row>
    <row r="124" spans="1:13" x14ac:dyDescent="0.25">
      <c r="B124" s="23">
        <f t="shared" si="28"/>
        <v>1.4801759999999999</v>
      </c>
      <c r="C124" s="23">
        <f t="shared" si="27"/>
        <v>1612.3920000000001</v>
      </c>
      <c r="D124" s="23">
        <f t="shared" si="29"/>
        <v>0.15378052800000003</v>
      </c>
      <c r="E124" s="23">
        <f t="shared" si="30"/>
        <v>566559.05511810991</v>
      </c>
      <c r="F124" s="23" t="s">
        <v>21</v>
      </c>
      <c r="G124" s="23">
        <f t="shared" si="31"/>
        <v>0</v>
      </c>
      <c r="I124" s="148">
        <v>1200</v>
      </c>
      <c r="J124" s="148">
        <v>5290</v>
      </c>
      <c r="K124" s="148">
        <v>38</v>
      </c>
      <c r="L124" s="23" t="s">
        <v>21</v>
      </c>
      <c r="M124" s="23">
        <v>0</v>
      </c>
    </row>
    <row r="125" spans="1:13" x14ac:dyDescent="0.25">
      <c r="B125" s="23">
        <f t="shared" si="28"/>
        <v>3.2070479999999999</v>
      </c>
      <c r="C125" s="23">
        <f t="shared" si="27"/>
        <v>1618.4880000000001</v>
      </c>
      <c r="D125" s="23">
        <f t="shared" si="29"/>
        <v>0.28327992000000002</v>
      </c>
      <c r="E125" s="23">
        <f t="shared" si="30"/>
        <v>822859.58005249291</v>
      </c>
      <c r="F125" s="23" t="s">
        <v>22</v>
      </c>
      <c r="G125" s="23">
        <f t="shared" si="31"/>
        <v>3.0480000000000004E-2</v>
      </c>
      <c r="I125" s="148">
        <v>2600</v>
      </c>
      <c r="J125" s="148">
        <v>5310</v>
      </c>
      <c r="K125" s="148">
        <v>70</v>
      </c>
      <c r="L125" s="23" t="s">
        <v>22</v>
      </c>
      <c r="M125" s="23">
        <v>0.1</v>
      </c>
    </row>
    <row r="126" spans="1:13" x14ac:dyDescent="0.25">
      <c r="B126" s="23">
        <f t="shared" si="28"/>
        <v>6.9691619999999999</v>
      </c>
      <c r="C126" s="23">
        <f t="shared" si="27"/>
        <v>1627.6320000000001</v>
      </c>
      <c r="D126" s="23">
        <f t="shared" si="29"/>
        <v>0.41277931200000001</v>
      </c>
      <c r="E126" s="23">
        <f t="shared" si="30"/>
        <v>1173586.6141732277</v>
      </c>
      <c r="F126" s="23" t="s">
        <v>23</v>
      </c>
      <c r="G126" s="23">
        <f t="shared" si="31"/>
        <v>0.12192000000000001</v>
      </c>
      <c r="I126" s="148">
        <v>5650</v>
      </c>
      <c r="J126" s="148">
        <v>5340</v>
      </c>
      <c r="K126" s="148">
        <v>102</v>
      </c>
      <c r="L126" s="23" t="s">
        <v>23</v>
      </c>
      <c r="M126" s="23">
        <v>0.4</v>
      </c>
    </row>
    <row r="127" spans="1:13" x14ac:dyDescent="0.25">
      <c r="B127" s="23">
        <f t="shared" si="28"/>
        <v>12.3348</v>
      </c>
      <c r="C127" s="23">
        <f t="shared" si="27"/>
        <v>1636.7760000000001</v>
      </c>
      <c r="D127" s="23">
        <f t="shared" si="29"/>
        <v>0.51395071199999998</v>
      </c>
      <c r="E127" s="23">
        <f t="shared" si="30"/>
        <v>1214055.1181102358</v>
      </c>
      <c r="F127" s="23" t="s">
        <v>24</v>
      </c>
      <c r="G127" s="23">
        <f t="shared" si="31"/>
        <v>0.15240000000000001</v>
      </c>
      <c r="I127" s="148">
        <v>10000</v>
      </c>
      <c r="J127" s="148">
        <v>5370</v>
      </c>
      <c r="K127" s="148">
        <v>127</v>
      </c>
      <c r="L127" s="23" t="s">
        <v>24</v>
      </c>
      <c r="M127" s="23">
        <v>0.5</v>
      </c>
    </row>
    <row r="128" spans="1:13" x14ac:dyDescent="0.25">
      <c r="B128" s="23">
        <f t="shared" si="28"/>
        <v>14.18502</v>
      </c>
      <c r="C128" s="23">
        <f t="shared" si="27"/>
        <v>1639.8240000000001</v>
      </c>
      <c r="D128" s="23">
        <f t="shared" si="29"/>
        <v>0.66773123999999995</v>
      </c>
      <c r="E128" s="23">
        <f t="shared" si="30"/>
        <v>1011712.5984251965</v>
      </c>
      <c r="F128" s="23" t="s">
        <v>25</v>
      </c>
      <c r="G128" s="23">
        <f t="shared" si="31"/>
        <v>0.18288000000000001</v>
      </c>
      <c r="I128" s="148">
        <v>11500</v>
      </c>
      <c r="J128" s="148">
        <v>5380</v>
      </c>
      <c r="K128" s="148">
        <v>165</v>
      </c>
      <c r="L128" s="23" t="s">
        <v>25</v>
      </c>
      <c r="M128" s="23">
        <v>0.6</v>
      </c>
    </row>
    <row r="129" spans="2:13" x14ac:dyDescent="0.25">
      <c r="B129" s="23">
        <f t="shared" si="28"/>
        <v>14.80176</v>
      </c>
      <c r="C129" s="23">
        <f t="shared" si="27"/>
        <v>1641.0432000000001</v>
      </c>
      <c r="D129" s="23">
        <f t="shared" si="29"/>
        <v>0.74057464800000006</v>
      </c>
      <c r="E129" s="23">
        <f t="shared" si="30"/>
        <v>1618740.1574797104</v>
      </c>
      <c r="F129" s="23" t="s">
        <v>26</v>
      </c>
      <c r="G129" s="23">
        <f t="shared" si="31"/>
        <v>0.15240000000000001</v>
      </c>
      <c r="I129" s="148">
        <v>12000</v>
      </c>
      <c r="J129" s="148">
        <v>5384</v>
      </c>
      <c r="K129" s="148">
        <v>183</v>
      </c>
      <c r="L129" s="23" t="s">
        <v>26</v>
      </c>
      <c r="M129" s="23">
        <v>0.5</v>
      </c>
    </row>
    <row r="130" spans="2:13" x14ac:dyDescent="0.25">
      <c r="B130" s="23">
        <f t="shared" si="28"/>
        <v>15.048456</v>
      </c>
      <c r="C130" s="23">
        <f t="shared" si="27"/>
        <v>1641.3480000000002</v>
      </c>
      <c r="D130" s="23">
        <f t="shared" si="29"/>
        <v>0.75676207200000001</v>
      </c>
      <c r="E130" s="23">
        <f t="shared" si="30"/>
        <v>1618740.1574809179</v>
      </c>
      <c r="F130" s="23" t="s">
        <v>27</v>
      </c>
      <c r="G130" s="23">
        <f t="shared" si="31"/>
        <v>9.1440000000000007E-2</v>
      </c>
      <c r="I130" s="148">
        <v>12200</v>
      </c>
      <c r="J130" s="148">
        <v>5385</v>
      </c>
      <c r="K130" s="148">
        <v>187</v>
      </c>
      <c r="L130" s="23" t="s">
        <v>27</v>
      </c>
      <c r="M130" s="23">
        <v>0.3</v>
      </c>
    </row>
    <row r="131" spans="2:13" x14ac:dyDescent="0.25">
      <c r="B131" s="23">
        <f t="shared" si="28"/>
        <v>15.295152</v>
      </c>
      <c r="C131" s="23">
        <f t="shared" si="27"/>
        <v>1641.6528000000001</v>
      </c>
      <c r="D131" s="23">
        <f t="shared" si="29"/>
        <v>0.77699635200000006</v>
      </c>
      <c r="E131" s="23">
        <f t="shared" si="30"/>
        <v>1618740.1574803141</v>
      </c>
      <c r="F131" s="23" t="s">
        <v>28</v>
      </c>
      <c r="G131" s="23">
        <f t="shared" si="31"/>
        <v>9.1440000000000007E-2</v>
      </c>
      <c r="I131" s="148">
        <v>12400</v>
      </c>
      <c r="J131" s="148">
        <v>5386</v>
      </c>
      <c r="K131" s="148">
        <v>192</v>
      </c>
      <c r="L131" s="23" t="s">
        <v>28</v>
      </c>
      <c r="M131" s="23">
        <v>0.3</v>
      </c>
    </row>
    <row r="132" spans="2:13" x14ac:dyDescent="0.25">
      <c r="B132" s="23">
        <f t="shared" si="28"/>
        <v>15.788544</v>
      </c>
      <c r="C132" s="23">
        <f t="shared" si="27"/>
        <v>1642.2624000000001</v>
      </c>
      <c r="D132" s="23">
        <f t="shared" si="29"/>
        <v>0.81746491200000004</v>
      </c>
      <c r="E132" s="23">
        <f t="shared" si="30"/>
        <v>1618740.15748032</v>
      </c>
      <c r="F132" s="23" t="s">
        <v>29</v>
      </c>
      <c r="G132" s="23">
        <f t="shared" si="31"/>
        <v>0</v>
      </c>
      <c r="I132" s="148">
        <v>12800</v>
      </c>
      <c r="J132" s="148">
        <v>5388</v>
      </c>
      <c r="K132" s="148">
        <v>202</v>
      </c>
      <c r="L132" s="23" t="s">
        <v>29</v>
      </c>
      <c r="M132" s="23">
        <v>0</v>
      </c>
    </row>
    <row r="133" spans="2:13" x14ac:dyDescent="0.25">
      <c r="B133" s="23">
        <f t="shared" si="28"/>
        <v>16.281936000000002</v>
      </c>
      <c r="C133" s="23">
        <f t="shared" si="27"/>
        <v>1642.8720000000001</v>
      </c>
      <c r="D133" s="23">
        <f t="shared" si="29"/>
        <v>0.85793347200000003</v>
      </c>
      <c r="E133" s="23">
        <f t="shared" si="30"/>
        <v>1214055.1181102239</v>
      </c>
      <c r="F133" s="23" t="s">
        <v>30</v>
      </c>
      <c r="G133" s="23">
        <f t="shared" si="31"/>
        <v>0</v>
      </c>
      <c r="I133" s="148">
        <v>13200</v>
      </c>
      <c r="J133" s="148">
        <v>5390</v>
      </c>
      <c r="K133" s="148">
        <v>212</v>
      </c>
      <c r="L133" s="23" t="s">
        <v>30</v>
      </c>
      <c r="M133" s="23">
        <v>0</v>
      </c>
    </row>
    <row r="134" spans="2:13" x14ac:dyDescent="0.25">
      <c r="B134" s="23">
        <f t="shared" si="28"/>
        <v>16.651979999999998</v>
      </c>
      <c r="C134" s="23">
        <f t="shared" si="27"/>
        <v>1643.4816000000001</v>
      </c>
      <c r="D134" s="23">
        <f t="shared" si="29"/>
        <v>0.89840203200000002</v>
      </c>
      <c r="E134" s="23">
        <f t="shared" si="30"/>
        <v>2023425.196850393</v>
      </c>
      <c r="I134" s="148">
        <v>13500</v>
      </c>
      <c r="J134" s="148">
        <v>5392</v>
      </c>
      <c r="K134" s="148">
        <v>222</v>
      </c>
    </row>
    <row r="135" spans="2:13" x14ac:dyDescent="0.25">
      <c r="B135" s="23">
        <f t="shared" si="28"/>
        <v>17.268719999999998</v>
      </c>
      <c r="C135" s="23">
        <f t="shared" si="27"/>
        <v>1644.0912000000001</v>
      </c>
      <c r="D135" s="23">
        <f t="shared" si="29"/>
        <v>0.9429174480000001</v>
      </c>
      <c r="E135" s="23">
        <f t="shared" si="30"/>
        <v>2697900.2624668549</v>
      </c>
      <c r="I135" s="148">
        <v>14000</v>
      </c>
      <c r="J135" s="148">
        <v>5394</v>
      </c>
      <c r="K135" s="148">
        <v>233</v>
      </c>
    </row>
    <row r="136" spans="2:13" x14ac:dyDescent="0.25">
      <c r="B136" s="23">
        <f t="shared" si="28"/>
        <v>18.502199999999998</v>
      </c>
      <c r="C136" s="23">
        <f t="shared" si="27"/>
        <v>1645.0056000000002</v>
      </c>
      <c r="D136" s="23">
        <f t="shared" si="29"/>
        <v>1.011714</v>
      </c>
      <c r="E136" s="23">
        <f t="shared" si="30"/>
        <v>22494.999409120548</v>
      </c>
      <c r="I136" s="148">
        <v>15000</v>
      </c>
      <c r="J136" s="148">
        <v>5397</v>
      </c>
      <c r="K136" s="148">
        <v>250</v>
      </c>
    </row>
  </sheetData>
  <pageMargins left="0.7" right="0.7" top="0.75" bottom="0.75" header="0.3" footer="0.3"/>
  <pageSetup orientation="portrait" r:id="rId1"/>
  <drawing r:id="rId2"/>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2">
    <tabColor rgb="FF0070C0"/>
  </sheetPr>
  <dimension ref="A1:X52"/>
  <sheetViews>
    <sheetView topLeftCell="D53" zoomScale="59" zoomScaleNormal="70" workbookViewId="0">
      <selection activeCell="AJ47" sqref="AJ47"/>
    </sheetView>
  </sheetViews>
  <sheetFormatPr defaultColWidth="9.125" defaultRowHeight="15" x14ac:dyDescent="0.25"/>
  <cols>
    <col min="1" max="1" width="11.875" style="23" customWidth="1"/>
    <col min="2" max="2" width="16" style="23" customWidth="1"/>
    <col min="3" max="3" width="14.625" style="23" bestFit="1" customWidth="1"/>
    <col min="4" max="6" width="15.25" style="23" bestFit="1" customWidth="1"/>
    <col min="7" max="7" width="14.625" style="23" bestFit="1" customWidth="1"/>
    <col min="8" max="11" width="15.25" style="23" bestFit="1" customWidth="1"/>
    <col min="12" max="12" width="14.625" style="23" bestFit="1" customWidth="1"/>
    <col min="13" max="23" width="9.125" style="23"/>
    <col min="24" max="24" width="14.25" style="23" bestFit="1" customWidth="1"/>
    <col min="25" max="16384" width="9.125" style="23"/>
  </cols>
  <sheetData>
    <row r="1" spans="1:24" x14ac:dyDescent="0.25">
      <c r="A1" s="51" t="s">
        <v>222</v>
      </c>
      <c r="B1" s="52"/>
      <c r="C1" s="52"/>
    </row>
    <row r="2" spans="1:24" x14ac:dyDescent="0.25">
      <c r="I2" s="53"/>
    </row>
    <row r="3" spans="1:24" s="30" customFormat="1" x14ac:dyDescent="0.25">
      <c r="B3" s="54">
        <v>1992</v>
      </c>
      <c r="C3" s="55">
        <v>1996</v>
      </c>
      <c r="D3" s="55">
        <v>1997</v>
      </c>
      <c r="E3" s="55">
        <v>2004</v>
      </c>
      <c r="F3" s="46">
        <v>2005</v>
      </c>
      <c r="G3" s="55">
        <v>2006</v>
      </c>
      <c r="H3" s="46">
        <v>2007</v>
      </c>
      <c r="I3" s="46">
        <v>2008</v>
      </c>
      <c r="J3" s="46">
        <v>2009</v>
      </c>
      <c r="K3" s="46">
        <v>2010</v>
      </c>
      <c r="L3" s="47">
        <v>2011</v>
      </c>
    </row>
    <row r="4" spans="1:24" x14ac:dyDescent="0.25">
      <c r="A4" s="56" t="s">
        <v>223</v>
      </c>
      <c r="B4" s="57">
        <v>5453.1723120451197</v>
      </c>
      <c r="C4" s="58">
        <v>7541.1533099672642</v>
      </c>
      <c r="D4" s="58">
        <v>20902.563132122876</v>
      </c>
      <c r="E4" s="58">
        <v>6593.8637108373105</v>
      </c>
      <c r="F4" s="58">
        <v>9404.6365325952011</v>
      </c>
      <c r="G4" s="58">
        <v>13735.31996816928</v>
      </c>
      <c r="H4" s="58">
        <v>9904.4717810452075</v>
      </c>
      <c r="I4" s="58">
        <v>6433.0747636671358</v>
      </c>
      <c r="J4" s="58">
        <v>7865.0065195977595</v>
      </c>
      <c r="K4" s="58">
        <v>7386.431870237473</v>
      </c>
      <c r="L4" s="59">
        <v>9982.5176847801595</v>
      </c>
    </row>
    <row r="5" spans="1:24" x14ac:dyDescent="0.25">
      <c r="A5" s="60" t="s">
        <v>224</v>
      </c>
      <c r="B5" s="61">
        <v>5520.7467295868155</v>
      </c>
      <c r="C5" s="62">
        <v>9885.1439766643198</v>
      </c>
      <c r="D5" s="62">
        <v>12960.978796846082</v>
      </c>
      <c r="E5" s="62">
        <v>7083.3256215321599</v>
      </c>
      <c r="F5" s="62">
        <v>6960.0182122598399</v>
      </c>
      <c r="G5" s="62">
        <v>10857.902427590401</v>
      </c>
      <c r="H5" s="62">
        <v>10226.685780393984</v>
      </c>
      <c r="I5" s="62">
        <v>7706.7130795200001</v>
      </c>
      <c r="J5" s="62">
        <v>6458.5680812190722</v>
      </c>
      <c r="K5" s="62">
        <v>6702.4427351132153</v>
      </c>
      <c r="L5" s="63">
        <v>8821.3729141324784</v>
      </c>
    </row>
    <row r="6" spans="1:24" x14ac:dyDescent="0.25">
      <c r="A6" s="60" t="s">
        <v>225</v>
      </c>
      <c r="B6" s="61">
        <v>7117.9446660004796</v>
      </c>
      <c r="C6" s="62">
        <v>14031.110955887998</v>
      </c>
      <c r="D6" s="62">
        <v>20204.799776478718</v>
      </c>
      <c r="E6" s="62">
        <v>11846.808277349759</v>
      </c>
      <c r="F6" s="62">
        <v>16928.345758671359</v>
      </c>
      <c r="G6" s="62">
        <v>18960.960751200004</v>
      </c>
      <c r="H6" s="62">
        <v>14312.466941460481</v>
      </c>
      <c r="I6" s="62">
        <v>10140.321809741761</v>
      </c>
      <c r="J6" s="62">
        <v>14539.264704020157</v>
      </c>
      <c r="K6" s="62">
        <v>8850.9764786601609</v>
      </c>
      <c r="L6" s="63">
        <v>18339.530553676799</v>
      </c>
    </row>
    <row r="7" spans="1:24" x14ac:dyDescent="0.25">
      <c r="A7" s="60" t="s">
        <v>226</v>
      </c>
      <c r="B7" s="61">
        <v>4681.2777163027195</v>
      </c>
      <c r="C7" s="62">
        <v>20433.799250841595</v>
      </c>
      <c r="D7" s="62">
        <v>28191.890417558403</v>
      </c>
      <c r="E7" s="62">
        <v>8051.6802364127998</v>
      </c>
      <c r="F7" s="62">
        <v>22855.909075833602</v>
      </c>
      <c r="G7" s="62">
        <v>36463.762456243203</v>
      </c>
      <c r="H7" s="62">
        <v>10584.375125153218</v>
      </c>
      <c r="I7" s="62">
        <v>9835.2338348159992</v>
      </c>
      <c r="J7" s="62">
        <v>19215.4046116032</v>
      </c>
      <c r="K7" s="62">
        <v>11339.877817007999</v>
      </c>
      <c r="L7" s="63">
        <v>28431.654824476802</v>
      </c>
    </row>
    <row r="8" spans="1:24" x14ac:dyDescent="0.25">
      <c r="A8" s="60" t="s">
        <v>227</v>
      </c>
      <c r="B8" s="61">
        <v>544.55879277446388</v>
      </c>
      <c r="C8" s="62">
        <v>20250.306082281597</v>
      </c>
      <c r="D8" s="62">
        <v>42222.267400772158</v>
      </c>
      <c r="E8" s="62">
        <v>3070.9172032643514</v>
      </c>
      <c r="F8" s="62">
        <v>44467.245153714241</v>
      </c>
      <c r="G8" s="62">
        <v>29222.632709749443</v>
      </c>
      <c r="H8" s="62">
        <v>3502.762208562217</v>
      </c>
      <c r="I8" s="62">
        <v>10777.410090982079</v>
      </c>
      <c r="J8" s="62">
        <v>19529.789573736001</v>
      </c>
      <c r="K8" s="62">
        <v>7445.590067781216</v>
      </c>
      <c r="L8" s="63">
        <v>40287.760089033603</v>
      </c>
    </row>
    <row r="9" spans="1:24" x14ac:dyDescent="0.25">
      <c r="A9" s="60" t="s">
        <v>228</v>
      </c>
      <c r="B9" s="61">
        <v>569.56279521023998</v>
      </c>
      <c r="C9" s="62">
        <v>18305.278495545597</v>
      </c>
      <c r="D9" s="62">
        <v>36250.910380713598</v>
      </c>
      <c r="E9" s="62">
        <v>3689.68063340448</v>
      </c>
      <c r="F9" s="62">
        <v>23788.0543721184</v>
      </c>
      <c r="G9" s="62">
        <v>8815.0118176223987</v>
      </c>
      <c r="H9" s="62">
        <v>787.55266811215881</v>
      </c>
      <c r="I9" s="62">
        <v>8734.2748234560004</v>
      </c>
      <c r="J9" s="62">
        <v>22239.372029471997</v>
      </c>
      <c r="K9" s="62">
        <v>11890.357322688</v>
      </c>
      <c r="L9" s="63">
        <v>40143.412129766402</v>
      </c>
    </row>
    <row r="10" spans="1:24" x14ac:dyDescent="0.25">
      <c r="A10" s="60" t="s">
        <v>229</v>
      </c>
      <c r="B10" s="61">
        <v>613.5766899088319</v>
      </c>
      <c r="C10" s="62">
        <v>1932.5011197623041</v>
      </c>
      <c r="D10" s="62">
        <v>10678.81309507584</v>
      </c>
      <c r="E10" s="62">
        <v>326.12852492064002</v>
      </c>
      <c r="F10" s="62">
        <v>1849.072892457024</v>
      </c>
      <c r="G10" s="62">
        <v>929.84551523884795</v>
      </c>
      <c r="H10" s="62">
        <v>586.19950071349251</v>
      </c>
      <c r="I10" s="62">
        <v>646.18954240089613</v>
      </c>
      <c r="J10" s="62">
        <v>1894.5791982599039</v>
      </c>
      <c r="K10" s="62">
        <v>923.01956936841611</v>
      </c>
      <c r="L10" s="63">
        <v>18660.031954761598</v>
      </c>
    </row>
    <row r="11" spans="1:24" x14ac:dyDescent="0.25">
      <c r="A11" s="60" t="s">
        <v>230</v>
      </c>
      <c r="B11" s="61">
        <v>418.65801338649607</v>
      </c>
      <c r="C11" s="62">
        <v>992.03746650278424</v>
      </c>
      <c r="D11" s="62">
        <v>11952.98965755648</v>
      </c>
      <c r="E11" s="62">
        <v>354.19074683241604</v>
      </c>
      <c r="F11" s="62">
        <v>1297.6881538121279</v>
      </c>
      <c r="G11" s="62">
        <v>1131.590137631616</v>
      </c>
      <c r="H11" s="62">
        <v>573.47730787663875</v>
      </c>
      <c r="I11" s="62">
        <v>648.46485769104004</v>
      </c>
      <c r="J11" s="62">
        <v>1085.3253933986878</v>
      </c>
      <c r="K11" s="62">
        <v>892.6820321664959</v>
      </c>
      <c r="L11" s="63">
        <v>10367.119366081921</v>
      </c>
    </row>
    <row r="12" spans="1:24" x14ac:dyDescent="0.25">
      <c r="A12" s="60" t="s">
        <v>231</v>
      </c>
      <c r="B12" s="61">
        <v>456.53100337728</v>
      </c>
      <c r="C12" s="62">
        <v>3202.3227777091197</v>
      </c>
      <c r="D12" s="62">
        <v>13637.2122873792</v>
      </c>
      <c r="E12" s="62">
        <v>965.17406662559995</v>
      </c>
      <c r="F12" s="62">
        <v>2180.6328151670396</v>
      </c>
      <c r="G12" s="62">
        <v>4698.1590878102397</v>
      </c>
      <c r="H12" s="62">
        <v>1101.9376257151796</v>
      </c>
      <c r="I12" s="62">
        <v>1446.6601409270397</v>
      </c>
      <c r="J12" s="62">
        <v>1909.0629256982402</v>
      </c>
      <c r="K12" s="62">
        <v>1552.3522060176001</v>
      </c>
      <c r="L12" s="63">
        <v>10209.559898678401</v>
      </c>
    </row>
    <row r="13" spans="1:24" x14ac:dyDescent="0.25">
      <c r="A13" s="60" t="s">
        <v>232</v>
      </c>
      <c r="B13" s="61">
        <v>725.06713912588793</v>
      </c>
      <c r="C13" s="62">
        <v>5337.1312322477761</v>
      </c>
      <c r="D13" s="62">
        <v>18642.416610579836</v>
      </c>
      <c r="E13" s="62">
        <v>4095.5675222592004</v>
      </c>
      <c r="F13" s="62">
        <v>5883.965340312383</v>
      </c>
      <c r="G13" s="62">
        <v>8426.2509578332792</v>
      </c>
      <c r="H13" s="62">
        <v>3552.6723496914128</v>
      </c>
      <c r="I13" s="62">
        <v>6012.8998734205443</v>
      </c>
      <c r="J13" s="62">
        <v>7253.7051449790697</v>
      </c>
      <c r="K13" s="62">
        <v>3926.4357523584963</v>
      </c>
      <c r="L13" s="63">
        <v>14892.305560329602</v>
      </c>
    </row>
    <row r="14" spans="1:24" x14ac:dyDescent="0.25">
      <c r="A14" s="60" t="s">
        <v>233</v>
      </c>
      <c r="B14" s="61">
        <v>4891.9278738095991</v>
      </c>
      <c r="C14" s="62">
        <v>8014.9816027008001</v>
      </c>
      <c r="D14" s="62">
        <v>20184.248541599998</v>
      </c>
      <c r="E14" s="62">
        <v>5471.0323137849591</v>
      </c>
      <c r="F14" s="62">
        <v>6392.1680199561579</v>
      </c>
      <c r="G14" s="62">
        <v>9519.6255848928013</v>
      </c>
      <c r="H14" s="62">
        <v>4598.8280529680796</v>
      </c>
      <c r="I14" s="62">
        <v>6594.7444780463993</v>
      </c>
      <c r="J14" s="62">
        <v>7596.617178384</v>
      </c>
      <c r="K14" s="62">
        <v>5610.48712189056</v>
      </c>
      <c r="L14" s="63">
        <v>16223.242676284799</v>
      </c>
    </row>
    <row r="15" spans="1:24" x14ac:dyDescent="0.25">
      <c r="A15" s="60" t="s">
        <v>234</v>
      </c>
      <c r="B15" s="64">
        <v>4847.938444866817</v>
      </c>
      <c r="C15" s="65">
        <v>15775.519344998398</v>
      </c>
      <c r="D15" s="65">
        <v>18088.756556644799</v>
      </c>
      <c r="E15" s="65">
        <v>8009.1098213068817</v>
      </c>
      <c r="F15" s="65">
        <v>9017.8329332707199</v>
      </c>
      <c r="G15" s="65">
        <v>10724.319400878721</v>
      </c>
      <c r="H15" s="65">
        <v>5535.1325142496053</v>
      </c>
      <c r="I15" s="65">
        <v>6782.7148799192637</v>
      </c>
      <c r="J15" s="65">
        <v>7353.06057931536</v>
      </c>
      <c r="K15" s="65">
        <v>10762.241322381122</v>
      </c>
      <c r="L15" s="66">
        <v>9595.4694278975985</v>
      </c>
      <c r="X15" s="67"/>
    </row>
    <row r="17" spans="1:12" x14ac:dyDescent="0.25">
      <c r="B17" s="31"/>
      <c r="C17" s="68"/>
      <c r="D17" s="68"/>
      <c r="E17" s="68"/>
      <c r="F17" s="68"/>
      <c r="G17" s="68"/>
      <c r="H17" s="68"/>
      <c r="I17" s="69"/>
      <c r="J17" s="68"/>
    </row>
    <row r="18" spans="1:12" x14ac:dyDescent="0.25">
      <c r="A18" s="51" t="s">
        <v>235</v>
      </c>
      <c r="B18" s="52"/>
      <c r="C18" s="52"/>
    </row>
    <row r="19" spans="1:12" x14ac:dyDescent="0.25">
      <c r="I19" s="53"/>
    </row>
    <row r="20" spans="1:12" x14ac:dyDescent="0.25">
      <c r="A20" s="30"/>
      <c r="B20" s="54">
        <v>1992</v>
      </c>
      <c r="C20" s="55">
        <v>1996</v>
      </c>
      <c r="D20" s="55">
        <v>1997</v>
      </c>
      <c r="E20" s="55">
        <v>2004</v>
      </c>
      <c r="F20" s="46">
        <v>2005</v>
      </c>
      <c r="G20" s="55">
        <v>2006</v>
      </c>
      <c r="H20" s="46">
        <v>2007</v>
      </c>
      <c r="I20" s="46">
        <v>2008</v>
      </c>
      <c r="J20" s="46">
        <v>2009</v>
      </c>
      <c r="K20" s="46">
        <v>2010</v>
      </c>
      <c r="L20" s="47">
        <v>2011</v>
      </c>
    </row>
    <row r="21" spans="1:12" x14ac:dyDescent="0.25">
      <c r="A21" s="56" t="s">
        <v>223</v>
      </c>
      <c r="B21" s="70">
        <f>B4*10000/1000000</f>
        <v>54.531723120451197</v>
      </c>
      <c r="C21" s="70">
        <f t="shared" ref="C21:L21" si="0">C4*10000/1000000</f>
        <v>75.411533099672639</v>
      </c>
      <c r="D21" s="70">
        <f t="shared" si="0"/>
        <v>209.02563132122873</v>
      </c>
      <c r="E21" s="70">
        <f t="shared" si="0"/>
        <v>65.938637108373101</v>
      </c>
      <c r="F21" s="70">
        <f t="shared" si="0"/>
        <v>94.04636532595201</v>
      </c>
      <c r="G21" s="70">
        <f t="shared" si="0"/>
        <v>137.35319968169281</v>
      </c>
      <c r="H21" s="70">
        <f t="shared" si="0"/>
        <v>99.04471781045207</v>
      </c>
      <c r="I21" s="70">
        <f t="shared" si="0"/>
        <v>64.330747636671362</v>
      </c>
      <c r="J21" s="70">
        <f t="shared" si="0"/>
        <v>78.650065195977604</v>
      </c>
      <c r="K21" s="70">
        <f t="shared" si="0"/>
        <v>73.864318702374732</v>
      </c>
      <c r="L21" s="70">
        <f t="shared" si="0"/>
        <v>99.8251768478016</v>
      </c>
    </row>
    <row r="22" spans="1:12" x14ac:dyDescent="0.25">
      <c r="A22" s="60" t="s">
        <v>224</v>
      </c>
      <c r="B22" s="70">
        <f t="shared" ref="B22:L32" si="1">B5*10000/1000000</f>
        <v>55.207467295868156</v>
      </c>
      <c r="C22" s="70">
        <f t="shared" si="1"/>
        <v>98.851439766643196</v>
      </c>
      <c r="D22" s="70">
        <f t="shared" si="1"/>
        <v>129.60978796846084</v>
      </c>
      <c r="E22" s="70">
        <f t="shared" si="1"/>
        <v>70.833256215321597</v>
      </c>
      <c r="F22" s="70">
        <f t="shared" si="1"/>
        <v>69.600182122598397</v>
      </c>
      <c r="G22" s="70">
        <f t="shared" si="1"/>
        <v>108.57902427590402</v>
      </c>
      <c r="H22" s="70">
        <f t="shared" si="1"/>
        <v>102.26685780393983</v>
      </c>
      <c r="I22" s="70">
        <f t="shared" si="1"/>
        <v>77.067130795200001</v>
      </c>
      <c r="J22" s="70">
        <f t="shared" si="1"/>
        <v>64.585680812190716</v>
      </c>
      <c r="K22" s="70">
        <f t="shared" si="1"/>
        <v>67.024427351132161</v>
      </c>
      <c r="L22" s="70">
        <f t="shared" si="1"/>
        <v>88.213729141324791</v>
      </c>
    </row>
    <row r="23" spans="1:12" x14ac:dyDescent="0.25">
      <c r="A23" s="60" t="s">
        <v>225</v>
      </c>
      <c r="B23" s="70">
        <f t="shared" si="1"/>
        <v>71.1794466600048</v>
      </c>
      <c r="C23" s="70">
        <f t="shared" si="1"/>
        <v>140.31110955887996</v>
      </c>
      <c r="D23" s="70">
        <f t="shared" si="1"/>
        <v>202.04799776478717</v>
      </c>
      <c r="E23" s="70">
        <f t="shared" si="1"/>
        <v>118.4680827734976</v>
      </c>
      <c r="F23" s="70">
        <f t="shared" si="1"/>
        <v>169.28345758671358</v>
      </c>
      <c r="G23" s="70">
        <f t="shared" si="1"/>
        <v>189.60960751200003</v>
      </c>
      <c r="H23" s="70">
        <f t="shared" si="1"/>
        <v>143.12466941460482</v>
      </c>
      <c r="I23" s="70">
        <f t="shared" si="1"/>
        <v>101.40321809741761</v>
      </c>
      <c r="J23" s="70">
        <f t="shared" si="1"/>
        <v>145.39264704020158</v>
      </c>
      <c r="K23" s="70">
        <f t="shared" si="1"/>
        <v>88.509764786601608</v>
      </c>
      <c r="L23" s="70">
        <f t="shared" si="1"/>
        <v>183.39530553676798</v>
      </c>
    </row>
    <row r="24" spans="1:12" x14ac:dyDescent="0.25">
      <c r="A24" s="60" t="s">
        <v>226</v>
      </c>
      <c r="B24" s="70">
        <f t="shared" si="1"/>
        <v>46.812777163027199</v>
      </c>
      <c r="C24" s="70">
        <f t="shared" si="1"/>
        <v>204.33799250841597</v>
      </c>
      <c r="D24" s="70">
        <f t="shared" si="1"/>
        <v>281.91890417558403</v>
      </c>
      <c r="E24" s="70">
        <f t="shared" si="1"/>
        <v>80.516802364127997</v>
      </c>
      <c r="F24" s="70">
        <f t="shared" si="1"/>
        <v>228.55909075833603</v>
      </c>
      <c r="G24" s="70">
        <f t="shared" si="1"/>
        <v>364.63762456243205</v>
      </c>
      <c r="H24" s="70">
        <f t="shared" si="1"/>
        <v>105.84375125153218</v>
      </c>
      <c r="I24" s="70">
        <f t="shared" si="1"/>
        <v>98.352338348160004</v>
      </c>
      <c r="J24" s="70">
        <f t="shared" si="1"/>
        <v>192.15404611603199</v>
      </c>
      <c r="K24" s="70">
        <f t="shared" si="1"/>
        <v>113.39877817007999</v>
      </c>
      <c r="L24" s="70">
        <f t="shared" si="1"/>
        <v>284.316548244768</v>
      </c>
    </row>
    <row r="25" spans="1:12" x14ac:dyDescent="0.25">
      <c r="A25" s="60" t="s">
        <v>227</v>
      </c>
      <c r="B25" s="70">
        <f t="shared" si="1"/>
        <v>5.4455879277446391</v>
      </c>
      <c r="C25" s="70">
        <f t="shared" si="1"/>
        <v>202.50306082281597</v>
      </c>
      <c r="D25" s="70">
        <f t="shared" si="1"/>
        <v>422.22267400772159</v>
      </c>
      <c r="E25" s="70">
        <f t="shared" si="1"/>
        <v>30.709172032643515</v>
      </c>
      <c r="F25" s="70">
        <f t="shared" si="1"/>
        <v>444.67245153714242</v>
      </c>
      <c r="G25" s="70">
        <f t="shared" si="1"/>
        <v>292.22632709749445</v>
      </c>
      <c r="H25" s="70">
        <f t="shared" si="1"/>
        <v>35.02762208562217</v>
      </c>
      <c r="I25" s="70">
        <f t="shared" si="1"/>
        <v>107.77410090982079</v>
      </c>
      <c r="J25" s="70">
        <f t="shared" si="1"/>
        <v>195.29789573735999</v>
      </c>
      <c r="K25" s="70">
        <f t="shared" si="1"/>
        <v>74.455900677812153</v>
      </c>
      <c r="L25" s="70">
        <f t="shared" si="1"/>
        <v>402.87760089033605</v>
      </c>
    </row>
    <row r="26" spans="1:12" x14ac:dyDescent="0.25">
      <c r="A26" s="60" t="s">
        <v>228</v>
      </c>
      <c r="B26" s="70">
        <f t="shared" si="1"/>
        <v>5.6956279521023996</v>
      </c>
      <c r="C26" s="70">
        <f t="shared" si="1"/>
        <v>183.05278495545596</v>
      </c>
      <c r="D26" s="70">
        <f t="shared" si="1"/>
        <v>362.509103807136</v>
      </c>
      <c r="E26" s="70">
        <f t="shared" si="1"/>
        <v>36.896806334044797</v>
      </c>
      <c r="F26" s="70">
        <f t="shared" si="1"/>
        <v>237.88054372118401</v>
      </c>
      <c r="G26" s="70">
        <f t="shared" si="1"/>
        <v>88.150118176223998</v>
      </c>
      <c r="H26" s="70">
        <f t="shared" si="1"/>
        <v>7.8755266811215874</v>
      </c>
      <c r="I26" s="70">
        <f t="shared" si="1"/>
        <v>87.342748234559991</v>
      </c>
      <c r="J26" s="70">
        <f t="shared" si="1"/>
        <v>222.39372029471997</v>
      </c>
      <c r="K26" s="70">
        <f t="shared" si="1"/>
        <v>118.90357322688</v>
      </c>
      <c r="L26" s="70">
        <f t="shared" si="1"/>
        <v>401.43412129766403</v>
      </c>
    </row>
    <row r="27" spans="1:12" x14ac:dyDescent="0.25">
      <c r="A27" s="60" t="s">
        <v>229</v>
      </c>
      <c r="B27" s="70">
        <f t="shared" si="1"/>
        <v>6.1357668990883196</v>
      </c>
      <c r="C27" s="70">
        <f t="shared" si="1"/>
        <v>19.325011197623041</v>
      </c>
      <c r="D27" s="70">
        <f t="shared" si="1"/>
        <v>106.7881309507584</v>
      </c>
      <c r="E27" s="70">
        <f t="shared" si="1"/>
        <v>3.2612852492063999</v>
      </c>
      <c r="F27" s="70">
        <f t="shared" si="1"/>
        <v>18.490728924570242</v>
      </c>
      <c r="G27" s="70">
        <f t="shared" si="1"/>
        <v>9.2984551523884793</v>
      </c>
      <c r="H27" s="70">
        <f t="shared" si="1"/>
        <v>5.8619950071349258</v>
      </c>
      <c r="I27" s="70">
        <f t="shared" si="1"/>
        <v>6.4618954240089606</v>
      </c>
      <c r="J27" s="70">
        <f t="shared" si="1"/>
        <v>18.94579198259904</v>
      </c>
      <c r="K27" s="70">
        <f t="shared" si="1"/>
        <v>9.2301956936841609</v>
      </c>
      <c r="L27" s="70">
        <f t="shared" si="1"/>
        <v>186.60031954761598</v>
      </c>
    </row>
    <row r="28" spans="1:12" x14ac:dyDescent="0.25">
      <c r="A28" s="60" t="s">
        <v>230</v>
      </c>
      <c r="B28" s="70">
        <f t="shared" si="1"/>
        <v>4.1865801338649602</v>
      </c>
      <c r="C28" s="70">
        <f t="shared" si="1"/>
        <v>9.9203746650278415</v>
      </c>
      <c r="D28" s="70">
        <f t="shared" si="1"/>
        <v>119.52989657556481</v>
      </c>
      <c r="E28" s="70">
        <f t="shared" si="1"/>
        <v>3.54190746832416</v>
      </c>
      <c r="F28" s="70">
        <f t="shared" si="1"/>
        <v>12.97688153812128</v>
      </c>
      <c r="G28" s="70">
        <f t="shared" si="1"/>
        <v>11.315901376316161</v>
      </c>
      <c r="H28" s="70">
        <f t="shared" si="1"/>
        <v>5.7347730787663878</v>
      </c>
      <c r="I28" s="70">
        <f t="shared" si="1"/>
        <v>6.4846485769104012</v>
      </c>
      <c r="J28" s="70">
        <f t="shared" si="1"/>
        <v>10.853253933986878</v>
      </c>
      <c r="K28" s="70">
        <f t="shared" si="1"/>
        <v>8.9268203216649589</v>
      </c>
      <c r="L28" s="70">
        <f t="shared" si="1"/>
        <v>103.6711936608192</v>
      </c>
    </row>
    <row r="29" spans="1:12" x14ac:dyDescent="0.25">
      <c r="A29" s="60" t="s">
        <v>231</v>
      </c>
      <c r="B29" s="70">
        <f t="shared" si="1"/>
        <v>4.5653100337727999</v>
      </c>
      <c r="C29" s="70">
        <f t="shared" si="1"/>
        <v>32.023227777091201</v>
      </c>
      <c r="D29" s="70">
        <f t="shared" si="1"/>
        <v>136.37212287379199</v>
      </c>
      <c r="E29" s="70">
        <f t="shared" si="1"/>
        <v>9.6517406662559999</v>
      </c>
      <c r="F29" s="70">
        <f t="shared" si="1"/>
        <v>21.806328151670396</v>
      </c>
      <c r="G29" s="70">
        <f t="shared" si="1"/>
        <v>46.981590878102402</v>
      </c>
      <c r="H29" s="70">
        <f t="shared" si="1"/>
        <v>11.019376257151796</v>
      </c>
      <c r="I29" s="70">
        <f t="shared" si="1"/>
        <v>14.466601409270396</v>
      </c>
      <c r="J29" s="70">
        <f t="shared" si="1"/>
        <v>19.0906292569824</v>
      </c>
      <c r="K29" s="70">
        <f t="shared" si="1"/>
        <v>15.523522060176003</v>
      </c>
      <c r="L29" s="70">
        <f t="shared" si="1"/>
        <v>102.09559898678401</v>
      </c>
    </row>
    <row r="30" spans="1:12" x14ac:dyDescent="0.25">
      <c r="A30" s="60" t="s">
        <v>232</v>
      </c>
      <c r="B30" s="70">
        <f t="shared" si="1"/>
        <v>7.2506713912588792</v>
      </c>
      <c r="C30" s="70">
        <f t="shared" si="1"/>
        <v>53.371312322477756</v>
      </c>
      <c r="D30" s="70">
        <f t="shared" si="1"/>
        <v>186.42416610579838</v>
      </c>
      <c r="E30" s="70">
        <f t="shared" si="1"/>
        <v>40.955675222592006</v>
      </c>
      <c r="F30" s="70">
        <f t="shared" si="1"/>
        <v>58.839653403123833</v>
      </c>
      <c r="G30" s="70">
        <f t="shared" si="1"/>
        <v>84.262509578332796</v>
      </c>
      <c r="H30" s="70">
        <f t="shared" si="1"/>
        <v>35.526723496914123</v>
      </c>
      <c r="I30" s="70">
        <f t="shared" si="1"/>
        <v>60.128998734205439</v>
      </c>
      <c r="J30" s="70">
        <f t="shared" si="1"/>
        <v>72.537051449790695</v>
      </c>
      <c r="K30" s="70">
        <f t="shared" si="1"/>
        <v>39.264357523584962</v>
      </c>
      <c r="L30" s="70">
        <f t="shared" si="1"/>
        <v>148.92305560329601</v>
      </c>
    </row>
    <row r="31" spans="1:12" x14ac:dyDescent="0.25">
      <c r="A31" s="60" t="s">
        <v>233</v>
      </c>
      <c r="B31" s="70">
        <f t="shared" si="1"/>
        <v>48.91927873809599</v>
      </c>
      <c r="C31" s="70">
        <f t="shared" si="1"/>
        <v>80.149816027008001</v>
      </c>
      <c r="D31" s="70">
        <f t="shared" si="1"/>
        <v>201.84248541599999</v>
      </c>
      <c r="E31" s="70">
        <f t="shared" si="1"/>
        <v>54.710323137849592</v>
      </c>
      <c r="F31" s="70">
        <f t="shared" si="1"/>
        <v>63.921680199561578</v>
      </c>
      <c r="G31" s="70">
        <f t="shared" si="1"/>
        <v>95.196255848928018</v>
      </c>
      <c r="H31" s="70">
        <f t="shared" si="1"/>
        <v>45.988280529680793</v>
      </c>
      <c r="I31" s="70">
        <f t="shared" si="1"/>
        <v>65.947444780463996</v>
      </c>
      <c r="J31" s="70">
        <f t="shared" si="1"/>
        <v>75.966171783839997</v>
      </c>
      <c r="K31" s="70">
        <f t="shared" si="1"/>
        <v>56.1048712189056</v>
      </c>
      <c r="L31" s="70">
        <f t="shared" si="1"/>
        <v>162.23242676284798</v>
      </c>
    </row>
    <row r="32" spans="1:12" x14ac:dyDescent="0.25">
      <c r="A32" s="60" t="s">
        <v>234</v>
      </c>
      <c r="B32" s="70">
        <f t="shared" si="1"/>
        <v>48.479384448668164</v>
      </c>
      <c r="C32" s="70">
        <f t="shared" si="1"/>
        <v>157.75519344998398</v>
      </c>
      <c r="D32" s="70">
        <f t="shared" si="1"/>
        <v>180.88756556644799</v>
      </c>
      <c r="E32" s="70">
        <f t="shared" si="1"/>
        <v>80.091098213068818</v>
      </c>
      <c r="F32" s="70">
        <f t="shared" si="1"/>
        <v>90.178329332707193</v>
      </c>
      <c r="G32" s="70">
        <f t="shared" si="1"/>
        <v>107.24319400878721</v>
      </c>
      <c r="H32" s="70">
        <f t="shared" si="1"/>
        <v>55.351325142496052</v>
      </c>
      <c r="I32" s="70">
        <f t="shared" si="1"/>
        <v>67.827148799192642</v>
      </c>
      <c r="J32" s="70">
        <f t="shared" si="1"/>
        <v>73.530605793153597</v>
      </c>
      <c r="K32" s="70">
        <f t="shared" si="1"/>
        <v>107.62241322381122</v>
      </c>
      <c r="L32" s="70">
        <f t="shared" si="1"/>
        <v>95.954694278975978</v>
      </c>
    </row>
    <row r="33" spans="1:12" x14ac:dyDescent="0.25">
      <c r="A33" s="71"/>
      <c r="B33" s="62"/>
      <c r="C33" s="62"/>
      <c r="D33" s="62"/>
      <c r="E33" s="62"/>
      <c r="F33" s="62"/>
      <c r="G33" s="62"/>
      <c r="H33" s="62"/>
      <c r="I33" s="62"/>
      <c r="J33" s="62"/>
      <c r="K33" s="62"/>
      <c r="L33" s="62"/>
    </row>
    <row r="34" spans="1:12" x14ac:dyDescent="0.25">
      <c r="A34" s="71"/>
      <c r="B34" s="62"/>
      <c r="C34" s="62"/>
      <c r="D34" s="62"/>
      <c r="E34" s="62"/>
      <c r="F34" s="62"/>
      <c r="G34" s="62"/>
      <c r="H34" s="62"/>
      <c r="I34" s="62"/>
      <c r="J34" s="62"/>
      <c r="K34" s="62"/>
      <c r="L34" s="62"/>
    </row>
    <row r="35" spans="1:12" x14ac:dyDescent="0.25">
      <c r="A35" s="71"/>
      <c r="B35" s="62"/>
      <c r="C35" s="62"/>
      <c r="D35" s="62"/>
      <c r="E35" s="62"/>
      <c r="F35" s="62"/>
      <c r="G35" s="62"/>
      <c r="H35" s="62"/>
      <c r="I35" s="62"/>
      <c r="J35" s="62"/>
      <c r="K35" s="62"/>
      <c r="L35" s="62"/>
    </row>
    <row r="36" spans="1:12" x14ac:dyDescent="0.25">
      <c r="A36" s="71"/>
      <c r="B36" s="62"/>
      <c r="C36" s="62"/>
      <c r="D36" s="62"/>
      <c r="E36" s="62"/>
      <c r="F36" s="62"/>
      <c r="G36" s="62"/>
      <c r="H36" s="62"/>
      <c r="I36" s="62"/>
      <c r="J36" s="62"/>
      <c r="K36" s="62"/>
      <c r="L36" s="62"/>
    </row>
    <row r="37" spans="1:12" x14ac:dyDescent="0.25">
      <c r="A37" s="71"/>
      <c r="B37" s="62"/>
      <c r="C37" s="62"/>
      <c r="D37" s="62"/>
      <c r="E37" s="62"/>
      <c r="F37" s="62"/>
      <c r="G37" s="62"/>
      <c r="H37" s="62"/>
      <c r="I37" s="62"/>
      <c r="J37" s="62"/>
      <c r="K37" s="62"/>
      <c r="L37" s="62"/>
    </row>
    <row r="38" spans="1:12" x14ac:dyDescent="0.25">
      <c r="A38" s="71"/>
      <c r="B38" s="62"/>
      <c r="C38" s="62"/>
      <c r="D38" s="62"/>
      <c r="E38" s="62"/>
      <c r="F38" s="62"/>
      <c r="G38" s="62"/>
      <c r="H38" s="62"/>
      <c r="I38" s="62"/>
      <c r="J38" s="62"/>
      <c r="K38" s="62"/>
      <c r="L38" s="62"/>
    </row>
    <row r="39" spans="1:12" x14ac:dyDescent="0.25">
      <c r="A39" s="51" t="s">
        <v>236</v>
      </c>
    </row>
    <row r="40" spans="1:12" x14ac:dyDescent="0.25">
      <c r="B40" s="54">
        <v>1992</v>
      </c>
      <c r="C40" s="55">
        <v>1996</v>
      </c>
      <c r="D40" s="55">
        <v>1997</v>
      </c>
      <c r="E40" s="55">
        <v>2004</v>
      </c>
      <c r="F40" s="46">
        <v>2005</v>
      </c>
      <c r="G40" s="55">
        <v>2006</v>
      </c>
      <c r="H40" s="46">
        <v>2007</v>
      </c>
      <c r="I40" s="46">
        <v>2008</v>
      </c>
      <c r="J40" s="46">
        <v>2009</v>
      </c>
      <c r="K40" s="46">
        <v>2010</v>
      </c>
      <c r="L40" s="47">
        <v>2011</v>
      </c>
    </row>
    <row r="41" spans="1:12" x14ac:dyDescent="0.25">
      <c r="A41" s="56" t="s">
        <v>223</v>
      </c>
      <c r="B41" s="72">
        <f>('[1]WSI curves'!B41)/[1]aw!$D$1/1000000</f>
        <v>0.56541623336500579</v>
      </c>
      <c r="C41" s="72">
        <f>('[1]WSI curves'!C41)/[1]aw!$D$1/1000000</f>
        <v>0.62170759505850237</v>
      </c>
      <c r="D41" s="72">
        <f>('[1]WSI curves'!D41)/[1]aw!$D$1/1000000</f>
        <v>0.69678641988757695</v>
      </c>
      <c r="E41" s="72">
        <f>('[1]WSI curves'!E41)/[1]aw!$D$1/1000000</f>
        <v>0.60260227269830191</v>
      </c>
      <c r="F41" s="72">
        <f>('[1]WSI curves'!F41)/[1]aw!$D$1/1000000</f>
        <v>0.64712806804869538</v>
      </c>
      <c r="G41" s="72">
        <f>('[1]WSI curves'!G41)/[1]aw!$D$1/1000000</f>
        <v>0.67562587319073486</v>
      </c>
      <c r="H41" s="72">
        <f>('[1]WSI curves'!H41)/[1]aw!$D$1/1000000</f>
        <v>0.65203638770284533</v>
      </c>
      <c r="I41" s="72">
        <f>('[1]WSI curves'!I41)/[1]aw!$D$1/1000000</f>
        <v>0.59153498317537889</v>
      </c>
      <c r="J41" s="72">
        <f>('[1]WSI curves'!J41)/[1]aw!$D$1/1000000</f>
        <v>0.62712252053593176</v>
      </c>
      <c r="K41" s="72">
        <f>('[1]WSI curves'!K41)/[1]aw!$D$1/1000000</f>
        <v>0.6189355857352935</v>
      </c>
      <c r="L41" s="72">
        <f>('[1]WSI curves'!L41)/[1]aw!$D$1/1000000</f>
        <v>0.65274763445102657</v>
      </c>
    </row>
    <row r="42" spans="1:12" x14ac:dyDescent="0.25">
      <c r="A42" s="60" t="s">
        <v>224</v>
      </c>
      <c r="B42" s="72">
        <f>('[1]WSI curves'!B42)/[1]aw!$D$1/1000000</f>
        <v>0.65992326128419787</v>
      </c>
      <c r="C42" s="72">
        <f>('[1]WSI curves'!C42)/[1]aw!$D$1/1000000</f>
        <v>0.68773132419996796</v>
      </c>
      <c r="D42" s="72">
        <f>('[1]WSI curves'!D42)/[1]aw!$D$1/1000000</f>
        <v>0.71673556655600068</v>
      </c>
      <c r="E42" s="72">
        <f>('[1]WSI curves'!E42)/[1]aw!$D$1/1000000</f>
        <v>0.67480769397472673</v>
      </c>
      <c r="F42" s="72">
        <f>('[1]WSI curves'!F42)/[1]aw!$D$1/1000000</f>
        <v>0.68452407119989189</v>
      </c>
      <c r="G42" s="72">
        <f>('[1]WSI curves'!G42)/[1]aw!$D$1/1000000</f>
        <v>0.70374671553926116</v>
      </c>
      <c r="H42" s="72">
        <f>('[1]WSI curves'!H42)/[1]aw!$D$1/1000000</f>
        <v>0.69462631081083981</v>
      </c>
      <c r="I42" s="72">
        <f>('[1]WSI curves'!I42)/[1]aw!$D$1/1000000</f>
        <v>0.676783615212872</v>
      </c>
      <c r="J42" s="72">
        <f>('[1]WSI curves'!J42)/[1]aw!$D$1/1000000</f>
        <v>0.67742368047690227</v>
      </c>
      <c r="K42" s="72">
        <f>('[1]WSI curves'!K42)/[1]aw!$D$1/1000000</f>
        <v>0.67649444781202928</v>
      </c>
      <c r="L42" s="72">
        <f>('[1]WSI curves'!L42)/[1]aw!$D$1/1000000</f>
        <v>0.69142134265667177</v>
      </c>
    </row>
    <row r="43" spans="1:12" x14ac:dyDescent="0.25">
      <c r="A43" s="60" t="s">
        <v>225</v>
      </c>
      <c r="B43" s="72">
        <f>('[1]WSI curves'!B43)/[1]aw!$D$1/1000000</f>
        <v>0.48746238964742417</v>
      </c>
      <c r="C43" s="72">
        <f>('[1]WSI curves'!C43)/[1]aw!$D$1/1000000</f>
        <v>0.50413613445940264</v>
      </c>
      <c r="D43" s="72">
        <f>('[1]WSI curves'!D43)/[1]aw!$D$1/1000000</f>
        <v>0.51062247564820662</v>
      </c>
      <c r="E43" s="72">
        <f>('[1]WSI curves'!E43)/[1]aw!$D$1/1000000</f>
        <v>0.49844843413583984</v>
      </c>
      <c r="F43" s="72">
        <f>('[1]WSI curves'!F43)/[1]aw!$D$1/1000000</f>
        <v>0.50556944864432374</v>
      </c>
      <c r="G43" s="72">
        <f>('[1]WSI curves'!G43)/[1]aw!$D$1/1000000</f>
        <v>0.51091332245393983</v>
      </c>
      <c r="H43" s="72">
        <f>('[1]WSI curves'!H43)/[1]aw!$D$1/1000000</f>
        <v>0.50676566475449114</v>
      </c>
      <c r="I43" s="72">
        <f>('[1]WSI curves'!I43)/[1]aw!$D$1/1000000</f>
        <v>0.49660446186425117</v>
      </c>
      <c r="J43" s="72">
        <f>('[1]WSI curves'!J43)/[1]aw!$D$1/1000000</f>
        <v>0.50169281853406411</v>
      </c>
      <c r="K43" s="72">
        <f>('[1]WSI curves'!K43)/[1]aw!$D$1/1000000</f>
        <v>0.49479755593864372</v>
      </c>
      <c r="L43" s="72">
        <f>('[1]WSI curves'!L43)/[1]aw!$D$1/1000000</f>
        <v>0.50822643705656756</v>
      </c>
    </row>
    <row r="44" spans="1:12" x14ac:dyDescent="0.25">
      <c r="A44" s="60" t="s">
        <v>226</v>
      </c>
      <c r="B44" s="72">
        <f>('[1]WSI curves'!B44)/[1]aw!$D$1/1000000</f>
        <v>0.12439542618342539</v>
      </c>
      <c r="C44" s="72">
        <f>('[1]WSI curves'!C44)/[1]aw!$D$1/1000000</f>
        <v>0.12296978365947678</v>
      </c>
      <c r="D44" s="72">
        <f>('[1]WSI curves'!D44)/[1]aw!$D$1/1000000</f>
        <v>0.12889771009369311</v>
      </c>
      <c r="E44" s="72">
        <f>('[1]WSI curves'!E44)/[1]aw!$D$1/1000000</f>
        <v>0.11477162840875765</v>
      </c>
      <c r="F44" s="72">
        <f>('[1]WSI curves'!F44)/[1]aw!$D$1/1000000</f>
        <v>0.11753279708376799</v>
      </c>
      <c r="G44" s="72">
        <f>('[1]WSI curves'!G44)/[1]aw!$D$1/1000000</f>
        <v>0.12436404683425013</v>
      </c>
      <c r="H44" s="72">
        <f>('[1]WSI curves'!H44)/[1]aw!$D$1/1000000</f>
        <v>0.12832290814019581</v>
      </c>
      <c r="I44" s="72">
        <f>('[1]WSI curves'!I44)/[1]aw!$D$1/1000000</f>
        <v>0.125871395504905</v>
      </c>
      <c r="J44" s="72">
        <f>('[1]WSI curves'!J44)/[1]aw!$D$1/1000000</f>
        <v>0.11098781773586085</v>
      </c>
      <c r="K44" s="72">
        <f>('[1]WSI curves'!K44)/[1]aw!$D$1/1000000</f>
        <v>0.1202616919783342</v>
      </c>
      <c r="L44" s="72">
        <f>('[1]WSI curves'!L44)/[1]aw!$D$1/1000000</f>
        <v>0.12839621727534664</v>
      </c>
    </row>
    <row r="45" spans="1:12" x14ac:dyDescent="0.25">
      <c r="A45" s="60" t="s">
        <v>227</v>
      </c>
      <c r="B45" s="72">
        <f>('[1]WSI curves'!B45)/[1]aw!$D$1/1000000</f>
        <v>5.302911879177364E-2</v>
      </c>
      <c r="C45" s="72">
        <f>('[1]WSI curves'!C45)/[1]aw!$D$1/1000000</f>
        <v>5.2842653231794837E-2</v>
      </c>
      <c r="D45" s="72">
        <f>('[1]WSI curves'!D45)/[1]aw!$D$1/1000000</f>
        <v>5.5052062035886272E-2</v>
      </c>
      <c r="E45" s="72">
        <f>('[1]WSI curves'!E45)/[1]aw!$D$1/1000000</f>
        <v>3.6211825256392764E-2</v>
      </c>
      <c r="F45" s="72">
        <f>('[1]WSI curves'!F45)/[1]aw!$D$1/1000000</f>
        <v>5.4287312772698403E-2</v>
      </c>
      <c r="G45" s="72">
        <f>('[1]WSI curves'!G45)/[1]aw!$D$1/1000000</f>
        <v>5.4143888474872087E-2</v>
      </c>
      <c r="H45" s="72">
        <f>('[1]WSI curves'!H45)/[1]aw!$D$1/1000000</f>
        <v>5.4472949228457836E-2</v>
      </c>
      <c r="I45" s="72">
        <f>('[1]WSI curves'!I45)/[1]aw!$D$1/1000000</f>
        <v>4.7264286886452386E-2</v>
      </c>
      <c r="J45" s="72">
        <f>('[1]WSI curves'!J45)/[1]aw!$D$1/1000000</f>
        <v>3.4913955131649688E-2</v>
      </c>
      <c r="K45" s="72">
        <f>('[1]WSI curves'!K45)/[1]aw!$D$1/1000000</f>
        <v>5.2032428947505205E-2</v>
      </c>
      <c r="L45" s="72">
        <f>('[1]WSI curves'!L45)/[1]aw!$D$1/1000000</f>
        <v>5.3342500031626439E-2</v>
      </c>
    </row>
    <row r="46" spans="1:12" x14ac:dyDescent="0.25">
      <c r="A46" s="60" t="s">
        <v>228</v>
      </c>
      <c r="B46" s="72">
        <f>('[1]WSI curves'!B46)/[1]aw!$D$1/1000000</f>
        <v>5.4640196255055291E-2</v>
      </c>
      <c r="C46" s="72">
        <f>('[1]WSI curves'!C46)/[1]aw!$D$1/1000000</f>
        <v>3.8127810617643858E-2</v>
      </c>
      <c r="D46" s="72">
        <f>('[1]WSI curves'!D46)/[1]aw!$D$1/1000000</f>
        <v>5.5603058590428696E-2</v>
      </c>
      <c r="E46" s="72">
        <f>('[1]WSI curves'!E46)/[1]aw!$D$1/1000000</f>
        <v>2.8578718617031349E-2</v>
      </c>
      <c r="F46" s="72">
        <f>('[1]WSI curves'!F46)/[1]aw!$D$1/1000000</f>
        <v>5.4696917434177247E-2</v>
      </c>
      <c r="G46" s="72">
        <f>('[1]WSI curves'!G46)/[1]aw!$D$1/1000000</f>
        <v>4.943013965929386E-2</v>
      </c>
      <c r="H46" s="72">
        <f>('[1]WSI curves'!H46)/[1]aw!$D$1/1000000</f>
        <v>2.3781770712040511E-2</v>
      </c>
      <c r="I46" s="72">
        <f>('[1]WSI curves'!I46)/[1]aw!$D$1/1000000</f>
        <v>3.7143829533608452E-2</v>
      </c>
      <c r="J46" s="72">
        <f>('[1]WSI curves'!J46)/[1]aw!$D$1/1000000</f>
        <v>3.7308969503989729E-2</v>
      </c>
      <c r="K46" s="72">
        <f>('[1]WSI curves'!K46)/[1]aw!$D$1/1000000</f>
        <v>5.1747955144569036E-2</v>
      </c>
      <c r="L46" s="72">
        <f>('[1]WSI curves'!L46)/[1]aw!$D$1/1000000</f>
        <v>5.6048663039927497E-2</v>
      </c>
    </row>
    <row r="47" spans="1:12" x14ac:dyDescent="0.25">
      <c r="A47" s="60" t="s">
        <v>229</v>
      </c>
      <c r="B47" s="72">
        <f>('[1]WSI curves'!B47)/[1]aw!$D$1/1000000</f>
        <v>5.0056456175525774E-2</v>
      </c>
      <c r="C47" s="72">
        <f>('[1]WSI curves'!C47)/[1]aw!$D$1/1000000</f>
        <v>4.0451075198897304E-2</v>
      </c>
      <c r="D47" s="72">
        <f>('[1]WSI curves'!D47)/[1]aw!$D$1/1000000</f>
        <v>6.3002625202840792E-2</v>
      </c>
      <c r="E47" s="72">
        <f>('[1]WSI curves'!E47)/[1]aw!$D$1/1000000</f>
        <v>3.4867887585773409E-2</v>
      </c>
      <c r="F47" s="72">
        <f>('[1]WSI curves'!F47)/[1]aw!$D$1/1000000</f>
        <v>5.8863806076548744E-2</v>
      </c>
      <c r="G47" s="72">
        <f>('[1]WSI curves'!G47)/[1]aw!$D$1/1000000</f>
        <v>6.2773653634326493E-2</v>
      </c>
      <c r="H47" s="72">
        <f>('[1]WSI curves'!H47)/[1]aw!$D$1/1000000</f>
        <v>2.7914298221377355E-2</v>
      </c>
      <c r="I47" s="72">
        <f>('[1]WSI curves'!I47)/[1]aw!$D$1/1000000</f>
        <v>4.1603306883856175E-2</v>
      </c>
      <c r="J47" s="72">
        <f>('[1]WSI curves'!J47)/[1]aw!$D$1/1000000</f>
        <v>4.0797127661204587E-2</v>
      </c>
      <c r="K47" s="72">
        <f>('[1]WSI curves'!K47)/[1]aw!$D$1/1000000</f>
        <v>4.9568729137977295E-2</v>
      </c>
      <c r="L47" s="72">
        <f>('[1]WSI curves'!L47)/[1]aw!$D$1/1000000</f>
        <v>6.4084160780763427E-2</v>
      </c>
    </row>
    <row r="48" spans="1:12" x14ac:dyDescent="0.25">
      <c r="A48" s="60" t="s">
        <v>230</v>
      </c>
      <c r="B48" s="72">
        <f>('[1]WSI curves'!B48)/[1]aw!$D$1/1000000</f>
        <v>3.4280963608105564E-2</v>
      </c>
      <c r="C48" s="72">
        <f>('[1]WSI curves'!C48)/[1]aw!$D$1/1000000</f>
        <v>3.9107980785831803E-2</v>
      </c>
      <c r="D48" s="72">
        <f>('[1]WSI curves'!D48)/[1]aw!$D$1/1000000</f>
        <v>5.9755983692303276E-2</v>
      </c>
      <c r="E48" s="72">
        <f>('[1]WSI curves'!E48)/[1]aw!$D$1/1000000</f>
        <v>2.2951539825907238E-2</v>
      </c>
      <c r="F48" s="72">
        <f>('[1]WSI curves'!F48)/[1]aw!$D$1/1000000</f>
        <v>3.8767790003147271E-2</v>
      </c>
      <c r="G48" s="72">
        <f>('[1]WSI curves'!G48)/[1]aw!$D$1/1000000</f>
        <v>6.3143262092221791E-2</v>
      </c>
      <c r="H48" s="72">
        <f>('[1]WSI curves'!H48)/[1]aw!$D$1/1000000</f>
        <v>2.3596399513760073E-2</v>
      </c>
      <c r="I48" s="72">
        <f>('[1]WSI curves'!I48)/[1]aw!$D$1/1000000</f>
        <v>2.9140744830782446E-2</v>
      </c>
      <c r="J48" s="72">
        <f>('[1]WSI curves'!J48)/[1]aw!$D$1/1000000</f>
        <v>5.1812963625192318E-2</v>
      </c>
      <c r="K48" s="72">
        <f>('[1]WSI curves'!K48)/[1]aw!$D$1/1000000</f>
        <v>4.9569370722475935E-2</v>
      </c>
      <c r="L48" s="72">
        <f>('[1]WSI curves'!L48)/[1]aw!$D$1/1000000</f>
        <v>6.3759153909070845E-2</v>
      </c>
    </row>
    <row r="49" spans="1:12" x14ac:dyDescent="0.25">
      <c r="A49" s="60" t="s">
        <v>231</v>
      </c>
      <c r="B49" s="72">
        <f>('[1]WSI curves'!B49)/[1]aw!$D$1/1000000</f>
        <v>3.0074499280665013E-2</v>
      </c>
      <c r="C49" s="72">
        <f>('[1]WSI curves'!C49)/[1]aw!$D$1/1000000</f>
        <v>7.4008288128444386E-2</v>
      </c>
      <c r="D49" s="72">
        <f>('[1]WSI curves'!D49)/[1]aw!$D$1/1000000</f>
        <v>8.8566304097152937E-2</v>
      </c>
      <c r="E49" s="72">
        <f>('[1]WSI curves'!E49)/[1]aw!$D$1/1000000</f>
        <v>3.805553212277208E-2</v>
      </c>
      <c r="F49" s="72">
        <f>('[1]WSI curves'!F49)/[1]aw!$D$1/1000000</f>
        <v>6.0149406661967289E-2</v>
      </c>
      <c r="G49" s="72">
        <f>('[1]WSI curves'!G49)/[1]aw!$D$1/1000000</f>
        <v>8.7814850159698019E-2</v>
      </c>
      <c r="H49" s="72">
        <f>('[1]WSI curves'!H49)/[1]aw!$D$1/1000000</f>
        <v>3.5010968537707583E-2</v>
      </c>
      <c r="I49" s="72">
        <f>('[1]WSI curves'!I49)/[1]aw!$D$1/1000000</f>
        <v>4.8498977455258947E-2</v>
      </c>
      <c r="J49" s="72">
        <f>('[1]WSI curves'!J49)/[1]aw!$D$1/1000000</f>
        <v>7.2586941474959671E-2</v>
      </c>
      <c r="K49" s="72">
        <f>('[1]WSI curves'!K49)/[1]aw!$D$1/1000000</f>
        <v>5.16478106168623E-2</v>
      </c>
      <c r="L49" s="72">
        <f>('[1]WSI curves'!L49)/[1]aw!$D$1/1000000</f>
        <v>5.9050534698922796E-2</v>
      </c>
    </row>
    <row r="50" spans="1:12" x14ac:dyDescent="0.25">
      <c r="A50" s="60" t="s">
        <v>232</v>
      </c>
      <c r="B50" s="72">
        <f>('[1]WSI curves'!B50)/[1]aw!$D$1/1000000</f>
        <v>5.2843083262212709E-2</v>
      </c>
      <c r="C50" s="72">
        <f>('[1]WSI curves'!C50)/[1]aw!$D$1/1000000</f>
        <v>0.10733542929970988</v>
      </c>
      <c r="D50" s="72">
        <f>('[1]WSI curves'!D50)/[1]aw!$D$1/1000000</f>
        <v>0.13879276032099835</v>
      </c>
      <c r="E50" s="72">
        <f>('[1]WSI curves'!E50)/[1]aw!$D$1/1000000</f>
        <v>9.3498567575977035E-2</v>
      </c>
      <c r="F50" s="72">
        <f>('[1]WSI curves'!F50)/[1]aw!$D$1/1000000</f>
        <v>9.8487592597804097E-2</v>
      </c>
      <c r="G50" s="72">
        <f>('[1]WSI curves'!G50)/[1]aw!$D$1/1000000</f>
        <v>0.13758054935538622</v>
      </c>
      <c r="H50" s="72">
        <f>('[1]WSI curves'!H50)/[1]aw!$D$1/1000000</f>
        <v>9.221818413461752E-2</v>
      </c>
      <c r="I50" s="72">
        <f>('[1]WSI curves'!I50)/[1]aw!$D$1/1000000</f>
        <v>9.838695217808191E-2</v>
      </c>
      <c r="J50" s="72">
        <f>('[1]WSI curves'!J50)/[1]aw!$D$1/1000000</f>
        <v>0.12940953289583176</v>
      </c>
      <c r="K50" s="72">
        <f>('[1]WSI curves'!K50)/[1]aw!$D$1/1000000</f>
        <v>0.11458758047634443</v>
      </c>
      <c r="L50" s="72">
        <f>('[1]WSI curves'!L50)/[1]aw!$D$1/1000000</f>
        <v>0.12786170280652273</v>
      </c>
    </row>
    <row r="51" spans="1:12" x14ac:dyDescent="0.25">
      <c r="A51" s="60" t="s">
        <v>233</v>
      </c>
      <c r="B51" s="72">
        <f>('[1]WSI curves'!B51)/[1]aw!$D$1/1000000</f>
        <v>0.68184258884894355</v>
      </c>
      <c r="C51" s="72">
        <f>('[1]WSI curves'!C51)/[1]aw!$D$1/1000000</f>
        <v>0.81079819411621978</v>
      </c>
      <c r="D51" s="72">
        <f>('[1]WSI curves'!D51)/[1]aw!$D$1/1000000</f>
        <v>0.85488518806283498</v>
      </c>
      <c r="E51" s="72">
        <f>('[1]WSI curves'!E51)/[1]aw!$D$1/1000000</f>
        <v>0.75972797667463055</v>
      </c>
      <c r="F51" s="72">
        <f>('[1]WSI curves'!F51)/[1]aw!$D$1/1000000</f>
        <v>0.80075469900993868</v>
      </c>
      <c r="G51" s="72">
        <f>('[1]WSI curves'!G51)/[1]aw!$D$1/1000000</f>
        <v>0.85488928487620375</v>
      </c>
      <c r="H51" s="72">
        <f>('[1]WSI curves'!H51)/[1]aw!$D$1/1000000</f>
        <v>0.74875462698859085</v>
      </c>
      <c r="I51" s="72">
        <f>('[1]WSI curves'!I51)/[1]aw!$D$1/1000000</f>
        <v>0.79329715790215727</v>
      </c>
      <c r="J51" s="72">
        <f>('[1]WSI curves'!J51)/[1]aw!$D$1/1000000</f>
        <v>0.82159789061771016</v>
      </c>
      <c r="K51" s="72">
        <f>('[1]WSI curves'!K51)/[1]aw!$D$1/1000000</f>
        <v>0.77533523750611033</v>
      </c>
      <c r="L51" s="72">
        <f>('[1]WSI curves'!L51)/[1]aw!$D$1/1000000</f>
        <v>0.85472274068876386</v>
      </c>
    </row>
    <row r="52" spans="1:12" x14ac:dyDescent="0.25">
      <c r="A52" s="60" t="s">
        <v>234</v>
      </c>
      <c r="B52" s="72">
        <f>('[1]WSI curves'!B52)/[1]aw!$D$1/1000000</f>
        <v>0.77034221305808426</v>
      </c>
      <c r="C52" s="72">
        <f>('[1]WSI curves'!C52)/[1]aw!$D$1/1000000</f>
        <v>0.84512117310526802</v>
      </c>
      <c r="D52" s="72">
        <f>('[1]WSI curves'!D52)/[1]aw!$D$1/1000000</f>
        <v>0.85488504179927716</v>
      </c>
      <c r="E52" s="72">
        <f>('[1]WSI curves'!E52)/[1]aw!$D$1/1000000</f>
        <v>0.80896815766697838</v>
      </c>
      <c r="F52" s="72">
        <f>('[1]WSI curves'!F52)/[1]aw!$D$1/1000000</f>
        <v>0.82771579063293543</v>
      </c>
      <c r="G52" s="72">
        <f>('[1]WSI curves'!G52)/[1]aw!$D$1/1000000</f>
        <v>0.85488913861264582</v>
      </c>
      <c r="H52" s="72">
        <f>('[1]WSI curves'!H52)/[1]aw!$D$1/1000000</f>
        <v>0.79526625614486868</v>
      </c>
      <c r="I52" s="72">
        <f>('[1]WSI curves'!I52)/[1]aw!$D$1/1000000</f>
        <v>0.81762406776573393</v>
      </c>
      <c r="J52" s="72">
        <f>('[1]WSI curves'!J52)/[1]aw!$D$1/1000000</f>
        <v>0.83763659324919992</v>
      </c>
      <c r="K52" s="72">
        <f>('[1]WSI curves'!K52)/[1]aw!$D$1/1000000</f>
        <v>0.82188255517933406</v>
      </c>
      <c r="L52" s="72">
        <f>('[1]WSI curves'!L52)/[1]aw!$D$1/1000000</f>
        <v>0.85492107702708864</v>
      </c>
    </row>
  </sheetData>
  <pageMargins left="0.7" right="0.7" top="0.75" bottom="0.75" header="0.3" footer="0.3"/>
  <drawing r:id="rId1"/>
  <legacyDrawing r:id="rId2"/>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3">
    <tabColor theme="4" tint="-0.249977111117893"/>
  </sheetPr>
  <dimension ref="A2:S49"/>
  <sheetViews>
    <sheetView zoomScale="43" zoomScaleNormal="85" workbookViewId="0">
      <selection activeCell="J39" sqref="J39"/>
    </sheetView>
  </sheetViews>
  <sheetFormatPr defaultColWidth="8.875" defaultRowHeight="15" x14ac:dyDescent="0.25"/>
  <cols>
    <col min="1" max="1" width="10.125" style="23" customWidth="1"/>
    <col min="2" max="2" width="10.875" style="75" bestFit="1" customWidth="1"/>
    <col min="3" max="3" width="17.125" style="23" customWidth="1"/>
    <col min="4" max="4" width="21.875" style="23" customWidth="1"/>
    <col min="5" max="5" width="24" style="23" customWidth="1"/>
    <col min="6" max="6" width="22.25" style="23" customWidth="1"/>
    <col min="7" max="7" width="29" style="23" customWidth="1"/>
    <col min="8" max="8" width="25.625" style="23" bestFit="1" customWidth="1"/>
    <col min="9" max="9" width="15.875" style="23" customWidth="1"/>
    <col min="10" max="10" width="14.625" style="23" customWidth="1"/>
    <col min="11" max="11" width="12.625" style="23" customWidth="1"/>
    <col min="12" max="12" width="12.125" style="23" bestFit="1" customWidth="1"/>
    <col min="13" max="13" width="8.875" style="23"/>
    <col min="14" max="14" width="25.125" style="23" bestFit="1" customWidth="1"/>
    <col min="15" max="15" width="10.875" style="23" bestFit="1" customWidth="1"/>
    <col min="16" max="16" width="8.875" style="23"/>
    <col min="17" max="17" width="16" style="23" bestFit="1" customWidth="1"/>
    <col min="18" max="18" width="14.875" style="23" bestFit="1" customWidth="1"/>
    <col min="19" max="43" width="8.875" style="23"/>
    <col min="44" max="44" width="16" style="23" bestFit="1" customWidth="1"/>
    <col min="45" max="16384" width="8.875" style="23"/>
  </cols>
  <sheetData>
    <row r="2" spans="1:19" ht="11.25" customHeight="1" x14ac:dyDescent="0.7">
      <c r="A2" s="73"/>
      <c r="B2" s="73"/>
      <c r="C2" s="73"/>
      <c r="D2" s="73"/>
      <c r="E2" s="73"/>
      <c r="F2" s="73"/>
      <c r="G2" s="73"/>
      <c r="H2" s="73"/>
    </row>
    <row r="3" spans="1:19" ht="14.25" hidden="1" customHeight="1" x14ac:dyDescent="0.7">
      <c r="A3" s="73"/>
      <c r="B3" s="73"/>
      <c r="C3" s="73"/>
      <c r="D3" s="73"/>
      <c r="E3" s="73"/>
      <c r="F3" s="73"/>
      <c r="G3" s="73"/>
      <c r="H3" s="73"/>
    </row>
    <row r="4" spans="1:19" ht="37.5" customHeight="1" x14ac:dyDescent="0.7">
      <c r="A4" s="73"/>
      <c r="B4" s="73"/>
      <c r="C4" s="73"/>
      <c r="D4" s="73"/>
      <c r="E4" s="73"/>
      <c r="F4" s="74"/>
      <c r="G4" s="73"/>
      <c r="H4" s="73"/>
    </row>
    <row r="5" spans="1:19" x14ac:dyDescent="0.25">
      <c r="C5" s="76"/>
      <c r="D5" s="76" t="s">
        <v>237</v>
      </c>
      <c r="E5" s="76" t="s">
        <v>238</v>
      </c>
      <c r="F5" s="76" t="s">
        <v>239</v>
      </c>
      <c r="G5" s="76" t="s">
        <v>240</v>
      </c>
      <c r="H5" s="76" t="s">
        <v>241</v>
      </c>
      <c r="I5" s="153" t="s">
        <v>242</v>
      </c>
      <c r="J5" s="76" t="s">
        <v>243</v>
      </c>
      <c r="K5" s="76" t="s">
        <v>244</v>
      </c>
      <c r="L5" s="76" t="s">
        <v>245</v>
      </c>
      <c r="N5" s="76" t="s">
        <v>246</v>
      </c>
    </row>
    <row r="6" spans="1:19" x14ac:dyDescent="0.25">
      <c r="C6" s="198" t="s">
        <v>247</v>
      </c>
      <c r="D6" s="77">
        <v>41137</v>
      </c>
      <c r="E6" s="78">
        <v>36.060185971549998</v>
      </c>
      <c r="F6" s="53">
        <v>360601.85971549997</v>
      </c>
      <c r="G6" s="79">
        <f t="shared" ref="G6:G11" si="0">0.3048*J6</f>
        <v>4.16052</v>
      </c>
      <c r="H6" s="80">
        <f>0.3048*J28</f>
        <v>13.444728000000001</v>
      </c>
      <c r="I6" s="81">
        <f t="shared" ref="H6:I11" si="1">0.3048*K28</f>
        <v>4.4927520000000003</v>
      </c>
      <c r="J6" s="81">
        <v>13.65</v>
      </c>
      <c r="K6" s="81">
        <v>4.8425000000000002</v>
      </c>
      <c r="L6" s="81"/>
      <c r="N6" s="82">
        <f>F6/1000000</f>
        <v>0.36060185971549996</v>
      </c>
      <c r="Q6" s="23" t="s">
        <v>248</v>
      </c>
      <c r="R6" s="23" t="s">
        <v>240</v>
      </c>
      <c r="S6" s="23" t="s">
        <v>241</v>
      </c>
    </row>
    <row r="7" spans="1:19" x14ac:dyDescent="0.25">
      <c r="C7" s="199"/>
      <c r="D7" s="77">
        <v>41230</v>
      </c>
      <c r="E7" s="78">
        <v>180.77378929175998</v>
      </c>
      <c r="F7" s="53">
        <v>1807737.8929175998</v>
      </c>
      <c r="G7" s="79">
        <f t="shared" si="0"/>
        <v>3.8366700000000002</v>
      </c>
      <c r="H7" s="80">
        <f t="shared" si="1"/>
        <v>12.3444</v>
      </c>
      <c r="I7" s="81">
        <f t="shared" si="1"/>
        <v>4.4561760000000001</v>
      </c>
      <c r="J7" s="81">
        <v>12.5875</v>
      </c>
      <c r="K7" s="81">
        <v>24.276</v>
      </c>
      <c r="L7" s="81"/>
      <c r="N7" s="82">
        <f>F7/1000000</f>
        <v>1.8077378929175998</v>
      </c>
      <c r="Q7" s="23">
        <v>57440674.212417349</v>
      </c>
      <c r="R7" s="23">
        <f>0.00000001*Q7+3.2147</f>
        <v>3.7891067421241735</v>
      </c>
      <c r="S7" s="23">
        <f>0.00000000000004*Q7^2-0.000004*Q7+111.54</f>
        <v>13.754545309413302</v>
      </c>
    </row>
    <row r="8" spans="1:19" x14ac:dyDescent="0.25">
      <c r="C8" s="199"/>
      <c r="D8" s="77">
        <v>41401</v>
      </c>
      <c r="E8" s="78">
        <v>1088.72347543304</v>
      </c>
      <c r="F8" s="53">
        <v>10887234.754330399</v>
      </c>
      <c r="G8" s="83">
        <f t="shared" si="0"/>
        <v>4.006596</v>
      </c>
      <c r="H8" s="84">
        <f t="shared" si="1"/>
        <v>14.353032000000002</v>
      </c>
      <c r="I8" s="81">
        <f t="shared" si="1"/>
        <v>4.5720000000000001</v>
      </c>
      <c r="J8" s="81">
        <v>13.145</v>
      </c>
      <c r="K8" s="81">
        <v>146.20399999999998</v>
      </c>
      <c r="L8" s="81"/>
      <c r="N8" s="85">
        <f t="shared" ref="N8:N22" si="2">F8/1000000</f>
        <v>10.887234754330398</v>
      </c>
      <c r="Q8" s="23">
        <v>33629372.000015043</v>
      </c>
      <c r="R8" s="23">
        <f>0.00000001*Q8+3.2147</f>
        <v>3.5509937200001507</v>
      </c>
      <c r="S8" s="23">
        <f>0.00000000000004*Q8^2-0.000004*Q8+111.54</f>
        <v>22.259898444555674</v>
      </c>
    </row>
    <row r="9" spans="1:19" x14ac:dyDescent="0.25">
      <c r="C9" s="199"/>
      <c r="D9" s="77">
        <v>41501</v>
      </c>
      <c r="E9" s="78">
        <v>22.518534306239999</v>
      </c>
      <c r="F9" s="53">
        <v>225185.34306239997</v>
      </c>
      <c r="G9" s="79">
        <f t="shared" si="0"/>
        <v>4.265506666666667</v>
      </c>
      <c r="H9" s="80">
        <f t="shared" si="1"/>
        <v>14.426184000000001</v>
      </c>
      <c r="I9" s="81">
        <f t="shared" si="1"/>
        <v>4.1087040000000004</v>
      </c>
      <c r="J9" s="81">
        <v>13.994444444444444</v>
      </c>
      <c r="K9" s="81">
        <v>3.024</v>
      </c>
      <c r="L9" s="81"/>
      <c r="N9" s="82">
        <f t="shared" si="2"/>
        <v>0.22518534306239998</v>
      </c>
      <c r="Q9" s="23">
        <v>42310065.916728549</v>
      </c>
      <c r="R9" s="23">
        <f>0.00000001*Q9+3.2147</f>
        <v>3.6378006591672856</v>
      </c>
      <c r="S9" s="23">
        <f>0.00000000000004*Q9^2-0.000004*Q9+111.54</f>
        <v>13.905403448202406</v>
      </c>
    </row>
    <row r="10" spans="1:19" x14ac:dyDescent="0.25">
      <c r="C10" s="199"/>
      <c r="D10" s="86">
        <v>41594</v>
      </c>
      <c r="E10" s="78">
        <v>219.53978071059828</v>
      </c>
      <c r="F10" s="53">
        <v>2195397.8071059827</v>
      </c>
      <c r="G10" s="83">
        <f t="shared" si="0"/>
        <v>3.7901880000000006</v>
      </c>
      <c r="H10" s="84">
        <f t="shared" si="1"/>
        <v>11.131296000000001</v>
      </c>
      <c r="I10" s="81">
        <f t="shared" si="1"/>
        <v>3.420112032</v>
      </c>
      <c r="J10" s="81">
        <v>12.435</v>
      </c>
      <c r="K10" s="81">
        <v>29.481860934656055</v>
      </c>
      <c r="L10" s="81"/>
      <c r="N10" s="85">
        <f t="shared" si="2"/>
        <v>2.1953978071059828</v>
      </c>
      <c r="Q10" s="23">
        <v>62645907.138696797</v>
      </c>
      <c r="R10" s="23">
        <f>0.00000001*Q10+3.2147</f>
        <v>3.8411590713869681</v>
      </c>
      <c r="S10" s="23">
        <f>0.00000000000004*Q10^2-0.000004*Q10+111.54</f>
        <v>17.936758694421727</v>
      </c>
    </row>
    <row r="11" spans="1:19" x14ac:dyDescent="0.25">
      <c r="C11" s="200"/>
      <c r="D11" s="86">
        <v>41764</v>
      </c>
      <c r="E11" s="78">
        <v>2035.8274120313999</v>
      </c>
      <c r="F11" s="53">
        <v>20358274.120313998</v>
      </c>
      <c r="G11" s="83">
        <f t="shared" si="0"/>
        <v>7.2702197397084269</v>
      </c>
      <c r="H11" s="84">
        <f t="shared" si="1"/>
        <v>17.907</v>
      </c>
      <c r="I11" s="81">
        <f t="shared" si="1"/>
        <v>4.7701200000000012</v>
      </c>
      <c r="J11" s="81">
        <v>23.852426967547331</v>
      </c>
      <c r="K11" s="81">
        <v>273.39</v>
      </c>
      <c r="L11" s="81"/>
      <c r="N11" s="85">
        <f t="shared" si="2"/>
        <v>20.358274120313997</v>
      </c>
      <c r="Q11" s="23">
        <v>28729951.338749684</v>
      </c>
      <c r="R11" s="23">
        <f>0.00000001*Q11+3.2147</f>
        <v>3.501999513387497</v>
      </c>
      <c r="S11" s="23">
        <f>0.00000000000004*Q11^2-0.000004*Q11+111.54</f>
        <v>29.636598802078268</v>
      </c>
    </row>
    <row r="12" spans="1:19" ht="18.75" customHeight="1" x14ac:dyDescent="0.25">
      <c r="C12" s="76"/>
      <c r="D12" s="87"/>
      <c r="E12" s="78"/>
      <c r="F12" s="53"/>
      <c r="G12" s="83"/>
      <c r="H12" s="84"/>
      <c r="I12" s="53"/>
      <c r="K12" s="88"/>
      <c r="L12" s="81"/>
      <c r="N12" s="85"/>
    </row>
    <row r="13" spans="1:19" x14ac:dyDescent="0.25">
      <c r="C13" s="198" t="s">
        <v>249</v>
      </c>
      <c r="D13" s="77">
        <v>41137</v>
      </c>
      <c r="E13" s="78">
        <v>5744.0674212417352</v>
      </c>
      <c r="F13" s="53">
        <v>57440674.212417349</v>
      </c>
      <c r="G13" s="83">
        <f>0.3048*J13</f>
        <v>3.9753540000000003</v>
      </c>
      <c r="H13" s="84">
        <f t="shared" ref="H13:I18" si="3">0.3048*J34</f>
        <v>44.378880000000002</v>
      </c>
      <c r="I13" s="81">
        <f t="shared" si="3"/>
        <v>3.8727887999999999</v>
      </c>
      <c r="J13" s="81">
        <v>13.0425</v>
      </c>
      <c r="K13" s="81">
        <v>771.36725000000001</v>
      </c>
      <c r="L13" s="81"/>
      <c r="N13" s="85">
        <f t="shared" si="2"/>
        <v>57.440674212417349</v>
      </c>
    </row>
    <row r="14" spans="1:19" x14ac:dyDescent="0.25">
      <c r="C14" s="199"/>
      <c r="D14" s="77">
        <v>41230</v>
      </c>
      <c r="E14" s="78">
        <v>3362.9372000015046</v>
      </c>
      <c r="F14" s="53">
        <v>33629372.000015043</v>
      </c>
      <c r="G14" s="83">
        <f>0.3048*J14</f>
        <v>3.6644579999999998</v>
      </c>
      <c r="H14" s="84">
        <f t="shared" si="3"/>
        <v>32.125920000000001</v>
      </c>
      <c r="I14" s="81">
        <f t="shared" si="3"/>
        <v>3.9380159999999997</v>
      </c>
      <c r="J14" s="81">
        <v>12.022499999999999</v>
      </c>
      <c r="K14" s="81">
        <v>451.60674999999998</v>
      </c>
      <c r="L14" s="81"/>
      <c r="N14" s="85">
        <f t="shared" si="2"/>
        <v>33.629372000015046</v>
      </c>
    </row>
    <row r="15" spans="1:19" x14ac:dyDescent="0.25">
      <c r="C15" s="199"/>
      <c r="D15" s="77">
        <v>41401</v>
      </c>
      <c r="E15" s="78">
        <v>4231.0065916728554</v>
      </c>
      <c r="F15" s="53">
        <v>42310065.916728549</v>
      </c>
      <c r="G15" s="83">
        <f>0.3048*J15</f>
        <v>3.8320979999999998</v>
      </c>
      <c r="H15" s="84">
        <f t="shared" si="3"/>
        <v>35.326320000000003</v>
      </c>
      <c r="I15" s="81">
        <f t="shared" si="3"/>
        <v>4.2885360000000006</v>
      </c>
      <c r="J15" s="81">
        <v>12.572499999999998</v>
      </c>
      <c r="K15" s="81">
        <v>568.17925000000002</v>
      </c>
      <c r="L15" s="81"/>
      <c r="N15" s="85">
        <f t="shared" si="2"/>
        <v>42.310065916728547</v>
      </c>
      <c r="Q15" s="23" t="s">
        <v>246</v>
      </c>
      <c r="R15" s="23" t="s">
        <v>240</v>
      </c>
      <c r="S15" s="23" t="s">
        <v>241</v>
      </c>
    </row>
    <row r="16" spans="1:19" x14ac:dyDescent="0.25">
      <c r="C16" s="199"/>
      <c r="D16" s="89">
        <v>41501</v>
      </c>
      <c r="E16" s="78">
        <v>6264.5907138696803</v>
      </c>
      <c r="F16" s="53">
        <v>62645907.138696797</v>
      </c>
      <c r="G16" s="83">
        <f>0.3048*J16</f>
        <v>4.1013888000000005</v>
      </c>
      <c r="H16" s="84">
        <f t="shared" si="3"/>
        <v>35.000184000000004</v>
      </c>
      <c r="I16" s="81">
        <f t="shared" si="3"/>
        <v>3.7703760000000006</v>
      </c>
      <c r="J16" s="81">
        <v>13.456</v>
      </c>
      <c r="K16" s="81">
        <v>841.26800000000003</v>
      </c>
      <c r="L16" s="81"/>
      <c r="N16" s="85">
        <f t="shared" si="2"/>
        <v>62.645907138696799</v>
      </c>
      <c r="Q16" s="23">
        <v>57.440674212417349</v>
      </c>
      <c r="R16" s="23">
        <f>0.0138*Q16+3.2147</f>
        <v>4.0073813041313597</v>
      </c>
      <c r="S16" s="23">
        <f>0.0411*Q16^2-3.6309*Q16+111.54</f>
        <v>38.585272320591329</v>
      </c>
    </row>
    <row r="17" spans="1:19" x14ac:dyDescent="0.25">
      <c r="C17" s="199"/>
      <c r="D17" s="89">
        <v>41594</v>
      </c>
      <c r="E17" s="78">
        <v>2872.9951338749684</v>
      </c>
      <c r="F17" s="53">
        <v>28729951.338749684</v>
      </c>
      <c r="G17" s="83">
        <f>0.3048*J17</f>
        <v>3.6126420000000001</v>
      </c>
      <c r="H17" s="84">
        <f t="shared" si="3"/>
        <v>42.153840000000002</v>
      </c>
      <c r="I17" s="81">
        <f t="shared" si="3"/>
        <v>3.9079200480000003</v>
      </c>
      <c r="J17" s="81">
        <v>11.852499999999999</v>
      </c>
      <c r="K17" s="81">
        <v>385.8127339322628</v>
      </c>
      <c r="L17" s="81"/>
      <c r="N17" s="85">
        <f t="shared" si="2"/>
        <v>28.729951338749686</v>
      </c>
      <c r="Q17" s="23">
        <v>33.629372000015046</v>
      </c>
      <c r="R17" s="23">
        <f>0.0138*Q17+3.2147</f>
        <v>3.6787853336002079</v>
      </c>
      <c r="S17" s="23">
        <f>0.0411*Q17^2-3.6309*Q17+111.54</f>
        <v>35.916527776988147</v>
      </c>
    </row>
    <row r="18" spans="1:19" x14ac:dyDescent="0.25">
      <c r="C18" s="200"/>
      <c r="D18" s="86">
        <v>41764</v>
      </c>
      <c r="E18" s="78">
        <v>7180.0167916920009</v>
      </c>
      <c r="F18" s="53">
        <v>71800167.916920006</v>
      </c>
      <c r="G18" s="83"/>
      <c r="H18" s="84">
        <f t="shared" si="3"/>
        <v>66.226944000000003</v>
      </c>
      <c r="I18" s="81">
        <f t="shared" si="3"/>
        <v>3.8953439999999993</v>
      </c>
      <c r="J18" s="81"/>
      <c r="K18" s="81">
        <v>964.2</v>
      </c>
      <c r="L18" s="81"/>
      <c r="N18" s="85">
        <f t="shared" si="2"/>
        <v>71.800167916920003</v>
      </c>
      <c r="Q18" s="23">
        <v>42.310065916728547</v>
      </c>
      <c r="R18" s="23">
        <f>0.0138*Q18+3.2147</f>
        <v>3.7985789096508542</v>
      </c>
      <c r="S18" s="23">
        <f>0.0411*Q18^2-3.6309*Q18+111.54</f>
        <v>31.4912046237326</v>
      </c>
    </row>
    <row r="19" spans="1:19" ht="13.5" customHeight="1" x14ac:dyDescent="0.25">
      <c r="C19" s="76"/>
      <c r="D19" s="87"/>
      <c r="E19" s="78"/>
      <c r="F19" s="53"/>
      <c r="G19" s="83"/>
      <c r="H19" s="84"/>
      <c r="I19" s="81"/>
      <c r="L19" s="81"/>
      <c r="N19" s="85"/>
      <c r="Q19" s="23">
        <v>62.645907138696799</v>
      </c>
      <c r="R19" s="23">
        <f>0.0138*Q19+3.2147</f>
        <v>4.0792135185140159</v>
      </c>
      <c r="S19" s="23">
        <f>0.0411*Q19^2-3.6309*Q19+111.54</f>
        <v>45.376323668667951</v>
      </c>
    </row>
    <row r="20" spans="1:19" x14ac:dyDescent="0.25">
      <c r="C20" s="198" t="s">
        <v>250</v>
      </c>
      <c r="D20" s="89">
        <v>41500</v>
      </c>
      <c r="E20" s="78">
        <v>6364.1760276629739</v>
      </c>
      <c r="F20" s="53">
        <v>63641760.276629739</v>
      </c>
      <c r="G20" s="83">
        <f>J20*0.3048</f>
        <v>4.5399960000000004</v>
      </c>
      <c r="H20" s="84">
        <f t="shared" ref="H20:I22" si="4">0.3048*J40</f>
        <v>36.950904000000001</v>
      </c>
      <c r="I20" s="81">
        <f t="shared" si="4"/>
        <v>3.2034480000000003</v>
      </c>
      <c r="J20" s="81">
        <v>14.895</v>
      </c>
      <c r="K20" s="81">
        <v>854.6412499999999</v>
      </c>
      <c r="L20" s="81"/>
      <c r="N20" s="85">
        <f t="shared" si="2"/>
        <v>63.641760276629739</v>
      </c>
      <c r="Q20" s="23">
        <v>28.729951338749686</v>
      </c>
      <c r="R20" s="23">
        <f>0.0138*Q20+3.2147</f>
        <v>3.6111733284747456</v>
      </c>
      <c r="S20" s="23">
        <f>0.0411*Q20^2-3.6309*Q20+111.54</f>
        <v>41.148774955530385</v>
      </c>
    </row>
    <row r="21" spans="1:19" x14ac:dyDescent="0.25">
      <c r="C21" s="199"/>
      <c r="D21" s="77">
        <v>41594</v>
      </c>
      <c r="E21" s="78">
        <v>2402.7969371364384</v>
      </c>
      <c r="F21" s="53">
        <v>24027969.371364381</v>
      </c>
      <c r="G21" s="83">
        <f>J21*0.3048</f>
        <v>4.0663368000000002</v>
      </c>
      <c r="H21" s="84">
        <f t="shared" si="4"/>
        <v>34.521648000000006</v>
      </c>
      <c r="I21" s="81">
        <f t="shared" si="4"/>
        <v>2.4932639999999999</v>
      </c>
      <c r="J21" s="81">
        <v>13.340999999999999</v>
      </c>
      <c r="K21" s="81">
        <v>322.6701098342412</v>
      </c>
      <c r="L21" s="81"/>
      <c r="N21" s="85">
        <f t="shared" si="2"/>
        <v>24.027969371364382</v>
      </c>
    </row>
    <row r="22" spans="1:19" x14ac:dyDescent="0.25">
      <c r="C22" s="200"/>
      <c r="D22" s="86">
        <v>41764</v>
      </c>
      <c r="E22" s="78">
        <v>5164.8909422834004</v>
      </c>
      <c r="F22" s="53">
        <v>51648909.422834001</v>
      </c>
      <c r="G22" s="83"/>
      <c r="H22" s="84">
        <f t="shared" si="4"/>
        <v>63.154559999999996</v>
      </c>
      <c r="I22" s="81">
        <f t="shared" si="4"/>
        <v>3.6667440000000004</v>
      </c>
      <c r="J22" s="81"/>
      <c r="K22" s="81">
        <v>693.59</v>
      </c>
      <c r="L22" s="81"/>
      <c r="N22" s="85">
        <f t="shared" si="2"/>
        <v>51.648909422834002</v>
      </c>
    </row>
    <row r="24" spans="1:19" x14ac:dyDescent="0.25">
      <c r="K24" s="23" t="s">
        <v>251</v>
      </c>
    </row>
    <row r="25" spans="1:19" x14ac:dyDescent="0.25">
      <c r="J25" s="30"/>
    </row>
    <row r="26" spans="1:19" x14ac:dyDescent="0.25">
      <c r="A26" s="90" t="s">
        <v>252</v>
      </c>
      <c r="B26" s="91" t="s">
        <v>237</v>
      </c>
      <c r="C26" s="90" t="s">
        <v>253</v>
      </c>
      <c r="D26" s="90" t="s">
        <v>254</v>
      </c>
      <c r="E26" s="90" t="s">
        <v>243</v>
      </c>
      <c r="F26" s="90" t="s">
        <v>255</v>
      </c>
      <c r="G26" s="90" t="s">
        <v>256</v>
      </c>
      <c r="H26" s="90" t="s">
        <v>257</v>
      </c>
      <c r="I26" s="90" t="s">
        <v>258</v>
      </c>
      <c r="J26" s="90" t="s">
        <v>245</v>
      </c>
      <c r="K26" s="152" t="s">
        <v>259</v>
      </c>
    </row>
    <row r="27" spans="1:19" x14ac:dyDescent="0.25">
      <c r="C27" s="23" t="s">
        <v>260</v>
      </c>
      <c r="E27" s="23" t="s">
        <v>261</v>
      </c>
    </row>
    <row r="28" spans="1:19" x14ac:dyDescent="0.25">
      <c r="A28" s="92" t="s">
        <v>247</v>
      </c>
      <c r="B28" s="93">
        <f>'[2]Table of Transects'!B3</f>
        <v>41137</v>
      </c>
      <c r="C28" s="94" t="e">
        <f>AVERAGEIFS('[2]Table of Transects'!$E$3:$E$70,'[2]Table of Transects'!$A$3:$A$70,'Stage-Flow'!A28,'[2]Table of Transects'!$B$3:$B$70,'Stage-Flow'!B28,'[2]Table of Transects'!$J$3:$J$70,"Yes")</f>
        <v>#VALUE!</v>
      </c>
      <c r="D28" s="94" t="e">
        <f>AVERAGEIFS('[2]Table of Transects'!$G$3:$G$53,'[2]Table of Transects'!$A$3:$A$53,'Stage-Flow'!A28,'[2]Table of Transects'!$B$3:$B$53,'Stage-Flow'!B28,'[2]Table of Transects'!$J$3:$J$53,"Yes")</f>
        <v>#VALUE!</v>
      </c>
      <c r="E28" s="94" t="e">
        <f>AVERAGEIFS('[2]Table of Stages'!$H$3:$H$65,'[2]Table of Stages'!$A$3:$A$65,'Stage-Flow'!A28,'[2]Table of Stages'!$B$3:$B$65,'Stage-Flow'!B28)</f>
        <v>#VALUE!</v>
      </c>
      <c r="F28" s="94">
        <f>_xlfn.STDEV.S('[2]Table of Transects'!E3:E6)</f>
        <v>1.2760834285683185</v>
      </c>
      <c r="G28" s="94">
        <f>'[2]Transect Cub 8-16'!E77</f>
        <v>0.67400000000000004</v>
      </c>
      <c r="H28" s="94">
        <f>_xlfn.STDEV.S('[2]Table of Stages'!H3:H6)</f>
        <v>8.8317608663278591E-2</v>
      </c>
      <c r="I28" s="94">
        <v>8</v>
      </c>
      <c r="J28" s="94">
        <v>44.11</v>
      </c>
      <c r="K28" s="95">
        <f>I28+10.71-3.97</f>
        <v>14.74</v>
      </c>
    </row>
    <row r="29" spans="1:19" x14ac:dyDescent="0.25">
      <c r="A29" s="96" t="str">
        <f>A28</f>
        <v>Cub</v>
      </c>
      <c r="B29" s="97">
        <f>'[2]Table of Transects'!B12</f>
        <v>41230</v>
      </c>
      <c r="C29" s="98" t="e">
        <f>AVERAGEIFS('[2]Table of Transects'!$E$3:$E$70,'[2]Table of Transects'!$A$3:$A$70,'Stage-Flow'!A29,'[2]Table of Transects'!$B$3:$B$70,'Stage-Flow'!B29,'[2]Table of Transects'!$J$3:$J$70,"Yes")</f>
        <v>#VALUE!</v>
      </c>
      <c r="D29" s="99" t="e">
        <f>AVERAGEIFS('[2]Table of Transects'!$G$3:$G$53,'[2]Table of Transects'!$A$3:$A$53,'Stage-Flow'!A29,'[2]Table of Transects'!$B$3:$B$53,'Stage-Flow'!B29,'[2]Table of Transects'!$J$3:$J$53,"Yes")</f>
        <v>#VALUE!</v>
      </c>
      <c r="E29" s="71" t="e">
        <f>AVERAGEIFS('[2]Table of Stages'!$H$3:$H$65,'[2]Table of Stages'!$A$3:$A$65,'Stage-Flow'!A29,'[2]Table of Stages'!$B$3:$B$65,'Stage-Flow'!B29)</f>
        <v>#VALUE!</v>
      </c>
      <c r="F29" s="99">
        <f>_xlfn.STDEV.S('[2]Table of Transects'!E12:E18)</f>
        <v>2.0213978190492692</v>
      </c>
      <c r="G29" s="99">
        <f>'[2]Transect 11-17 Cub '!E52</f>
        <v>2.0379999999999998</v>
      </c>
      <c r="H29" s="99">
        <f>_xlfn.STDEV.S('[2]Table of Stages'!H11:H14)</f>
        <v>1.8929694486000511E-2</v>
      </c>
      <c r="I29" s="71">
        <v>6.8</v>
      </c>
      <c r="J29" s="71">
        <v>40.5</v>
      </c>
      <c r="K29" s="100">
        <f>I29+11.91-4.09</f>
        <v>14.620000000000001</v>
      </c>
    </row>
    <row r="30" spans="1:19" x14ac:dyDescent="0.25">
      <c r="A30" s="101" t="str">
        <f>A29</f>
        <v>Cub</v>
      </c>
      <c r="B30" s="102">
        <f>'[2]Table of Transects'!B24</f>
        <v>41401</v>
      </c>
      <c r="C30" s="71" t="e">
        <f>AVERAGEIFS('[2]Table of Transects'!$E$3:$E$70,'[2]Table of Transects'!$A$3:$A$70,'Stage-Flow'!A30,'[2]Table of Transects'!$B$3:$B$70,'Stage-Flow'!B30,'[2]Table of Transects'!$J$3:$J$70,"Yes")</f>
        <v>#VALUE!</v>
      </c>
      <c r="D30" s="71" t="e">
        <f>AVERAGEIFS('[2]Table of Transects'!$G$3:$G$53,'[2]Table of Transects'!$A$3:$A$53,'Stage-Flow'!A30,'[2]Table of Transects'!$B$3:$B$53,'Stage-Flow'!B30,'[2]Table of Transects'!$J$3:$J$53,"Yes")</f>
        <v>#VALUE!</v>
      </c>
      <c r="E30" s="71" t="e">
        <f>AVERAGEIFS('[2]Table of Stages'!$H$3:$H$65,'[2]Table of Stages'!$A$3:$A$65,'Stage-Flow'!A30,'[2]Table of Stages'!$B$3:$B$65,'Stage-Flow'!B30)</f>
        <v>#VALUE!</v>
      </c>
      <c r="F30" s="71">
        <f>_xlfn.STDEV.S('[2]Table of Transects'!E24:E27)</f>
        <v>2.9512402336418919</v>
      </c>
      <c r="G30" s="71">
        <f>'[2]Transect 5-7-13 Cub'!E48</f>
        <v>3.6240000000000001</v>
      </c>
      <c r="H30" s="71">
        <f>_xlfn.STDEV.S('[2]Table of Stages'!H19:H22)</f>
        <v>6.4549722436789372E-2</v>
      </c>
      <c r="I30" s="71">
        <v>7.8</v>
      </c>
      <c r="J30" s="71">
        <v>47.09</v>
      </c>
      <c r="K30" s="100">
        <f>I30+11.59-4.39</f>
        <v>15</v>
      </c>
    </row>
    <row r="31" spans="1:19" x14ac:dyDescent="0.25">
      <c r="A31" s="101" t="s">
        <v>247</v>
      </c>
      <c r="B31" s="102">
        <f>'[2]Table of Transects'!B45</f>
        <v>41501</v>
      </c>
      <c r="C31" s="71" t="e">
        <f>AVERAGEIFS('[2]Table of Transects'!$E$3:$E$70,'[2]Table of Transects'!$A$3:$A$70,'Stage-Flow'!A31,'[2]Table of Transects'!$B$3:$B$70,'Stage-Flow'!B31,'[2]Table of Transects'!$J$3:$J$70,"Yes")</f>
        <v>#VALUE!</v>
      </c>
      <c r="D31" s="71" t="e">
        <f>AVERAGEIFS('[2]Table of Transects'!$G$3:$G$53,'[2]Table of Transects'!$A$3:$A$53,'Stage-Flow'!A31,'[2]Table of Transects'!$B$3:$B$53,'Stage-Flow'!B31,'[2]Table of Transects'!$J$3:$J$53,"Yes")</f>
        <v>#VALUE!</v>
      </c>
      <c r="E31" s="71" t="e">
        <f>AVERAGEIFS('[2]Table of Stages'!$H$3:$H$65,'[2]Table of Stages'!$A$3:$A$65,'Stage-Flow'!A31,'[2]Table of Stages'!$B$3:$B$65,'Stage-Flow'!B31)</f>
        <v>#VALUE!</v>
      </c>
      <c r="F31" s="71">
        <f>_xlfn.STDEV.S('[2]Table of Transects'!E45:E53)</f>
        <v>3.2553564576965557</v>
      </c>
      <c r="G31" s="71">
        <f>'[2]Table of Transects'!K47</f>
        <v>3.6179999999999999</v>
      </c>
      <c r="H31" s="71">
        <f>_xlfn.STDEV.S('[2]Table of Stages'!H40:H48)</f>
        <v>8.9597867038104032E-2</v>
      </c>
      <c r="I31" s="71">
        <v>7.1</v>
      </c>
      <c r="J31" s="103">
        <v>47.33</v>
      </c>
      <c r="K31" s="100">
        <f>I31+10.68-4.3</f>
        <v>13.48</v>
      </c>
    </row>
    <row r="32" spans="1:19" x14ac:dyDescent="0.25">
      <c r="A32" s="104" t="s">
        <v>247</v>
      </c>
      <c r="B32" s="105">
        <f>'[2]Table of Transects'!B63</f>
        <v>41594</v>
      </c>
      <c r="C32" s="71" t="e">
        <f>AVERAGEIFS('[2]Table of Transects'!$E$3:$E$70,'[2]Table of Transects'!$A$3:$A$70,'Stage-Flow'!A32,'[2]Table of Transects'!$B$3:$B$70,'Stage-Flow'!B32,'[2]Table of Transects'!$J$3:$J$70,"Yes")</f>
        <v>#VALUE!</v>
      </c>
      <c r="D32" s="106"/>
      <c r="E32" s="71" t="e">
        <f>AVERAGEIFS('[2]Table of Stages'!$H$3:$H$65,'[2]Table of Stages'!$A$3:$A$65,'Stage-Flow'!A32,'[2]Table of Stages'!$B$3:$B$65,'Stage-Flow'!B32)</f>
        <v>#VALUE!</v>
      </c>
      <c r="F32" s="71">
        <f>'[2]Table of Transects'!K64</f>
        <v>1.5421501586025921</v>
      </c>
      <c r="G32" s="71"/>
      <c r="H32" s="71">
        <f>_xlfn.STDEV.S('[2]Table of Stages'!H58:H65)</f>
        <v>3.7416573867739562E-2</v>
      </c>
      <c r="I32" s="107">
        <f>1*3.28084</f>
        <v>3.28084</v>
      </c>
      <c r="J32" s="103">
        <v>36.520000000000003</v>
      </c>
      <c r="K32" s="108">
        <f>I32+12.19-4.25</f>
        <v>11.220839999999999</v>
      </c>
    </row>
    <row r="33" spans="1:11" x14ac:dyDescent="0.25">
      <c r="A33" s="109" t="s">
        <v>247</v>
      </c>
      <c r="B33" s="110">
        <v>41764</v>
      </c>
      <c r="C33" s="111"/>
      <c r="D33" s="112">
        <v>273.39</v>
      </c>
      <c r="E33" s="111">
        <v>23.852426967547331</v>
      </c>
      <c r="F33" s="113"/>
      <c r="G33" s="113"/>
      <c r="H33" s="113"/>
      <c r="I33" s="113">
        <v>10.3</v>
      </c>
      <c r="J33" s="113">
        <v>58.75</v>
      </c>
      <c r="K33" s="114">
        <f>I33+10.05-4.7</f>
        <v>15.650000000000002</v>
      </c>
    </row>
    <row r="34" spans="1:11" x14ac:dyDescent="0.25">
      <c r="A34" s="92" t="s">
        <v>249</v>
      </c>
      <c r="B34" s="93">
        <f>'[2]Table of Transects'!B8</f>
        <v>41137</v>
      </c>
      <c r="C34" s="94" t="e">
        <f>AVERAGEIFS('[2]Table of Transects'!$E$3:$E$70,'[2]Table of Transects'!$A$3:$A$70,'Stage-Flow'!A34,'[2]Table of Transects'!$B$3:$B$70,'Stage-Flow'!B34,'[2]Table of Transects'!$J$3:$J$70,"Yes")</f>
        <v>#VALUE!</v>
      </c>
      <c r="D34" s="94" t="e">
        <f>AVERAGEIFS('[2]Table of Transects'!$G$3:$G$53,'[2]Table of Transects'!$A$3:$A$53,'Stage-Flow'!A34,'[2]Table of Transects'!$B$3:$B$53,'Stage-Flow'!B34,'[2]Table of Transects'!$J$3:$J$53,"Yes")</f>
        <v>#VALUE!</v>
      </c>
      <c r="E34" s="94" t="e">
        <f>AVERAGEIFS('[2]Table of Stages'!$H$3:$H$65,'[2]Table of Stages'!$A$3:$A$65,'Stage-Flow'!A34,'[2]Table of Stages'!$B$3:$B$65,'Stage-Flow'!B34)</f>
        <v>#VALUE!</v>
      </c>
      <c r="F34" s="94">
        <f>_xlfn.STDEV.S('[2]Table of Transects'!E8:E11)</f>
        <v>20.85580516307153</v>
      </c>
      <c r="G34" s="94">
        <f>'[2]Transect Confluence 8-16'!H60</f>
        <v>21.808</v>
      </c>
      <c r="H34" s="94">
        <f>_xlfn.STDEV.S('[2]Table of Stages'!H7:H10)</f>
        <v>6.4355781921026589E-2</v>
      </c>
      <c r="I34" s="94">
        <v>6.556</v>
      </c>
      <c r="J34" s="94">
        <v>145.6</v>
      </c>
      <c r="K34" s="95">
        <f>I34+11.22-5.07</f>
        <v>12.706</v>
      </c>
    </row>
    <row r="35" spans="1:11" x14ac:dyDescent="0.25">
      <c r="A35" s="101" t="str">
        <f>A34</f>
        <v>Confluence</v>
      </c>
      <c r="B35" s="102">
        <f>'[2]Table of Transects'!B19</f>
        <v>41230</v>
      </c>
      <c r="C35" s="71" t="e">
        <f>AVERAGEIFS('[2]Table of Transects'!$E$3:$E$70,'[2]Table of Transects'!$A$3:$A$70,'Stage-Flow'!A35,'[2]Table of Transects'!$B$3:$B$70,'Stage-Flow'!B35,'[2]Table of Transects'!$J$3:$J$70,"Yes")</f>
        <v>#VALUE!</v>
      </c>
      <c r="D35" s="71" t="e">
        <f>AVERAGEIFS('[2]Table of Transects'!$G$3:$G$53,'[2]Table of Transects'!$A$3:$A$53,'Stage-Flow'!A35,'[2]Table of Transects'!$B$3:$B$53,'Stage-Flow'!B35,'[2]Table of Transects'!$J$3:$J$53,"Yes")</f>
        <v>#VALUE!</v>
      </c>
      <c r="E35" s="71" t="e">
        <f>AVERAGEIFS('[2]Table of Stages'!$H$3:$H$65,'[2]Table of Stages'!$A$3:$A$65,'Stage-Flow'!A35,'[2]Table of Stages'!$B$3:$B$65,'Stage-Flow'!B35)</f>
        <v>#VALUE!</v>
      </c>
      <c r="F35" s="71">
        <f>_xlfn.STDEV.S('[2]Table of Transects'!E19:E23)</f>
        <v>12.270428036543775</v>
      </c>
      <c r="G35" s="71">
        <f>'[2]Transect 11-17 Confluence'!F47</f>
        <v>15.044</v>
      </c>
      <c r="H35" s="71">
        <f>_xlfn.STDEV.S('[2]Table of Stages'!H15:H18)</f>
        <v>5.6199051000291392E-2</v>
      </c>
      <c r="I35" s="71">
        <v>5.2</v>
      </c>
      <c r="J35" s="71">
        <v>105.4</v>
      </c>
      <c r="K35" s="100">
        <f>I35+12.02-4.3</f>
        <v>12.919999999999998</v>
      </c>
    </row>
    <row r="36" spans="1:11" x14ac:dyDescent="0.25">
      <c r="A36" s="101" t="str">
        <f>A35</f>
        <v>Confluence</v>
      </c>
      <c r="B36" s="102">
        <f>'[2]Table of Transects'!B28</f>
        <v>41401</v>
      </c>
      <c r="C36" s="71" t="e">
        <f>AVERAGEIFS('[2]Table of Transects'!$E$3:$E$70,'[2]Table of Transects'!$A$3:$A$70,'Stage-Flow'!A36,'[2]Table of Transects'!$B$3:$B$70,'Stage-Flow'!B36,'[2]Table of Transects'!$J$3:$J$70,"Yes")</f>
        <v>#VALUE!</v>
      </c>
      <c r="D36" s="71" t="e">
        <f>AVERAGEIFS('[2]Table of Transects'!$G$3:$G$53,'[2]Table of Transects'!$A$3:$A$53,'Stage-Flow'!A36,'[2]Table of Transects'!$B$3:$B$53,'Stage-Flow'!B36,'[2]Table of Transects'!$J$3:$J$53,"Yes")</f>
        <v>#VALUE!</v>
      </c>
      <c r="E36" s="71" t="e">
        <f>AVERAGEIFS('[2]Table of Stages'!$H$3:$H$65,'[2]Table of Stages'!$A$3:$A$65,'Stage-Flow'!A36,'[2]Table of Stages'!$B$3:$B$65,'Stage-Flow'!B36)</f>
        <v>#VALUE!</v>
      </c>
      <c r="F36" s="71">
        <f>_xlfn.STDEV.S('[2]Table of Transects'!E28:E31)</f>
        <v>10.415672085852176</v>
      </c>
      <c r="G36" s="71">
        <f>'[2]Transect 5-7-13 Confluence'!F46</f>
        <v>11.33</v>
      </c>
      <c r="H36" s="71">
        <f>_xlfn.STDEV.S('[2]Table of Stages'!H23:H26)</f>
        <v>2.2173557826083445E-2</v>
      </c>
      <c r="I36" s="71">
        <v>6.9</v>
      </c>
      <c r="J36" s="103">
        <v>115.9</v>
      </c>
      <c r="K36" s="100">
        <f>I36+11.71-4.54</f>
        <v>14.07</v>
      </c>
    </row>
    <row r="37" spans="1:11" x14ac:dyDescent="0.25">
      <c r="A37" s="115" t="str">
        <f>A36</f>
        <v>Confluence</v>
      </c>
      <c r="B37" s="116">
        <f>'[2]Table of Transects'!B40</f>
        <v>41501</v>
      </c>
      <c r="C37" s="99" t="e">
        <f>AVERAGEIFS('[2]Table of Transects'!$E$3:$E$70,'[2]Table of Transects'!$A$3:$A$70,'Stage-Flow'!A37,'[2]Table of Transects'!$B$3:$B$70,'Stage-Flow'!B37,'[2]Table of Transects'!$J$3:$J$70,"Yes")</f>
        <v>#VALUE!</v>
      </c>
      <c r="D37" s="98" t="e">
        <f>AVERAGEIFS('[2]Table of Transects'!$G$3:$G$53,'[2]Table of Transects'!$A$3:$A$53,'Stage-Flow'!A37,'[2]Table of Transects'!$B$3:$B$53,'Stage-Flow'!B37,'[2]Table of Transects'!$J$3:$J$53,"Yes")</f>
        <v>#VALUE!</v>
      </c>
      <c r="E37" s="103" t="e">
        <f>AVERAGEIFS('[2]Table of Stages'!$H$3:$H$65,'[2]Table of Stages'!$A$3:$A$65,'Stage-Flow'!A37,'[2]Table of Stages'!$B$3:$B$65,'Stage-Flow'!B37)</f>
        <v>#VALUE!</v>
      </c>
      <c r="F37" s="98">
        <f>_xlfn.STDEV.S('[2]Table of Transects'!E40:E44)</f>
        <v>21.396053374395933</v>
      </c>
      <c r="G37" s="98">
        <f>'[2]Table of Transects'!K40</f>
        <v>25.393999999999998</v>
      </c>
      <c r="H37" s="98">
        <f>_xlfn.STDEV.S('[2]Table of Stages'!H35:H39)</f>
        <v>2.1908902300206177E-2</v>
      </c>
      <c r="I37" s="71">
        <v>6.1</v>
      </c>
      <c r="J37" s="103">
        <v>114.83</v>
      </c>
      <c r="K37" s="100">
        <f>I37+10.81-4.54</f>
        <v>12.370000000000001</v>
      </c>
    </row>
    <row r="38" spans="1:11" x14ac:dyDescent="0.25">
      <c r="A38" s="117" t="s">
        <v>249</v>
      </c>
      <c r="B38" s="118">
        <f>'[2]Table of Transects'!B59</f>
        <v>41594</v>
      </c>
      <c r="C38" s="119" t="e">
        <f>AVERAGEIFS('[2]Table of Transects'!$E$3:$E$70,'[2]Table of Transects'!$A$3:$A$70,'Stage-Flow'!A38,'[2]Table of Transects'!$B$3:$B$70,'Stage-Flow'!B38,'[2]Table of Transects'!$J$3:$J$70,"Yes")</f>
        <v>#VALUE!</v>
      </c>
      <c r="D38" s="120"/>
      <c r="E38" s="103" t="e">
        <f>AVERAGEIFS('[2]Table of Stages'!$H$3:$H$65,'[2]Table of Stages'!$A$3:$A$65,'Stage-Flow'!A38,'[2]Table of Stages'!$B$3:$B$65,'Stage-Flow'!B38)</f>
        <v>#VALUE!</v>
      </c>
      <c r="F38" s="120">
        <f>'[2]Table of Transects'!K59</f>
        <v>7.4830437180118556</v>
      </c>
      <c r="G38" s="120"/>
      <c r="H38" s="120">
        <f>_xlfn.STDEV.S('[2]Table of Stages'!H54:H57)</f>
        <v>2.901149197588191E-2</v>
      </c>
      <c r="I38" s="71">
        <f>1.5*3.28084</f>
        <v>4.9212600000000002</v>
      </c>
      <c r="J38" s="103">
        <v>138.30000000000001</v>
      </c>
      <c r="K38" s="100">
        <f>I38+11.55-3.65</f>
        <v>12.821260000000001</v>
      </c>
    </row>
    <row r="39" spans="1:11" x14ac:dyDescent="0.25">
      <c r="A39" s="121" t="s">
        <v>249</v>
      </c>
      <c r="B39" s="122">
        <v>41764</v>
      </c>
      <c r="C39" s="123"/>
      <c r="D39" s="124">
        <v>964.2</v>
      </c>
      <c r="E39" s="125"/>
      <c r="F39" s="124"/>
      <c r="G39" s="124"/>
      <c r="H39" s="124"/>
      <c r="I39" s="113">
        <v>7.52</v>
      </c>
      <c r="J39" s="113">
        <v>217.28</v>
      </c>
      <c r="K39" s="114">
        <f>I39+9.42-4.16</f>
        <v>12.779999999999998</v>
      </c>
    </row>
    <row r="40" spans="1:11" x14ac:dyDescent="0.25">
      <c r="A40" s="126" t="s">
        <v>262</v>
      </c>
      <c r="B40" s="127">
        <f>'[2]Table of Transects'!B32</f>
        <v>41500</v>
      </c>
      <c r="C40" s="128" t="e">
        <f>AVERAGEIFS('[2]Table of Transects'!$E$3:$E$70,'[2]Table of Transects'!$A$3:$A$70,'Stage-Flow'!A40,'[2]Table of Transects'!$B$3:$B$70,'Stage-Flow'!B40,'[2]Table of Transects'!$J$3:$J$70,"Yes")</f>
        <v>#VALUE!</v>
      </c>
      <c r="D40" s="129" t="e">
        <f>AVERAGEIFS('[2]Table of Transects'!$G$3:$G$53,'[2]Table of Transects'!$A$3:$A$53,'Stage-Flow'!A40,'[2]Table of Transects'!$B$3:$B$53,'Stage-Flow'!B40,'[2]Table of Transects'!$J$3:$J$53,"Yes")</f>
        <v>#VALUE!</v>
      </c>
      <c r="E40" s="130" t="e">
        <f>AVERAGEIFS('[2]Table of Stages'!$H$3:$H$65,'[2]Table of Stages'!$A$3:$A$65,'Stage-Flow'!A40,'[2]Table of Stages'!$B$3:$B$65,'Stage-Flow'!B40)</f>
        <v>#VALUE!</v>
      </c>
      <c r="F40" s="129">
        <f>_xlfn.STDEV.S('[2]Table of Transects'!E32:E39)</f>
        <v>25.843238926541023</v>
      </c>
      <c r="G40" s="129">
        <f>'[2]Table of Transects'!K32</f>
        <v>26.074000000000002</v>
      </c>
      <c r="H40" s="129">
        <f>_xlfn.STDEV.S('[2]Table of Stages'!H27:H34)</f>
        <v>2.1380899352993494E-2</v>
      </c>
      <c r="I40" s="94">
        <v>5.4</v>
      </c>
      <c r="J40" s="94">
        <v>121.23</v>
      </c>
      <c r="K40" s="95">
        <f>I40+9.76-4.65</f>
        <v>10.51</v>
      </c>
    </row>
    <row r="41" spans="1:11" x14ac:dyDescent="0.25">
      <c r="A41" s="101" t="s">
        <v>262</v>
      </c>
      <c r="B41" s="102">
        <f>'[2]Table of Transects'!B54</f>
        <v>41594</v>
      </c>
      <c r="C41" s="71" t="e">
        <f>AVERAGEIFS('[2]Table of Transects'!$E$3:$E$70,'[2]Table of Transects'!$A$3:$A$70,'Stage-Flow'!A41,'[2]Table of Transects'!$B$3:$B$70,'Stage-Flow'!B41,'[2]Table of Transects'!$J$3:$J$70,"Yes")</f>
        <v>#VALUE!</v>
      </c>
      <c r="D41" s="71"/>
      <c r="E41" s="71" t="e">
        <f>AVERAGEIFS('[2]Table of Stages'!$H$3:$H$65,'[2]Table of Stages'!$A$3:$A$65,'Stage-Flow'!A41,'[2]Table of Stages'!$B$3:$B$65,'Stage-Flow'!B41)</f>
        <v>#VALUE!</v>
      </c>
      <c r="F41" s="71">
        <f>'[2]Table of Transects'!K55</f>
        <v>9.3905587905113297</v>
      </c>
      <c r="G41" s="71"/>
      <c r="H41" s="120">
        <f>_xlfn.STDEV.S('[2]Table of Stages'!H49:H53)</f>
        <v>3.7980258029666002E-2</v>
      </c>
      <c r="I41" s="71">
        <v>1.54</v>
      </c>
      <c r="J41" s="103">
        <v>113.26</v>
      </c>
      <c r="K41" s="100">
        <f>I41+10.75-4.11</f>
        <v>8.18</v>
      </c>
    </row>
    <row r="42" spans="1:11" x14ac:dyDescent="0.25">
      <c r="A42" s="131" t="s">
        <v>262</v>
      </c>
      <c r="B42" s="132">
        <v>41764</v>
      </c>
      <c r="C42" s="113"/>
      <c r="D42" s="113">
        <v>693.59</v>
      </c>
      <c r="E42" s="113"/>
      <c r="F42" s="113"/>
      <c r="G42" s="113"/>
      <c r="H42" s="113"/>
      <c r="I42" s="113">
        <v>5.83</v>
      </c>
      <c r="J42" s="113">
        <v>207.2</v>
      </c>
      <c r="K42" s="114">
        <f>I42+10.91-4.71</f>
        <v>12.030000000000001</v>
      </c>
    </row>
    <row r="44" spans="1:11" x14ac:dyDescent="0.25">
      <c r="D44" s="133" t="s">
        <v>263</v>
      </c>
      <c r="E44" s="23" t="s">
        <v>264</v>
      </c>
    </row>
    <row r="45" spans="1:11" x14ac:dyDescent="0.25">
      <c r="A45" s="106" t="s">
        <v>249</v>
      </c>
      <c r="B45" s="105">
        <v>41137</v>
      </c>
      <c r="C45" s="106">
        <v>770.62850000000003</v>
      </c>
      <c r="D45" s="106">
        <v>771.36725000000001</v>
      </c>
      <c r="E45" s="23" t="e">
        <f>AVERAGEIFS('[2]Table of Stages'!$H$3:$H$65,'[2]Table of Stages'!$A$3:$A$65,'Stage-Flow'!A45,'[2]Table of Stages'!$B$3:$B$65,'Stage-Flow'!B45)</f>
        <v>#VALUE!</v>
      </c>
      <c r="F45" s="106">
        <v>20.85580516307153</v>
      </c>
      <c r="G45" s="106">
        <v>21.808</v>
      </c>
      <c r="H45" s="106">
        <v>6.4355781921026589E-2</v>
      </c>
    </row>
    <row r="46" spans="1:11" x14ac:dyDescent="0.25">
      <c r="A46" s="106" t="s">
        <v>249</v>
      </c>
      <c r="B46" s="105">
        <v>41230</v>
      </c>
      <c r="C46" s="106">
        <v>451.15524999999997</v>
      </c>
      <c r="D46" s="106">
        <v>451.60674999999998</v>
      </c>
      <c r="E46" s="23" t="e">
        <f>AVERAGEIFS('[2]Table of Stages'!$H$3:$H$65,'[2]Table of Stages'!$A$3:$A$65,'Stage-Flow'!A46,'[2]Table of Stages'!$B$3:$B$65,'Stage-Flow'!B46)</f>
        <v>#VALUE!</v>
      </c>
      <c r="F46" s="106">
        <v>12.270428036543775</v>
      </c>
      <c r="G46" s="106">
        <v>15.044</v>
      </c>
      <c r="H46" s="106">
        <v>5.6199051000291392E-2</v>
      </c>
    </row>
    <row r="47" spans="1:11" x14ac:dyDescent="0.25">
      <c r="A47" s="106" t="s">
        <v>249</v>
      </c>
      <c r="B47" s="105">
        <v>41401</v>
      </c>
      <c r="C47" s="106">
        <v>565.24750000000006</v>
      </c>
      <c r="D47" s="106">
        <v>568.17925000000002</v>
      </c>
      <c r="E47" s="23" t="e">
        <f>AVERAGEIFS('[2]Table of Stages'!$H$3:$H$65,'[2]Table of Stages'!$A$3:$A$65,'Stage-Flow'!A47,'[2]Table of Stages'!$B$3:$B$65,'Stage-Flow'!B47)</f>
        <v>#VALUE!</v>
      </c>
      <c r="F47" s="106">
        <v>10.415672085852176</v>
      </c>
      <c r="G47" s="106">
        <v>11.323</v>
      </c>
      <c r="H47" s="106">
        <v>2.2173557826083445E-2</v>
      </c>
    </row>
    <row r="48" spans="1:11" x14ac:dyDescent="0.25">
      <c r="A48" s="106" t="s">
        <v>249</v>
      </c>
      <c r="B48" s="105">
        <v>41501</v>
      </c>
      <c r="C48" s="106">
        <v>865.68249999999989</v>
      </c>
      <c r="D48" s="106">
        <v>861.56074999999987</v>
      </c>
      <c r="E48" s="23" t="e">
        <f>AVERAGEIFS('[2]Table of Stages'!$H$3:$H$65,'[2]Table of Stages'!$A$3:$A$65,'Stage-Flow'!A48,'[2]Table of Stages'!$B$3:$B$65,'Stage-Flow'!B48)</f>
        <v>#VALUE!</v>
      </c>
      <c r="F48" s="106">
        <v>21.396053374395933</v>
      </c>
      <c r="G48" s="106">
        <v>25.393999999999998</v>
      </c>
      <c r="H48" s="106">
        <v>2.1908902300206177E-2</v>
      </c>
    </row>
    <row r="49" spans="1:8" x14ac:dyDescent="0.25">
      <c r="A49" s="106" t="s">
        <v>262</v>
      </c>
      <c r="B49" s="105">
        <v>41500</v>
      </c>
      <c r="C49" s="106">
        <v>846.13750000000005</v>
      </c>
      <c r="D49" s="106">
        <v>843.95849999999996</v>
      </c>
      <c r="E49" s="23" t="e">
        <f>AVERAGEIFS('[2]Table of Stages'!$H$3:$H$65,'[2]Table of Stages'!$A$3:$A$65,'Stage-Flow'!A49,'[2]Table of Stages'!$B$3:$B$65,'Stage-Flow'!B49)</f>
        <v>#VALUE!</v>
      </c>
      <c r="F49" s="106">
        <v>25.843238926541023</v>
      </c>
      <c r="G49" s="106">
        <v>26.074000000000002</v>
      </c>
      <c r="H49" s="106">
        <v>2.1380899352994445E-2</v>
      </c>
    </row>
  </sheetData>
  <mergeCells count="3">
    <mergeCell ref="C6:C11"/>
    <mergeCell ref="C13:C18"/>
    <mergeCell ref="C20:C22"/>
  </mergeCells>
  <pageMargins left="0.7" right="0.7" top="0.75" bottom="0.75" header="0.3" footer="0.3"/>
  <pageSetup orientation="portrait" r:id="rId1"/>
  <drawing r:id="rId2"/>
  <legacyDrawing r:id="rId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tabColor theme="4" tint="-0.249977111117893"/>
  </sheetPr>
  <dimension ref="A1:T58"/>
  <sheetViews>
    <sheetView topLeftCell="Q1" zoomScale="49" zoomScaleNormal="70" workbookViewId="0">
      <selection activeCell="AM10" sqref="AM10"/>
    </sheetView>
  </sheetViews>
  <sheetFormatPr defaultColWidth="8.875" defaultRowHeight="15" x14ac:dyDescent="0.25"/>
  <cols>
    <col min="1" max="1" width="10.125" style="23" customWidth="1"/>
    <col min="2" max="2" width="10.875" style="75" bestFit="1" customWidth="1"/>
    <col min="3" max="3" width="17.125" style="23" customWidth="1"/>
    <col min="4" max="4" width="21.875" style="23" customWidth="1"/>
    <col min="5" max="5" width="12.25" style="23" customWidth="1"/>
    <col min="6" max="6" width="11.375" style="23" bestFit="1" customWidth="1"/>
    <col min="7" max="7" width="12.25" style="23" bestFit="1" customWidth="1"/>
    <col min="8" max="8" width="9.375" style="23" customWidth="1"/>
    <col min="9" max="10" width="19.125" style="23" customWidth="1"/>
    <col min="11" max="11" width="17.875" style="23" customWidth="1"/>
    <col min="12" max="12" width="15.875" style="23" customWidth="1"/>
    <col min="13" max="14" width="14.625" style="23" customWidth="1"/>
    <col min="15" max="15" width="19.875" style="23" customWidth="1"/>
    <col min="16" max="16" width="37.25" style="23" customWidth="1"/>
    <col min="17" max="17" width="14.25" style="23" customWidth="1"/>
    <col min="18" max="18" width="14.125" style="23" customWidth="1"/>
    <col min="19" max="19" width="10.875" style="23" bestFit="1" customWidth="1"/>
    <col min="20" max="20" width="8.875" style="23"/>
    <col min="21" max="21" width="16" style="23" bestFit="1" customWidth="1"/>
    <col min="22" max="22" width="14.875" style="23" bestFit="1" customWidth="1"/>
    <col min="23" max="47" width="8.875" style="23"/>
    <col min="48" max="48" width="16" style="23" bestFit="1" customWidth="1"/>
    <col min="49" max="16384" width="8.875" style="23"/>
  </cols>
  <sheetData>
    <row r="1" spans="1:20" x14ac:dyDescent="0.25">
      <c r="P1" s="134" t="s">
        <v>380</v>
      </c>
      <c r="Q1" s="134" t="s">
        <v>373</v>
      </c>
      <c r="R1" s="134" t="s">
        <v>249</v>
      </c>
      <c r="S1" s="134" t="s">
        <v>247</v>
      </c>
    </row>
    <row r="2" spans="1:20" ht="20.100000000000001" customHeight="1" x14ac:dyDescent="0.7">
      <c r="A2" s="73"/>
      <c r="B2" s="73"/>
      <c r="C2" s="73"/>
      <c r="D2" s="73"/>
      <c r="E2" s="73"/>
      <c r="F2" s="73"/>
      <c r="G2" s="73"/>
      <c r="H2" s="73"/>
      <c r="I2" s="73"/>
      <c r="J2" s="73"/>
      <c r="K2" s="73"/>
      <c r="P2" s="134" t="s">
        <v>378</v>
      </c>
      <c r="Q2" s="134">
        <v>3.35</v>
      </c>
      <c r="R2" s="134">
        <v>4.05</v>
      </c>
      <c r="S2" s="134">
        <v>4.28</v>
      </c>
    </row>
    <row r="3" spans="1:20" ht="20.100000000000001" customHeight="1" x14ac:dyDescent="0.7">
      <c r="A3" s="73"/>
      <c r="B3" s="73"/>
      <c r="C3" s="73"/>
      <c r="D3" s="73"/>
      <c r="E3" s="73"/>
      <c r="F3" s="73"/>
      <c r="G3" s="73"/>
      <c r="H3" s="73"/>
      <c r="I3" s="73"/>
      <c r="J3" s="73"/>
      <c r="K3" s="73"/>
      <c r="P3" s="134" t="s">
        <v>379</v>
      </c>
      <c r="Q3" s="134">
        <v>20</v>
      </c>
      <c r="R3" s="134">
        <v>20</v>
      </c>
      <c r="S3" s="134">
        <v>20</v>
      </c>
    </row>
    <row r="4" spans="1:20" ht="20.100000000000001" customHeight="1" x14ac:dyDescent="0.7">
      <c r="A4" s="73"/>
      <c r="B4" s="73"/>
      <c r="C4" s="73"/>
      <c r="D4" s="73"/>
      <c r="E4" s="73"/>
      <c r="F4" s="73"/>
      <c r="G4" s="73"/>
      <c r="H4" s="73"/>
      <c r="I4" s="73"/>
      <c r="J4" s="73"/>
      <c r="K4" s="73"/>
      <c r="P4" s="134" t="s">
        <v>385</v>
      </c>
      <c r="Q4" s="134">
        <v>14.44</v>
      </c>
      <c r="R4" s="134">
        <v>13.19</v>
      </c>
      <c r="S4" s="134">
        <v>11.16</v>
      </c>
    </row>
    <row r="5" spans="1:20" ht="20.100000000000001" customHeight="1" x14ac:dyDescent="0.7">
      <c r="A5" s="73"/>
      <c r="B5" s="73"/>
      <c r="C5" s="73"/>
      <c r="D5" s="73"/>
      <c r="E5" s="73"/>
      <c r="F5" s="73"/>
      <c r="G5" s="73"/>
      <c r="H5" s="73"/>
      <c r="I5" s="73"/>
      <c r="J5" s="73"/>
      <c r="K5" s="73"/>
      <c r="P5" s="134" t="s">
        <v>384</v>
      </c>
      <c r="Q5" s="134">
        <f>Q2+Q3-Q4</f>
        <v>8.9100000000000019</v>
      </c>
      <c r="R5" s="134">
        <f>R2+R3-R4</f>
        <v>10.860000000000001</v>
      </c>
      <c r="S5" s="134">
        <f>S2+S3-S4</f>
        <v>13.120000000000001</v>
      </c>
    </row>
    <row r="6" spans="1:20" ht="26.25" customHeight="1" x14ac:dyDescent="0.7">
      <c r="A6" s="73"/>
      <c r="B6" s="73"/>
      <c r="C6" s="73"/>
      <c r="D6" s="73"/>
      <c r="E6" s="73"/>
      <c r="F6" s="73"/>
      <c r="G6" s="73"/>
      <c r="H6" s="73"/>
      <c r="I6" s="73"/>
      <c r="J6" s="73"/>
      <c r="K6" s="73"/>
      <c r="P6" s="134" t="s">
        <v>387</v>
      </c>
      <c r="Q6" s="134">
        <v>11.52</v>
      </c>
      <c r="R6" s="134">
        <v>12.99</v>
      </c>
      <c r="S6" s="134">
        <v>13.99</v>
      </c>
    </row>
    <row r="7" spans="1:20" ht="20.100000000000001" customHeight="1" x14ac:dyDescent="0.7">
      <c r="A7" s="73"/>
      <c r="B7" s="73"/>
      <c r="C7" s="73"/>
      <c r="D7" s="73"/>
      <c r="E7" s="73"/>
      <c r="F7" s="73"/>
      <c r="G7" s="73"/>
      <c r="H7" s="73"/>
      <c r="I7" s="73"/>
      <c r="J7" s="73"/>
      <c r="K7" s="73"/>
      <c r="P7" s="173" t="s">
        <v>386</v>
      </c>
      <c r="Q7" s="134">
        <f>Q2+Q3-Q6</f>
        <v>11.830000000000002</v>
      </c>
      <c r="R7" s="134">
        <f>R2+R3-R6</f>
        <v>11.06</v>
      </c>
      <c r="S7" s="134">
        <f>S2+S3-S6</f>
        <v>10.290000000000001</v>
      </c>
    </row>
    <row r="8" spans="1:20" ht="20.100000000000001" customHeight="1" x14ac:dyDescent="0.7">
      <c r="A8" s="73"/>
      <c r="B8" s="73"/>
      <c r="C8" s="73"/>
      <c r="D8" s="73"/>
      <c r="E8" s="73"/>
      <c r="F8" s="73"/>
      <c r="G8" s="73"/>
      <c r="H8" s="73"/>
      <c r="I8" s="73"/>
      <c r="J8" s="73"/>
      <c r="K8" s="172"/>
      <c r="P8" s="173" t="s">
        <v>383</v>
      </c>
      <c r="Q8" s="134">
        <v>9.452</v>
      </c>
      <c r="R8" s="134">
        <v>6.73</v>
      </c>
      <c r="S8" s="134">
        <v>7.13</v>
      </c>
    </row>
    <row r="9" spans="1:20" ht="40.9" customHeight="1" x14ac:dyDescent="0.7">
      <c r="A9" s="73"/>
      <c r="B9" s="73"/>
      <c r="C9" s="73"/>
      <c r="D9" s="73"/>
      <c r="E9" s="73"/>
      <c r="F9" s="73"/>
      <c r="G9" s="73"/>
      <c r="H9" s="73"/>
      <c r="I9" s="73"/>
      <c r="J9" s="73"/>
      <c r="K9" s="172"/>
      <c r="P9" s="177" t="s">
        <v>388</v>
      </c>
      <c r="Q9" s="134">
        <f>Q2+Q3-Q5-Q8</f>
        <v>4.9879999999999995</v>
      </c>
      <c r="R9" s="134">
        <f>R2+R3-R5-R8</f>
        <v>6.4599999999999991</v>
      </c>
      <c r="S9" s="134">
        <f t="shared" ref="S9" si="0">S2+S3-S5-S8</f>
        <v>4.03</v>
      </c>
    </row>
    <row r="10" spans="1:20" ht="20.100000000000001" customHeight="1" x14ac:dyDescent="0.7">
      <c r="A10" s="73"/>
      <c r="B10" s="73"/>
      <c r="C10" s="73"/>
      <c r="D10" s="73"/>
      <c r="E10" s="73"/>
      <c r="F10" s="73"/>
      <c r="G10" s="73"/>
      <c r="H10" s="73"/>
      <c r="I10" s="73"/>
      <c r="J10" s="73"/>
      <c r="K10" s="73"/>
      <c r="P10" s="71"/>
      <c r="R10" s="71"/>
      <c r="S10" s="71"/>
      <c r="T10" s="71"/>
    </row>
    <row r="11" spans="1:20" ht="37.5" customHeight="1" x14ac:dyDescent="0.7">
      <c r="A11" s="73"/>
      <c r="B11" s="73"/>
      <c r="C11" s="73"/>
      <c r="D11" s="73"/>
      <c r="E11" s="73"/>
      <c r="F11" s="74" t="s">
        <v>376</v>
      </c>
      <c r="G11" s="74" t="s">
        <v>377</v>
      </c>
      <c r="H11" s="73"/>
      <c r="I11" s="73"/>
      <c r="J11" s="73"/>
      <c r="K11" s="73"/>
    </row>
    <row r="12" spans="1:20" ht="40.5" customHeight="1" x14ac:dyDescent="0.25">
      <c r="C12" s="168"/>
      <c r="D12" s="169" t="s">
        <v>237</v>
      </c>
      <c r="E12" s="170" t="s">
        <v>244</v>
      </c>
      <c r="F12" s="170" t="s">
        <v>374</v>
      </c>
      <c r="G12" s="170" t="s">
        <v>375</v>
      </c>
      <c r="H12" s="170" t="s">
        <v>245</v>
      </c>
      <c r="I12" s="170" t="s">
        <v>381</v>
      </c>
      <c r="J12" s="171" t="s">
        <v>393</v>
      </c>
      <c r="K12" s="170" t="s">
        <v>246</v>
      </c>
      <c r="L12" s="170" t="s">
        <v>240</v>
      </c>
      <c r="M12" s="171" t="s">
        <v>241</v>
      </c>
      <c r="N12" s="171" t="s">
        <v>392</v>
      </c>
      <c r="O12" s="170" t="s">
        <v>382</v>
      </c>
      <c r="P12" s="170" t="s">
        <v>389</v>
      </c>
      <c r="Q12" s="170" t="s">
        <v>390</v>
      </c>
      <c r="R12" s="155" t="s">
        <v>391</v>
      </c>
    </row>
    <row r="13" spans="1:20" x14ac:dyDescent="0.25">
      <c r="C13" s="201" t="s">
        <v>247</v>
      </c>
      <c r="D13" s="77">
        <v>41137</v>
      </c>
      <c r="E13" s="164">
        <v>4.8425000000000002</v>
      </c>
      <c r="F13" s="164">
        <v>23.65</v>
      </c>
      <c r="G13" s="164">
        <f>F13-10</f>
        <v>13.649999999999999</v>
      </c>
      <c r="H13" s="165"/>
      <c r="I13" s="165">
        <f>G13-$S$7</f>
        <v>3.3599999999999977</v>
      </c>
      <c r="J13" s="165">
        <f>G13-$S$8</f>
        <v>6.5199999999999987</v>
      </c>
      <c r="K13" s="164">
        <f t="shared" ref="K13:K24" si="1">E13*0.0744661151309</f>
        <v>0.36060216252138327</v>
      </c>
      <c r="L13" s="164">
        <f>G13*0.3048</f>
        <v>4.16052</v>
      </c>
      <c r="M13" s="164">
        <f>H13*0.3048</f>
        <v>0</v>
      </c>
      <c r="N13" s="164">
        <f>J13*0.3048</f>
        <v>1.9872959999999997</v>
      </c>
      <c r="O13" s="164">
        <f>I13*0.3048</f>
        <v>1.0241279999999993</v>
      </c>
      <c r="P13" s="164"/>
      <c r="Q13" s="164"/>
      <c r="R13" s="23">
        <v>26.4</v>
      </c>
    </row>
    <row r="14" spans="1:20" x14ac:dyDescent="0.25">
      <c r="C14" s="201"/>
      <c r="D14" s="77">
        <v>41230</v>
      </c>
      <c r="E14" s="164">
        <v>24.276</v>
      </c>
      <c r="F14" s="164">
        <v>22.587499999999999</v>
      </c>
      <c r="G14" s="164">
        <f t="shared" ref="G14:G30" si="2">F14-10</f>
        <v>12.587499999999999</v>
      </c>
      <c r="H14" s="165">
        <v>31.1</v>
      </c>
      <c r="I14" s="165">
        <f t="shared" ref="I14:I19" si="3">G14-$S$7</f>
        <v>2.2974999999999977</v>
      </c>
      <c r="J14" s="165">
        <f t="shared" ref="J14:J19" si="4">G14-$S$8</f>
        <v>5.4574999999999987</v>
      </c>
      <c r="K14" s="164">
        <f t="shared" si="1"/>
        <v>1.8077394109177283</v>
      </c>
      <c r="L14" s="164">
        <f t="shared" ref="L14:L30" si="5">G14*0.3048</f>
        <v>3.8366699999999998</v>
      </c>
      <c r="M14" s="164">
        <f t="shared" ref="M14:M24" si="6">H14*0.3048</f>
        <v>9.479280000000001</v>
      </c>
      <c r="N14" s="164">
        <f t="shared" ref="N14:N19" si="7">J14*0.3048</f>
        <v>1.6634459999999998</v>
      </c>
      <c r="O14" s="164">
        <f t="shared" ref="O14:O19" si="8">I14*0.3048</f>
        <v>0.70027799999999929</v>
      </c>
      <c r="P14" s="164">
        <f t="shared" ref="P14:P19" si="9">H14/$S$9</f>
        <v>7.7171215880893298</v>
      </c>
      <c r="Q14" s="164">
        <f>H14/G14</f>
        <v>2.4707050645481634</v>
      </c>
      <c r="R14" s="154">
        <v>10.9</v>
      </c>
    </row>
    <row r="15" spans="1:20" x14ac:dyDescent="0.25">
      <c r="C15" s="201"/>
      <c r="D15" s="77">
        <v>41401</v>
      </c>
      <c r="E15" s="164">
        <v>146.20399999999998</v>
      </c>
      <c r="F15" s="164">
        <v>23.145</v>
      </c>
      <c r="G15" s="164">
        <f t="shared" si="2"/>
        <v>13.145</v>
      </c>
      <c r="H15" s="165">
        <v>38.9</v>
      </c>
      <c r="I15" s="165">
        <f t="shared" si="3"/>
        <v>2.8549999999999986</v>
      </c>
      <c r="J15" s="165">
        <f t="shared" si="4"/>
        <v>6.0149999999999997</v>
      </c>
      <c r="K15" s="164">
        <f t="shared" si="1"/>
        <v>10.887243896598102</v>
      </c>
      <c r="L15" s="164">
        <f t="shared" si="5"/>
        <v>4.006596</v>
      </c>
      <c r="M15" s="164">
        <f t="shared" si="6"/>
        <v>11.856720000000001</v>
      </c>
      <c r="N15" s="164">
        <f t="shared" si="7"/>
        <v>1.833372</v>
      </c>
      <c r="O15" s="164">
        <f t="shared" si="8"/>
        <v>0.87020399999999964</v>
      </c>
      <c r="P15" s="164">
        <f t="shared" si="9"/>
        <v>9.6526054590570709</v>
      </c>
      <c r="Q15" s="164">
        <f t="shared" ref="Q15:Q30" si="10">H15/G15</f>
        <v>2.9593001141118296</v>
      </c>
      <c r="R15" s="154">
        <v>7.6</v>
      </c>
    </row>
    <row r="16" spans="1:20" x14ac:dyDescent="0.25">
      <c r="C16" s="201"/>
      <c r="D16" s="77">
        <v>41501</v>
      </c>
      <c r="E16" s="164">
        <v>2.1800000000000002</v>
      </c>
      <c r="F16" s="164">
        <v>24.07</v>
      </c>
      <c r="G16" s="164">
        <f t="shared" si="2"/>
        <v>14.07</v>
      </c>
      <c r="H16" s="165">
        <f>76.5-20.5</f>
        <v>56</v>
      </c>
      <c r="I16" s="165">
        <f t="shared" si="3"/>
        <v>3.7799999999999994</v>
      </c>
      <c r="J16" s="165">
        <f t="shared" si="4"/>
        <v>6.94</v>
      </c>
      <c r="K16" s="164">
        <f t="shared" si="1"/>
        <v>0.16233613098536201</v>
      </c>
      <c r="L16" s="164">
        <f t="shared" si="5"/>
        <v>4.2885360000000006</v>
      </c>
      <c r="M16" s="164">
        <f t="shared" si="6"/>
        <v>17.0688</v>
      </c>
      <c r="N16" s="164">
        <f t="shared" si="7"/>
        <v>2.1153120000000003</v>
      </c>
      <c r="O16" s="164">
        <f t="shared" si="8"/>
        <v>1.1521439999999998</v>
      </c>
      <c r="P16" s="164">
        <f t="shared" si="9"/>
        <v>13.895781637717121</v>
      </c>
      <c r="Q16" s="164">
        <f t="shared" si="10"/>
        <v>3.9800995024875623</v>
      </c>
      <c r="R16" s="154">
        <v>29</v>
      </c>
    </row>
    <row r="17" spans="3:18" x14ac:dyDescent="0.25">
      <c r="C17" s="201"/>
      <c r="D17" s="86">
        <v>41594</v>
      </c>
      <c r="E17" s="164">
        <v>29.481860934656055</v>
      </c>
      <c r="F17" s="164">
        <v>22.434999999999999</v>
      </c>
      <c r="G17" s="164">
        <f t="shared" si="2"/>
        <v>12.434999999999999</v>
      </c>
      <c r="H17" s="165"/>
      <c r="I17" s="165">
        <f t="shared" si="3"/>
        <v>2.1449999999999978</v>
      </c>
      <c r="J17" s="165">
        <f t="shared" si="4"/>
        <v>5.3049999999999988</v>
      </c>
      <c r="K17" s="164">
        <f t="shared" si="1"/>
        <v>2.1953996506332807</v>
      </c>
      <c r="L17" s="164">
        <f t="shared" si="5"/>
        <v>3.7901879999999997</v>
      </c>
      <c r="M17" s="164">
        <f t="shared" si="6"/>
        <v>0</v>
      </c>
      <c r="N17" s="164">
        <f t="shared" si="7"/>
        <v>1.6169639999999996</v>
      </c>
      <c r="O17" s="164">
        <f t="shared" si="8"/>
        <v>0.65379599999999938</v>
      </c>
      <c r="P17" s="164"/>
      <c r="Q17" s="164"/>
      <c r="R17" s="154">
        <v>4.2</v>
      </c>
    </row>
    <row r="18" spans="3:18" x14ac:dyDescent="0.25">
      <c r="C18" s="201"/>
      <c r="D18" s="86">
        <v>41764</v>
      </c>
      <c r="E18" s="164">
        <v>273.39</v>
      </c>
      <c r="F18" s="164">
        <v>23.852426967547331</v>
      </c>
      <c r="G18" s="164">
        <f t="shared" si="2"/>
        <v>13.852426967547331</v>
      </c>
      <c r="H18" s="165"/>
      <c r="I18" s="165">
        <f t="shared" si="3"/>
        <v>3.5624269675473297</v>
      </c>
      <c r="J18" s="165">
        <f t="shared" si="4"/>
        <v>6.7224269675473307</v>
      </c>
      <c r="K18" s="164">
        <f t="shared" si="1"/>
        <v>20.358291215636751</v>
      </c>
      <c r="L18" s="164">
        <f t="shared" si="5"/>
        <v>4.2222197397084269</v>
      </c>
      <c r="M18" s="164">
        <f t="shared" si="6"/>
        <v>0</v>
      </c>
      <c r="N18" s="164">
        <f t="shared" si="7"/>
        <v>2.0489957397084266</v>
      </c>
      <c r="O18" s="164">
        <f t="shared" si="8"/>
        <v>1.0858277397084262</v>
      </c>
      <c r="P18" s="164"/>
      <c r="Q18" s="164"/>
      <c r="R18" s="154">
        <v>12.4</v>
      </c>
    </row>
    <row r="19" spans="3:18" ht="18.75" customHeight="1" x14ac:dyDescent="0.25">
      <c r="C19" s="201"/>
      <c r="D19" s="174">
        <v>42237</v>
      </c>
      <c r="E19" s="165">
        <v>4.1900000000000004</v>
      </c>
      <c r="F19" s="165">
        <v>22.93</v>
      </c>
      <c r="G19" s="164">
        <f t="shared" si="2"/>
        <v>12.93</v>
      </c>
      <c r="H19" s="165">
        <f>70-20</f>
        <v>50</v>
      </c>
      <c r="I19" s="165">
        <f t="shared" si="3"/>
        <v>2.6399999999999988</v>
      </c>
      <c r="J19" s="165">
        <f t="shared" si="4"/>
        <v>5.8</v>
      </c>
      <c r="K19" s="164">
        <f t="shared" si="1"/>
        <v>0.31201302239847101</v>
      </c>
      <c r="L19" s="164">
        <f t="shared" si="5"/>
        <v>3.9410639999999999</v>
      </c>
      <c r="M19" s="164">
        <f t="shared" si="6"/>
        <v>15.24</v>
      </c>
      <c r="N19" s="164">
        <f t="shared" si="7"/>
        <v>1.7678400000000001</v>
      </c>
      <c r="O19" s="164">
        <f t="shared" si="8"/>
        <v>0.80467199999999972</v>
      </c>
      <c r="P19" s="164">
        <f t="shared" si="9"/>
        <v>12.406947890818858</v>
      </c>
      <c r="Q19" s="164">
        <f t="shared" si="10"/>
        <v>3.8669760247486464</v>
      </c>
      <c r="R19" s="154"/>
    </row>
    <row r="20" spans="3:18" x14ac:dyDescent="0.25">
      <c r="C20" s="201" t="s">
        <v>249</v>
      </c>
      <c r="D20" s="77">
        <v>41137</v>
      </c>
      <c r="E20" s="175"/>
      <c r="F20" s="175"/>
      <c r="G20" s="83"/>
      <c r="H20" s="83">
        <f>20+86</f>
        <v>106</v>
      </c>
      <c r="I20" s="83"/>
      <c r="J20" s="83"/>
      <c r="K20" s="84">
        <f t="shared" si="1"/>
        <v>0</v>
      </c>
      <c r="L20" s="84">
        <f t="shared" si="5"/>
        <v>0</v>
      </c>
      <c r="M20" s="84">
        <f t="shared" si="6"/>
        <v>32.308800000000005</v>
      </c>
      <c r="N20" s="84"/>
      <c r="O20" s="84"/>
      <c r="P20" s="84"/>
      <c r="Q20" s="84"/>
      <c r="R20" s="154">
        <v>21.4</v>
      </c>
    </row>
    <row r="21" spans="3:18" x14ac:dyDescent="0.25">
      <c r="C21" s="201"/>
      <c r="D21" s="77">
        <v>41230</v>
      </c>
      <c r="E21" s="83">
        <v>450.60674999999998</v>
      </c>
      <c r="F21" s="83">
        <v>22.022500000000001</v>
      </c>
      <c r="G21" s="83">
        <f t="shared" si="2"/>
        <v>12.022500000000001</v>
      </c>
      <c r="H21" s="83">
        <v>105.4</v>
      </c>
      <c r="I21" s="83">
        <f>G21-$R$7</f>
        <v>0.96250000000000036</v>
      </c>
      <c r="J21" s="83">
        <f>G21-$R$8</f>
        <v>5.2925000000000004</v>
      </c>
      <c r="K21" s="84">
        <f t="shared" si="1"/>
        <v>33.554934124260669</v>
      </c>
      <c r="L21" s="84">
        <f t="shared" si="5"/>
        <v>3.6644580000000007</v>
      </c>
      <c r="M21" s="84">
        <f t="shared" si="6"/>
        <v>32.125920000000001</v>
      </c>
      <c r="N21" s="84">
        <f>J21*0.3048</f>
        <v>1.6131540000000002</v>
      </c>
      <c r="O21" s="84">
        <f>I21*0.3048</f>
        <v>0.29337000000000013</v>
      </c>
      <c r="P21" s="84">
        <f t="shared" ref="P21:P26" si="11">H21/$R$9</f>
        <v>16.315789473684212</v>
      </c>
      <c r="Q21" s="84">
        <f t="shared" si="10"/>
        <v>8.7668954044499898</v>
      </c>
      <c r="R21" s="154">
        <v>12.8</v>
      </c>
    </row>
    <row r="22" spans="3:18" x14ac:dyDescent="0.25">
      <c r="C22" s="201"/>
      <c r="D22" s="77">
        <v>41401</v>
      </c>
      <c r="E22" s="83">
        <v>568.17925000000002</v>
      </c>
      <c r="F22" s="83">
        <v>22.752500000000001</v>
      </c>
      <c r="G22" s="83">
        <f t="shared" si="2"/>
        <v>12.752500000000001</v>
      </c>
      <c r="H22" s="83">
        <f>20+98.2</f>
        <v>118.2</v>
      </c>
      <c r="I22" s="83">
        <f>G22-$R$7</f>
        <v>1.6925000000000008</v>
      </c>
      <c r="J22" s="83">
        <f t="shared" ref="J22:J26" si="12">G22-$R$8</f>
        <v>6.0225000000000009</v>
      </c>
      <c r="K22" s="84">
        <f t="shared" si="1"/>
        <v>42.310101445488414</v>
      </c>
      <c r="L22" s="84">
        <f t="shared" si="5"/>
        <v>3.8869620000000005</v>
      </c>
      <c r="M22" s="84">
        <f t="shared" si="6"/>
        <v>36.027360000000002</v>
      </c>
      <c r="N22" s="84">
        <f t="shared" ref="N22:N26" si="13">J22*0.3048</f>
        <v>1.8356580000000005</v>
      </c>
      <c r="O22" s="84">
        <f>I22*0.3048</f>
        <v>0.51587400000000028</v>
      </c>
      <c r="P22" s="84">
        <f t="shared" si="11"/>
        <v>18.297213622291025</v>
      </c>
      <c r="Q22" s="84">
        <f t="shared" si="10"/>
        <v>9.2687708292491653</v>
      </c>
      <c r="R22" s="154">
        <v>16.100000000000001</v>
      </c>
    </row>
    <row r="23" spans="3:18" x14ac:dyDescent="0.25">
      <c r="C23" s="201"/>
      <c r="D23" s="89">
        <v>41501</v>
      </c>
      <c r="E23" s="83">
        <v>841.26800000000003</v>
      </c>
      <c r="F23" s="83">
        <v>23.46</v>
      </c>
      <c r="G23" s="83">
        <f t="shared" si="2"/>
        <v>13.46</v>
      </c>
      <c r="H23" s="83">
        <f>154.5-34.5</f>
        <v>120</v>
      </c>
      <c r="I23" s="83">
        <f>G23-$R$7</f>
        <v>2.4000000000000004</v>
      </c>
      <c r="J23" s="83">
        <f t="shared" si="12"/>
        <v>6.73</v>
      </c>
      <c r="K23" s="84">
        <f t="shared" si="1"/>
        <v>62.64595974394198</v>
      </c>
      <c r="L23" s="84">
        <f t="shared" si="5"/>
        <v>4.102608</v>
      </c>
      <c r="M23" s="84">
        <f t="shared" si="6"/>
        <v>36.576000000000001</v>
      </c>
      <c r="N23" s="84">
        <f t="shared" si="13"/>
        <v>2.051304</v>
      </c>
      <c r="O23" s="84">
        <f>I23*0.3048</f>
        <v>0.73152000000000017</v>
      </c>
      <c r="P23" s="84">
        <f t="shared" si="11"/>
        <v>18.575851393188856</v>
      </c>
      <c r="Q23" s="84">
        <f t="shared" si="10"/>
        <v>8.9153046062407135</v>
      </c>
      <c r="R23" s="154">
        <v>21.2</v>
      </c>
    </row>
    <row r="24" spans="3:18" x14ac:dyDescent="0.25">
      <c r="C24" s="201"/>
      <c r="D24" s="89">
        <v>41594</v>
      </c>
      <c r="E24" s="83">
        <v>385.81273399999998</v>
      </c>
      <c r="F24" s="83">
        <v>21.852499999999999</v>
      </c>
      <c r="G24" s="83">
        <f t="shared" si="2"/>
        <v>11.852499999999999</v>
      </c>
      <c r="H24" s="83">
        <v>108.3</v>
      </c>
      <c r="I24" s="83">
        <f>G24-$R$7</f>
        <v>0.79249999999999865</v>
      </c>
      <c r="J24" s="83">
        <f t="shared" si="12"/>
        <v>5.1224999999999987</v>
      </c>
      <c r="K24" s="84">
        <f t="shared" si="1"/>
        <v>28.729975469011293</v>
      </c>
      <c r="L24" s="84">
        <f t="shared" si="5"/>
        <v>3.6126420000000001</v>
      </c>
      <c r="M24" s="84">
        <f t="shared" si="6"/>
        <v>33.009840000000004</v>
      </c>
      <c r="N24" s="84">
        <f t="shared" si="13"/>
        <v>1.5613379999999997</v>
      </c>
      <c r="O24" s="84">
        <f>I24*0.3048</f>
        <v>0.2415539999999996</v>
      </c>
      <c r="P24" s="84">
        <f t="shared" si="11"/>
        <v>16.764705882352942</v>
      </c>
      <c r="Q24" s="84">
        <f t="shared" si="10"/>
        <v>9.1373128032060755</v>
      </c>
      <c r="R24" s="154">
        <v>3.7</v>
      </c>
    </row>
    <row r="25" spans="3:18" x14ac:dyDescent="0.25">
      <c r="C25" s="201"/>
      <c r="D25" s="86">
        <v>41764</v>
      </c>
      <c r="E25" s="83"/>
      <c r="F25" s="83"/>
      <c r="G25" s="83"/>
      <c r="H25" s="83"/>
      <c r="I25" s="83"/>
      <c r="J25" s="83"/>
      <c r="K25" s="84"/>
      <c r="L25" s="84">
        <f t="shared" si="5"/>
        <v>0</v>
      </c>
      <c r="M25" s="84"/>
      <c r="N25" s="84"/>
      <c r="O25" s="84"/>
      <c r="P25" s="84">
        <f t="shared" si="11"/>
        <v>0</v>
      </c>
      <c r="Q25" s="84"/>
      <c r="R25" s="154">
        <v>12.3</v>
      </c>
    </row>
    <row r="26" spans="3:18" ht="13.5" customHeight="1" x14ac:dyDescent="0.25">
      <c r="C26" s="201"/>
      <c r="D26" s="77">
        <v>42237</v>
      </c>
      <c r="E26" s="83">
        <v>421.54250000000002</v>
      </c>
      <c r="F26" s="83">
        <v>22.18</v>
      </c>
      <c r="G26" s="83">
        <f t="shared" si="2"/>
        <v>12.18</v>
      </c>
      <c r="H26" s="83">
        <f>154-49</f>
        <v>105</v>
      </c>
      <c r="I26" s="83">
        <f>G26-$R$7</f>
        <v>1.1199999999999992</v>
      </c>
      <c r="J26" s="83">
        <f t="shared" si="12"/>
        <v>5.4499999999999993</v>
      </c>
      <c r="K26" s="84">
        <f>E26*0.0744661151309</f>
        <v>31.390632337567414</v>
      </c>
      <c r="L26" s="84">
        <f t="shared" si="5"/>
        <v>3.7124640000000002</v>
      </c>
      <c r="M26" s="84">
        <f t="shared" ref="M26:M28" si="14">H26*0.3048</f>
        <v>32.004000000000005</v>
      </c>
      <c r="N26" s="84">
        <f t="shared" si="13"/>
        <v>1.66116</v>
      </c>
      <c r="O26" s="84">
        <f>I26*0.3048</f>
        <v>0.34137599999999979</v>
      </c>
      <c r="P26" s="84">
        <f t="shared" si="11"/>
        <v>16.253869969040249</v>
      </c>
      <c r="Q26" s="84">
        <f t="shared" si="10"/>
        <v>8.6206896551724146</v>
      </c>
      <c r="R26" s="154">
        <v>16.600000000000001</v>
      </c>
    </row>
    <row r="27" spans="3:18" x14ac:dyDescent="0.25">
      <c r="C27" s="201" t="s">
        <v>250</v>
      </c>
      <c r="D27" s="89">
        <v>41500</v>
      </c>
      <c r="E27" s="166">
        <v>856.6875</v>
      </c>
      <c r="F27" s="166">
        <v>24.885000000000002</v>
      </c>
      <c r="G27" s="166">
        <f t="shared" si="2"/>
        <v>14.885000000000002</v>
      </c>
      <c r="H27" s="166">
        <v>123</v>
      </c>
      <c r="I27" s="166">
        <f>G27-$Q$7</f>
        <v>3.0549999999999997</v>
      </c>
      <c r="J27" s="166">
        <f>G27-$Q$8</f>
        <v>5.4330000000000016</v>
      </c>
      <c r="K27" s="167">
        <f>E27*0.0744661151309</f>
        <v>63.794190006202889</v>
      </c>
      <c r="L27" s="167">
        <f t="shared" si="5"/>
        <v>4.5369480000000006</v>
      </c>
      <c r="M27" s="167">
        <f t="shared" si="14"/>
        <v>37.490400000000001</v>
      </c>
      <c r="N27" s="167">
        <f>J27*0.3048</f>
        <v>1.6559784000000006</v>
      </c>
      <c r="O27" s="167">
        <f>I27*0.3048</f>
        <v>0.93116399999999999</v>
      </c>
      <c r="P27" s="167">
        <f>H27/$Q$9</f>
        <v>24.659182036888534</v>
      </c>
      <c r="Q27" s="167">
        <f t="shared" si="10"/>
        <v>8.2633523681558607</v>
      </c>
      <c r="R27" s="154">
        <v>21.1</v>
      </c>
    </row>
    <row r="28" spans="3:18" x14ac:dyDescent="0.25">
      <c r="C28" s="201"/>
      <c r="D28" s="77">
        <v>41594</v>
      </c>
      <c r="E28" s="166">
        <v>322.67011000000002</v>
      </c>
      <c r="F28" s="166">
        <v>23.3475</v>
      </c>
      <c r="G28" s="166">
        <f t="shared" si="2"/>
        <v>13.3475</v>
      </c>
      <c r="H28" s="166">
        <v>111</v>
      </c>
      <c r="I28" s="166">
        <f>G28-$Q$7</f>
        <v>1.5174999999999983</v>
      </c>
      <c r="J28" s="166">
        <f t="shared" ref="J28:J30" si="15">G28-$Q$8</f>
        <v>3.8955000000000002</v>
      </c>
      <c r="K28" s="167">
        <f>E28*0.0744661151309</f>
        <v>24.027989560560169</v>
      </c>
      <c r="L28" s="167">
        <f t="shared" si="5"/>
        <v>4.0683180000000005</v>
      </c>
      <c r="M28" s="167">
        <f t="shared" si="14"/>
        <v>33.832799999999999</v>
      </c>
      <c r="N28" s="167">
        <f t="shared" ref="N28:N30" si="16">J28*0.3048</f>
        <v>1.1873484000000001</v>
      </c>
      <c r="O28" s="167">
        <f>I28*0.3048</f>
        <v>0.4625339999999995</v>
      </c>
      <c r="P28" s="167">
        <f t="shared" ref="P28:P30" si="17">H28/$Q$9</f>
        <v>22.253408179631116</v>
      </c>
      <c r="Q28" s="167">
        <f t="shared" si="10"/>
        <v>8.3161640756696009</v>
      </c>
      <c r="R28" s="154">
        <v>4.7</v>
      </c>
    </row>
    <row r="29" spans="3:18" x14ac:dyDescent="0.25">
      <c r="C29" s="201"/>
      <c r="D29" s="86">
        <v>41764</v>
      </c>
      <c r="E29" s="166"/>
      <c r="F29" s="166"/>
      <c r="G29" s="166"/>
      <c r="H29" s="166"/>
      <c r="I29" s="166"/>
      <c r="J29" s="166"/>
      <c r="K29" s="167"/>
      <c r="L29" s="167">
        <f t="shared" si="5"/>
        <v>0</v>
      </c>
      <c r="M29" s="167"/>
      <c r="N29" s="167"/>
      <c r="O29" s="167"/>
      <c r="P29" s="167"/>
      <c r="Q29" s="167"/>
      <c r="R29" s="154">
        <v>13.55</v>
      </c>
    </row>
    <row r="30" spans="3:18" x14ac:dyDescent="0.25">
      <c r="C30" s="201"/>
      <c r="D30" s="174">
        <v>42235</v>
      </c>
      <c r="E30" s="176">
        <v>508.82249999999999</v>
      </c>
      <c r="F30" s="176">
        <v>23.91</v>
      </c>
      <c r="G30" s="166">
        <f t="shared" si="2"/>
        <v>13.91</v>
      </c>
      <c r="H30" s="166">
        <f>163.7-42</f>
        <v>121.69999999999999</v>
      </c>
      <c r="I30" s="166">
        <f>G30-$Q$7</f>
        <v>2.0799999999999983</v>
      </c>
      <c r="J30" s="166">
        <f t="shared" si="15"/>
        <v>4.4580000000000002</v>
      </c>
      <c r="K30" s="167">
        <f>E30*0.0744661151309</f>
        <v>37.890034866192366</v>
      </c>
      <c r="L30" s="167">
        <f t="shared" si="5"/>
        <v>4.2397680000000006</v>
      </c>
      <c r="M30" s="167">
        <f>H30*0.3048</f>
        <v>37.094159999999995</v>
      </c>
      <c r="N30" s="167">
        <f t="shared" si="16"/>
        <v>1.3587984000000002</v>
      </c>
      <c r="O30" s="167">
        <f>I30*0.3048</f>
        <v>0.63398399999999955</v>
      </c>
      <c r="P30" s="167">
        <f t="shared" si="17"/>
        <v>24.398556535685646</v>
      </c>
      <c r="Q30" s="167">
        <f t="shared" si="10"/>
        <v>8.7491013659237957</v>
      </c>
      <c r="R30" s="154">
        <v>18.600000000000001</v>
      </c>
    </row>
    <row r="32" spans="3:18" x14ac:dyDescent="0.25">
      <c r="M32" s="30"/>
      <c r="N32" s="30"/>
    </row>
    <row r="33" spans="1:16" x14ac:dyDescent="0.25">
      <c r="A33" s="156"/>
      <c r="B33" s="157"/>
      <c r="C33" s="156"/>
      <c r="D33" s="156"/>
      <c r="E33" s="156"/>
      <c r="F33" s="156"/>
      <c r="G33" s="156"/>
      <c r="H33" s="156"/>
      <c r="I33" s="156"/>
      <c r="J33" s="156"/>
      <c r="K33" s="156"/>
      <c r="L33" s="156"/>
      <c r="M33" s="156"/>
      <c r="N33" s="156"/>
      <c r="O33" s="158"/>
      <c r="P33" s="103"/>
    </row>
    <row r="34" spans="1:16" x14ac:dyDescent="0.25">
      <c r="A34" s="103"/>
      <c r="B34" s="159"/>
      <c r="C34" s="103"/>
      <c r="D34" s="103"/>
      <c r="E34" s="103"/>
      <c r="F34" s="103"/>
      <c r="G34" s="103"/>
      <c r="H34" s="103"/>
      <c r="I34" s="103"/>
      <c r="J34" s="103"/>
      <c r="K34" s="103"/>
      <c r="L34" s="103"/>
      <c r="M34" s="103"/>
      <c r="N34" s="103"/>
      <c r="O34" s="103"/>
      <c r="P34" s="103"/>
    </row>
    <row r="35" spans="1:16" x14ac:dyDescent="0.25">
      <c r="A35" s="103"/>
      <c r="B35" s="159"/>
      <c r="C35" s="103"/>
      <c r="D35" s="103"/>
      <c r="E35" s="103"/>
      <c r="F35" s="103"/>
      <c r="G35" s="103"/>
      <c r="H35" s="103"/>
      <c r="I35" s="103"/>
      <c r="J35" s="103"/>
      <c r="K35" s="103"/>
      <c r="L35" s="103"/>
      <c r="M35" s="103"/>
      <c r="N35" s="103"/>
      <c r="O35" s="103"/>
      <c r="P35" s="103"/>
    </row>
    <row r="36" spans="1:16" x14ac:dyDescent="0.25">
      <c r="A36" s="103"/>
      <c r="B36" s="159"/>
      <c r="C36" s="120"/>
      <c r="D36" s="103"/>
      <c r="E36" s="103"/>
      <c r="F36" s="103"/>
      <c r="G36" s="103"/>
      <c r="H36" s="103"/>
      <c r="I36" s="103"/>
      <c r="J36" s="103"/>
      <c r="K36" s="103"/>
      <c r="L36" s="103"/>
      <c r="M36" s="103"/>
      <c r="N36" s="103"/>
      <c r="O36" s="103"/>
      <c r="P36" s="103"/>
    </row>
    <row r="37" spans="1:16" x14ac:dyDescent="0.25">
      <c r="A37" s="103"/>
      <c r="B37" s="159"/>
      <c r="C37" s="103"/>
      <c r="D37" s="103"/>
      <c r="E37" s="103"/>
      <c r="F37" s="103"/>
      <c r="G37" s="103"/>
      <c r="H37" s="103"/>
      <c r="I37" s="103"/>
      <c r="J37" s="103"/>
      <c r="K37" s="103"/>
      <c r="L37" s="103"/>
      <c r="M37" s="103"/>
      <c r="N37" s="103"/>
      <c r="O37" s="103"/>
      <c r="P37" s="103"/>
    </row>
    <row r="38" spans="1:16" x14ac:dyDescent="0.25">
      <c r="A38" s="103"/>
      <c r="B38" s="159"/>
      <c r="C38" s="103"/>
      <c r="D38" s="103"/>
      <c r="E38" s="103"/>
      <c r="F38" s="103"/>
      <c r="G38" s="103"/>
      <c r="H38" s="103"/>
      <c r="I38" s="103"/>
      <c r="J38" s="103"/>
      <c r="K38" s="103"/>
      <c r="L38" s="103"/>
      <c r="M38" s="103"/>
      <c r="N38" s="103"/>
      <c r="O38" s="103"/>
      <c r="P38" s="103"/>
    </row>
    <row r="39" spans="1:16" x14ac:dyDescent="0.25">
      <c r="A39" s="106"/>
      <c r="B39" s="105"/>
      <c r="C39" s="103"/>
      <c r="D39" s="106"/>
      <c r="E39" s="103"/>
      <c r="F39" s="103"/>
      <c r="G39" s="103"/>
      <c r="H39" s="103"/>
      <c r="I39" s="103"/>
      <c r="J39" s="103"/>
      <c r="K39" s="103"/>
      <c r="L39" s="160"/>
      <c r="M39" s="103"/>
      <c r="N39" s="103"/>
      <c r="O39" s="161"/>
      <c r="P39" s="103"/>
    </row>
    <row r="40" spans="1:16" x14ac:dyDescent="0.25">
      <c r="A40" s="106"/>
      <c r="B40" s="105"/>
      <c r="C40" s="103"/>
      <c r="D40" s="106"/>
      <c r="E40" s="103"/>
      <c r="F40" s="103"/>
      <c r="G40" s="103"/>
      <c r="H40" s="103"/>
      <c r="I40" s="103"/>
      <c r="J40" s="103"/>
      <c r="K40" s="103"/>
      <c r="L40" s="103"/>
      <c r="M40" s="103"/>
      <c r="N40" s="103"/>
      <c r="O40" s="103"/>
      <c r="P40" s="103"/>
    </row>
    <row r="41" spans="1:16" x14ac:dyDescent="0.25">
      <c r="A41" s="103"/>
      <c r="B41" s="159"/>
      <c r="C41" s="103"/>
      <c r="D41" s="103"/>
      <c r="E41" s="103"/>
      <c r="F41" s="103"/>
      <c r="G41" s="103"/>
      <c r="H41" s="103"/>
      <c r="I41" s="103"/>
      <c r="J41" s="103"/>
      <c r="K41" s="103"/>
      <c r="L41" s="103"/>
      <c r="M41" s="103"/>
      <c r="N41" s="103"/>
      <c r="O41" s="103"/>
      <c r="P41" s="103"/>
    </row>
    <row r="42" spans="1:16" x14ac:dyDescent="0.25">
      <c r="A42" s="103"/>
      <c r="B42" s="159"/>
      <c r="C42" s="103"/>
      <c r="D42" s="103"/>
      <c r="E42" s="103"/>
      <c r="F42" s="103"/>
      <c r="G42" s="103"/>
      <c r="H42" s="103"/>
      <c r="I42" s="103"/>
      <c r="J42" s="103"/>
      <c r="K42" s="103"/>
      <c r="L42" s="103"/>
      <c r="M42" s="103"/>
      <c r="N42" s="103"/>
      <c r="O42" s="103"/>
      <c r="P42" s="103"/>
    </row>
    <row r="43" spans="1:16" x14ac:dyDescent="0.25">
      <c r="A43" s="103"/>
      <c r="B43" s="159"/>
      <c r="C43" s="103"/>
      <c r="D43" s="103"/>
      <c r="E43" s="103"/>
      <c r="F43" s="103"/>
      <c r="G43" s="103"/>
      <c r="H43" s="103"/>
      <c r="I43" s="103"/>
      <c r="J43" s="103"/>
      <c r="K43" s="103"/>
      <c r="L43" s="103"/>
      <c r="M43" s="103"/>
      <c r="N43" s="103"/>
      <c r="O43" s="103"/>
      <c r="P43" s="103"/>
    </row>
    <row r="44" spans="1:16" x14ac:dyDescent="0.25">
      <c r="A44" s="120"/>
      <c r="B44" s="162"/>
      <c r="C44" s="103"/>
      <c r="D44" s="120"/>
      <c r="E44" s="103"/>
      <c r="F44" s="120"/>
      <c r="G44" s="120"/>
      <c r="H44" s="120"/>
      <c r="I44" s="120"/>
      <c r="J44" s="120"/>
      <c r="K44" s="120"/>
      <c r="L44" s="103"/>
      <c r="M44" s="103"/>
      <c r="N44" s="103"/>
      <c r="O44" s="103"/>
      <c r="P44" s="103"/>
    </row>
    <row r="45" spans="1:16" x14ac:dyDescent="0.25">
      <c r="A45" s="120"/>
      <c r="B45" s="162"/>
      <c r="C45" s="103"/>
      <c r="D45" s="120"/>
      <c r="E45" s="103"/>
      <c r="F45" s="120"/>
      <c r="G45" s="120"/>
      <c r="H45" s="120"/>
      <c r="I45" s="120"/>
      <c r="J45" s="120"/>
      <c r="K45" s="120"/>
      <c r="L45" s="103"/>
      <c r="M45" s="103"/>
      <c r="N45" s="103"/>
      <c r="O45" s="103"/>
      <c r="P45" s="103"/>
    </row>
    <row r="46" spans="1:16" x14ac:dyDescent="0.25">
      <c r="A46" s="120"/>
      <c r="B46" s="162"/>
      <c r="C46" s="103"/>
      <c r="D46" s="120"/>
      <c r="E46" s="103"/>
      <c r="F46" s="120"/>
      <c r="G46" s="120"/>
      <c r="H46" s="120"/>
      <c r="I46" s="120"/>
      <c r="J46" s="120"/>
      <c r="K46" s="120"/>
      <c r="L46" s="103"/>
      <c r="M46" s="103"/>
      <c r="N46" s="103"/>
      <c r="O46" s="103"/>
      <c r="P46" s="103"/>
    </row>
    <row r="47" spans="1:16" x14ac:dyDescent="0.25">
      <c r="A47" s="120"/>
      <c r="B47" s="162"/>
      <c r="C47" s="103"/>
      <c r="D47" s="120"/>
      <c r="E47" s="103"/>
      <c r="F47" s="120"/>
      <c r="G47" s="120"/>
      <c r="H47" s="120"/>
      <c r="I47" s="120"/>
      <c r="J47" s="120"/>
      <c r="K47" s="120"/>
      <c r="L47" s="103"/>
      <c r="M47" s="103"/>
      <c r="N47" s="103"/>
      <c r="O47" s="103"/>
      <c r="P47" s="103"/>
    </row>
    <row r="48" spans="1:16" x14ac:dyDescent="0.25">
      <c r="A48" s="103"/>
      <c r="B48" s="159"/>
      <c r="C48" s="103"/>
      <c r="D48" s="103"/>
      <c r="E48" s="103"/>
      <c r="F48" s="103"/>
      <c r="G48" s="103"/>
      <c r="H48" s="103"/>
      <c r="I48" s="103"/>
      <c r="J48" s="103"/>
      <c r="K48" s="120"/>
      <c r="L48" s="103"/>
      <c r="M48" s="103"/>
      <c r="N48" s="103"/>
      <c r="O48" s="103"/>
      <c r="P48" s="103"/>
    </row>
    <row r="49" spans="1:16" x14ac:dyDescent="0.25">
      <c r="A49" s="103"/>
      <c r="B49" s="159"/>
      <c r="C49" s="103"/>
      <c r="D49" s="103"/>
      <c r="E49" s="103"/>
      <c r="F49" s="103"/>
      <c r="G49" s="103"/>
      <c r="H49" s="103"/>
      <c r="I49" s="103"/>
      <c r="J49" s="103"/>
      <c r="K49" s="103"/>
      <c r="L49" s="103"/>
      <c r="M49" s="103"/>
      <c r="N49" s="103"/>
      <c r="O49" s="103"/>
      <c r="P49" s="103"/>
    </row>
    <row r="50" spans="1:16" x14ac:dyDescent="0.25">
      <c r="A50" s="103"/>
      <c r="B50" s="159"/>
      <c r="C50" s="103"/>
      <c r="D50" s="103"/>
      <c r="E50" s="103"/>
      <c r="F50" s="103"/>
      <c r="G50" s="103"/>
      <c r="H50" s="103"/>
      <c r="I50" s="103"/>
      <c r="J50" s="103"/>
      <c r="K50" s="103"/>
      <c r="L50" s="103"/>
      <c r="M50" s="103"/>
      <c r="N50" s="103"/>
      <c r="O50" s="103"/>
      <c r="P50" s="103"/>
    </row>
    <row r="51" spans="1:16" x14ac:dyDescent="0.25">
      <c r="A51" s="103"/>
      <c r="B51" s="159"/>
      <c r="C51" s="103"/>
      <c r="D51" s="163"/>
      <c r="E51" s="103"/>
      <c r="F51" s="103"/>
      <c r="G51" s="103"/>
      <c r="H51" s="103"/>
      <c r="I51" s="103"/>
      <c r="J51" s="103"/>
      <c r="K51" s="103"/>
      <c r="L51" s="103"/>
      <c r="M51" s="103"/>
      <c r="N51" s="103"/>
      <c r="O51" s="103"/>
      <c r="P51" s="103"/>
    </row>
    <row r="52" spans="1:16" x14ac:dyDescent="0.25">
      <c r="A52" s="106"/>
      <c r="B52" s="105"/>
      <c r="C52" s="106"/>
      <c r="D52" s="106"/>
      <c r="E52" s="103"/>
      <c r="F52" s="106"/>
      <c r="G52" s="106"/>
      <c r="H52" s="106"/>
      <c r="I52" s="106"/>
      <c r="J52" s="106"/>
      <c r="K52" s="106"/>
      <c r="L52" s="103"/>
      <c r="M52" s="103"/>
      <c r="N52" s="103"/>
      <c r="O52" s="103"/>
      <c r="P52" s="103"/>
    </row>
    <row r="53" spans="1:16" x14ac:dyDescent="0.25">
      <c r="A53" s="106"/>
      <c r="B53" s="105"/>
      <c r="C53" s="106"/>
      <c r="D53" s="106"/>
      <c r="E53" s="103"/>
      <c r="F53" s="106"/>
      <c r="G53" s="106"/>
      <c r="H53" s="106"/>
      <c r="I53" s="106"/>
      <c r="J53" s="106"/>
      <c r="K53" s="106"/>
      <c r="L53" s="103"/>
      <c r="M53" s="103"/>
      <c r="N53" s="103"/>
      <c r="O53" s="103"/>
      <c r="P53" s="103"/>
    </row>
    <row r="54" spans="1:16" x14ac:dyDescent="0.25">
      <c r="A54" s="106"/>
      <c r="B54" s="105"/>
      <c r="C54" s="106"/>
      <c r="D54" s="106"/>
      <c r="E54" s="103"/>
      <c r="F54" s="106"/>
      <c r="G54" s="106"/>
      <c r="H54" s="106"/>
      <c r="I54" s="106"/>
      <c r="J54" s="106"/>
      <c r="K54" s="106"/>
      <c r="L54" s="103"/>
      <c r="M54" s="103"/>
      <c r="N54" s="103"/>
      <c r="O54" s="103"/>
      <c r="P54" s="103"/>
    </row>
    <row r="55" spans="1:16" x14ac:dyDescent="0.25">
      <c r="A55" s="106"/>
      <c r="B55" s="105"/>
      <c r="C55" s="106"/>
      <c r="D55" s="106"/>
      <c r="E55" s="103"/>
      <c r="F55" s="106"/>
      <c r="G55" s="106"/>
      <c r="H55" s="106"/>
      <c r="I55" s="106"/>
      <c r="J55" s="106"/>
      <c r="K55" s="106"/>
      <c r="L55" s="103"/>
      <c r="M55" s="103"/>
      <c r="N55" s="103"/>
      <c r="O55" s="103"/>
      <c r="P55" s="103"/>
    </row>
    <row r="56" spans="1:16" x14ac:dyDescent="0.25">
      <c r="A56" s="106"/>
      <c r="B56" s="105"/>
      <c r="C56" s="106"/>
      <c r="D56" s="106"/>
      <c r="E56" s="103"/>
      <c r="F56" s="106"/>
      <c r="G56" s="106"/>
      <c r="H56" s="106"/>
      <c r="I56" s="106"/>
      <c r="J56" s="106"/>
      <c r="K56" s="106"/>
      <c r="L56" s="103"/>
      <c r="M56" s="103"/>
      <c r="N56" s="103"/>
      <c r="O56" s="103"/>
      <c r="P56" s="103"/>
    </row>
    <row r="57" spans="1:16" x14ac:dyDescent="0.25">
      <c r="A57" s="103"/>
      <c r="B57" s="159"/>
      <c r="C57" s="103"/>
      <c r="D57" s="103"/>
      <c r="E57" s="103"/>
      <c r="F57" s="103"/>
      <c r="G57" s="103"/>
      <c r="H57" s="103"/>
      <c r="I57" s="103"/>
      <c r="J57" s="103"/>
      <c r="K57" s="103"/>
      <c r="L57" s="103"/>
      <c r="M57" s="103"/>
      <c r="N57" s="103"/>
      <c r="O57" s="103"/>
      <c r="P57" s="103"/>
    </row>
    <row r="58" spans="1:16" x14ac:dyDescent="0.25">
      <c r="A58" s="103"/>
      <c r="B58" s="159"/>
      <c r="C58" s="103"/>
      <c r="D58" s="103"/>
      <c r="E58" s="103"/>
      <c r="F58" s="103"/>
      <c r="G58" s="103"/>
      <c r="H58" s="103"/>
      <c r="I58" s="103"/>
      <c r="J58" s="103"/>
      <c r="K58" s="103"/>
      <c r="L58" s="103"/>
      <c r="M58" s="103"/>
      <c r="N58" s="103"/>
      <c r="O58" s="103"/>
      <c r="P58" s="103"/>
    </row>
  </sheetData>
  <mergeCells count="3">
    <mergeCell ref="C27:C30"/>
    <mergeCell ref="C13:C19"/>
    <mergeCell ref="C20:C26"/>
  </mergeCells>
  <pageMargins left="0.7" right="0.7" top="0.75" bottom="0.75" header="0.3" footer="0.3"/>
  <pageSetup orientation="portrait" r:id="rId1"/>
  <drawing r:id="rId2"/>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5">
    <tabColor theme="7" tint="0.39997558519241921"/>
  </sheetPr>
  <dimension ref="A1:AW113"/>
  <sheetViews>
    <sheetView topLeftCell="X25" zoomScale="70" zoomScaleNormal="70" workbookViewId="0">
      <selection activeCell="AL41" sqref="AL41"/>
    </sheetView>
  </sheetViews>
  <sheetFormatPr defaultColWidth="9.125" defaultRowHeight="15" x14ac:dyDescent="0.25"/>
  <cols>
    <col min="1" max="1" width="15.625" style="23" bestFit="1" customWidth="1"/>
    <col min="2" max="2" width="10" style="23" bestFit="1" customWidth="1"/>
    <col min="3" max="4" width="11.625" style="23" bestFit="1" customWidth="1"/>
    <col min="5" max="5" width="9.125" style="23"/>
    <col min="6" max="6" width="18.125" style="23" bestFit="1" customWidth="1"/>
    <col min="7" max="7" width="14.875" style="23" customWidth="1"/>
    <col min="8" max="21" width="9.125" style="23"/>
    <col min="22" max="22" width="34.875" style="23" bestFit="1" customWidth="1"/>
    <col min="23" max="25" width="9.125" style="23"/>
    <col min="26" max="26" width="13.625" style="23" bestFit="1" customWidth="1"/>
    <col min="27" max="40" width="9.125" style="23"/>
    <col min="41" max="41" width="17.375" style="23" bestFit="1" customWidth="1"/>
    <col min="42" max="45" width="9.125" style="23"/>
    <col min="46" max="46" width="11.125" style="23" bestFit="1" customWidth="1"/>
    <col min="47" max="16384" width="9.125" style="23"/>
  </cols>
  <sheetData>
    <row r="1" spans="1:4" x14ac:dyDescent="0.25">
      <c r="A1" s="134"/>
      <c r="B1" s="135" t="s">
        <v>265</v>
      </c>
      <c r="C1" s="136" t="s">
        <v>266</v>
      </c>
      <c r="D1" s="137" t="s">
        <v>267</v>
      </c>
    </row>
    <row r="2" spans="1:4" x14ac:dyDescent="0.25">
      <c r="A2" s="134" t="s">
        <v>268</v>
      </c>
      <c r="B2" s="135" t="s">
        <v>269</v>
      </c>
      <c r="C2" s="136" t="s">
        <v>269</v>
      </c>
      <c r="D2" s="137" t="s">
        <v>269</v>
      </c>
    </row>
    <row r="3" spans="1:4" x14ac:dyDescent="0.25">
      <c r="A3" s="134">
        <v>0</v>
      </c>
      <c r="B3" s="135">
        <v>0</v>
      </c>
      <c r="C3" s="136">
        <v>0</v>
      </c>
      <c r="D3" s="137">
        <v>0</v>
      </c>
    </row>
    <row r="4" spans="1:4" x14ac:dyDescent="0.25">
      <c r="A4" s="134">
        <v>0</v>
      </c>
      <c r="B4" s="135">
        <v>0.25</v>
      </c>
      <c r="C4" s="136">
        <v>0.249</v>
      </c>
      <c r="D4" s="137">
        <v>0.09</v>
      </c>
    </row>
    <row r="5" spans="1:4" x14ac:dyDescent="0.25">
      <c r="A5" s="134">
        <v>0.25</v>
      </c>
      <c r="B5" s="135">
        <v>0.251</v>
      </c>
      <c r="C5" s="136">
        <v>0.25</v>
      </c>
      <c r="D5" s="137">
        <v>0.1</v>
      </c>
    </row>
    <row r="6" spans="1:4" x14ac:dyDescent="0.25">
      <c r="A6" s="134">
        <v>0.25</v>
      </c>
      <c r="B6" s="135">
        <v>0.75</v>
      </c>
      <c r="C6" s="136">
        <v>0.499</v>
      </c>
      <c r="D6" s="137">
        <v>0.19900000000000001</v>
      </c>
    </row>
    <row r="7" spans="1:4" x14ac:dyDescent="0.25">
      <c r="A7" s="134">
        <v>0.5</v>
      </c>
      <c r="B7" s="135">
        <v>0.751</v>
      </c>
      <c r="C7" s="136">
        <v>0.5</v>
      </c>
      <c r="D7" s="137">
        <v>0.2</v>
      </c>
    </row>
    <row r="8" spans="1:4" x14ac:dyDescent="0.25">
      <c r="A8" s="134">
        <v>0.5</v>
      </c>
      <c r="B8" s="135">
        <v>1.2490000000000001</v>
      </c>
      <c r="C8" s="136">
        <v>0.749</v>
      </c>
      <c r="D8" s="137">
        <v>0.39900000000000002</v>
      </c>
    </row>
    <row r="9" spans="1:4" x14ac:dyDescent="0.25">
      <c r="A9" s="134">
        <v>1</v>
      </c>
      <c r="B9" s="135">
        <v>1.25</v>
      </c>
      <c r="C9" s="136">
        <v>0.75</v>
      </c>
      <c r="D9" s="137">
        <v>0.4</v>
      </c>
    </row>
    <row r="10" spans="1:4" x14ac:dyDescent="0.25">
      <c r="A10" s="134">
        <v>1</v>
      </c>
      <c r="B10" s="135">
        <v>1.5</v>
      </c>
      <c r="C10" s="136">
        <v>1</v>
      </c>
      <c r="D10" s="137">
        <v>0.5</v>
      </c>
    </row>
    <row r="16" spans="1:4" x14ac:dyDescent="0.25">
      <c r="A16" s="23" t="s">
        <v>270</v>
      </c>
      <c r="B16" s="23" t="s">
        <v>271</v>
      </c>
      <c r="C16" s="138" t="s">
        <v>272</v>
      </c>
    </row>
    <row r="17" spans="1:29" x14ac:dyDescent="0.25">
      <c r="A17" s="23">
        <v>1</v>
      </c>
      <c r="B17" s="23">
        <v>1</v>
      </c>
      <c r="C17" s="137" t="s">
        <v>267</v>
      </c>
    </row>
    <row r="18" spans="1:29" x14ac:dyDescent="0.25">
      <c r="A18" s="23">
        <v>2</v>
      </c>
      <c r="B18" s="23">
        <v>1</v>
      </c>
      <c r="C18" s="137" t="s">
        <v>267</v>
      </c>
    </row>
    <row r="19" spans="1:29" x14ac:dyDescent="0.25">
      <c r="A19" s="23">
        <v>3</v>
      </c>
      <c r="B19" s="23">
        <v>2</v>
      </c>
      <c r="C19" s="136" t="s">
        <v>273</v>
      </c>
    </row>
    <row r="20" spans="1:29" x14ac:dyDescent="0.25">
      <c r="A20" s="23">
        <v>4</v>
      </c>
      <c r="B20" s="23">
        <v>2</v>
      </c>
      <c r="C20" s="136" t="s">
        <v>273</v>
      </c>
    </row>
    <row r="21" spans="1:29" x14ac:dyDescent="0.25">
      <c r="A21" s="23">
        <v>5</v>
      </c>
      <c r="B21" s="23">
        <v>2</v>
      </c>
      <c r="C21" s="136" t="s">
        <v>266</v>
      </c>
    </row>
    <row r="22" spans="1:29" x14ac:dyDescent="0.25">
      <c r="A22" s="23">
        <v>6</v>
      </c>
      <c r="B22" s="23">
        <v>2</v>
      </c>
      <c r="C22" s="136" t="s">
        <v>266</v>
      </c>
    </row>
    <row r="23" spans="1:29" x14ac:dyDescent="0.25">
      <c r="A23" s="23">
        <v>7</v>
      </c>
      <c r="B23" s="23">
        <v>2</v>
      </c>
      <c r="C23" s="136" t="s">
        <v>266</v>
      </c>
    </row>
    <row r="24" spans="1:29" x14ac:dyDescent="0.25">
      <c r="A24" s="23">
        <v>8</v>
      </c>
      <c r="B24" s="23">
        <v>2</v>
      </c>
      <c r="C24" s="136" t="s">
        <v>266</v>
      </c>
    </row>
    <row r="25" spans="1:29" x14ac:dyDescent="0.25">
      <c r="A25" s="23">
        <v>9</v>
      </c>
      <c r="B25" s="23">
        <v>3</v>
      </c>
      <c r="C25" s="139" t="s">
        <v>265</v>
      </c>
      <c r="AC25" s="23" t="s">
        <v>274</v>
      </c>
    </row>
    <row r="26" spans="1:29" x14ac:dyDescent="0.25">
      <c r="A26" s="23">
        <v>10</v>
      </c>
      <c r="B26" s="23">
        <v>3</v>
      </c>
      <c r="C26" s="139" t="s">
        <v>265</v>
      </c>
    </row>
    <row r="27" spans="1:29" x14ac:dyDescent="0.25">
      <c r="A27" s="23">
        <v>11</v>
      </c>
      <c r="B27" s="23">
        <v>3</v>
      </c>
      <c r="C27" s="139" t="s">
        <v>265</v>
      </c>
      <c r="AC27" s="23" t="s">
        <v>275</v>
      </c>
    </row>
    <row r="28" spans="1:29" x14ac:dyDescent="0.25">
      <c r="A28" s="23">
        <v>12</v>
      </c>
      <c r="B28" s="23">
        <v>3</v>
      </c>
      <c r="C28" s="139" t="s">
        <v>265</v>
      </c>
      <c r="K28" s="23" t="s">
        <v>274</v>
      </c>
      <c r="AC28" s="23" t="s">
        <v>276</v>
      </c>
    </row>
    <row r="29" spans="1:29" x14ac:dyDescent="0.25">
      <c r="AC29" s="23" t="s">
        <v>277</v>
      </c>
    </row>
    <row r="30" spans="1:29" x14ac:dyDescent="0.25">
      <c r="K30" s="23" t="s">
        <v>275</v>
      </c>
    </row>
    <row r="31" spans="1:29" x14ac:dyDescent="0.25">
      <c r="K31" s="23" t="s">
        <v>276</v>
      </c>
    </row>
    <row r="32" spans="1:29" x14ac:dyDescent="0.25">
      <c r="K32" s="23" t="s">
        <v>277</v>
      </c>
    </row>
    <row r="33" spans="1:49" x14ac:dyDescent="0.25">
      <c r="A33" s="134" t="s">
        <v>278</v>
      </c>
      <c r="B33" s="140" t="s">
        <v>279</v>
      </c>
      <c r="C33" s="141" t="s">
        <v>280</v>
      </c>
      <c r="D33" s="142" t="s">
        <v>281</v>
      </c>
      <c r="J33" s="23" t="s">
        <v>282</v>
      </c>
    </row>
    <row r="34" spans="1:49" x14ac:dyDescent="0.25">
      <c r="A34" s="134">
        <v>0</v>
      </c>
      <c r="B34" s="140">
        <v>0</v>
      </c>
      <c r="C34" s="141">
        <v>0</v>
      </c>
      <c r="D34" s="142">
        <v>0</v>
      </c>
      <c r="F34" s="135" t="s">
        <v>283</v>
      </c>
      <c r="G34" s="134" t="s">
        <v>268</v>
      </c>
      <c r="J34" s="134" t="s">
        <v>284</v>
      </c>
      <c r="K34" s="134" t="str">
        <f>[3]!xf4_ParameterValue(N34,1)</f>
        <v>#N/A</v>
      </c>
      <c r="N34" s="23" t="str">
        <f>[3]!xf4_FitData("",[3]!xf4_SetModel("600"),[3]!xf4_SetParameters(0,FALSE,TRUE,100,FALSE,TRUE,1,FALSE,TRUE,1,FALSE,TRUE),[3]!xf4_SetData(,$F$35:$F$113,,$G$35:$G$113))</f>
        <v>#NoObject</v>
      </c>
      <c r="P34" s="23" t="str">
        <f>[3]!xf4_Chart2D([3]!xf_Init()&amp;[3]!xf_ScaleX(,,,,FALSE)&amp;[3]!xf_ScaleY(,,,,FALSE),[3]!xf4_C2DFit(N34)&amp;[3]!xf4_C2DFitDetails(7,0,0.05,0,0.05)&amp;[3]!xf4_C2DFitPoints(101,,,,1,-1))</f>
        <v>#NoObject</v>
      </c>
      <c r="AD34" s="23" t="s">
        <v>282</v>
      </c>
    </row>
    <row r="35" spans="1:49" x14ac:dyDescent="0.25">
      <c r="A35" s="134">
        <v>1</v>
      </c>
      <c r="B35" s="140">
        <v>1.5</v>
      </c>
      <c r="C35" s="141">
        <v>1</v>
      </c>
      <c r="D35" s="142">
        <v>0.5</v>
      </c>
      <c r="F35" s="135">
        <v>0</v>
      </c>
      <c r="G35" s="143" t="e">
        <f ca="1">PieceWiseLinInt(F35, $B$34:$B$35, $A$34:$A$35, FALSE, FALSE)</f>
        <v>#NAME?</v>
      </c>
      <c r="J35" s="134" t="s">
        <v>285</v>
      </c>
      <c r="K35" s="134" t="str">
        <f>[3]!xf4_ParameterValue(N34,2)</f>
        <v>#N/A</v>
      </c>
      <c r="Z35" s="141" t="s">
        <v>286</v>
      </c>
      <c r="AA35" s="134" t="s">
        <v>268</v>
      </c>
      <c r="AD35" s="134" t="s">
        <v>284</v>
      </c>
      <c r="AE35" s="134" t="str">
        <f>[3]!xf4_ParameterValue(AG35,1)</f>
        <v>#N/A</v>
      </c>
      <c r="AG35" s="23" t="str">
        <f>[3]!xf4_FitData("",[3]!xf4_SetModel("600"),[3]!xf4_SetParameters(0,FALSE,TRUE,100,FALSE,TRUE,1,FALSE,TRUE,1,FALSE,TRUE),[3]!xf4_SetData(,$Z$36:$Z$112,,$AA$36:$AA$112))</f>
        <v>#NoObject</v>
      </c>
      <c r="AS35" s="23" t="s">
        <v>282</v>
      </c>
    </row>
    <row r="36" spans="1:49" x14ac:dyDescent="0.25">
      <c r="F36" s="135">
        <v>0.05</v>
      </c>
      <c r="G36" s="143" t="e">
        <f t="shared" ref="G36:G99" ca="1" si="0">PieceWiseLinInt(F36, $B$34:$B$35, $A$34:$A$35, FALSE, FALSE)</f>
        <v>#NAME?</v>
      </c>
      <c r="J36" s="134" t="s">
        <v>287</v>
      </c>
      <c r="K36" s="134" t="str">
        <f>[3]!xf4_ParameterValue(N34,3)</f>
        <v>#N/A</v>
      </c>
      <c r="Z36" s="141">
        <v>0</v>
      </c>
      <c r="AA36" s="143" t="e">
        <f ca="1">PieceWiseLinInt(Z36, $C$34:$C$35, $A$34:$A$35, FALSE, FALSE)</f>
        <v>#NAME?</v>
      </c>
      <c r="AD36" s="134" t="s">
        <v>285</v>
      </c>
      <c r="AE36" s="134" t="str">
        <f>[3]!xf4_ParameterValue(AG35,2)</f>
        <v>#N/A</v>
      </c>
      <c r="AO36" s="142" t="s">
        <v>288</v>
      </c>
      <c r="AP36" s="134" t="s">
        <v>268</v>
      </c>
      <c r="AS36" s="134" t="s">
        <v>284</v>
      </c>
      <c r="AT36" s="134" t="str">
        <f>[3]!xf4_ParameterValue(AW36,1)</f>
        <v>#N/A</v>
      </c>
      <c r="AW36" s="23" t="str">
        <f>[3]!xf4_FitData("",[3]!xf4_SetModel("600"),[3]!xf4_SetParameters(0,FALSE,TRUE,1000,FALSE,TRUE,10,FALSE,FALSE,1,FALSE,TRUE),[3]!xf4_SetData(,$AO$37:$AO$76,,$AP$37:$AP$76))</f>
        <v>#NoObject</v>
      </c>
    </row>
    <row r="37" spans="1:49" x14ac:dyDescent="0.25">
      <c r="F37" s="135">
        <v>0.1</v>
      </c>
      <c r="G37" s="143" t="e">
        <f t="shared" ca="1" si="0"/>
        <v>#NAME?</v>
      </c>
      <c r="J37" s="134" t="s">
        <v>289</v>
      </c>
      <c r="K37" s="134" t="str">
        <f>[3]!xf4_ParameterValue(N34,4)</f>
        <v>#N/A</v>
      </c>
      <c r="Z37" s="141">
        <v>0.05</v>
      </c>
      <c r="AA37" s="143" t="e">
        <f t="shared" ref="AA37:AA66" ca="1" si="1">PieceWiseLinInt(Z37, $C$34:$C$35, $A$34:$A$35, FALSE, FALSE)</f>
        <v>#NAME?</v>
      </c>
      <c r="AD37" s="134" t="s">
        <v>287</v>
      </c>
      <c r="AE37" s="134" t="str">
        <f>[3]!xf4_ParameterValue(AG35,3)</f>
        <v>#N/A</v>
      </c>
      <c r="AO37" s="142">
        <v>0</v>
      </c>
      <c r="AP37" s="143" t="e">
        <f ca="1">PieceWiseLinInt(AO37, $D$34:$D$35, $A$34:$A$35, FALSE, FALSE)</f>
        <v>#NAME?</v>
      </c>
      <c r="AS37" s="134" t="s">
        <v>285</v>
      </c>
      <c r="AT37" s="134" t="str">
        <f>[3]!xf4_ParameterValue(AW36,2)</f>
        <v>#N/A</v>
      </c>
    </row>
    <row r="38" spans="1:49" x14ac:dyDescent="0.25">
      <c r="F38" s="135">
        <v>0.15</v>
      </c>
      <c r="G38" s="143" t="e">
        <f t="shared" ca="1" si="0"/>
        <v>#NAME?</v>
      </c>
      <c r="J38" s="71"/>
      <c r="K38" s="71"/>
      <c r="Z38" s="141">
        <v>0.1</v>
      </c>
      <c r="AA38" s="143" t="e">
        <f t="shared" ca="1" si="1"/>
        <v>#NAME?</v>
      </c>
      <c r="AD38" s="134" t="s">
        <v>289</v>
      </c>
      <c r="AE38" s="134" t="str">
        <f>[3]!xf4_ParameterValue(AG35,4)</f>
        <v>#N/A</v>
      </c>
      <c r="AG38" s="23" t="str">
        <f>[3]!xf4_Chart2D([3]!xf_Init()&amp;[3]!xf_ScaleX(,,,,FALSE)&amp;[3]!xf_ScaleY(,,,,FALSE),[3]!xf4_C2DFit(AG35))</f>
        <v>#NoObject</v>
      </c>
      <c r="AO38" s="142">
        <v>0.05</v>
      </c>
      <c r="AP38" s="143" t="e">
        <f t="shared" ref="AP38:AP67" ca="1" si="2">PieceWiseLinInt(AO38, $D$34:$D$35, $A$34:$A$35, FALSE, FALSE)</f>
        <v>#NAME?</v>
      </c>
      <c r="AS38" s="134" t="s">
        <v>287</v>
      </c>
      <c r="AT38" s="134" t="str">
        <f>[3]!xf4_ParameterValue(AW36,3)</f>
        <v>#N/A</v>
      </c>
      <c r="AW38" s="23" t="str">
        <f>[3]!xf4_Chart2D([3]!xf_Init()&amp;[3]!xf_ScaleX(,,,,FALSE)&amp;[3]!xf_ScaleY(,,,,FALSE),[3]!xf4_C2DFit(AW36))</f>
        <v>#NoObject</v>
      </c>
    </row>
    <row r="39" spans="1:49" x14ac:dyDescent="0.25">
      <c r="F39" s="135">
        <v>0.2</v>
      </c>
      <c r="G39" s="143" t="e">
        <f t="shared" ca="1" si="0"/>
        <v>#NAME?</v>
      </c>
      <c r="J39" s="71"/>
      <c r="K39" s="71"/>
      <c r="Z39" s="141">
        <v>0.15</v>
      </c>
      <c r="AA39" s="143" t="e">
        <f t="shared" ca="1" si="1"/>
        <v>#NAME?</v>
      </c>
      <c r="AD39" s="71"/>
      <c r="AO39" s="142">
        <v>0.1</v>
      </c>
      <c r="AP39" s="143" t="e">
        <f t="shared" ca="1" si="2"/>
        <v>#NAME?</v>
      </c>
      <c r="AS39" s="134" t="s">
        <v>289</v>
      </c>
      <c r="AT39" s="134" t="str">
        <f>[3]!xf4_ParameterValue(AW36,4)</f>
        <v>#N/A</v>
      </c>
    </row>
    <row r="40" spans="1:49" x14ac:dyDescent="0.25">
      <c r="F40" s="135">
        <v>0.25</v>
      </c>
      <c r="G40" s="143" t="e">
        <f t="shared" ca="1" si="0"/>
        <v>#NAME?</v>
      </c>
      <c r="J40" s="71"/>
      <c r="K40" s="71"/>
      <c r="Z40" s="141">
        <v>0.2</v>
      </c>
      <c r="AA40" s="143" t="e">
        <f t="shared" ca="1" si="1"/>
        <v>#NAME?</v>
      </c>
      <c r="AD40" s="71"/>
      <c r="AO40" s="142">
        <v>0.15</v>
      </c>
      <c r="AP40" s="143" t="e">
        <f t="shared" ca="1" si="2"/>
        <v>#NAME?</v>
      </c>
      <c r="AS40" s="71"/>
    </row>
    <row r="41" spans="1:49" x14ac:dyDescent="0.25">
      <c r="F41" s="135">
        <v>0.3</v>
      </c>
      <c r="G41" s="143" t="e">
        <f t="shared" ca="1" si="0"/>
        <v>#NAME?</v>
      </c>
      <c r="J41" s="144" t="s">
        <v>290</v>
      </c>
      <c r="K41" s="144">
        <v>10000</v>
      </c>
      <c r="Z41" s="141">
        <v>0.25</v>
      </c>
      <c r="AA41" s="143" t="e">
        <f t="shared" ca="1" si="1"/>
        <v>#NAME?</v>
      </c>
      <c r="AD41" s="71"/>
      <c r="AO41" s="142">
        <v>0.2</v>
      </c>
      <c r="AP41" s="143" t="e">
        <f t="shared" ca="1" si="2"/>
        <v>#NAME?</v>
      </c>
      <c r="AS41" s="71"/>
    </row>
    <row r="42" spans="1:49" x14ac:dyDescent="0.25">
      <c r="F42" s="135">
        <v>0.35</v>
      </c>
      <c r="G42" s="143" t="e">
        <f t="shared" ca="1" si="0"/>
        <v>#NAME?</v>
      </c>
      <c r="J42" s="144" t="s">
        <v>278</v>
      </c>
      <c r="K42" s="144" t="e">
        <f xml:space="preserve"> (K34+((K35-K34)/(1+EXP((K36-K41)/K37))))</f>
        <v>#VALUE!</v>
      </c>
      <c r="Z42" s="141">
        <v>0.3</v>
      </c>
      <c r="AA42" s="143" t="e">
        <f t="shared" ca="1" si="1"/>
        <v>#NAME?</v>
      </c>
      <c r="AD42" s="134" t="s">
        <v>290</v>
      </c>
      <c r="AE42" s="134">
        <v>10</v>
      </c>
      <c r="AO42" s="142">
        <v>0.25</v>
      </c>
      <c r="AP42" s="143" t="e">
        <f t="shared" ca="1" si="2"/>
        <v>#NAME?</v>
      </c>
      <c r="AS42" s="71"/>
    </row>
    <row r="43" spans="1:49" x14ac:dyDescent="0.25">
      <c r="F43" s="135">
        <v>0.4</v>
      </c>
      <c r="G43" s="143" t="e">
        <f t="shared" ca="1" si="0"/>
        <v>#NAME?</v>
      </c>
      <c r="Z43" s="141">
        <v>0.35</v>
      </c>
      <c r="AA43" s="143" t="e">
        <f t="shared" ca="1" si="1"/>
        <v>#NAME?</v>
      </c>
      <c r="AD43" s="134" t="s">
        <v>278</v>
      </c>
      <c r="AE43" s="134" t="e">
        <f xml:space="preserve"> (AE35+((AE36-AE35)/(1+EXP((AE37-AE42)/AE38))))</f>
        <v>#VALUE!</v>
      </c>
      <c r="AO43" s="142">
        <v>0.3</v>
      </c>
      <c r="AP43" s="143" t="e">
        <f t="shared" ca="1" si="2"/>
        <v>#NAME?</v>
      </c>
      <c r="AS43" s="134" t="s">
        <v>290</v>
      </c>
      <c r="AT43" s="134">
        <v>0</v>
      </c>
    </row>
    <row r="44" spans="1:49" x14ac:dyDescent="0.25">
      <c r="F44" s="135">
        <v>0.45</v>
      </c>
      <c r="G44" s="143" t="e">
        <f t="shared" ca="1" si="0"/>
        <v>#NAME?</v>
      </c>
      <c r="Z44" s="141">
        <v>0.4</v>
      </c>
      <c r="AA44" s="143" t="e">
        <f t="shared" ca="1" si="1"/>
        <v>#NAME?</v>
      </c>
      <c r="AO44" s="142">
        <v>0.35</v>
      </c>
      <c r="AP44" s="143" t="e">
        <f t="shared" ca="1" si="2"/>
        <v>#NAME?</v>
      </c>
      <c r="AS44" s="134" t="s">
        <v>278</v>
      </c>
      <c r="AT44" s="134" t="e">
        <f xml:space="preserve"> (AT36+((AT37-AT36)/(1+EXP((AT38-AT43)/AT39))))</f>
        <v>#VALUE!</v>
      </c>
    </row>
    <row r="45" spans="1:49" x14ac:dyDescent="0.25">
      <c r="F45" s="135">
        <v>0.5</v>
      </c>
      <c r="G45" s="143" t="e">
        <f t="shared" ca="1" si="0"/>
        <v>#NAME?</v>
      </c>
      <c r="Z45" s="141">
        <v>0.45</v>
      </c>
      <c r="AA45" s="143" t="e">
        <f t="shared" ca="1" si="1"/>
        <v>#NAME?</v>
      </c>
      <c r="AO45" s="142">
        <v>0.4</v>
      </c>
      <c r="AP45" s="143" t="e">
        <f t="shared" ca="1" si="2"/>
        <v>#NAME?</v>
      </c>
    </row>
    <row r="46" spans="1:49" x14ac:dyDescent="0.25">
      <c r="F46" s="135">
        <v>0.55000000000000004</v>
      </c>
      <c r="G46" s="143" t="e">
        <f t="shared" ca="1" si="0"/>
        <v>#NAME?</v>
      </c>
      <c r="J46" s="23" t="s">
        <v>291</v>
      </c>
      <c r="Z46" s="141">
        <v>0.5</v>
      </c>
      <c r="AA46" s="143" t="e">
        <f t="shared" ca="1" si="1"/>
        <v>#NAME?</v>
      </c>
      <c r="AO46" s="142">
        <v>0.45</v>
      </c>
      <c r="AP46" s="143" t="e">
        <f t="shared" ca="1" si="2"/>
        <v>#NAME?</v>
      </c>
    </row>
    <row r="47" spans="1:49" x14ac:dyDescent="0.25">
      <c r="F47" s="135">
        <v>0.6</v>
      </c>
      <c r="G47" s="143" t="e">
        <f t="shared" ca="1" si="0"/>
        <v>#NAME?</v>
      </c>
      <c r="J47" s="23" t="s">
        <v>284</v>
      </c>
      <c r="K47" s="23">
        <v>-4.0639406800963722E-2</v>
      </c>
      <c r="Z47" s="141">
        <v>0.55000000000000004</v>
      </c>
      <c r="AA47" s="143" t="e">
        <f t="shared" ca="1" si="1"/>
        <v>#NAME?</v>
      </c>
      <c r="AO47" s="142">
        <v>0.5</v>
      </c>
      <c r="AP47" s="143" t="e">
        <f t="shared" ca="1" si="2"/>
        <v>#NAME?</v>
      </c>
    </row>
    <row r="48" spans="1:49" x14ac:dyDescent="0.25">
      <c r="F48" s="135">
        <v>0.65</v>
      </c>
      <c r="G48" s="143" t="e">
        <f t="shared" ca="1" si="0"/>
        <v>#NAME?</v>
      </c>
      <c r="J48" s="23" t="s">
        <v>285</v>
      </c>
      <c r="K48" s="23">
        <v>1.0073213606618256</v>
      </c>
      <c r="Z48" s="141">
        <v>0.6</v>
      </c>
      <c r="AA48" s="143" t="e">
        <f t="shared" ca="1" si="1"/>
        <v>#NAME?</v>
      </c>
      <c r="AO48" s="142">
        <v>0.55000000000000004</v>
      </c>
      <c r="AP48" s="143" t="e">
        <f t="shared" ca="1" si="2"/>
        <v>#NAME?</v>
      </c>
    </row>
    <row r="49" spans="6:46" x14ac:dyDescent="0.25">
      <c r="F49" s="135">
        <v>0.7</v>
      </c>
      <c r="G49" s="143" t="e">
        <f t="shared" ca="1" si="0"/>
        <v>#NAME?</v>
      </c>
      <c r="J49" s="23" t="s">
        <v>287</v>
      </c>
      <c r="K49" s="23">
        <v>0.71969175798682417</v>
      </c>
      <c r="Z49" s="141">
        <v>0.65</v>
      </c>
      <c r="AA49" s="143" t="e">
        <f t="shared" ca="1" si="1"/>
        <v>#NAME?</v>
      </c>
      <c r="AD49" s="23" t="s">
        <v>291</v>
      </c>
      <c r="AO49" s="142">
        <v>0.6</v>
      </c>
      <c r="AP49" s="143" t="e">
        <f t="shared" ca="1" si="2"/>
        <v>#NAME?</v>
      </c>
    </row>
    <row r="50" spans="6:46" x14ac:dyDescent="0.25">
      <c r="F50" s="135">
        <v>0.75</v>
      </c>
      <c r="G50" s="143" t="e">
        <f t="shared" ca="1" si="0"/>
        <v>#NAME?</v>
      </c>
      <c r="J50" s="23" t="s">
        <v>289</v>
      </c>
      <c r="K50" s="23">
        <v>0.31060213564498645</v>
      </c>
      <c r="Z50" s="141">
        <v>0.7</v>
      </c>
      <c r="AA50" s="143" t="e">
        <f t="shared" ca="1" si="1"/>
        <v>#NAME?</v>
      </c>
      <c r="AD50" s="23" t="s">
        <v>284</v>
      </c>
      <c r="AE50" s="23">
        <v>-5.0319227920927696E-2</v>
      </c>
      <c r="AO50" s="142">
        <v>0.65</v>
      </c>
      <c r="AP50" s="143" t="e">
        <f t="shared" ca="1" si="2"/>
        <v>#NAME?</v>
      </c>
      <c r="AS50" s="23" t="s">
        <v>291</v>
      </c>
    </row>
    <row r="51" spans="6:46" x14ac:dyDescent="0.25">
      <c r="F51" s="135">
        <v>0.8</v>
      </c>
      <c r="G51" s="143" t="e">
        <f t="shared" ca="1" si="0"/>
        <v>#NAME?</v>
      </c>
      <c r="Z51" s="141">
        <v>0.75</v>
      </c>
      <c r="AA51" s="143" t="e">
        <f t="shared" ca="1" si="1"/>
        <v>#NAME?</v>
      </c>
      <c r="AD51" s="23" t="s">
        <v>285</v>
      </c>
      <c r="AE51" s="23">
        <v>1.0100370037357269</v>
      </c>
      <c r="AO51" s="142">
        <v>0.7</v>
      </c>
      <c r="AP51" s="143" t="e">
        <f t="shared" ca="1" si="2"/>
        <v>#NAME?</v>
      </c>
      <c r="AS51" s="23" t="s">
        <v>284</v>
      </c>
      <c r="AT51" s="23">
        <v>-6.4253142766542579E-2</v>
      </c>
    </row>
    <row r="52" spans="6:46" x14ac:dyDescent="0.25">
      <c r="F52" s="135">
        <v>0.85</v>
      </c>
      <c r="G52" s="143" t="e">
        <f t="shared" ca="1" si="0"/>
        <v>#NAME?</v>
      </c>
      <c r="Z52" s="141">
        <v>0.8</v>
      </c>
      <c r="AA52" s="143" t="e">
        <f t="shared" ca="1" si="1"/>
        <v>#NAME?</v>
      </c>
      <c r="AD52" s="23" t="s">
        <v>287</v>
      </c>
      <c r="AE52" s="23">
        <v>0.47632014568443054</v>
      </c>
      <c r="AO52" s="142">
        <v>0.75</v>
      </c>
      <c r="AP52" s="143" t="e">
        <f t="shared" ca="1" si="2"/>
        <v>#NAME?</v>
      </c>
      <c r="AS52" s="23" t="s">
        <v>285</v>
      </c>
      <c r="AT52" s="23">
        <v>1.0052001096779646</v>
      </c>
    </row>
    <row r="53" spans="6:46" x14ac:dyDescent="0.25">
      <c r="F53" s="135">
        <v>0.9</v>
      </c>
      <c r="G53" s="143" t="e">
        <f t="shared" ca="1" si="0"/>
        <v>#NAME?</v>
      </c>
      <c r="Z53" s="141">
        <v>0.85</v>
      </c>
      <c r="AA53" s="143" t="e">
        <f t="shared" ca="1" si="1"/>
        <v>#NAME?</v>
      </c>
      <c r="AD53" s="23" t="s">
        <v>289</v>
      </c>
      <c r="AE53" s="23">
        <v>0.20991267816860448</v>
      </c>
      <c r="AO53" s="142">
        <v>0.8</v>
      </c>
      <c r="AP53" s="143" t="e">
        <f t="shared" ca="1" si="2"/>
        <v>#NAME?</v>
      </c>
      <c r="AS53" s="23" t="s">
        <v>287</v>
      </c>
      <c r="AT53" s="23">
        <v>0.23336287634796199</v>
      </c>
    </row>
    <row r="54" spans="6:46" x14ac:dyDescent="0.25">
      <c r="F54" s="135">
        <v>0.95</v>
      </c>
      <c r="G54" s="143" t="e">
        <f t="shared" ca="1" si="0"/>
        <v>#NAME?</v>
      </c>
      <c r="J54" s="23" t="s">
        <v>290</v>
      </c>
      <c r="K54" s="23">
        <v>10000</v>
      </c>
      <c r="Z54" s="141">
        <v>0.9</v>
      </c>
      <c r="AA54" s="143" t="e">
        <f t="shared" ca="1" si="1"/>
        <v>#NAME?</v>
      </c>
      <c r="AO54" s="142">
        <v>0.85</v>
      </c>
      <c r="AP54" s="143" t="e">
        <f t="shared" ca="1" si="2"/>
        <v>#NAME?</v>
      </c>
      <c r="AS54" s="23" t="s">
        <v>289</v>
      </c>
      <c r="AT54" s="23">
        <v>0.10489703183753199</v>
      </c>
    </row>
    <row r="55" spans="6:46" x14ac:dyDescent="0.25">
      <c r="F55" s="135">
        <v>1</v>
      </c>
      <c r="G55" s="143" t="e">
        <f t="shared" ca="1" si="0"/>
        <v>#NAME?</v>
      </c>
      <c r="J55" s="23" t="s">
        <v>278</v>
      </c>
      <c r="K55" s="23">
        <f xml:space="preserve"> (K47+((K48-K47)/(1+EXP((K49-K54)/K50))))</f>
        <v>1.0073213606618256</v>
      </c>
      <c r="Z55" s="141">
        <v>0.95</v>
      </c>
      <c r="AA55" s="143" t="e">
        <f t="shared" ca="1" si="1"/>
        <v>#NAME?</v>
      </c>
      <c r="AO55" s="142">
        <v>0.9</v>
      </c>
      <c r="AP55" s="143" t="e">
        <f t="shared" ca="1" si="2"/>
        <v>#NAME?</v>
      </c>
    </row>
    <row r="56" spans="6:46" x14ac:dyDescent="0.25">
      <c r="F56" s="135">
        <v>1.05</v>
      </c>
      <c r="G56" s="143" t="e">
        <f t="shared" ca="1" si="0"/>
        <v>#NAME?</v>
      </c>
      <c r="Z56" s="141">
        <v>1</v>
      </c>
      <c r="AA56" s="143" t="e">
        <f t="shared" ca="1" si="1"/>
        <v>#NAME?</v>
      </c>
      <c r="AO56" s="142">
        <v>0.95</v>
      </c>
      <c r="AP56" s="143" t="e">
        <f t="shared" ca="1" si="2"/>
        <v>#NAME?</v>
      </c>
    </row>
    <row r="57" spans="6:46" x14ac:dyDescent="0.25">
      <c r="F57" s="135">
        <v>1.1000000000000001</v>
      </c>
      <c r="G57" s="143" t="e">
        <f t="shared" ca="1" si="0"/>
        <v>#NAME?</v>
      </c>
      <c r="Z57" s="141">
        <v>1.05</v>
      </c>
      <c r="AA57" s="143" t="e">
        <f t="shared" ca="1" si="1"/>
        <v>#NAME?</v>
      </c>
      <c r="AD57" s="23" t="s">
        <v>290</v>
      </c>
      <c r="AE57" s="23">
        <v>10</v>
      </c>
      <c r="AO57" s="142">
        <v>1</v>
      </c>
      <c r="AP57" s="143" t="e">
        <f t="shared" ca="1" si="2"/>
        <v>#NAME?</v>
      </c>
    </row>
    <row r="58" spans="6:46" x14ac:dyDescent="0.25">
      <c r="F58" s="135">
        <v>1.1499999999999999</v>
      </c>
      <c r="G58" s="143" t="e">
        <f t="shared" ca="1" si="0"/>
        <v>#NAME?</v>
      </c>
      <c r="Z58" s="141">
        <v>1.1000000000000001</v>
      </c>
      <c r="AA58" s="143" t="e">
        <f t="shared" ca="1" si="1"/>
        <v>#NAME?</v>
      </c>
      <c r="AD58" s="23" t="s">
        <v>278</v>
      </c>
      <c r="AE58" s="134">
        <f xml:space="preserve"> (AE50+((AE51-AE50)/(1+EXP((AE52-AE57)/AE53))))</f>
        <v>1.0100370037357269</v>
      </c>
      <c r="AO58" s="142">
        <v>1.05</v>
      </c>
      <c r="AP58" s="143" t="e">
        <f t="shared" ca="1" si="2"/>
        <v>#NAME?</v>
      </c>
      <c r="AS58" s="23" t="s">
        <v>290</v>
      </c>
      <c r="AT58" s="23">
        <v>0</v>
      </c>
    </row>
    <row r="59" spans="6:46" x14ac:dyDescent="0.25">
      <c r="F59" s="135">
        <v>1.2</v>
      </c>
      <c r="G59" s="143" t="e">
        <f t="shared" ca="1" si="0"/>
        <v>#NAME?</v>
      </c>
      <c r="Z59" s="141">
        <v>1.1499999999999999</v>
      </c>
      <c r="AA59" s="143" t="e">
        <f t="shared" ca="1" si="1"/>
        <v>#NAME?</v>
      </c>
      <c r="AO59" s="142">
        <v>1.1000000000000001</v>
      </c>
      <c r="AP59" s="143" t="e">
        <f t="shared" ca="1" si="2"/>
        <v>#NAME?</v>
      </c>
      <c r="AS59" s="23" t="s">
        <v>278</v>
      </c>
      <c r="AT59" s="134">
        <f xml:space="preserve"> (AT51+((AT52-AT51)/(1+EXP((AT53-AT58)/AT54))))</f>
        <v>4.0077953496267513E-2</v>
      </c>
    </row>
    <row r="60" spans="6:46" x14ac:dyDescent="0.25">
      <c r="F60" s="135">
        <v>1.25</v>
      </c>
      <c r="G60" s="143" t="e">
        <f t="shared" ca="1" si="0"/>
        <v>#NAME?</v>
      </c>
      <c r="Z60" s="141">
        <v>1.2</v>
      </c>
      <c r="AA60" s="143" t="e">
        <f t="shared" ca="1" si="1"/>
        <v>#NAME?</v>
      </c>
      <c r="AO60" s="142">
        <v>1.1499999999999999</v>
      </c>
      <c r="AP60" s="143" t="e">
        <f t="shared" ca="1" si="2"/>
        <v>#NAME?</v>
      </c>
    </row>
    <row r="61" spans="6:46" x14ac:dyDescent="0.25">
      <c r="F61" s="135">
        <v>1.3</v>
      </c>
      <c r="G61" s="143" t="e">
        <f t="shared" ca="1" si="0"/>
        <v>#NAME?</v>
      </c>
      <c r="Z61" s="141">
        <v>1.25</v>
      </c>
      <c r="AA61" s="143" t="e">
        <f t="shared" ca="1" si="1"/>
        <v>#NAME?</v>
      </c>
      <c r="AO61" s="142">
        <v>1.2</v>
      </c>
      <c r="AP61" s="143" t="e">
        <f t="shared" ca="1" si="2"/>
        <v>#NAME?</v>
      </c>
    </row>
    <row r="62" spans="6:46" x14ac:dyDescent="0.25">
      <c r="F62" s="135">
        <v>1.35</v>
      </c>
      <c r="G62" s="143" t="e">
        <f t="shared" ca="1" si="0"/>
        <v>#NAME?</v>
      </c>
      <c r="Z62" s="141">
        <v>1.3</v>
      </c>
      <c r="AA62" s="143" t="e">
        <f t="shared" ca="1" si="1"/>
        <v>#NAME?</v>
      </c>
      <c r="AO62" s="142">
        <v>1.25</v>
      </c>
      <c r="AP62" s="143" t="e">
        <f t="shared" ca="1" si="2"/>
        <v>#NAME?</v>
      </c>
    </row>
    <row r="63" spans="6:46" x14ac:dyDescent="0.25">
      <c r="F63" s="135">
        <v>1.4</v>
      </c>
      <c r="G63" s="143" t="e">
        <f t="shared" ca="1" si="0"/>
        <v>#NAME?</v>
      </c>
      <c r="Z63" s="141">
        <v>1.35</v>
      </c>
      <c r="AA63" s="143" t="e">
        <f t="shared" ca="1" si="1"/>
        <v>#NAME?</v>
      </c>
      <c r="AO63" s="142">
        <v>1.3</v>
      </c>
      <c r="AP63" s="143" t="e">
        <f t="shared" ca="1" si="2"/>
        <v>#NAME?</v>
      </c>
    </row>
    <row r="64" spans="6:46" x14ac:dyDescent="0.25">
      <c r="F64" s="135">
        <v>1.45</v>
      </c>
      <c r="G64" s="143" t="e">
        <f t="shared" ca="1" si="0"/>
        <v>#NAME?</v>
      </c>
      <c r="Z64" s="141">
        <v>1.4</v>
      </c>
      <c r="AA64" s="143" t="e">
        <f t="shared" ca="1" si="1"/>
        <v>#NAME?</v>
      </c>
      <c r="AO64" s="142">
        <v>1.35</v>
      </c>
      <c r="AP64" s="143" t="e">
        <f t="shared" ca="1" si="2"/>
        <v>#NAME?</v>
      </c>
    </row>
    <row r="65" spans="6:42" x14ac:dyDescent="0.25">
      <c r="F65" s="135">
        <v>1.5</v>
      </c>
      <c r="G65" s="143" t="e">
        <f t="shared" ca="1" si="0"/>
        <v>#NAME?</v>
      </c>
      <c r="Z65" s="141">
        <v>1.45</v>
      </c>
      <c r="AA65" s="143" t="e">
        <f t="shared" ca="1" si="1"/>
        <v>#NAME?</v>
      </c>
      <c r="AO65" s="142">
        <v>1.4</v>
      </c>
      <c r="AP65" s="143" t="e">
        <f t="shared" ca="1" si="2"/>
        <v>#NAME?</v>
      </c>
    </row>
    <row r="66" spans="6:42" x14ac:dyDescent="0.25">
      <c r="F66" s="135">
        <v>1.55</v>
      </c>
      <c r="G66" s="143" t="e">
        <f t="shared" ca="1" si="0"/>
        <v>#NAME?</v>
      </c>
      <c r="Z66" s="141">
        <v>1.5</v>
      </c>
      <c r="AA66" s="143" t="e">
        <f t="shared" ca="1" si="1"/>
        <v>#NAME?</v>
      </c>
      <c r="AO66" s="142">
        <v>1.45</v>
      </c>
      <c r="AP66" s="143" t="e">
        <f t="shared" ca="1" si="2"/>
        <v>#NAME?</v>
      </c>
    </row>
    <row r="67" spans="6:42" x14ac:dyDescent="0.25">
      <c r="F67" s="135">
        <v>1.6</v>
      </c>
      <c r="G67" s="143" t="e">
        <f t="shared" ca="1" si="0"/>
        <v>#NAME?</v>
      </c>
      <c r="Z67" s="141">
        <v>2.5</v>
      </c>
      <c r="AA67" s="143" t="e">
        <f t="shared" ref="AA67:AA84" ca="1" si="3">PieceWiseLinInt(Z67, $C$34:$C$35, $A$34:$A$35, FALSE, FALSE)</f>
        <v>#NAME?</v>
      </c>
      <c r="AO67" s="142">
        <v>1.5</v>
      </c>
      <c r="AP67" s="143" t="e">
        <f t="shared" ca="1" si="2"/>
        <v>#NAME?</v>
      </c>
    </row>
    <row r="68" spans="6:42" x14ac:dyDescent="0.25">
      <c r="F68" s="135">
        <v>1.65</v>
      </c>
      <c r="G68" s="143" t="e">
        <f t="shared" ca="1" si="0"/>
        <v>#NAME?</v>
      </c>
      <c r="Z68" s="141">
        <v>3.5</v>
      </c>
      <c r="AA68" s="143" t="e">
        <f t="shared" ca="1" si="3"/>
        <v>#NAME?</v>
      </c>
      <c r="AO68" s="142">
        <v>2.5</v>
      </c>
      <c r="AP68" s="143" t="e">
        <f t="shared" ref="AP68:AP76" ca="1" si="4">PieceWiseLinInt(AO68, $D$34:$D$35, $A$34:$A$35, FALSE, FALSE)</f>
        <v>#NAME?</v>
      </c>
    </row>
    <row r="69" spans="6:42" x14ac:dyDescent="0.25">
      <c r="F69" s="135">
        <v>1.7</v>
      </c>
      <c r="G69" s="143" t="e">
        <f t="shared" ca="1" si="0"/>
        <v>#NAME?</v>
      </c>
      <c r="Z69" s="141">
        <v>4.5</v>
      </c>
      <c r="AA69" s="143" t="e">
        <f t="shared" ca="1" si="3"/>
        <v>#NAME?</v>
      </c>
      <c r="AO69" s="142">
        <v>3.5</v>
      </c>
      <c r="AP69" s="143" t="e">
        <f t="shared" ca="1" si="4"/>
        <v>#NAME?</v>
      </c>
    </row>
    <row r="70" spans="6:42" x14ac:dyDescent="0.25">
      <c r="F70" s="135">
        <v>1.75</v>
      </c>
      <c r="G70" s="143" t="e">
        <f t="shared" ca="1" si="0"/>
        <v>#NAME?</v>
      </c>
      <c r="Z70" s="141">
        <v>5.5</v>
      </c>
      <c r="AA70" s="143" t="e">
        <f t="shared" ca="1" si="3"/>
        <v>#NAME?</v>
      </c>
      <c r="AO70" s="142">
        <v>4.5</v>
      </c>
      <c r="AP70" s="143" t="e">
        <f t="shared" ca="1" si="4"/>
        <v>#NAME?</v>
      </c>
    </row>
    <row r="71" spans="6:42" x14ac:dyDescent="0.25">
      <c r="F71" s="135">
        <v>1.8</v>
      </c>
      <c r="G71" s="143" t="e">
        <f t="shared" ca="1" si="0"/>
        <v>#NAME?</v>
      </c>
      <c r="Z71" s="141">
        <v>6.5</v>
      </c>
      <c r="AA71" s="143" t="e">
        <f t="shared" ca="1" si="3"/>
        <v>#NAME?</v>
      </c>
      <c r="AO71" s="142">
        <v>5.5</v>
      </c>
      <c r="AP71" s="143" t="e">
        <f t="shared" ca="1" si="4"/>
        <v>#NAME?</v>
      </c>
    </row>
    <row r="72" spans="6:42" x14ac:dyDescent="0.25">
      <c r="F72" s="135">
        <v>1.85</v>
      </c>
      <c r="G72" s="143" t="e">
        <f t="shared" ca="1" si="0"/>
        <v>#NAME?</v>
      </c>
      <c r="Z72" s="141">
        <v>7.5</v>
      </c>
      <c r="AA72" s="143" t="e">
        <f t="shared" ca="1" si="3"/>
        <v>#NAME?</v>
      </c>
      <c r="AO72" s="142">
        <v>6.5</v>
      </c>
      <c r="AP72" s="143" t="e">
        <f t="shared" ca="1" si="4"/>
        <v>#NAME?</v>
      </c>
    </row>
    <row r="73" spans="6:42" x14ac:dyDescent="0.25">
      <c r="F73" s="135">
        <v>1.9</v>
      </c>
      <c r="G73" s="143" t="e">
        <f t="shared" ca="1" si="0"/>
        <v>#NAME?</v>
      </c>
      <c r="Z73" s="141">
        <v>8.5</v>
      </c>
      <c r="AA73" s="143" t="e">
        <f t="shared" ca="1" si="3"/>
        <v>#NAME?</v>
      </c>
      <c r="AO73" s="142">
        <v>7.5</v>
      </c>
      <c r="AP73" s="143" t="e">
        <f t="shared" ca="1" si="4"/>
        <v>#NAME?</v>
      </c>
    </row>
    <row r="74" spans="6:42" x14ac:dyDescent="0.25">
      <c r="F74" s="135">
        <v>1.95</v>
      </c>
      <c r="G74" s="143" t="e">
        <f t="shared" ca="1" si="0"/>
        <v>#NAME?</v>
      </c>
      <c r="Z74" s="141">
        <v>9.5</v>
      </c>
      <c r="AA74" s="143" t="e">
        <f t="shared" ca="1" si="3"/>
        <v>#NAME?</v>
      </c>
      <c r="AO74" s="142">
        <v>8.5</v>
      </c>
      <c r="AP74" s="143" t="e">
        <f t="shared" ca="1" si="4"/>
        <v>#NAME?</v>
      </c>
    </row>
    <row r="75" spans="6:42" x14ac:dyDescent="0.25">
      <c r="F75" s="135">
        <v>2</v>
      </c>
      <c r="G75" s="143" t="e">
        <f t="shared" ca="1" si="0"/>
        <v>#NAME?</v>
      </c>
      <c r="Z75" s="141">
        <v>10.5</v>
      </c>
      <c r="AA75" s="143" t="e">
        <f t="shared" ca="1" si="3"/>
        <v>#NAME?</v>
      </c>
      <c r="AO75" s="142">
        <v>9.5</v>
      </c>
      <c r="AP75" s="143" t="e">
        <f t="shared" ca="1" si="4"/>
        <v>#NAME?</v>
      </c>
    </row>
    <row r="76" spans="6:42" x14ac:dyDescent="0.25">
      <c r="F76" s="135">
        <v>3</v>
      </c>
      <c r="G76" s="143" t="e">
        <f t="shared" ca="1" si="0"/>
        <v>#NAME?</v>
      </c>
      <c r="Z76" s="141">
        <v>11.5</v>
      </c>
      <c r="AA76" s="143" t="e">
        <f t="shared" ca="1" si="3"/>
        <v>#NAME?</v>
      </c>
      <c r="AO76" s="142">
        <v>10.5</v>
      </c>
      <c r="AP76" s="143" t="e">
        <f t="shared" ca="1" si="4"/>
        <v>#NAME?</v>
      </c>
    </row>
    <row r="77" spans="6:42" x14ac:dyDescent="0.25">
      <c r="F77" s="135">
        <v>4</v>
      </c>
      <c r="G77" s="143" t="e">
        <f t="shared" ca="1" si="0"/>
        <v>#NAME?</v>
      </c>
      <c r="Z77" s="141">
        <v>12.5</v>
      </c>
      <c r="AA77" s="143" t="e">
        <f t="shared" ca="1" si="3"/>
        <v>#NAME?</v>
      </c>
    </row>
    <row r="78" spans="6:42" x14ac:dyDescent="0.25">
      <c r="F78" s="135">
        <v>5</v>
      </c>
      <c r="G78" s="143" t="e">
        <f t="shared" ca="1" si="0"/>
        <v>#NAME?</v>
      </c>
      <c r="Z78" s="141">
        <v>13.5</v>
      </c>
      <c r="AA78" s="143" t="e">
        <f t="shared" ca="1" si="3"/>
        <v>#NAME?</v>
      </c>
    </row>
    <row r="79" spans="6:42" x14ac:dyDescent="0.25">
      <c r="F79" s="135">
        <v>6</v>
      </c>
      <c r="G79" s="143" t="e">
        <f t="shared" ca="1" si="0"/>
        <v>#NAME?</v>
      </c>
      <c r="Z79" s="141">
        <v>14.5</v>
      </c>
      <c r="AA79" s="143" t="e">
        <f t="shared" ca="1" si="3"/>
        <v>#NAME?</v>
      </c>
    </row>
    <row r="80" spans="6:42" x14ac:dyDescent="0.25">
      <c r="F80" s="135">
        <v>7</v>
      </c>
      <c r="G80" s="143" t="e">
        <f t="shared" ca="1" si="0"/>
        <v>#NAME?</v>
      </c>
      <c r="Z80" s="141">
        <v>15.5</v>
      </c>
      <c r="AA80" s="143" t="e">
        <f t="shared" ca="1" si="3"/>
        <v>#NAME?</v>
      </c>
    </row>
    <row r="81" spans="6:27" x14ac:dyDescent="0.25">
      <c r="F81" s="135">
        <v>8</v>
      </c>
      <c r="G81" s="143" t="e">
        <f t="shared" ca="1" si="0"/>
        <v>#NAME?</v>
      </c>
      <c r="Z81" s="141">
        <v>16.5</v>
      </c>
      <c r="AA81" s="143" t="e">
        <f t="shared" ca="1" si="3"/>
        <v>#NAME?</v>
      </c>
    </row>
    <row r="82" spans="6:27" x14ac:dyDescent="0.25">
      <c r="F82" s="135">
        <v>9</v>
      </c>
      <c r="G82" s="143" t="e">
        <f t="shared" ca="1" si="0"/>
        <v>#NAME?</v>
      </c>
      <c r="Z82" s="141">
        <v>17.5</v>
      </c>
      <c r="AA82" s="143" t="e">
        <f t="shared" ca="1" si="3"/>
        <v>#NAME?</v>
      </c>
    </row>
    <row r="83" spans="6:27" x14ac:dyDescent="0.25">
      <c r="F83" s="135">
        <v>10</v>
      </c>
      <c r="G83" s="143" t="e">
        <f t="shared" ca="1" si="0"/>
        <v>#NAME?</v>
      </c>
      <c r="Z83" s="141">
        <v>18.5</v>
      </c>
      <c r="AA83" s="143" t="e">
        <f t="shared" ca="1" si="3"/>
        <v>#NAME?</v>
      </c>
    </row>
    <row r="84" spans="6:27" x14ac:dyDescent="0.25">
      <c r="F84" s="135">
        <v>11</v>
      </c>
      <c r="G84" s="143" t="e">
        <f t="shared" ca="1" si="0"/>
        <v>#NAME?</v>
      </c>
      <c r="Z84" s="141">
        <v>19.5</v>
      </c>
      <c r="AA84" s="143" t="e">
        <f t="shared" ca="1" si="3"/>
        <v>#NAME?</v>
      </c>
    </row>
    <row r="85" spans="6:27" x14ac:dyDescent="0.25">
      <c r="F85" s="135">
        <v>12</v>
      </c>
      <c r="G85" s="143" t="e">
        <f t="shared" ca="1" si="0"/>
        <v>#NAME?</v>
      </c>
    </row>
    <row r="86" spans="6:27" x14ac:dyDescent="0.25">
      <c r="F86" s="135">
        <v>13</v>
      </c>
      <c r="G86" s="143" t="e">
        <f t="shared" ca="1" si="0"/>
        <v>#NAME?</v>
      </c>
    </row>
    <row r="87" spans="6:27" x14ac:dyDescent="0.25">
      <c r="F87" s="135">
        <v>14</v>
      </c>
      <c r="G87" s="143" t="e">
        <f t="shared" ca="1" si="0"/>
        <v>#NAME?</v>
      </c>
    </row>
    <row r="88" spans="6:27" x14ac:dyDescent="0.25">
      <c r="F88" s="135">
        <v>15</v>
      </c>
      <c r="G88" s="143" t="e">
        <f t="shared" ca="1" si="0"/>
        <v>#NAME?</v>
      </c>
    </row>
    <row r="89" spans="6:27" x14ac:dyDescent="0.25">
      <c r="F89" s="135">
        <v>16</v>
      </c>
      <c r="G89" s="143" t="e">
        <f t="shared" ca="1" si="0"/>
        <v>#NAME?</v>
      </c>
    </row>
    <row r="90" spans="6:27" x14ac:dyDescent="0.25">
      <c r="F90" s="135">
        <v>17</v>
      </c>
      <c r="G90" s="143" t="e">
        <f t="shared" ca="1" si="0"/>
        <v>#NAME?</v>
      </c>
    </row>
    <row r="91" spans="6:27" x14ac:dyDescent="0.25">
      <c r="F91" s="135">
        <v>18</v>
      </c>
      <c r="G91" s="143" t="e">
        <f t="shared" ca="1" si="0"/>
        <v>#NAME?</v>
      </c>
    </row>
    <row r="92" spans="6:27" x14ac:dyDescent="0.25">
      <c r="F92" s="135">
        <v>19</v>
      </c>
      <c r="G92" s="143" t="e">
        <f t="shared" ca="1" si="0"/>
        <v>#NAME?</v>
      </c>
    </row>
    <row r="93" spans="6:27" x14ac:dyDescent="0.25">
      <c r="F93" s="135">
        <v>20</v>
      </c>
      <c r="G93" s="143" t="e">
        <f t="shared" ca="1" si="0"/>
        <v>#NAME?</v>
      </c>
    </row>
    <row r="94" spans="6:27" x14ac:dyDescent="0.25">
      <c r="F94" s="135">
        <v>21</v>
      </c>
      <c r="G94" s="143" t="e">
        <f t="shared" ca="1" si="0"/>
        <v>#NAME?</v>
      </c>
    </row>
    <row r="95" spans="6:27" x14ac:dyDescent="0.25">
      <c r="F95" s="135">
        <v>22</v>
      </c>
      <c r="G95" s="143" t="e">
        <f t="shared" ca="1" si="0"/>
        <v>#NAME?</v>
      </c>
    </row>
    <row r="96" spans="6:27" x14ac:dyDescent="0.25">
      <c r="F96" s="135">
        <v>23</v>
      </c>
      <c r="G96" s="143" t="e">
        <f t="shared" ca="1" si="0"/>
        <v>#NAME?</v>
      </c>
    </row>
    <row r="97" spans="6:7" x14ac:dyDescent="0.25">
      <c r="F97" s="135">
        <v>24</v>
      </c>
      <c r="G97" s="143" t="e">
        <f t="shared" ca="1" si="0"/>
        <v>#NAME?</v>
      </c>
    </row>
    <row r="98" spans="6:7" x14ac:dyDescent="0.25">
      <c r="F98" s="135">
        <v>25</v>
      </c>
      <c r="G98" s="143" t="e">
        <f t="shared" ca="1" si="0"/>
        <v>#NAME?</v>
      </c>
    </row>
    <row r="99" spans="6:7" x14ac:dyDescent="0.25">
      <c r="F99" s="135">
        <v>26</v>
      </c>
      <c r="G99" s="143" t="e">
        <f t="shared" ca="1" si="0"/>
        <v>#NAME?</v>
      </c>
    </row>
    <row r="100" spans="6:7" x14ac:dyDescent="0.25">
      <c r="F100" s="135">
        <v>27</v>
      </c>
      <c r="G100" s="143" t="e">
        <f t="shared" ref="G100:G113" ca="1" si="5">PieceWiseLinInt(F100, $B$34:$B$35, $A$34:$A$35, FALSE, FALSE)</f>
        <v>#NAME?</v>
      </c>
    </row>
    <row r="101" spans="6:7" x14ac:dyDescent="0.25">
      <c r="F101" s="135">
        <v>28</v>
      </c>
      <c r="G101" s="143" t="e">
        <f t="shared" ca="1" si="5"/>
        <v>#NAME?</v>
      </c>
    </row>
    <row r="102" spans="6:7" x14ac:dyDescent="0.25">
      <c r="F102" s="135">
        <v>29</v>
      </c>
      <c r="G102" s="143" t="e">
        <f t="shared" ca="1" si="5"/>
        <v>#NAME?</v>
      </c>
    </row>
    <row r="103" spans="6:7" x14ac:dyDescent="0.25">
      <c r="F103" s="135">
        <v>30</v>
      </c>
      <c r="G103" s="143" t="e">
        <f t="shared" ca="1" si="5"/>
        <v>#NAME?</v>
      </c>
    </row>
    <row r="104" spans="6:7" x14ac:dyDescent="0.25">
      <c r="F104" s="135">
        <v>31</v>
      </c>
      <c r="G104" s="143" t="e">
        <f t="shared" ca="1" si="5"/>
        <v>#NAME?</v>
      </c>
    </row>
    <row r="105" spans="6:7" x14ac:dyDescent="0.25">
      <c r="F105" s="135">
        <v>32</v>
      </c>
      <c r="G105" s="143" t="e">
        <f t="shared" ca="1" si="5"/>
        <v>#NAME?</v>
      </c>
    </row>
    <row r="106" spans="6:7" x14ac:dyDescent="0.25">
      <c r="F106" s="135">
        <v>33</v>
      </c>
      <c r="G106" s="143" t="e">
        <f t="shared" ca="1" si="5"/>
        <v>#NAME?</v>
      </c>
    </row>
    <row r="107" spans="6:7" x14ac:dyDescent="0.25">
      <c r="F107" s="135">
        <v>34</v>
      </c>
      <c r="G107" s="143" t="e">
        <f t="shared" ca="1" si="5"/>
        <v>#NAME?</v>
      </c>
    </row>
    <row r="108" spans="6:7" x14ac:dyDescent="0.25">
      <c r="F108" s="135">
        <v>35</v>
      </c>
      <c r="G108" s="143" t="e">
        <f t="shared" ca="1" si="5"/>
        <v>#NAME?</v>
      </c>
    </row>
    <row r="109" spans="6:7" x14ac:dyDescent="0.25">
      <c r="F109" s="135">
        <v>36</v>
      </c>
      <c r="G109" s="143" t="e">
        <f t="shared" ca="1" si="5"/>
        <v>#NAME?</v>
      </c>
    </row>
    <row r="110" spans="6:7" x14ac:dyDescent="0.25">
      <c r="F110" s="135">
        <v>37</v>
      </c>
      <c r="G110" s="143" t="e">
        <f t="shared" ca="1" si="5"/>
        <v>#NAME?</v>
      </c>
    </row>
    <row r="111" spans="6:7" x14ac:dyDescent="0.25">
      <c r="F111" s="135">
        <v>38</v>
      </c>
      <c r="G111" s="143" t="e">
        <f t="shared" ca="1" si="5"/>
        <v>#NAME?</v>
      </c>
    </row>
    <row r="112" spans="6:7" x14ac:dyDescent="0.25">
      <c r="F112" s="135">
        <v>39</v>
      </c>
      <c r="G112" s="143" t="e">
        <f t="shared" ca="1" si="5"/>
        <v>#NAME?</v>
      </c>
    </row>
    <row r="113" spans="6:7" x14ac:dyDescent="0.25">
      <c r="F113" s="135">
        <v>40</v>
      </c>
      <c r="G113" s="143" t="e">
        <f t="shared" ca="1" si="5"/>
        <v>#NAME?</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IDBS_XLfitContainer.XFCObjectRepository" shapeId="58369" r:id="rId4">
          <objectPr defaultSize="0" r:id="rId5">
            <anchor moveWithCells="1">
              <from>
                <xdr:col>10</xdr:col>
                <xdr:colOff>0</xdr:colOff>
                <xdr:row>41</xdr:row>
                <xdr:rowOff>0</xdr:rowOff>
              </from>
              <to>
                <xdr:col>12</xdr:col>
                <xdr:colOff>438150</xdr:colOff>
                <xdr:row>50</xdr:row>
                <xdr:rowOff>114300</xdr:rowOff>
              </to>
            </anchor>
          </objectPr>
        </oleObject>
      </mc:Choice>
      <mc:Fallback>
        <oleObject progId="IDBS_XLfitContainer.XFCObjectRepository" shapeId="58369" r:id="rId4"/>
      </mc:Fallback>
    </mc:AlternateContent>
    <mc:AlternateContent xmlns:mc="http://schemas.openxmlformats.org/markup-compatibility/2006">
      <mc:Choice Requires="x14">
        <oleObject progId="IDBS_MathIQ.Chart2DObj" shapeId="58370" r:id="rId6">
          <objectPr locked="0" defaultSize="0" autoLine="0" autoPict="0" r:id="rId7">
            <anchor moveWithCells="1">
              <from>
                <xdr:col>12</xdr:col>
                <xdr:colOff>581025</xdr:colOff>
                <xdr:row>34</xdr:row>
                <xdr:rowOff>152400</xdr:rowOff>
              </from>
              <to>
                <xdr:col>19</xdr:col>
                <xdr:colOff>123825</xdr:colOff>
                <xdr:row>48</xdr:row>
                <xdr:rowOff>28575</xdr:rowOff>
              </to>
            </anchor>
          </objectPr>
        </oleObject>
      </mc:Choice>
      <mc:Fallback>
        <oleObject progId="IDBS_MathIQ.Chart2DObj" shapeId="58370" r:id="rId6"/>
      </mc:Fallback>
    </mc:AlternateContent>
    <mc:AlternateContent xmlns:mc="http://schemas.openxmlformats.org/markup-compatibility/2006">
      <mc:Choice Requires="x14">
        <oleObject progId="IDBS_MathIQ.Chart2DObj" shapeId="58371" r:id="rId8">
          <objectPr locked="0" defaultSize="0" autoLine="0" autoPict="0" r:id="rId9">
            <anchor moveWithCells="1">
              <from>
                <xdr:col>32</xdr:col>
                <xdr:colOff>447675</xdr:colOff>
                <xdr:row>46</xdr:row>
                <xdr:rowOff>85725</xdr:rowOff>
              </from>
              <to>
                <xdr:col>38</xdr:col>
                <xdr:colOff>600075</xdr:colOff>
                <xdr:row>59</xdr:row>
                <xdr:rowOff>152400</xdr:rowOff>
              </to>
            </anchor>
          </objectPr>
        </oleObject>
      </mc:Choice>
      <mc:Fallback>
        <oleObject progId="IDBS_MathIQ.Chart2DObj" shapeId="58371" r:id="rId8"/>
      </mc:Fallback>
    </mc:AlternateContent>
    <mc:AlternateContent xmlns:mc="http://schemas.openxmlformats.org/markup-compatibility/2006">
      <mc:Choice Requires="x14">
        <oleObject progId="IDBS_MathIQ.Chart2DObj" shapeId="58372" r:id="rId10">
          <objectPr locked="0" defaultSize="0" autoLine="0" autoPict="0" r:id="rId11">
            <anchor moveWithCells="1">
              <from>
                <xdr:col>48</xdr:col>
                <xdr:colOff>0</xdr:colOff>
                <xdr:row>38</xdr:row>
                <xdr:rowOff>0</xdr:rowOff>
              </from>
              <to>
                <xdr:col>54</xdr:col>
                <xdr:colOff>152400</xdr:colOff>
                <xdr:row>51</xdr:row>
                <xdr:rowOff>66675</xdr:rowOff>
              </to>
            </anchor>
          </objectPr>
        </oleObject>
      </mc:Choice>
      <mc:Fallback>
        <oleObject progId="IDBS_MathIQ.Chart2DObj" shapeId="58372" r:id="rId10"/>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
  <sheetViews>
    <sheetView workbookViewId="0">
      <selection activeCell="C15" sqref="C15"/>
    </sheetView>
  </sheetViews>
  <sheetFormatPr defaultRowHeight="15" x14ac:dyDescent="0.25"/>
  <cols>
    <col min="1" max="1" width="12.375" bestFit="1" customWidth="1"/>
    <col min="2" max="2" width="23" customWidth="1"/>
    <col min="3" max="3" width="15.875" bestFit="1" customWidth="1"/>
  </cols>
  <sheetData>
    <row r="1" spans="1:1" x14ac:dyDescent="0.25">
      <c r="A1" t="s">
        <v>32</v>
      </c>
    </row>
    <row r="2" spans="1:1" x14ac:dyDescent="0.25">
      <c r="A2" t="s">
        <v>33</v>
      </c>
    </row>
  </sheetData>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6">
    <tabColor theme="7" tint="0.39997558519241921"/>
  </sheetPr>
  <dimension ref="A1:AW113"/>
  <sheetViews>
    <sheetView topLeftCell="A30" zoomScale="55" zoomScaleNormal="55" workbookViewId="0">
      <selection activeCell="X70" sqref="X70"/>
    </sheetView>
  </sheetViews>
  <sheetFormatPr defaultColWidth="9.125" defaultRowHeight="15" x14ac:dyDescent="0.25"/>
  <cols>
    <col min="1" max="1" width="15.625" style="23" bestFit="1" customWidth="1"/>
    <col min="2" max="2" width="10" style="23" bestFit="1" customWidth="1"/>
    <col min="3" max="4" width="11.625" style="23" bestFit="1" customWidth="1"/>
    <col min="5" max="5" width="9.125" style="23"/>
    <col min="6" max="6" width="18.125" style="23" bestFit="1" customWidth="1"/>
    <col min="7" max="7" width="14.875" style="23" customWidth="1"/>
    <col min="8" max="21" width="9.125" style="23"/>
    <col min="22" max="22" width="34.875" style="23" bestFit="1" customWidth="1"/>
    <col min="23" max="25" width="9.125" style="23"/>
    <col min="26" max="26" width="13.625" style="23" bestFit="1" customWidth="1"/>
    <col min="27" max="40" width="9.125" style="23"/>
    <col min="41" max="41" width="17.375" style="23" bestFit="1" customWidth="1"/>
    <col min="42" max="45" width="9.125" style="23"/>
    <col min="46" max="46" width="11.125" style="23" bestFit="1" customWidth="1"/>
    <col min="47" max="16384" width="9.125" style="23"/>
  </cols>
  <sheetData>
    <row r="1" spans="1:4" x14ac:dyDescent="0.25">
      <c r="A1" s="134"/>
      <c r="B1" s="135" t="s">
        <v>265</v>
      </c>
      <c r="C1" s="136" t="s">
        <v>266</v>
      </c>
      <c r="D1" s="137" t="s">
        <v>267</v>
      </c>
    </row>
    <row r="2" spans="1:4" x14ac:dyDescent="0.25">
      <c r="A2" s="134" t="s">
        <v>268</v>
      </c>
      <c r="B2" s="135" t="s">
        <v>269</v>
      </c>
      <c r="C2" s="136" t="s">
        <v>269</v>
      </c>
      <c r="D2" s="137" t="s">
        <v>269</v>
      </c>
    </row>
    <row r="3" spans="1:4" x14ac:dyDescent="0.25">
      <c r="A3" s="134">
        <v>0</v>
      </c>
      <c r="B3" s="135">
        <v>0</v>
      </c>
      <c r="C3" s="136">
        <v>0</v>
      </c>
      <c r="D3" s="137">
        <v>0</v>
      </c>
    </row>
    <row r="4" spans="1:4" x14ac:dyDescent="0.25">
      <c r="A4" s="134">
        <v>0</v>
      </c>
      <c r="B4" s="135">
        <v>0.25</v>
      </c>
      <c r="C4" s="136">
        <v>0.249</v>
      </c>
      <c r="D4" s="137">
        <v>0.09</v>
      </c>
    </row>
    <row r="5" spans="1:4" x14ac:dyDescent="0.25">
      <c r="A5" s="134">
        <v>0.25</v>
      </c>
      <c r="B5" s="135">
        <v>0.251</v>
      </c>
      <c r="C5" s="136">
        <v>0.25</v>
      </c>
      <c r="D5" s="137">
        <v>0.1</v>
      </c>
    </row>
    <row r="6" spans="1:4" x14ac:dyDescent="0.25">
      <c r="A6" s="134">
        <v>0.25</v>
      </c>
      <c r="B6" s="135">
        <v>0.75</v>
      </c>
      <c r="C6" s="136">
        <v>0.499</v>
      </c>
      <c r="D6" s="137">
        <v>0.19900000000000001</v>
      </c>
    </row>
    <row r="7" spans="1:4" x14ac:dyDescent="0.25">
      <c r="A7" s="134">
        <v>0.5</v>
      </c>
      <c r="B7" s="135">
        <v>0.751</v>
      </c>
      <c r="C7" s="136">
        <v>0.5</v>
      </c>
      <c r="D7" s="137">
        <v>0.2</v>
      </c>
    </row>
    <row r="8" spans="1:4" x14ac:dyDescent="0.25">
      <c r="A8" s="134">
        <v>0.5</v>
      </c>
      <c r="B8" s="135">
        <v>1.2490000000000001</v>
      </c>
      <c r="C8" s="136">
        <v>0.749</v>
      </c>
      <c r="D8" s="137">
        <v>0.39900000000000002</v>
      </c>
    </row>
    <row r="9" spans="1:4" x14ac:dyDescent="0.25">
      <c r="A9" s="134">
        <v>1</v>
      </c>
      <c r="B9" s="135">
        <v>1.25</v>
      </c>
      <c r="C9" s="136">
        <v>0.75</v>
      </c>
      <c r="D9" s="137">
        <v>0.4</v>
      </c>
    </row>
    <row r="10" spans="1:4" x14ac:dyDescent="0.25">
      <c r="A10" s="134">
        <v>1</v>
      </c>
      <c r="B10" s="135">
        <v>1.5</v>
      </c>
      <c r="C10" s="136">
        <v>1</v>
      </c>
      <c r="D10" s="137">
        <v>0.5</v>
      </c>
    </row>
    <row r="16" spans="1:4" x14ac:dyDescent="0.25">
      <c r="A16" s="23" t="s">
        <v>270</v>
      </c>
      <c r="B16" s="23" t="s">
        <v>271</v>
      </c>
      <c r="C16" s="138" t="s">
        <v>272</v>
      </c>
    </row>
    <row r="17" spans="1:29" x14ac:dyDescent="0.25">
      <c r="A17" s="23">
        <v>1</v>
      </c>
      <c r="B17" s="23">
        <v>1</v>
      </c>
      <c r="C17" s="137" t="s">
        <v>267</v>
      </c>
    </row>
    <row r="18" spans="1:29" x14ac:dyDescent="0.25">
      <c r="A18" s="23">
        <v>2</v>
      </c>
      <c r="B18" s="23">
        <v>1</v>
      </c>
      <c r="C18" s="137" t="s">
        <v>267</v>
      </c>
    </row>
    <row r="19" spans="1:29" x14ac:dyDescent="0.25">
      <c r="A19" s="23">
        <v>3</v>
      </c>
      <c r="B19" s="23">
        <v>2</v>
      </c>
      <c r="C19" s="136" t="s">
        <v>273</v>
      </c>
    </row>
    <row r="20" spans="1:29" x14ac:dyDescent="0.25">
      <c r="A20" s="23">
        <v>4</v>
      </c>
      <c r="B20" s="23">
        <v>2</v>
      </c>
      <c r="C20" s="136" t="s">
        <v>273</v>
      </c>
    </row>
    <row r="21" spans="1:29" x14ac:dyDescent="0.25">
      <c r="A21" s="23">
        <v>5</v>
      </c>
      <c r="B21" s="23">
        <v>2</v>
      </c>
      <c r="C21" s="136" t="s">
        <v>266</v>
      </c>
    </row>
    <row r="22" spans="1:29" x14ac:dyDescent="0.25">
      <c r="A22" s="23">
        <v>6</v>
      </c>
      <c r="B22" s="23">
        <v>2</v>
      </c>
      <c r="C22" s="136" t="s">
        <v>266</v>
      </c>
    </row>
    <row r="23" spans="1:29" x14ac:dyDescent="0.25">
      <c r="A23" s="23">
        <v>7</v>
      </c>
      <c r="B23" s="23">
        <v>2</v>
      </c>
      <c r="C23" s="136" t="s">
        <v>266</v>
      </c>
    </row>
    <row r="24" spans="1:29" x14ac:dyDescent="0.25">
      <c r="A24" s="23">
        <v>8</v>
      </c>
      <c r="B24" s="23">
        <v>2</v>
      </c>
      <c r="C24" s="136" t="s">
        <v>266</v>
      </c>
    </row>
    <row r="25" spans="1:29" x14ac:dyDescent="0.25">
      <c r="A25" s="23">
        <v>9</v>
      </c>
      <c r="B25" s="23">
        <v>3</v>
      </c>
      <c r="C25" s="139" t="s">
        <v>265</v>
      </c>
      <c r="AC25" s="23" t="s">
        <v>274</v>
      </c>
    </row>
    <row r="26" spans="1:29" x14ac:dyDescent="0.25">
      <c r="A26" s="23">
        <v>10</v>
      </c>
      <c r="B26" s="23">
        <v>3</v>
      </c>
      <c r="C26" s="139" t="s">
        <v>265</v>
      </c>
    </row>
    <row r="27" spans="1:29" x14ac:dyDescent="0.25">
      <c r="A27" s="23">
        <v>11</v>
      </c>
      <c r="B27" s="23">
        <v>3</v>
      </c>
      <c r="C27" s="139" t="s">
        <v>265</v>
      </c>
      <c r="AC27" s="23" t="s">
        <v>275</v>
      </c>
    </row>
    <row r="28" spans="1:29" x14ac:dyDescent="0.25">
      <c r="A28" s="23">
        <v>12</v>
      </c>
      <c r="B28" s="23">
        <v>3</v>
      </c>
      <c r="C28" s="139" t="s">
        <v>265</v>
      </c>
      <c r="K28" s="23" t="s">
        <v>274</v>
      </c>
      <c r="AC28" s="23" t="s">
        <v>276</v>
      </c>
    </row>
    <row r="29" spans="1:29" x14ac:dyDescent="0.25">
      <c r="AC29" s="23" t="s">
        <v>277</v>
      </c>
    </row>
    <row r="30" spans="1:29" x14ac:dyDescent="0.25">
      <c r="K30" s="23" t="s">
        <v>275</v>
      </c>
    </row>
    <row r="31" spans="1:29" x14ac:dyDescent="0.25">
      <c r="K31" s="23" t="s">
        <v>276</v>
      </c>
    </row>
    <row r="32" spans="1:29" x14ac:dyDescent="0.25">
      <c r="K32" s="23" t="s">
        <v>277</v>
      </c>
    </row>
    <row r="33" spans="1:49" x14ac:dyDescent="0.25">
      <c r="A33" s="134" t="s">
        <v>278</v>
      </c>
      <c r="B33" s="135" t="s">
        <v>265</v>
      </c>
      <c r="C33" s="136" t="s">
        <v>266</v>
      </c>
      <c r="D33" s="137" t="s">
        <v>267</v>
      </c>
      <c r="J33" s="23" t="s">
        <v>282</v>
      </c>
    </row>
    <row r="34" spans="1:49" x14ac:dyDescent="0.25">
      <c r="A34" s="134">
        <v>0</v>
      </c>
      <c r="B34" s="140">
        <v>0</v>
      </c>
      <c r="C34" s="141">
        <v>0</v>
      </c>
      <c r="D34" s="142">
        <v>0</v>
      </c>
      <c r="F34" s="135" t="s">
        <v>283</v>
      </c>
      <c r="G34" s="134" t="s">
        <v>268</v>
      </c>
      <c r="J34" s="134" t="s">
        <v>284</v>
      </c>
      <c r="K34" s="134" t="str">
        <f>[3]!xf4_ParameterValue(J67,1)</f>
        <v>#N/A</v>
      </c>
      <c r="N34" s="23" t="str">
        <f>[3]!xf4_FitData("",[3]!xf4_SetModel("600"),[3]!xf4_SetParameters(0,FALSE,TRUE,100,FALSE,TRUE,1,FALSE,TRUE,1,FALSE,TRUE),[3]!xf4_SetData(,$F$35:$F$113,,$G$35:$G$113))</f>
        <v>#NoObject</v>
      </c>
      <c r="P34" s="23" t="str">
        <f>[3]!xf4_Chart2D([3]!xf_Init()&amp;[3]!xf_ScaleX(,,,,FALSE)&amp;[3]!xf_ScaleY(,,,,FALSE),[3]!xf4_C2DFit(N34)&amp;[3]!xf4_C2DFitDetails(7,0,0.05,0,0.05)&amp;[3]!xf4_C2DFitPoints(101,,,,1,-1))</f>
        <v>#NoObject</v>
      </c>
      <c r="AD34" s="23" t="s">
        <v>282</v>
      </c>
    </row>
    <row r="35" spans="1:49" x14ac:dyDescent="0.25">
      <c r="A35" s="134">
        <v>1</v>
      </c>
      <c r="B35" s="140">
        <v>1.5</v>
      </c>
      <c r="C35" s="141">
        <v>1</v>
      </c>
      <c r="D35" s="142">
        <v>0.5</v>
      </c>
      <c r="F35" s="135">
        <f>'[4]RSI curves'!F35+6.5</f>
        <v>6.5</v>
      </c>
      <c r="G35" s="143" t="e">
        <f ca="1">PieceWiseLinInt(F35, $B$34:$B$35, $A$34:$A$35, FALSE, FALSE)</f>
        <v>#NAME?</v>
      </c>
      <c r="H35" s="23">
        <v>1</v>
      </c>
      <c r="J35" s="134" t="s">
        <v>285</v>
      </c>
      <c r="K35" s="134" t="str">
        <f>[3]!xf4_ParameterValue(J67,2)</f>
        <v>#N/A</v>
      </c>
      <c r="Z35" s="141" t="s">
        <v>286</v>
      </c>
      <c r="AA35" s="134" t="s">
        <v>268</v>
      </c>
      <c r="AD35" s="134" t="s">
        <v>284</v>
      </c>
      <c r="AE35" s="134" t="str">
        <f>[3]!xf4_ParameterValue(AG35,1)</f>
        <v>#N/A</v>
      </c>
      <c r="AG35" s="23" t="str">
        <f>[3]!xf4_FitData("",[3]!xf4_SetModel("600"),[3]!xf4_SetParameters(0,FALSE,TRUE,100,FALSE,TRUE,1,FALSE,TRUE,1,FALSE,TRUE),[3]!xf4_SetData(,$Z$36:$Z$84,,$AB$36:$AB$84))</f>
        <v>#NoObject</v>
      </c>
      <c r="AS35" s="23" t="s">
        <v>282</v>
      </c>
    </row>
    <row r="36" spans="1:49" x14ac:dyDescent="0.25">
      <c r="F36" s="135">
        <f>'[4]RSI curves'!F36+6.5</f>
        <v>6.55</v>
      </c>
      <c r="G36" s="143" t="e">
        <f t="shared" ref="G36:G99" ca="1" si="0">PieceWiseLinInt(F36, $B$34:$B$35, $A$34:$A$35, FALSE, FALSE)</f>
        <v>#NAME?</v>
      </c>
      <c r="H36" s="23">
        <v>3.3333333333333333E-2</v>
      </c>
      <c r="J36" s="134" t="s">
        <v>287</v>
      </c>
      <c r="K36" s="134" t="str">
        <f>[3]!xf4_ParameterValue(J67,3)</f>
        <v>#N/A</v>
      </c>
      <c r="Z36" s="141">
        <f>'[4]RSI curves'!Z36+6.5</f>
        <v>6.5</v>
      </c>
      <c r="AA36" s="143" t="e">
        <f ca="1">PieceWiseLinInt(Z36, $C$34:$C$35, $A$34:$A$35, FALSE, FALSE)</f>
        <v>#NAME?</v>
      </c>
      <c r="AB36" s="23">
        <v>0</v>
      </c>
      <c r="AD36" s="134" t="s">
        <v>285</v>
      </c>
      <c r="AE36" s="134" t="str">
        <f>[3]!xf4_ParameterValue(AG35,2)</f>
        <v>#N/A</v>
      </c>
      <c r="AO36" s="142" t="s">
        <v>288</v>
      </c>
      <c r="AP36" s="134" t="s">
        <v>268</v>
      </c>
      <c r="AS36" s="134" t="s">
        <v>284</v>
      </c>
      <c r="AT36" s="134" t="str">
        <f>[3]!xf4_ParameterValue(AW36,1)</f>
        <v>#N/A</v>
      </c>
      <c r="AW36" s="23" t="str">
        <f>[3]!xf4_FitData("",[3]!xf4_SetModel("600"),[3]!xf4_SetParameters(0,FALSE,TRUE,100,FALSE,TRUE,1,FALSE,FALSE,1,FALSE,TRUE),[3]!xf4_SetData(,$AO$37:$AO$76,,$AQ$37:$AQ$76))</f>
        <v>#NoObject</v>
      </c>
    </row>
    <row r="37" spans="1:49" x14ac:dyDescent="0.25">
      <c r="F37" s="135">
        <f>'[4]RSI curves'!F37+6.5</f>
        <v>6.6</v>
      </c>
      <c r="G37" s="143" t="e">
        <f t="shared" ca="1" si="0"/>
        <v>#NAME?</v>
      </c>
      <c r="H37" s="23">
        <v>6.6666666666666666E-2</v>
      </c>
      <c r="J37" s="134" t="s">
        <v>289</v>
      </c>
      <c r="K37" s="134" t="str">
        <f>[3]!xf4_ParameterValue(J67,4)</f>
        <v>#N/A</v>
      </c>
      <c r="Z37" s="141">
        <f>'[4]RSI curves'!Z37+6.5</f>
        <v>6.55</v>
      </c>
      <c r="AA37" s="143" t="e">
        <f t="shared" ref="AA37:AA84" ca="1" si="1">PieceWiseLinInt(Z37, $C$34:$C$35, $A$34:$A$35, FALSE, FALSE)</f>
        <v>#NAME?</v>
      </c>
      <c r="AB37" s="23">
        <v>0.05</v>
      </c>
      <c r="AD37" s="134" t="s">
        <v>287</v>
      </c>
      <c r="AE37" s="134" t="str">
        <f>[3]!xf4_ParameterValue(AG35,3)</f>
        <v>#N/A</v>
      </c>
      <c r="AO37" s="142">
        <f>'[4]RSI curves'!AO37+6.5</f>
        <v>6.5</v>
      </c>
      <c r="AP37" s="143" t="e">
        <f ca="1">PieceWiseLinInt(AO37, $D$34:$D$35, $A$34:$A$35, FALSE, FALSE)</f>
        <v>#NAME?</v>
      </c>
      <c r="AQ37" s="23">
        <v>0</v>
      </c>
      <c r="AS37" s="134" t="s">
        <v>285</v>
      </c>
      <c r="AT37" s="134" t="str">
        <f>[3]!xf4_ParameterValue(AW36,2)</f>
        <v>#N/A</v>
      </c>
    </row>
    <row r="38" spans="1:49" x14ac:dyDescent="0.25">
      <c r="F38" s="135">
        <f>'[4]RSI curves'!F38+6.5</f>
        <v>6.65</v>
      </c>
      <c r="G38" s="143" t="e">
        <f t="shared" ca="1" si="0"/>
        <v>#NAME?</v>
      </c>
      <c r="H38" s="23">
        <v>9.9999999999999992E-2</v>
      </c>
      <c r="J38" s="71"/>
      <c r="K38" s="71"/>
      <c r="Z38" s="141">
        <f>'[4]RSI curves'!Z38+6.5</f>
        <v>6.6</v>
      </c>
      <c r="AA38" s="143" t="e">
        <f t="shared" ca="1" si="1"/>
        <v>#NAME?</v>
      </c>
      <c r="AB38" s="23">
        <v>0.1</v>
      </c>
      <c r="AD38" s="134" t="s">
        <v>289</v>
      </c>
      <c r="AE38" s="134" t="str">
        <f>[3]!xf4_ParameterValue(AG35,4)</f>
        <v>#N/A</v>
      </c>
      <c r="AG38" s="23" t="str">
        <f>[3]!xf4_Chart2D([3]!xf_Init()&amp;[3]!xf_ScaleX(,,,,FALSE)&amp;[3]!xf_ScaleY(,,,,FALSE),[3]!xf4_C2DFit(AG35))</f>
        <v>#NoObject</v>
      </c>
      <c r="AO38" s="142">
        <f>'[4]RSI curves'!AO38+6.5</f>
        <v>6.55</v>
      </c>
      <c r="AP38" s="143" t="e">
        <f t="shared" ref="AP38:AP76" ca="1" si="2">PieceWiseLinInt(AO38, $D$34:$D$35, $A$34:$A$35, FALSE, FALSE)</f>
        <v>#NAME?</v>
      </c>
      <c r="AQ38" s="23">
        <v>0.1</v>
      </c>
      <c r="AS38" s="134" t="s">
        <v>287</v>
      </c>
      <c r="AT38" s="134" t="str">
        <f>[3]!xf4_ParameterValue(AW36,3)</f>
        <v>#N/A</v>
      </c>
      <c r="AW38" s="23" t="str">
        <f>[3]!xf4_Chart2D([3]!xf_Init()&amp;[3]!xf_ScaleX(,,,,FALSE)&amp;[3]!xf_ScaleY(,,,,FALSE),[3]!xf4_C2DFit(AW36))</f>
        <v>#NoObject</v>
      </c>
    </row>
    <row r="39" spans="1:49" x14ac:dyDescent="0.25">
      <c r="F39" s="135">
        <f>'[4]RSI curves'!F39+6.5</f>
        <v>6.7</v>
      </c>
      <c r="G39" s="143" t="e">
        <f t="shared" ca="1" si="0"/>
        <v>#NAME?</v>
      </c>
      <c r="H39" s="23">
        <v>0.13333333333333333</v>
      </c>
      <c r="J39" s="71"/>
      <c r="K39" s="71"/>
      <c r="Z39" s="141">
        <f>'[4]RSI curves'!Z39+6.5</f>
        <v>6.65</v>
      </c>
      <c r="AA39" s="143" t="e">
        <f t="shared" ca="1" si="1"/>
        <v>#NAME?</v>
      </c>
      <c r="AB39" s="23">
        <v>0.15</v>
      </c>
      <c r="AD39" s="71"/>
      <c r="AO39" s="142">
        <f>'[4]RSI curves'!AO39+6.5</f>
        <v>6.6</v>
      </c>
      <c r="AP39" s="143" t="e">
        <f t="shared" ca="1" si="2"/>
        <v>#NAME?</v>
      </c>
      <c r="AQ39" s="23">
        <v>0.2</v>
      </c>
      <c r="AS39" s="134" t="s">
        <v>289</v>
      </c>
      <c r="AT39" s="134" t="str">
        <f>[3]!xf4_ParameterValue(AW36,4)</f>
        <v>#N/A</v>
      </c>
    </row>
    <row r="40" spans="1:49" x14ac:dyDescent="0.25">
      <c r="F40" s="135">
        <f>'[4]RSI curves'!F40+6.5</f>
        <v>6.75</v>
      </c>
      <c r="G40" s="143" t="e">
        <f t="shared" ca="1" si="0"/>
        <v>#NAME?</v>
      </c>
      <c r="H40" s="23">
        <v>0.16666666666666666</v>
      </c>
      <c r="J40" s="71"/>
      <c r="K40" s="71"/>
      <c r="Z40" s="141">
        <f>'[4]RSI curves'!Z40+6.5</f>
        <v>6.7</v>
      </c>
      <c r="AA40" s="143" t="e">
        <f t="shared" ca="1" si="1"/>
        <v>#NAME?</v>
      </c>
      <c r="AB40" s="23">
        <v>0.2</v>
      </c>
      <c r="AD40" s="71"/>
      <c r="AO40" s="142">
        <f>'[4]RSI curves'!AO40+6.5</f>
        <v>6.65</v>
      </c>
      <c r="AP40" s="143" t="e">
        <f t="shared" ca="1" si="2"/>
        <v>#NAME?</v>
      </c>
      <c r="AQ40" s="23">
        <v>0.3</v>
      </c>
      <c r="AS40" s="71"/>
    </row>
    <row r="41" spans="1:49" x14ac:dyDescent="0.25">
      <c r="F41" s="135">
        <f>'[4]RSI curves'!F41+6.5</f>
        <v>6.8</v>
      </c>
      <c r="G41" s="143" t="e">
        <f t="shared" ca="1" si="0"/>
        <v>#NAME?</v>
      </c>
      <c r="H41" s="23">
        <v>0.19999999999999998</v>
      </c>
      <c r="J41" s="144" t="s">
        <v>290</v>
      </c>
      <c r="K41" s="144">
        <v>6.5</v>
      </c>
      <c r="Z41" s="141">
        <f>'[4]RSI curves'!Z41+6.5</f>
        <v>6.75</v>
      </c>
      <c r="AA41" s="143" t="e">
        <f t="shared" ca="1" si="1"/>
        <v>#NAME?</v>
      </c>
      <c r="AB41" s="23">
        <v>0.25</v>
      </c>
      <c r="AD41" s="71"/>
      <c r="AO41" s="142">
        <f>'[4]RSI curves'!AO41+6.5</f>
        <v>6.7</v>
      </c>
      <c r="AP41" s="143" t="e">
        <f t="shared" ca="1" si="2"/>
        <v>#NAME?</v>
      </c>
      <c r="AQ41" s="23">
        <v>0.4</v>
      </c>
      <c r="AS41" s="71"/>
    </row>
    <row r="42" spans="1:49" x14ac:dyDescent="0.25">
      <c r="F42" s="135">
        <f>'[4]RSI curves'!F42+6.5</f>
        <v>6.85</v>
      </c>
      <c r="G42" s="143" t="e">
        <f t="shared" ca="1" si="0"/>
        <v>#NAME?</v>
      </c>
      <c r="H42" s="23">
        <v>0.23333333333333331</v>
      </c>
      <c r="J42" s="144" t="s">
        <v>278</v>
      </c>
      <c r="K42" s="144" t="e">
        <f xml:space="preserve"> (K34+((K35-K34)/(1+EXP((K36-K41)/K37))))</f>
        <v>#VALUE!</v>
      </c>
      <c r="Z42" s="141">
        <f>'[4]RSI curves'!Z42+6.5</f>
        <v>6.8</v>
      </c>
      <c r="AA42" s="143" t="e">
        <f t="shared" ca="1" si="1"/>
        <v>#NAME?</v>
      </c>
      <c r="AB42" s="23">
        <v>0.3</v>
      </c>
      <c r="AD42" s="134" t="s">
        <v>290</v>
      </c>
      <c r="AE42" s="134">
        <v>0</v>
      </c>
      <c r="AO42" s="142">
        <f>'[4]RSI curves'!AO42+6.5</f>
        <v>6.75</v>
      </c>
      <c r="AP42" s="143" t="e">
        <f t="shared" ca="1" si="2"/>
        <v>#NAME?</v>
      </c>
      <c r="AQ42" s="23">
        <v>0.5</v>
      </c>
      <c r="AS42" s="71"/>
    </row>
    <row r="43" spans="1:49" x14ac:dyDescent="0.25">
      <c r="F43" s="135">
        <f>'[4]RSI curves'!F43+6.5</f>
        <v>6.9</v>
      </c>
      <c r="G43" s="143" t="e">
        <f t="shared" ca="1" si="0"/>
        <v>#NAME?</v>
      </c>
      <c r="H43" s="23">
        <v>0.26666666666666666</v>
      </c>
      <c r="Z43" s="141">
        <f>'[4]RSI curves'!Z43+6.5</f>
        <v>6.85</v>
      </c>
      <c r="AA43" s="143" t="e">
        <f t="shared" ca="1" si="1"/>
        <v>#NAME?</v>
      </c>
      <c r="AB43" s="23">
        <v>0.35</v>
      </c>
      <c r="AD43" s="134" t="s">
        <v>278</v>
      </c>
      <c r="AE43" s="134" t="e">
        <f xml:space="preserve"> (AE35+((AE36-AE35)/(1+EXP((AE37-AE42)/AE38))))</f>
        <v>#VALUE!</v>
      </c>
      <c r="AO43" s="142">
        <f>'[4]RSI curves'!AO43+6.5</f>
        <v>6.8</v>
      </c>
      <c r="AP43" s="143" t="e">
        <f t="shared" ca="1" si="2"/>
        <v>#NAME?</v>
      </c>
      <c r="AQ43" s="23">
        <v>0.6</v>
      </c>
      <c r="AS43" s="134" t="s">
        <v>290</v>
      </c>
      <c r="AT43" s="134">
        <v>-10</v>
      </c>
    </row>
    <row r="44" spans="1:49" x14ac:dyDescent="0.25">
      <c r="F44" s="135">
        <f>'[4]RSI curves'!F44+6.5</f>
        <v>6.95</v>
      </c>
      <c r="G44" s="143" t="e">
        <f t="shared" ca="1" si="0"/>
        <v>#NAME?</v>
      </c>
      <c r="H44" s="23">
        <v>0.3</v>
      </c>
      <c r="Z44" s="141">
        <f>'[4]RSI curves'!Z44+6.5</f>
        <v>6.9</v>
      </c>
      <c r="AA44" s="143" t="e">
        <f t="shared" ca="1" si="1"/>
        <v>#NAME?</v>
      </c>
      <c r="AB44" s="23">
        <v>0.4</v>
      </c>
      <c r="AO44" s="142">
        <f>'[4]RSI curves'!AO44+6.5</f>
        <v>6.85</v>
      </c>
      <c r="AP44" s="143" t="e">
        <f t="shared" ca="1" si="2"/>
        <v>#NAME?</v>
      </c>
      <c r="AQ44" s="23">
        <v>0.7</v>
      </c>
      <c r="AS44" s="134" t="s">
        <v>278</v>
      </c>
      <c r="AT44" s="134" t="e">
        <f xml:space="preserve"> (AT36+((AT37-AT36)/(1+EXP((AT38-AT43)/AT39))))</f>
        <v>#VALUE!</v>
      </c>
    </row>
    <row r="45" spans="1:49" x14ac:dyDescent="0.25">
      <c r="F45" s="135">
        <f>'[4]RSI curves'!F45+6.5</f>
        <v>7</v>
      </c>
      <c r="G45" s="143" t="e">
        <f t="shared" ca="1" si="0"/>
        <v>#NAME?</v>
      </c>
      <c r="H45" s="23">
        <v>0.33333333333333331</v>
      </c>
      <c r="Z45" s="141">
        <f>'[4]RSI curves'!Z45+6.5</f>
        <v>6.95</v>
      </c>
      <c r="AA45" s="143" t="e">
        <f t="shared" ca="1" si="1"/>
        <v>#NAME?</v>
      </c>
      <c r="AB45" s="23">
        <v>0.45</v>
      </c>
      <c r="AO45" s="142">
        <f>'[4]RSI curves'!AO45+6.5</f>
        <v>6.9</v>
      </c>
      <c r="AP45" s="143" t="e">
        <f t="shared" ca="1" si="2"/>
        <v>#NAME?</v>
      </c>
      <c r="AQ45" s="23">
        <v>0.8</v>
      </c>
    </row>
    <row r="46" spans="1:49" x14ac:dyDescent="0.25">
      <c r="F46" s="135">
        <f>'[4]RSI curves'!F46+6.5</f>
        <v>7.05</v>
      </c>
      <c r="G46" s="143" t="e">
        <f t="shared" ca="1" si="0"/>
        <v>#NAME?</v>
      </c>
      <c r="H46" s="23">
        <v>0.3666666666666667</v>
      </c>
      <c r="J46" s="23" t="s">
        <v>291</v>
      </c>
      <c r="Z46" s="141">
        <f>'[4]RSI curves'!Z46+6.5</f>
        <v>7</v>
      </c>
      <c r="AA46" s="143" t="e">
        <f t="shared" ca="1" si="1"/>
        <v>#NAME?</v>
      </c>
      <c r="AB46" s="23">
        <v>0.5</v>
      </c>
      <c r="AO46" s="142">
        <f>'[4]RSI curves'!AO46+6.5</f>
        <v>6.95</v>
      </c>
      <c r="AP46" s="143" t="e">
        <f t="shared" ca="1" si="2"/>
        <v>#NAME?</v>
      </c>
      <c r="AQ46" s="23">
        <v>0.9</v>
      </c>
    </row>
    <row r="47" spans="1:49" x14ac:dyDescent="0.25">
      <c r="F47" s="135">
        <f>'[4]RSI curves'!F47+6.5</f>
        <v>7.1</v>
      </c>
      <c r="G47" s="143" t="e">
        <f t="shared" ca="1" si="0"/>
        <v>#NAME?</v>
      </c>
      <c r="H47" s="23">
        <v>0.39999999999999997</v>
      </c>
      <c r="J47" s="23" t="s">
        <v>284</v>
      </c>
      <c r="K47" s="23">
        <v>0.23057142012068005</v>
      </c>
      <c r="Z47" s="141">
        <f>'[4]RSI curves'!Z47+6.5</f>
        <v>7.05</v>
      </c>
      <c r="AA47" s="143" t="e">
        <f t="shared" ca="1" si="1"/>
        <v>#NAME?</v>
      </c>
      <c r="AB47" s="23">
        <v>0.55000000000000004</v>
      </c>
      <c r="AO47" s="142">
        <f>'[4]RSI curves'!AO47+6.5</f>
        <v>7</v>
      </c>
      <c r="AP47" s="143" t="e">
        <f t="shared" ca="1" si="2"/>
        <v>#NAME?</v>
      </c>
      <c r="AQ47" s="23">
        <v>1</v>
      </c>
    </row>
    <row r="48" spans="1:49" x14ac:dyDescent="0.25">
      <c r="F48" s="135">
        <f>'[4]RSI curves'!F48+6.5</f>
        <v>7.15</v>
      </c>
      <c r="G48" s="143" t="e">
        <f t="shared" ca="1" si="0"/>
        <v>#NAME?</v>
      </c>
      <c r="H48" s="23">
        <v>0.43333333333333335</v>
      </c>
      <c r="J48" s="23" t="s">
        <v>285</v>
      </c>
      <c r="K48" s="23">
        <v>1.0031481298341403</v>
      </c>
      <c r="Z48" s="141">
        <f>'[4]RSI curves'!Z48+6.5</f>
        <v>7.1</v>
      </c>
      <c r="AA48" s="143" t="e">
        <f t="shared" ca="1" si="1"/>
        <v>#NAME?</v>
      </c>
      <c r="AB48" s="23">
        <v>0.6</v>
      </c>
      <c r="AO48" s="142">
        <f>'[4]RSI curves'!AO48+6.5</f>
        <v>7.05</v>
      </c>
      <c r="AP48" s="143" t="e">
        <f t="shared" ca="1" si="2"/>
        <v>#NAME?</v>
      </c>
      <c r="AQ48" s="23">
        <v>1</v>
      </c>
    </row>
    <row r="49" spans="6:46" x14ac:dyDescent="0.25">
      <c r="F49" s="135">
        <f>'[4]RSI curves'!F49+6.5</f>
        <v>7.2</v>
      </c>
      <c r="G49" s="143" t="e">
        <f t="shared" ca="1" si="0"/>
        <v>#NAME?</v>
      </c>
      <c r="H49" s="23">
        <v>0.46666666666666662</v>
      </c>
      <c r="J49" s="23" t="s">
        <v>287</v>
      </c>
      <c r="K49" s="23">
        <v>7.428276380426861</v>
      </c>
      <c r="Z49" s="141">
        <f>'[4]RSI curves'!Z49+6.5</f>
        <v>7.15</v>
      </c>
      <c r="AA49" s="143" t="e">
        <f t="shared" ca="1" si="1"/>
        <v>#NAME?</v>
      </c>
      <c r="AB49" s="23">
        <v>0.65</v>
      </c>
      <c r="AD49" s="23" t="s">
        <v>291</v>
      </c>
      <c r="AO49" s="142">
        <f>'[4]RSI curves'!AO49+6.5</f>
        <v>7.1</v>
      </c>
      <c r="AP49" s="143" t="e">
        <f t="shared" ca="1" si="2"/>
        <v>#NAME?</v>
      </c>
      <c r="AQ49" s="23">
        <v>1</v>
      </c>
    </row>
    <row r="50" spans="6:46" x14ac:dyDescent="0.25">
      <c r="F50" s="135">
        <f>'[4]RSI curves'!F50+6.5</f>
        <v>7.25</v>
      </c>
      <c r="G50" s="143" t="e">
        <f t="shared" ca="1" si="0"/>
        <v>#NAME?</v>
      </c>
      <c r="H50" s="23">
        <v>0.5</v>
      </c>
      <c r="J50" s="23" t="s">
        <v>289</v>
      </c>
      <c r="K50" s="23">
        <v>0.21519924223182268</v>
      </c>
      <c r="Z50" s="141">
        <f>'[4]RSI curves'!Z50+6.5</f>
        <v>7.2</v>
      </c>
      <c r="AA50" s="143" t="e">
        <f t="shared" ca="1" si="1"/>
        <v>#NAME?</v>
      </c>
      <c r="AB50" s="23">
        <v>0.7</v>
      </c>
      <c r="AD50" s="23" t="s">
        <v>284</v>
      </c>
      <c r="AE50" s="23">
        <v>-5.0319227920927821E-2</v>
      </c>
      <c r="AO50" s="142">
        <f>'[4]RSI curves'!AO50+6.5</f>
        <v>7.15</v>
      </c>
      <c r="AP50" s="143" t="e">
        <f t="shared" ca="1" si="2"/>
        <v>#NAME?</v>
      </c>
      <c r="AQ50" s="23">
        <v>1</v>
      </c>
      <c r="AS50" s="23" t="s">
        <v>291</v>
      </c>
    </row>
    <row r="51" spans="6:46" x14ac:dyDescent="0.25">
      <c r="F51" s="135">
        <f>'[4]RSI curves'!F51+6.5</f>
        <v>7.3</v>
      </c>
      <c r="G51" s="143" t="e">
        <f t="shared" ca="1" si="0"/>
        <v>#NAME?</v>
      </c>
      <c r="H51" s="23">
        <v>0.53333333333333333</v>
      </c>
      <c r="Z51" s="141">
        <f>'[4]RSI curves'!Z51+6.5</f>
        <v>7.25</v>
      </c>
      <c r="AA51" s="143" t="e">
        <f t="shared" ca="1" si="1"/>
        <v>#NAME?</v>
      </c>
      <c r="AB51" s="23">
        <v>0.75</v>
      </c>
      <c r="AD51" s="23" t="s">
        <v>285</v>
      </c>
      <c r="AE51" s="23">
        <v>1.0100370037357269</v>
      </c>
      <c r="AO51" s="142">
        <f>'[4]RSI curves'!AO51+6.5</f>
        <v>7.2</v>
      </c>
      <c r="AP51" s="143" t="e">
        <f t="shared" ca="1" si="2"/>
        <v>#NAME?</v>
      </c>
      <c r="AQ51" s="23">
        <v>1</v>
      </c>
      <c r="AS51" s="23" t="s">
        <v>284</v>
      </c>
      <c r="AT51" s="23">
        <v>-6.4239765034220089E-2</v>
      </c>
    </row>
    <row r="52" spans="6:46" x14ac:dyDescent="0.25">
      <c r="F52" s="135">
        <f>'[4]RSI curves'!F52+6.5</f>
        <v>7.35</v>
      </c>
      <c r="G52" s="143" t="e">
        <f t="shared" ca="1" si="0"/>
        <v>#NAME?</v>
      </c>
      <c r="H52" s="23">
        <v>0.56666666666666665</v>
      </c>
      <c r="Z52" s="141">
        <f>'[4]RSI curves'!Z52+6.5</f>
        <v>7.3</v>
      </c>
      <c r="AA52" s="143" t="e">
        <f t="shared" ca="1" si="1"/>
        <v>#NAME?</v>
      </c>
      <c r="AB52" s="23">
        <v>0.8</v>
      </c>
      <c r="AD52" s="23" t="s">
        <v>287</v>
      </c>
      <c r="AE52" s="23">
        <v>6.9763201456844302</v>
      </c>
      <c r="AO52" s="142">
        <f>'[4]RSI curves'!AO52+6.5</f>
        <v>7.25</v>
      </c>
      <c r="AP52" s="143" t="e">
        <f t="shared" ca="1" si="2"/>
        <v>#NAME?</v>
      </c>
      <c r="AQ52" s="23">
        <v>1</v>
      </c>
      <c r="AS52" s="23" t="s">
        <v>285</v>
      </c>
      <c r="AT52" s="23">
        <v>1.0052020222699449</v>
      </c>
    </row>
    <row r="53" spans="6:46" x14ac:dyDescent="0.25">
      <c r="F53" s="135">
        <f>'[4]RSI curves'!F53+6.5</f>
        <v>7.4</v>
      </c>
      <c r="G53" s="143" t="e">
        <f t="shared" ca="1" si="0"/>
        <v>#NAME?</v>
      </c>
      <c r="H53" s="23">
        <v>0.6</v>
      </c>
      <c r="Z53" s="141">
        <f>'[4]RSI curves'!Z53+6.5</f>
        <v>7.35</v>
      </c>
      <c r="AA53" s="143" t="e">
        <f t="shared" ca="1" si="1"/>
        <v>#NAME?</v>
      </c>
      <c r="AB53" s="23">
        <v>0.85</v>
      </c>
      <c r="AD53" s="23" t="s">
        <v>289</v>
      </c>
      <c r="AE53" s="23">
        <v>0.20991267816860448</v>
      </c>
      <c r="AO53" s="142">
        <f>'[4]RSI curves'!AO53+6.5</f>
        <v>7.3</v>
      </c>
      <c r="AP53" s="143" t="e">
        <f t="shared" ca="1" si="2"/>
        <v>#NAME?</v>
      </c>
      <c r="AQ53" s="23">
        <v>1</v>
      </c>
      <c r="AS53" s="23" t="s">
        <v>287</v>
      </c>
      <c r="AT53" s="23">
        <v>6.7333692963172807</v>
      </c>
    </row>
    <row r="54" spans="6:46" x14ac:dyDescent="0.25">
      <c r="F54" s="135">
        <f>'[4]RSI curves'!F54+6.5</f>
        <v>7.45</v>
      </c>
      <c r="G54" s="143" t="e">
        <f t="shared" ca="1" si="0"/>
        <v>#NAME?</v>
      </c>
      <c r="H54" s="23">
        <v>0.6333333333333333</v>
      </c>
      <c r="J54" s="23" t="s">
        <v>290</v>
      </c>
      <c r="K54" s="23">
        <v>10000</v>
      </c>
      <c r="Z54" s="141">
        <f>'[4]RSI curves'!Z54+6.5</f>
        <v>7.4</v>
      </c>
      <c r="AA54" s="143" t="e">
        <f t="shared" ca="1" si="1"/>
        <v>#NAME?</v>
      </c>
      <c r="AB54" s="23">
        <v>0.9</v>
      </c>
      <c r="AO54" s="142">
        <f>'[4]RSI curves'!AO54+6.5</f>
        <v>7.35</v>
      </c>
      <c r="AP54" s="143" t="e">
        <f t="shared" ca="1" si="2"/>
        <v>#NAME?</v>
      </c>
      <c r="AQ54" s="23">
        <v>1</v>
      </c>
      <c r="AS54" s="23" t="s">
        <v>289</v>
      </c>
      <c r="AT54" s="23">
        <v>0.10489888474526737</v>
      </c>
    </row>
    <row r="55" spans="6:46" x14ac:dyDescent="0.25">
      <c r="F55" s="135">
        <f>'[4]RSI curves'!F55+6.5</f>
        <v>7.5</v>
      </c>
      <c r="G55" s="143" t="e">
        <f t="shared" ca="1" si="0"/>
        <v>#NAME?</v>
      </c>
      <c r="H55" s="23">
        <v>0.66666666666666663</v>
      </c>
      <c r="J55" s="23" t="s">
        <v>278</v>
      </c>
      <c r="K55" s="23">
        <f xml:space="preserve"> (K47+((K48-K47)/(1+EXP((K49-K54)/K50))))</f>
        <v>1.0031481298341403</v>
      </c>
      <c r="Z55" s="141">
        <f>'[4]RSI curves'!Z55+6.5</f>
        <v>7.45</v>
      </c>
      <c r="AA55" s="143" t="e">
        <f t="shared" ca="1" si="1"/>
        <v>#NAME?</v>
      </c>
      <c r="AB55" s="23">
        <v>0.95</v>
      </c>
      <c r="AO55" s="142">
        <f>'[4]RSI curves'!AO55+6.5</f>
        <v>7.4</v>
      </c>
      <c r="AP55" s="143" t="e">
        <f t="shared" ca="1" si="2"/>
        <v>#NAME?</v>
      </c>
      <c r="AQ55" s="23">
        <v>1</v>
      </c>
    </row>
    <row r="56" spans="6:46" x14ac:dyDescent="0.25">
      <c r="F56" s="135">
        <f>'[4]RSI curves'!F56+6.5</f>
        <v>7.55</v>
      </c>
      <c r="G56" s="143" t="e">
        <f t="shared" ca="1" si="0"/>
        <v>#NAME?</v>
      </c>
      <c r="H56" s="23">
        <v>0.7</v>
      </c>
      <c r="Z56" s="141">
        <f>'[4]RSI curves'!Z56+6.5</f>
        <v>7.5</v>
      </c>
      <c r="AA56" s="143" t="e">
        <f t="shared" ca="1" si="1"/>
        <v>#NAME?</v>
      </c>
      <c r="AB56" s="23">
        <v>1</v>
      </c>
      <c r="AO56" s="142">
        <f>'[4]RSI curves'!AO56+6.5</f>
        <v>7.45</v>
      </c>
      <c r="AP56" s="143" t="e">
        <f t="shared" ca="1" si="2"/>
        <v>#NAME?</v>
      </c>
      <c r="AQ56" s="23">
        <v>1</v>
      </c>
    </row>
    <row r="57" spans="6:46" x14ac:dyDescent="0.25">
      <c r="F57" s="135">
        <f>'[4]RSI curves'!F57+6.5</f>
        <v>7.6</v>
      </c>
      <c r="G57" s="143" t="e">
        <f t="shared" ca="1" si="0"/>
        <v>#NAME?</v>
      </c>
      <c r="H57" s="23">
        <v>0.73333333333333339</v>
      </c>
      <c r="Z57" s="141">
        <f>'[4]RSI curves'!Z57+6.5</f>
        <v>7.55</v>
      </c>
      <c r="AA57" s="143" t="e">
        <f t="shared" ca="1" si="1"/>
        <v>#NAME?</v>
      </c>
      <c r="AB57" s="23">
        <v>1</v>
      </c>
      <c r="AD57" s="23" t="s">
        <v>290</v>
      </c>
      <c r="AE57" s="23">
        <v>10</v>
      </c>
      <c r="AO57" s="142">
        <f>'[4]RSI curves'!AO57+6.5</f>
        <v>7.5</v>
      </c>
      <c r="AP57" s="143" t="e">
        <f t="shared" ca="1" si="2"/>
        <v>#NAME?</v>
      </c>
      <c r="AQ57" s="23">
        <v>1</v>
      </c>
    </row>
    <row r="58" spans="6:46" x14ac:dyDescent="0.25">
      <c r="F58" s="135">
        <f>'[4]RSI curves'!F58+6.5</f>
        <v>7.65</v>
      </c>
      <c r="G58" s="143" t="e">
        <f t="shared" ca="1" si="0"/>
        <v>#NAME?</v>
      </c>
      <c r="H58" s="23">
        <v>0.76666666666666661</v>
      </c>
      <c r="Z58" s="141">
        <f>'[4]RSI curves'!Z58+6.5</f>
        <v>7.6</v>
      </c>
      <c r="AA58" s="143" t="e">
        <f t="shared" ca="1" si="1"/>
        <v>#NAME?</v>
      </c>
      <c r="AB58" s="23">
        <v>1</v>
      </c>
      <c r="AD58" s="23" t="s">
        <v>278</v>
      </c>
      <c r="AE58" s="134">
        <f xml:space="preserve"> (AE50+((AE51-AE50)/(1+EXP((AE52-AE57)/AE53))))</f>
        <v>1.0100364153368586</v>
      </c>
      <c r="AO58" s="142">
        <f>'[4]RSI curves'!AO58+6.5</f>
        <v>7.55</v>
      </c>
      <c r="AP58" s="143" t="e">
        <f t="shared" ca="1" si="2"/>
        <v>#NAME?</v>
      </c>
      <c r="AQ58" s="23">
        <v>1</v>
      </c>
      <c r="AS58" s="23" t="s">
        <v>290</v>
      </c>
      <c r="AT58" s="23">
        <v>0</v>
      </c>
    </row>
    <row r="59" spans="6:46" x14ac:dyDescent="0.25">
      <c r="F59" s="135">
        <f>'[4]RSI curves'!F59+6.5</f>
        <v>7.7</v>
      </c>
      <c r="G59" s="143" t="e">
        <f t="shared" ca="1" si="0"/>
        <v>#NAME?</v>
      </c>
      <c r="H59" s="23">
        <v>0.79999999999999993</v>
      </c>
      <c r="Z59" s="141">
        <f>'[4]RSI curves'!Z59+6.5</f>
        <v>7.65</v>
      </c>
      <c r="AA59" s="143" t="e">
        <f t="shared" ca="1" si="1"/>
        <v>#NAME?</v>
      </c>
      <c r="AB59" s="23">
        <v>1</v>
      </c>
      <c r="AO59" s="142">
        <f>'[4]RSI curves'!AO59+6.5</f>
        <v>7.6</v>
      </c>
      <c r="AP59" s="143" t="e">
        <f t="shared" ca="1" si="2"/>
        <v>#NAME?</v>
      </c>
      <c r="AQ59" s="23">
        <v>1</v>
      </c>
      <c r="AS59" s="23" t="s">
        <v>278</v>
      </c>
      <c r="AT59" s="134">
        <f xml:space="preserve"> (AT51+((AT52-AT51)/(1+EXP((AT53-AT58)/AT54))))</f>
        <v>-6.4239765034220089E-2</v>
      </c>
    </row>
    <row r="60" spans="6:46" x14ac:dyDescent="0.25">
      <c r="F60" s="135">
        <f>'[4]RSI curves'!F60+6.5</f>
        <v>7.75</v>
      </c>
      <c r="G60" s="143" t="e">
        <f t="shared" ca="1" si="0"/>
        <v>#NAME?</v>
      </c>
      <c r="H60" s="23">
        <v>0.83333333333333326</v>
      </c>
      <c r="Z60" s="141">
        <f>'[4]RSI curves'!Z60+6.5</f>
        <v>7.7</v>
      </c>
      <c r="AA60" s="143" t="e">
        <f t="shared" ca="1" si="1"/>
        <v>#NAME?</v>
      </c>
      <c r="AB60" s="23">
        <v>1</v>
      </c>
      <c r="AO60" s="142">
        <f>'[4]RSI curves'!AO60+6.5</f>
        <v>7.65</v>
      </c>
      <c r="AP60" s="143" t="e">
        <f t="shared" ca="1" si="2"/>
        <v>#NAME?</v>
      </c>
      <c r="AQ60" s="23">
        <v>1</v>
      </c>
    </row>
    <row r="61" spans="6:46" x14ac:dyDescent="0.25">
      <c r="F61" s="135">
        <f>'[4]RSI curves'!F61+6.5</f>
        <v>7.8</v>
      </c>
      <c r="G61" s="143" t="e">
        <f t="shared" ca="1" si="0"/>
        <v>#NAME?</v>
      </c>
      <c r="H61" s="23">
        <v>0.8666666666666667</v>
      </c>
      <c r="Z61" s="141">
        <f>'[4]RSI curves'!Z61+6.5</f>
        <v>7.75</v>
      </c>
      <c r="AA61" s="143" t="e">
        <f t="shared" ca="1" si="1"/>
        <v>#NAME?</v>
      </c>
      <c r="AB61" s="23">
        <v>1</v>
      </c>
      <c r="AO61" s="142">
        <f>'[4]RSI curves'!AO61+6.5</f>
        <v>7.7</v>
      </c>
      <c r="AP61" s="143" t="e">
        <f t="shared" ca="1" si="2"/>
        <v>#NAME?</v>
      </c>
      <c r="AQ61" s="23">
        <v>1</v>
      </c>
    </row>
    <row r="62" spans="6:46" x14ac:dyDescent="0.25">
      <c r="F62" s="135">
        <f>'[4]RSI curves'!F62+6.5</f>
        <v>7.85</v>
      </c>
      <c r="G62" s="143" t="e">
        <f t="shared" ca="1" si="0"/>
        <v>#NAME?</v>
      </c>
      <c r="H62" s="23">
        <v>0.9</v>
      </c>
      <c r="Z62" s="141">
        <f>'[4]RSI curves'!Z62+6.5</f>
        <v>7.8</v>
      </c>
      <c r="AA62" s="143" t="e">
        <f t="shared" ca="1" si="1"/>
        <v>#NAME?</v>
      </c>
      <c r="AB62" s="23">
        <v>1</v>
      </c>
      <c r="AO62" s="142">
        <f>'[4]RSI curves'!AO62+6.5</f>
        <v>7.75</v>
      </c>
      <c r="AP62" s="143" t="e">
        <f t="shared" ca="1" si="2"/>
        <v>#NAME?</v>
      </c>
      <c r="AQ62" s="23">
        <v>1</v>
      </c>
    </row>
    <row r="63" spans="6:46" x14ac:dyDescent="0.25">
      <c r="F63" s="135">
        <f>'[4]RSI curves'!F63+6.5</f>
        <v>7.9</v>
      </c>
      <c r="G63" s="143" t="e">
        <f t="shared" ca="1" si="0"/>
        <v>#NAME?</v>
      </c>
      <c r="H63" s="23">
        <v>0.93333333333333324</v>
      </c>
      <c r="Z63" s="141">
        <f>'[4]RSI curves'!Z63+6.5</f>
        <v>7.85</v>
      </c>
      <c r="AA63" s="143" t="e">
        <f t="shared" ca="1" si="1"/>
        <v>#NAME?</v>
      </c>
      <c r="AB63" s="23">
        <v>1</v>
      </c>
      <c r="AO63" s="142">
        <f>'[4]RSI curves'!AO63+6.5</f>
        <v>7.8</v>
      </c>
      <c r="AP63" s="143" t="e">
        <f t="shared" ca="1" si="2"/>
        <v>#NAME?</v>
      </c>
      <c r="AQ63" s="23">
        <v>1</v>
      </c>
    </row>
    <row r="64" spans="6:46" x14ac:dyDescent="0.25">
      <c r="F64" s="135">
        <f>'[4]RSI curves'!F64+6.5</f>
        <v>7.95</v>
      </c>
      <c r="G64" s="143" t="e">
        <f t="shared" ca="1" si="0"/>
        <v>#NAME?</v>
      </c>
      <c r="H64" s="23">
        <v>0.96666666666666656</v>
      </c>
      <c r="Z64" s="141">
        <f>'[4]RSI curves'!Z64+6.5</f>
        <v>7.9</v>
      </c>
      <c r="AA64" s="143" t="e">
        <f t="shared" ca="1" si="1"/>
        <v>#NAME?</v>
      </c>
      <c r="AB64" s="23">
        <v>1</v>
      </c>
      <c r="AO64" s="142">
        <f>'[4]RSI curves'!AO64+6.5</f>
        <v>7.85</v>
      </c>
      <c r="AP64" s="143" t="e">
        <f t="shared" ca="1" si="2"/>
        <v>#NAME?</v>
      </c>
      <c r="AQ64" s="23">
        <v>1</v>
      </c>
    </row>
    <row r="65" spans="6:45" x14ac:dyDescent="0.25">
      <c r="F65" s="135">
        <f>'[4]RSI curves'!F65+6.5</f>
        <v>8</v>
      </c>
      <c r="G65" s="143" t="e">
        <f t="shared" ca="1" si="0"/>
        <v>#NAME?</v>
      </c>
      <c r="H65" s="23">
        <v>1</v>
      </c>
      <c r="Z65" s="141">
        <f>'[4]RSI curves'!Z65+6.5</f>
        <v>7.95</v>
      </c>
      <c r="AA65" s="143" t="e">
        <f t="shared" ca="1" si="1"/>
        <v>#NAME?</v>
      </c>
      <c r="AB65" s="23">
        <v>1</v>
      </c>
      <c r="AO65" s="142">
        <f>'[4]RSI curves'!AO65+6.5</f>
        <v>7.9</v>
      </c>
      <c r="AP65" s="143" t="e">
        <f t="shared" ca="1" si="2"/>
        <v>#NAME?</v>
      </c>
      <c r="AQ65" s="23">
        <v>1</v>
      </c>
    </row>
    <row r="66" spans="6:45" x14ac:dyDescent="0.25">
      <c r="F66" s="135">
        <f>'[4]RSI curves'!F66+6.5</f>
        <v>8.0500000000000007</v>
      </c>
      <c r="G66" s="143" t="e">
        <f t="shared" ca="1" si="0"/>
        <v>#NAME?</v>
      </c>
      <c r="H66" s="23">
        <v>1</v>
      </c>
      <c r="J66" s="23" t="str">
        <f>[3]!xf4_Chart2D([3]!xf_Init()&amp;[3]!xf_ScaleX(,,,,FALSE)&amp;[3]!xf_ScaleY(,,,,FALSE),[3]!xf4_C2DFit(J67))</f>
        <v>#NoObject</v>
      </c>
      <c r="Z66" s="141">
        <f>'[4]RSI curves'!Z66+6.5</f>
        <v>8</v>
      </c>
      <c r="AA66" s="143" t="e">
        <f t="shared" ca="1" si="1"/>
        <v>#NAME?</v>
      </c>
      <c r="AB66" s="23">
        <v>1</v>
      </c>
      <c r="AO66" s="142">
        <f>'[4]RSI curves'!AO66+6.5</f>
        <v>7.95</v>
      </c>
      <c r="AP66" s="143" t="e">
        <f t="shared" ca="1" si="2"/>
        <v>#NAME?</v>
      </c>
      <c r="AQ66" s="23">
        <v>1</v>
      </c>
    </row>
    <row r="67" spans="6:45" x14ac:dyDescent="0.25">
      <c r="F67" s="135">
        <f>'[4]RSI curves'!F67+6.5</f>
        <v>8.1</v>
      </c>
      <c r="G67" s="143" t="e">
        <f t="shared" ca="1" si="0"/>
        <v>#NAME?</v>
      </c>
      <c r="H67" s="23">
        <v>1</v>
      </c>
      <c r="J67" s="23" t="str">
        <f>[3]!xf4_FitData("",[3]!xf4_SetModel("600"),[3]!xf4_SetParameters(0,FALSE,TRUE,100,FALSE,TRUE,1,FALSE,TRUE,1,FALSE,TRUE),[3]!xf4_SetData(,$F$35:$F$113,,$H$35:$H$113))</f>
        <v>#NoObject</v>
      </c>
      <c r="Z67" s="141">
        <f>'[4]RSI curves'!Z67+6.5</f>
        <v>9</v>
      </c>
      <c r="AA67" s="143" t="e">
        <f t="shared" ca="1" si="1"/>
        <v>#NAME?</v>
      </c>
      <c r="AB67" s="23">
        <v>1</v>
      </c>
      <c r="AO67" s="142">
        <f>'[4]RSI curves'!AO67+6.5</f>
        <v>8</v>
      </c>
      <c r="AP67" s="143" t="e">
        <f t="shared" ca="1" si="2"/>
        <v>#NAME?</v>
      </c>
      <c r="AQ67" s="23">
        <v>1</v>
      </c>
    </row>
    <row r="68" spans="6:45" x14ac:dyDescent="0.25">
      <c r="F68" s="135">
        <f>'[4]RSI curves'!F68+6.5</f>
        <v>8.15</v>
      </c>
      <c r="G68" s="143" t="e">
        <f t="shared" ca="1" si="0"/>
        <v>#NAME?</v>
      </c>
      <c r="H68" s="23">
        <v>1</v>
      </c>
      <c r="Z68" s="141">
        <f>'[4]RSI curves'!Z68+6.5</f>
        <v>10</v>
      </c>
      <c r="AA68" s="143" t="e">
        <f t="shared" ca="1" si="1"/>
        <v>#NAME?</v>
      </c>
      <c r="AB68" s="23">
        <v>1</v>
      </c>
      <c r="AO68" s="142">
        <f>'[4]RSI curves'!AO68+6.5</f>
        <v>9</v>
      </c>
      <c r="AP68" s="143" t="e">
        <f t="shared" ca="1" si="2"/>
        <v>#NAME?</v>
      </c>
      <c r="AQ68" s="23">
        <v>1</v>
      </c>
    </row>
    <row r="69" spans="6:45" x14ac:dyDescent="0.25">
      <c r="F69" s="135">
        <f>'[4]RSI curves'!F69+6.5</f>
        <v>8.1999999999999993</v>
      </c>
      <c r="G69" s="143" t="e">
        <f t="shared" ca="1" si="0"/>
        <v>#NAME?</v>
      </c>
      <c r="H69" s="23">
        <v>1</v>
      </c>
      <c r="Z69" s="141">
        <f>'[4]RSI curves'!Z69+6.5</f>
        <v>11</v>
      </c>
      <c r="AA69" s="143" t="e">
        <f t="shared" ca="1" si="1"/>
        <v>#NAME?</v>
      </c>
      <c r="AB69" s="23">
        <v>1</v>
      </c>
      <c r="AO69" s="142">
        <f>'[4]RSI curves'!AO69+6.5</f>
        <v>10</v>
      </c>
      <c r="AP69" s="143" t="e">
        <f t="shared" ca="1" si="2"/>
        <v>#NAME?</v>
      </c>
      <c r="AQ69" s="23">
        <v>1</v>
      </c>
    </row>
    <row r="70" spans="6:45" x14ac:dyDescent="0.25">
      <c r="F70" s="135">
        <f>'[4]RSI curves'!F70+6.5</f>
        <v>8.25</v>
      </c>
      <c r="G70" s="143" t="e">
        <f t="shared" ca="1" si="0"/>
        <v>#NAME?</v>
      </c>
      <c r="H70" s="23">
        <v>1</v>
      </c>
      <c r="Z70" s="141">
        <f>'[4]RSI curves'!Z70+6.5</f>
        <v>12</v>
      </c>
      <c r="AA70" s="143" t="e">
        <f t="shared" ca="1" si="1"/>
        <v>#NAME?</v>
      </c>
      <c r="AB70" s="23">
        <v>1</v>
      </c>
      <c r="AO70" s="142">
        <f>'[4]RSI curves'!AO70+6.5</f>
        <v>11</v>
      </c>
      <c r="AP70" s="143" t="e">
        <f t="shared" ca="1" si="2"/>
        <v>#NAME?</v>
      </c>
      <c r="AQ70" s="23">
        <v>1</v>
      </c>
    </row>
    <row r="71" spans="6:45" x14ac:dyDescent="0.25">
      <c r="F71" s="135">
        <f>'[4]RSI curves'!F71+6.5</f>
        <v>8.3000000000000007</v>
      </c>
      <c r="G71" s="143" t="e">
        <f t="shared" ca="1" si="0"/>
        <v>#NAME?</v>
      </c>
      <c r="H71" s="23">
        <v>1</v>
      </c>
      <c r="Z71" s="141">
        <f>'[4]RSI curves'!Z71+6.5</f>
        <v>13</v>
      </c>
      <c r="AA71" s="143" t="e">
        <f t="shared" ca="1" si="1"/>
        <v>#NAME?</v>
      </c>
      <c r="AB71" s="23">
        <v>1</v>
      </c>
      <c r="AO71" s="142">
        <f>'[4]RSI curves'!AO71+6.5</f>
        <v>12</v>
      </c>
      <c r="AP71" s="143" t="e">
        <f t="shared" ca="1" si="2"/>
        <v>#NAME?</v>
      </c>
      <c r="AQ71" s="23">
        <v>1</v>
      </c>
    </row>
    <row r="72" spans="6:45" x14ac:dyDescent="0.25">
      <c r="F72" s="135">
        <f>'[4]RSI curves'!F72+6.5</f>
        <v>8.35</v>
      </c>
      <c r="G72" s="143" t="e">
        <f t="shared" ca="1" si="0"/>
        <v>#NAME?</v>
      </c>
      <c r="H72" s="23">
        <v>1</v>
      </c>
      <c r="Z72" s="141">
        <f>'[4]RSI curves'!Z72+6.5</f>
        <v>14</v>
      </c>
      <c r="AA72" s="143" t="e">
        <f t="shared" ca="1" si="1"/>
        <v>#NAME?</v>
      </c>
      <c r="AB72" s="23">
        <v>1</v>
      </c>
      <c r="AO72" s="142">
        <f>'[4]RSI curves'!AO72+6.5</f>
        <v>13</v>
      </c>
      <c r="AP72" s="143" t="e">
        <f t="shared" ca="1" si="2"/>
        <v>#NAME?</v>
      </c>
      <c r="AQ72" s="23">
        <v>1</v>
      </c>
      <c r="AS72" s="23" t="str">
        <f>[3]!xf4_FitData("",[3]!xf4_SetModel("600"),[3]!xf4_SetParameters(0,FALSE,TRUE,100,FALSE,TRUE,1,FALSE,TRUE,1,FALSE,TRUE),[3]!xf4_SetData(,$AO$37:$AO$76,,$AQ$37:$AQ$76))</f>
        <v>#NoObject</v>
      </c>
    </row>
    <row r="73" spans="6:45" x14ac:dyDescent="0.25">
      <c r="F73" s="135">
        <f>'[4]RSI curves'!F73+6.5</f>
        <v>8.4</v>
      </c>
      <c r="G73" s="143" t="e">
        <f t="shared" ca="1" si="0"/>
        <v>#NAME?</v>
      </c>
      <c r="H73" s="23">
        <v>1</v>
      </c>
      <c r="Z73" s="141">
        <f>'[4]RSI curves'!Z73+6.5</f>
        <v>15</v>
      </c>
      <c r="AA73" s="143" t="e">
        <f t="shared" ca="1" si="1"/>
        <v>#NAME?</v>
      </c>
      <c r="AB73" s="23">
        <v>1</v>
      </c>
      <c r="AO73" s="142">
        <f>'[4]RSI curves'!AO73+6.5</f>
        <v>14</v>
      </c>
      <c r="AP73" s="143" t="e">
        <f t="shared" ca="1" si="2"/>
        <v>#NAME?</v>
      </c>
      <c r="AQ73" s="23">
        <v>1</v>
      </c>
    </row>
    <row r="74" spans="6:45" x14ac:dyDescent="0.25">
      <c r="F74" s="135">
        <f>'[4]RSI curves'!F74+6.5</f>
        <v>8.4499999999999993</v>
      </c>
      <c r="G74" s="143" t="e">
        <f t="shared" ca="1" si="0"/>
        <v>#NAME?</v>
      </c>
      <c r="H74" s="23">
        <v>1</v>
      </c>
      <c r="Z74" s="141">
        <f>'[4]RSI curves'!Z74+6.5</f>
        <v>16</v>
      </c>
      <c r="AA74" s="143" t="e">
        <f t="shared" ca="1" si="1"/>
        <v>#NAME?</v>
      </c>
      <c r="AB74" s="23">
        <v>1</v>
      </c>
      <c r="AO74" s="142">
        <f>'[4]RSI curves'!AO74+6.5</f>
        <v>15</v>
      </c>
      <c r="AP74" s="143" t="e">
        <f t="shared" ca="1" si="2"/>
        <v>#NAME?</v>
      </c>
      <c r="AQ74" s="23">
        <v>1</v>
      </c>
    </row>
    <row r="75" spans="6:45" x14ac:dyDescent="0.25">
      <c r="F75" s="135">
        <f>'[4]RSI curves'!F75+6.5</f>
        <v>8.5</v>
      </c>
      <c r="G75" s="143" t="e">
        <f t="shared" ca="1" si="0"/>
        <v>#NAME?</v>
      </c>
      <c r="H75" s="23">
        <v>1</v>
      </c>
      <c r="Z75" s="141">
        <f>'[4]RSI curves'!Z75+6.5</f>
        <v>17</v>
      </c>
      <c r="AA75" s="143" t="e">
        <f t="shared" ca="1" si="1"/>
        <v>#NAME?</v>
      </c>
      <c r="AB75" s="23">
        <v>1</v>
      </c>
      <c r="AO75" s="142">
        <f>'[4]RSI curves'!AO75+6.5</f>
        <v>16</v>
      </c>
      <c r="AP75" s="143" t="e">
        <f t="shared" ca="1" si="2"/>
        <v>#NAME?</v>
      </c>
      <c r="AQ75" s="23">
        <v>1</v>
      </c>
    </row>
    <row r="76" spans="6:45" x14ac:dyDescent="0.25">
      <c r="F76" s="135">
        <f>'[4]RSI curves'!F76+6.5</f>
        <v>9.5</v>
      </c>
      <c r="G76" s="143" t="e">
        <f t="shared" ca="1" si="0"/>
        <v>#NAME?</v>
      </c>
      <c r="H76" s="23">
        <v>1</v>
      </c>
      <c r="Z76" s="141">
        <f>'[4]RSI curves'!Z76+6.5</f>
        <v>18</v>
      </c>
      <c r="AA76" s="143" t="e">
        <f t="shared" ca="1" si="1"/>
        <v>#NAME?</v>
      </c>
      <c r="AB76" s="23">
        <v>1</v>
      </c>
      <c r="AO76" s="142">
        <f>'[4]RSI curves'!AO76+6.5</f>
        <v>17</v>
      </c>
      <c r="AP76" s="143" t="e">
        <f t="shared" ca="1" si="2"/>
        <v>#NAME?</v>
      </c>
      <c r="AQ76" s="23">
        <v>1</v>
      </c>
    </row>
    <row r="77" spans="6:45" x14ac:dyDescent="0.25">
      <c r="F77" s="135">
        <f>'[4]RSI curves'!F77+6.5</f>
        <v>10.5</v>
      </c>
      <c r="G77" s="143" t="e">
        <f t="shared" ca="1" si="0"/>
        <v>#NAME?</v>
      </c>
      <c r="H77" s="23">
        <v>1</v>
      </c>
      <c r="Z77" s="141">
        <f>'[4]RSI curves'!Z77+6.5</f>
        <v>19</v>
      </c>
      <c r="AA77" s="143" t="e">
        <f t="shared" ca="1" si="1"/>
        <v>#NAME?</v>
      </c>
      <c r="AB77" s="23">
        <v>1</v>
      </c>
    </row>
    <row r="78" spans="6:45" x14ac:dyDescent="0.25">
      <c r="F78" s="135">
        <f>'[4]RSI curves'!F78+6.5</f>
        <v>11.5</v>
      </c>
      <c r="G78" s="143" t="e">
        <f t="shared" ca="1" si="0"/>
        <v>#NAME?</v>
      </c>
      <c r="H78" s="23">
        <v>1</v>
      </c>
      <c r="Z78" s="141">
        <f>'[4]RSI curves'!Z78+6.5</f>
        <v>20</v>
      </c>
      <c r="AA78" s="143" t="e">
        <f t="shared" ca="1" si="1"/>
        <v>#NAME?</v>
      </c>
      <c r="AB78" s="23">
        <v>1</v>
      </c>
    </row>
    <row r="79" spans="6:45" x14ac:dyDescent="0.25">
      <c r="F79" s="135">
        <f>'[4]RSI curves'!F79+6.5</f>
        <v>12.5</v>
      </c>
      <c r="G79" s="143" t="e">
        <f t="shared" ca="1" si="0"/>
        <v>#NAME?</v>
      </c>
      <c r="H79" s="23">
        <v>1</v>
      </c>
      <c r="Z79" s="141">
        <f>'[4]RSI curves'!Z79+6.5</f>
        <v>21</v>
      </c>
      <c r="AA79" s="143" t="e">
        <f t="shared" ca="1" si="1"/>
        <v>#NAME?</v>
      </c>
      <c r="AB79" s="23">
        <v>1</v>
      </c>
    </row>
    <row r="80" spans="6:45" x14ac:dyDescent="0.25">
      <c r="F80" s="135">
        <f>'[4]RSI curves'!F80+6.5</f>
        <v>13.5</v>
      </c>
      <c r="G80" s="143" t="e">
        <f t="shared" ca="1" si="0"/>
        <v>#NAME?</v>
      </c>
      <c r="H80" s="23">
        <v>1</v>
      </c>
      <c r="Z80" s="141">
        <f>'[4]RSI curves'!Z80+6.5</f>
        <v>22</v>
      </c>
      <c r="AA80" s="143" t="e">
        <f t="shared" ca="1" si="1"/>
        <v>#NAME?</v>
      </c>
      <c r="AB80" s="23">
        <v>1</v>
      </c>
    </row>
    <row r="81" spans="6:28" x14ac:dyDescent="0.25">
      <c r="F81" s="135">
        <f>'[4]RSI curves'!F81+6.5</f>
        <v>14.5</v>
      </c>
      <c r="G81" s="143" t="e">
        <f t="shared" ca="1" si="0"/>
        <v>#NAME?</v>
      </c>
      <c r="H81" s="23">
        <v>1</v>
      </c>
      <c r="Z81" s="141">
        <f>'[4]RSI curves'!Z81+6.5</f>
        <v>23</v>
      </c>
      <c r="AA81" s="143" t="e">
        <f t="shared" ca="1" si="1"/>
        <v>#NAME?</v>
      </c>
      <c r="AB81" s="23">
        <v>1</v>
      </c>
    </row>
    <row r="82" spans="6:28" x14ac:dyDescent="0.25">
      <c r="F82" s="135">
        <f>'[4]RSI curves'!F82+6.5</f>
        <v>15.5</v>
      </c>
      <c r="G82" s="143" t="e">
        <f t="shared" ca="1" si="0"/>
        <v>#NAME?</v>
      </c>
      <c r="H82" s="23">
        <v>1</v>
      </c>
      <c r="Z82" s="141">
        <f>'[4]RSI curves'!Z82+6.5</f>
        <v>24</v>
      </c>
      <c r="AA82" s="143" t="e">
        <f t="shared" ca="1" si="1"/>
        <v>#NAME?</v>
      </c>
      <c r="AB82" s="23">
        <v>1</v>
      </c>
    </row>
    <row r="83" spans="6:28" x14ac:dyDescent="0.25">
      <c r="F83" s="135">
        <f>'[4]RSI curves'!F83+6.5</f>
        <v>16.5</v>
      </c>
      <c r="G83" s="143" t="e">
        <f t="shared" ca="1" si="0"/>
        <v>#NAME?</v>
      </c>
      <c r="H83" s="23">
        <v>1</v>
      </c>
      <c r="Z83" s="141">
        <f>'[4]RSI curves'!Z83+6.5</f>
        <v>25</v>
      </c>
      <c r="AA83" s="143" t="e">
        <f t="shared" ca="1" si="1"/>
        <v>#NAME?</v>
      </c>
      <c r="AB83" s="23">
        <v>1</v>
      </c>
    </row>
    <row r="84" spans="6:28" x14ac:dyDescent="0.25">
      <c r="F84" s="135">
        <f>'[4]RSI curves'!F84+6.5</f>
        <v>17.5</v>
      </c>
      <c r="G84" s="143" t="e">
        <f t="shared" ca="1" si="0"/>
        <v>#NAME?</v>
      </c>
      <c r="H84" s="23">
        <v>1</v>
      </c>
      <c r="Z84" s="141">
        <f>'[4]RSI curves'!Z84+6.5</f>
        <v>26</v>
      </c>
      <c r="AA84" s="143" t="e">
        <f t="shared" ca="1" si="1"/>
        <v>#NAME?</v>
      </c>
      <c r="AB84" s="23">
        <v>1</v>
      </c>
    </row>
    <row r="85" spans="6:28" x14ac:dyDescent="0.25">
      <c r="F85" s="135">
        <f>'[4]RSI curves'!F85+6.5</f>
        <v>18.5</v>
      </c>
      <c r="G85" s="143" t="e">
        <f t="shared" ca="1" si="0"/>
        <v>#NAME?</v>
      </c>
      <c r="H85" s="23">
        <v>1</v>
      </c>
    </row>
    <row r="86" spans="6:28" x14ac:dyDescent="0.25">
      <c r="F86" s="135">
        <f>'[4]RSI curves'!F86+6.5</f>
        <v>19.5</v>
      </c>
      <c r="G86" s="143" t="e">
        <f t="shared" ca="1" si="0"/>
        <v>#NAME?</v>
      </c>
      <c r="H86" s="23">
        <v>1</v>
      </c>
    </row>
    <row r="87" spans="6:28" x14ac:dyDescent="0.25">
      <c r="F87" s="135">
        <f>'[4]RSI curves'!F87+6.5</f>
        <v>20.5</v>
      </c>
      <c r="G87" s="143" t="e">
        <f t="shared" ca="1" si="0"/>
        <v>#NAME?</v>
      </c>
      <c r="H87" s="23">
        <v>1</v>
      </c>
    </row>
    <row r="88" spans="6:28" x14ac:dyDescent="0.25">
      <c r="F88" s="135">
        <f>'[4]RSI curves'!F88+6.5</f>
        <v>21.5</v>
      </c>
      <c r="G88" s="143" t="e">
        <f t="shared" ca="1" si="0"/>
        <v>#NAME?</v>
      </c>
      <c r="H88" s="23">
        <v>1</v>
      </c>
    </row>
    <row r="89" spans="6:28" x14ac:dyDescent="0.25">
      <c r="F89" s="135">
        <f>'[4]RSI curves'!F89+6.5</f>
        <v>22.5</v>
      </c>
      <c r="G89" s="143" t="e">
        <f t="shared" ca="1" si="0"/>
        <v>#NAME?</v>
      </c>
      <c r="H89" s="23">
        <v>1</v>
      </c>
    </row>
    <row r="90" spans="6:28" x14ac:dyDescent="0.25">
      <c r="F90" s="135">
        <f>'[4]RSI curves'!F90+6.5</f>
        <v>23.5</v>
      </c>
      <c r="G90" s="143" t="e">
        <f t="shared" ca="1" si="0"/>
        <v>#NAME?</v>
      </c>
      <c r="H90" s="23">
        <v>1</v>
      </c>
    </row>
    <row r="91" spans="6:28" x14ac:dyDescent="0.25">
      <c r="F91" s="135">
        <f>'[4]RSI curves'!F91+6.5</f>
        <v>24.5</v>
      </c>
      <c r="G91" s="143" t="e">
        <f t="shared" ca="1" si="0"/>
        <v>#NAME?</v>
      </c>
      <c r="H91" s="23">
        <v>1</v>
      </c>
    </row>
    <row r="92" spans="6:28" x14ac:dyDescent="0.25">
      <c r="F92" s="135">
        <f>'[4]RSI curves'!F92+6.5</f>
        <v>25.5</v>
      </c>
      <c r="G92" s="143" t="e">
        <f t="shared" ca="1" si="0"/>
        <v>#NAME?</v>
      </c>
      <c r="H92" s="23">
        <v>1</v>
      </c>
    </row>
    <row r="93" spans="6:28" x14ac:dyDescent="0.25">
      <c r="F93" s="135">
        <f>'[4]RSI curves'!F93+6.5</f>
        <v>26.5</v>
      </c>
      <c r="G93" s="143" t="e">
        <f t="shared" ca="1" si="0"/>
        <v>#NAME?</v>
      </c>
      <c r="H93" s="23">
        <v>1</v>
      </c>
    </row>
    <row r="94" spans="6:28" x14ac:dyDescent="0.25">
      <c r="F94" s="135">
        <f>'[4]RSI curves'!F94+6.5</f>
        <v>27.5</v>
      </c>
      <c r="G94" s="143" t="e">
        <f t="shared" ca="1" si="0"/>
        <v>#NAME?</v>
      </c>
      <c r="H94" s="23">
        <v>1</v>
      </c>
    </row>
    <row r="95" spans="6:28" x14ac:dyDescent="0.25">
      <c r="F95" s="135">
        <f>'[4]RSI curves'!F95+6.5</f>
        <v>28.5</v>
      </c>
      <c r="G95" s="143" t="e">
        <f t="shared" ca="1" si="0"/>
        <v>#NAME?</v>
      </c>
      <c r="H95" s="23">
        <v>1</v>
      </c>
    </row>
    <row r="96" spans="6:28" x14ac:dyDescent="0.25">
      <c r="F96" s="135">
        <f>'[4]RSI curves'!F96+6.5</f>
        <v>29.5</v>
      </c>
      <c r="G96" s="143" t="e">
        <f t="shared" ca="1" si="0"/>
        <v>#NAME?</v>
      </c>
      <c r="H96" s="23">
        <v>1</v>
      </c>
    </row>
    <row r="97" spans="6:8" x14ac:dyDescent="0.25">
      <c r="F97" s="135">
        <f>'[4]RSI curves'!F97+6.5</f>
        <v>30.5</v>
      </c>
      <c r="G97" s="143" t="e">
        <f t="shared" ca="1" si="0"/>
        <v>#NAME?</v>
      </c>
      <c r="H97" s="23">
        <v>1</v>
      </c>
    </row>
    <row r="98" spans="6:8" x14ac:dyDescent="0.25">
      <c r="F98" s="135">
        <f>'[4]RSI curves'!F98+6.5</f>
        <v>31.5</v>
      </c>
      <c r="G98" s="143" t="e">
        <f t="shared" ca="1" si="0"/>
        <v>#NAME?</v>
      </c>
      <c r="H98" s="23">
        <v>1</v>
      </c>
    </row>
    <row r="99" spans="6:8" x14ac:dyDescent="0.25">
      <c r="F99" s="135">
        <f>'[4]RSI curves'!F99+6.5</f>
        <v>32.5</v>
      </c>
      <c r="G99" s="143" t="e">
        <f t="shared" ca="1" si="0"/>
        <v>#NAME?</v>
      </c>
      <c r="H99" s="23">
        <v>1</v>
      </c>
    </row>
    <row r="100" spans="6:8" x14ac:dyDescent="0.25">
      <c r="F100" s="135">
        <f>'[4]RSI curves'!F100+6.5</f>
        <v>33.5</v>
      </c>
      <c r="G100" s="143" t="e">
        <f t="shared" ref="G100:G113" ca="1" si="3">PieceWiseLinInt(F100, $B$34:$B$35, $A$34:$A$35, FALSE, FALSE)</f>
        <v>#NAME?</v>
      </c>
      <c r="H100" s="23">
        <v>1</v>
      </c>
    </row>
    <row r="101" spans="6:8" x14ac:dyDescent="0.25">
      <c r="F101" s="135">
        <f>'[4]RSI curves'!F101+6.5</f>
        <v>34.5</v>
      </c>
      <c r="G101" s="143" t="e">
        <f t="shared" ca="1" si="3"/>
        <v>#NAME?</v>
      </c>
      <c r="H101" s="23">
        <v>1</v>
      </c>
    </row>
    <row r="102" spans="6:8" x14ac:dyDescent="0.25">
      <c r="F102" s="135">
        <f>'[4]RSI curves'!F102+6.5</f>
        <v>35.5</v>
      </c>
      <c r="G102" s="143" t="e">
        <f t="shared" ca="1" si="3"/>
        <v>#NAME?</v>
      </c>
      <c r="H102" s="23">
        <v>1</v>
      </c>
    </row>
    <row r="103" spans="6:8" x14ac:dyDescent="0.25">
      <c r="F103" s="135">
        <f>'[4]RSI curves'!F103+6.5</f>
        <v>36.5</v>
      </c>
      <c r="G103" s="143" t="e">
        <f t="shared" ca="1" si="3"/>
        <v>#NAME?</v>
      </c>
      <c r="H103" s="23">
        <v>1</v>
      </c>
    </row>
    <row r="104" spans="6:8" x14ac:dyDescent="0.25">
      <c r="F104" s="135">
        <f>'[4]RSI curves'!F104+6.5</f>
        <v>37.5</v>
      </c>
      <c r="G104" s="143" t="e">
        <f t="shared" ca="1" si="3"/>
        <v>#NAME?</v>
      </c>
      <c r="H104" s="23">
        <v>1</v>
      </c>
    </row>
    <row r="105" spans="6:8" x14ac:dyDescent="0.25">
      <c r="F105" s="135">
        <f>'[4]RSI curves'!F105+6.5</f>
        <v>38.5</v>
      </c>
      <c r="G105" s="143" t="e">
        <f t="shared" ca="1" si="3"/>
        <v>#NAME?</v>
      </c>
      <c r="H105" s="23">
        <v>1</v>
      </c>
    </row>
    <row r="106" spans="6:8" x14ac:dyDescent="0.25">
      <c r="F106" s="135">
        <f>'[4]RSI curves'!F106+6.5</f>
        <v>39.5</v>
      </c>
      <c r="G106" s="143" t="e">
        <f t="shared" ca="1" si="3"/>
        <v>#NAME?</v>
      </c>
      <c r="H106" s="23">
        <v>1</v>
      </c>
    </row>
    <row r="107" spans="6:8" x14ac:dyDescent="0.25">
      <c r="F107" s="135">
        <f>'[4]RSI curves'!F107+6.5</f>
        <v>40.5</v>
      </c>
      <c r="G107" s="143" t="e">
        <f t="shared" ca="1" si="3"/>
        <v>#NAME?</v>
      </c>
      <c r="H107" s="23">
        <v>1</v>
      </c>
    </row>
    <row r="108" spans="6:8" x14ac:dyDescent="0.25">
      <c r="F108" s="135">
        <f>'[4]RSI curves'!F108+6.5</f>
        <v>41.5</v>
      </c>
      <c r="G108" s="143" t="e">
        <f t="shared" ca="1" si="3"/>
        <v>#NAME?</v>
      </c>
      <c r="H108" s="23">
        <v>1</v>
      </c>
    </row>
    <row r="109" spans="6:8" x14ac:dyDescent="0.25">
      <c r="F109" s="135">
        <f>'[4]RSI curves'!F109+6.5</f>
        <v>42.5</v>
      </c>
      <c r="G109" s="143" t="e">
        <f t="shared" ca="1" si="3"/>
        <v>#NAME?</v>
      </c>
      <c r="H109" s="23">
        <v>1</v>
      </c>
    </row>
    <row r="110" spans="6:8" x14ac:dyDescent="0.25">
      <c r="F110" s="135">
        <f>'[4]RSI curves'!F110+6.5</f>
        <v>43.5</v>
      </c>
      <c r="G110" s="143" t="e">
        <f t="shared" ca="1" si="3"/>
        <v>#NAME?</v>
      </c>
      <c r="H110" s="23">
        <v>1</v>
      </c>
    </row>
    <row r="111" spans="6:8" x14ac:dyDescent="0.25">
      <c r="F111" s="135">
        <f>'[4]RSI curves'!F111+6.5</f>
        <v>44.5</v>
      </c>
      <c r="G111" s="143" t="e">
        <f t="shared" ca="1" si="3"/>
        <v>#NAME?</v>
      </c>
      <c r="H111" s="23">
        <v>1</v>
      </c>
    </row>
    <row r="112" spans="6:8" x14ac:dyDescent="0.25">
      <c r="F112" s="135">
        <f>'[4]RSI curves'!F112+6.5</f>
        <v>45.5</v>
      </c>
      <c r="G112" s="143" t="e">
        <f t="shared" ca="1" si="3"/>
        <v>#NAME?</v>
      </c>
      <c r="H112" s="23">
        <v>1</v>
      </c>
    </row>
    <row r="113" spans="6:8" x14ac:dyDescent="0.25">
      <c r="F113" s="135">
        <f>'[4]RSI curves'!F113+6.5</f>
        <v>46.5</v>
      </c>
      <c r="G113" s="143" t="e">
        <f t="shared" ca="1" si="3"/>
        <v>#NAME?</v>
      </c>
      <c r="H113" s="23">
        <v>1</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IDBS_XLfitContainer.XFCObjectRepository" shapeId="129025" r:id="rId4">
          <objectPr defaultSize="0" r:id="rId5">
            <anchor moveWithCells="1">
              <from>
                <xdr:col>10</xdr:col>
                <xdr:colOff>0</xdr:colOff>
                <xdr:row>41</xdr:row>
                <xdr:rowOff>0</xdr:rowOff>
              </from>
              <to>
                <xdr:col>12</xdr:col>
                <xdr:colOff>438150</xdr:colOff>
                <xdr:row>50</xdr:row>
                <xdr:rowOff>114300</xdr:rowOff>
              </to>
            </anchor>
          </objectPr>
        </oleObject>
      </mc:Choice>
      <mc:Fallback>
        <oleObject progId="IDBS_XLfitContainer.XFCObjectRepository" shapeId="129025" r:id="rId4"/>
      </mc:Fallback>
    </mc:AlternateContent>
    <mc:AlternateContent xmlns:mc="http://schemas.openxmlformats.org/markup-compatibility/2006">
      <mc:Choice Requires="x14">
        <oleObject progId="IDBS_MathIQ.Chart2DObj" shapeId="129026" r:id="rId6">
          <objectPr locked="0" defaultSize="0" autoLine="0" autoPict="0" r:id="rId7">
            <anchor moveWithCells="1">
              <from>
                <xdr:col>13</xdr:col>
                <xdr:colOff>495300</xdr:colOff>
                <xdr:row>58</xdr:row>
                <xdr:rowOff>66675</xdr:rowOff>
              </from>
              <to>
                <xdr:col>20</xdr:col>
                <xdr:colOff>38100</xdr:colOff>
                <xdr:row>71</xdr:row>
                <xdr:rowOff>133350</xdr:rowOff>
              </to>
            </anchor>
          </objectPr>
        </oleObject>
      </mc:Choice>
      <mc:Fallback>
        <oleObject progId="IDBS_MathIQ.Chart2DObj" shapeId="129026" r:id="rId6"/>
      </mc:Fallback>
    </mc:AlternateContent>
    <mc:AlternateContent xmlns:mc="http://schemas.openxmlformats.org/markup-compatibility/2006">
      <mc:Choice Requires="x14">
        <oleObject progId="IDBS_MathIQ.Chart2DObj" shapeId="129027" r:id="rId8">
          <objectPr locked="0" defaultSize="0" autoLine="0" autoPict="0" r:id="rId9">
            <anchor moveWithCells="1">
              <from>
                <xdr:col>48</xdr:col>
                <xdr:colOff>0</xdr:colOff>
                <xdr:row>38</xdr:row>
                <xdr:rowOff>0</xdr:rowOff>
              </from>
              <to>
                <xdr:col>54</xdr:col>
                <xdr:colOff>152400</xdr:colOff>
                <xdr:row>51</xdr:row>
                <xdr:rowOff>66675</xdr:rowOff>
              </to>
            </anchor>
          </objectPr>
        </oleObject>
      </mc:Choice>
      <mc:Fallback>
        <oleObject progId="IDBS_MathIQ.Chart2DObj" shapeId="129027" r:id="rId8"/>
      </mc:Fallback>
    </mc:AlternateContent>
  </oleObjects>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7">
    <tabColor theme="7" tint="0.39997558519241921"/>
  </sheetPr>
  <dimension ref="A1:O65"/>
  <sheetViews>
    <sheetView topLeftCell="A8" zoomScale="55" zoomScaleNormal="55" workbookViewId="0">
      <selection activeCell="G31" sqref="G31"/>
    </sheetView>
  </sheetViews>
  <sheetFormatPr defaultColWidth="9.125" defaultRowHeight="15" x14ac:dyDescent="0.25"/>
  <cols>
    <col min="1" max="6" width="9.125" style="23"/>
    <col min="7" max="7" width="30.625" style="23" bestFit="1" customWidth="1"/>
    <col min="8" max="16384" width="9.125" style="23"/>
  </cols>
  <sheetData>
    <row r="1" spans="1:14" x14ac:dyDescent="0.25">
      <c r="A1" s="145" t="s">
        <v>292</v>
      </c>
      <c r="B1" s="145"/>
    </row>
    <row r="2" spans="1:14" x14ac:dyDescent="0.25">
      <c r="A2" s="145" t="s">
        <v>293</v>
      </c>
      <c r="B2" s="145" t="s">
        <v>294</v>
      </c>
      <c r="E2" s="146" t="s">
        <v>295</v>
      </c>
      <c r="F2" s="146">
        <v>150</v>
      </c>
    </row>
    <row r="3" spans="1:14" x14ac:dyDescent="0.25">
      <c r="A3" s="147">
        <v>0</v>
      </c>
      <c r="B3" s="147">
        <v>0.2</v>
      </c>
    </row>
    <row r="4" spans="1:14" x14ac:dyDescent="0.25">
      <c r="A4" s="147">
        <v>10</v>
      </c>
      <c r="B4" s="147">
        <v>0.2</v>
      </c>
    </row>
    <row r="5" spans="1:14" x14ac:dyDescent="0.25">
      <c r="A5" s="147">
        <v>50</v>
      </c>
      <c r="B5" s="147">
        <v>0.2</v>
      </c>
    </row>
    <row r="6" spans="1:14" x14ac:dyDescent="0.25">
      <c r="A6" s="147">
        <v>100</v>
      </c>
      <c r="B6" s="147">
        <v>0.2</v>
      </c>
    </row>
    <row r="7" spans="1:14" x14ac:dyDescent="0.25">
      <c r="A7" s="147">
        <v>149</v>
      </c>
      <c r="B7" s="147">
        <v>0.2</v>
      </c>
    </row>
    <row r="8" spans="1:14" x14ac:dyDescent="0.25">
      <c r="A8" s="147">
        <v>150</v>
      </c>
      <c r="B8" s="147">
        <v>1</v>
      </c>
    </row>
    <row r="9" spans="1:14" x14ac:dyDescent="0.25">
      <c r="A9" s="147">
        <v>160</v>
      </c>
      <c r="B9" s="147">
        <v>1</v>
      </c>
    </row>
    <row r="10" spans="1:14" x14ac:dyDescent="0.25">
      <c r="A10" s="147">
        <v>200</v>
      </c>
      <c r="B10" s="147">
        <v>1</v>
      </c>
    </row>
    <row r="16" spans="1:14" x14ac:dyDescent="0.25">
      <c r="J16" s="23" t="s">
        <v>282</v>
      </c>
      <c r="N16" s="23" t="s">
        <v>291</v>
      </c>
    </row>
    <row r="17" spans="4:15" x14ac:dyDescent="0.25">
      <c r="G17" s="23" t="s">
        <v>296</v>
      </c>
      <c r="J17" s="134" t="s">
        <v>284</v>
      </c>
      <c r="K17" s="134" t="str">
        <f>[3]!xf4_ParameterValue(D18,1)</f>
        <v>#N/A</v>
      </c>
      <c r="N17" s="23" t="s">
        <v>284</v>
      </c>
      <c r="O17" s="23">
        <v>0.1999999999999994</v>
      </c>
    </row>
    <row r="18" spans="4:15" x14ac:dyDescent="0.25">
      <c r="D18" s="23" t="str">
        <f>[3]!xf4_FitData("",[3]!xf4_SetModel("600"),[3]!xf4_SetParameters(0,FALSE,TRUE,100,FALSE,TRUE,1,FALSE,TRUE,1,FALSE,TRUE),[3]!xf4_SetData(,$A$3:$A$10,,$B$3:$B$10))</f>
        <v>#NoObject</v>
      </c>
      <c r="J18" s="134" t="s">
        <v>285</v>
      </c>
      <c r="K18" s="134" t="str">
        <f>[3]!xf4_ParameterValue(D18,2)</f>
        <v>#N/A</v>
      </c>
      <c r="N18" s="23" t="s">
        <v>285</v>
      </c>
      <c r="O18" s="23">
        <v>0.99999999979999998</v>
      </c>
    </row>
    <row r="19" spans="4:15" x14ac:dyDescent="0.25">
      <c r="G19" s="134" t="s">
        <v>275</v>
      </c>
      <c r="J19" s="134" t="s">
        <v>287</v>
      </c>
      <c r="K19" s="134" t="str">
        <f>[3]!xf4_ParameterValue(D18,3)</f>
        <v>#N/A</v>
      </c>
      <c r="N19" s="23" t="s">
        <v>287</v>
      </c>
      <c r="O19" s="23">
        <v>131.97032606719478</v>
      </c>
    </row>
    <row r="20" spans="4:15" x14ac:dyDescent="0.25">
      <c r="G20" s="134" t="s">
        <v>276</v>
      </c>
      <c r="J20" s="134" t="s">
        <v>289</v>
      </c>
      <c r="K20" s="134" t="str">
        <f>[3]!xf4_ParameterValue(D18,4)</f>
        <v>#N/A</v>
      </c>
      <c r="N20" s="23" t="s">
        <v>289</v>
      </c>
      <c r="O20" s="23">
        <v>1.2425192819433315</v>
      </c>
    </row>
    <row r="21" spans="4:15" x14ac:dyDescent="0.25">
      <c r="D21" s="23" t="str">
        <f>[3]!xf4_Chart2D([3]!xf_Init()&amp;[3]!xf_ScaleX(,,,,FALSE)&amp;[3]!xf_ScaleY(,,,,FALSE),[3]!xf4_C2DFit(D18))</f>
        <v>#NoObject</v>
      </c>
      <c r="G21" s="134" t="s">
        <v>277</v>
      </c>
    </row>
    <row r="25" spans="4:15" x14ac:dyDescent="0.25">
      <c r="J25" s="134" t="s">
        <v>293</v>
      </c>
      <c r="K25" s="134">
        <v>200</v>
      </c>
      <c r="N25" s="23" t="s">
        <v>293</v>
      </c>
      <c r="O25" s="23">
        <v>20</v>
      </c>
    </row>
    <row r="26" spans="4:15" x14ac:dyDescent="0.25">
      <c r="J26" s="134" t="s">
        <v>294</v>
      </c>
      <c r="K26" s="134" t="e">
        <f>(K17+((K18-K17)/(1+EXP((K19-K25)/K20))))</f>
        <v>#VALUE!</v>
      </c>
      <c r="N26" s="23" t="s">
        <v>294</v>
      </c>
      <c r="O26" s="134">
        <f>(O17+((O18-O17)/(1+EXP((O19-O25)/O20))))</f>
        <v>0.1999999999999994</v>
      </c>
    </row>
    <row r="35" spans="1:15" x14ac:dyDescent="0.25">
      <c r="A35" s="145" t="s">
        <v>297</v>
      </c>
      <c r="B35" s="145"/>
      <c r="J35" s="23" t="s">
        <v>282</v>
      </c>
      <c r="N35" s="23" t="s">
        <v>291</v>
      </c>
    </row>
    <row r="36" spans="1:15" x14ac:dyDescent="0.25">
      <c r="A36" s="145" t="s">
        <v>293</v>
      </c>
      <c r="B36" s="145" t="s">
        <v>294</v>
      </c>
      <c r="E36" s="146" t="s">
        <v>295</v>
      </c>
      <c r="F36" s="146">
        <v>60</v>
      </c>
      <c r="G36" s="23" t="s">
        <v>296</v>
      </c>
      <c r="J36" s="134" t="s">
        <v>284</v>
      </c>
      <c r="K36" s="134" t="str">
        <f>[3]!xf4_ParameterValue(D39,1)</f>
        <v>#N/A</v>
      </c>
      <c r="N36" s="23" t="s">
        <v>284</v>
      </c>
      <c r="O36" s="23">
        <v>0.20000019939102634</v>
      </c>
    </row>
    <row r="37" spans="1:15" x14ac:dyDescent="0.25">
      <c r="A37" s="147">
        <v>0</v>
      </c>
      <c r="B37" s="147">
        <v>0.2</v>
      </c>
      <c r="J37" s="134" t="s">
        <v>285</v>
      </c>
      <c r="K37" s="134" t="str">
        <f>[3]!xf4_ParameterValue(D39,2)</f>
        <v>#N/A</v>
      </c>
      <c r="N37" s="23" t="s">
        <v>285</v>
      </c>
      <c r="O37" s="23">
        <v>1.0000000909093745</v>
      </c>
    </row>
    <row r="38" spans="1:15" x14ac:dyDescent="0.25">
      <c r="A38" s="147">
        <v>10</v>
      </c>
      <c r="B38" s="147">
        <v>0.2</v>
      </c>
      <c r="G38" s="134" t="s">
        <v>275</v>
      </c>
      <c r="J38" s="134" t="s">
        <v>287</v>
      </c>
      <c r="K38" s="134" t="str">
        <f>[3]!xf4_ParameterValue(D39,3)</f>
        <v>#N/A</v>
      </c>
      <c r="N38" s="23" t="s">
        <v>287</v>
      </c>
      <c r="O38" s="23">
        <v>71.48348247148283</v>
      </c>
    </row>
    <row r="39" spans="1:15" x14ac:dyDescent="0.25">
      <c r="A39" s="147">
        <v>20</v>
      </c>
      <c r="B39" s="147">
        <v>0.2</v>
      </c>
      <c r="D39" s="23" t="str">
        <f>[3]!xf4_FitData("",[3]!xf4_SetModel("600"),[3]!xf4_SetParameters(0,FALSE,TRUE,100,FALSE,TRUE,120,FALSE,FALSE,1,FALSE,TRUE),[3]!xf4_SetData(,$A$37:$A$46,,$B$37:$B$46))</f>
        <v>#NoObject</v>
      </c>
      <c r="G39" s="134" t="s">
        <v>276</v>
      </c>
      <c r="J39" s="134" t="s">
        <v>289</v>
      </c>
      <c r="K39" s="134" t="str">
        <f>[3]!xf4_ParameterValue(D39,4)</f>
        <v>#N/A</v>
      </c>
      <c r="N39" s="23" t="s">
        <v>289</v>
      </c>
      <c r="O39" s="23">
        <v>3.4258338069546865</v>
      </c>
    </row>
    <row r="40" spans="1:15" x14ac:dyDescent="0.25">
      <c r="A40" s="147">
        <v>50</v>
      </c>
      <c r="B40" s="147">
        <v>0.2</v>
      </c>
      <c r="G40" s="134" t="s">
        <v>277</v>
      </c>
    </row>
    <row r="41" spans="1:15" x14ac:dyDescent="0.25">
      <c r="A41" s="147">
        <v>59</v>
      </c>
      <c r="B41" s="147">
        <v>0.2</v>
      </c>
    </row>
    <row r="42" spans="1:15" x14ac:dyDescent="0.25">
      <c r="A42" s="147">
        <v>60</v>
      </c>
      <c r="B42" s="147">
        <v>1</v>
      </c>
      <c r="D42" s="23" t="str">
        <f>[3]!xf4_Chart2D([3]!xf_Init()&amp;[3]!xf_ScaleX(,,,,FALSE)&amp;[3]!xf_ScaleY(,,,,FALSE),[3]!xf4_C2DFit(D39))</f>
        <v>#NoObject</v>
      </c>
    </row>
    <row r="43" spans="1:15" x14ac:dyDescent="0.25">
      <c r="A43" s="147">
        <v>70</v>
      </c>
      <c r="B43" s="147">
        <v>1</v>
      </c>
    </row>
    <row r="44" spans="1:15" x14ac:dyDescent="0.25">
      <c r="A44" s="147">
        <v>80</v>
      </c>
      <c r="B44" s="147">
        <v>1</v>
      </c>
      <c r="J44" s="134" t="s">
        <v>293</v>
      </c>
      <c r="K44" s="134">
        <v>1000</v>
      </c>
      <c r="N44" s="134" t="s">
        <v>293</v>
      </c>
      <c r="O44" s="134">
        <v>1000</v>
      </c>
    </row>
    <row r="45" spans="1:15" x14ac:dyDescent="0.25">
      <c r="A45" s="147">
        <v>100</v>
      </c>
      <c r="B45" s="147">
        <v>1</v>
      </c>
      <c r="J45" s="134" t="s">
        <v>294</v>
      </c>
      <c r="K45" s="134" t="e">
        <f>(K36+((K37-K36)/(1+EXP((K38-K44)/K39))))</f>
        <v>#VALUE!</v>
      </c>
      <c r="N45" s="134" t="s">
        <v>294</v>
      </c>
      <c r="O45" s="134">
        <f>(O36+((O37-O36)/(1+EXP((O38-O44)/O39))))</f>
        <v>1.0000000909093745</v>
      </c>
    </row>
    <row r="46" spans="1:15" x14ac:dyDescent="0.25">
      <c r="A46" s="147">
        <v>150</v>
      </c>
      <c r="B46" s="147">
        <v>1</v>
      </c>
    </row>
    <row r="53" spans="1:15" x14ac:dyDescent="0.25">
      <c r="A53" s="145" t="s">
        <v>298</v>
      </c>
      <c r="B53" s="145"/>
      <c r="J53" s="23" t="s">
        <v>282</v>
      </c>
      <c r="N53" s="23" t="s">
        <v>291</v>
      </c>
    </row>
    <row r="54" spans="1:15" x14ac:dyDescent="0.25">
      <c r="A54" s="145" t="s">
        <v>293</v>
      </c>
      <c r="B54" s="145" t="s">
        <v>294</v>
      </c>
      <c r="E54" s="146" t="s">
        <v>295</v>
      </c>
      <c r="F54" s="146">
        <v>100</v>
      </c>
      <c r="G54" s="23" t="s">
        <v>296</v>
      </c>
      <c r="J54" s="134" t="s">
        <v>284</v>
      </c>
      <c r="K54" s="134" t="str">
        <f>[3]!xf4_ParameterValue(D58,1)</f>
        <v>#N/A</v>
      </c>
      <c r="N54" s="23" t="s">
        <v>284</v>
      </c>
      <c r="O54" s="23">
        <v>0.20264683457205479</v>
      </c>
    </row>
    <row r="55" spans="1:15" x14ac:dyDescent="0.25">
      <c r="A55" s="147">
        <v>0</v>
      </c>
      <c r="B55" s="147">
        <v>0.2</v>
      </c>
      <c r="J55" s="134" t="s">
        <v>285</v>
      </c>
      <c r="K55" s="134" t="str">
        <f>[3]!xf4_ParameterValue(D58,2)</f>
        <v>#N/A</v>
      </c>
      <c r="N55" s="23" t="s">
        <v>285</v>
      </c>
      <c r="O55" s="23">
        <v>1.0008475069565785</v>
      </c>
    </row>
    <row r="56" spans="1:15" x14ac:dyDescent="0.25">
      <c r="A56" s="147">
        <v>10</v>
      </c>
      <c r="B56" s="147">
        <v>0.2</v>
      </c>
      <c r="G56" s="134" t="s">
        <v>275</v>
      </c>
      <c r="J56" s="134" t="s">
        <v>287</v>
      </c>
      <c r="K56" s="134" t="str">
        <f>[3]!xf4_ParameterValue(D58,3)</f>
        <v>#N/A</v>
      </c>
      <c r="N56" s="23" t="s">
        <v>287</v>
      </c>
      <c r="O56" s="23">
        <v>94.700729977107599</v>
      </c>
    </row>
    <row r="57" spans="1:15" x14ac:dyDescent="0.25">
      <c r="A57" s="147">
        <v>20</v>
      </c>
      <c r="B57" s="147">
        <v>0.2</v>
      </c>
      <c r="G57" s="134" t="s">
        <v>276</v>
      </c>
      <c r="J57" s="134" t="s">
        <v>289</v>
      </c>
      <c r="K57" s="134" t="str">
        <f>[3]!xf4_ParameterValue(D58,4)</f>
        <v>#N/A</v>
      </c>
      <c r="N57" s="23" t="s">
        <v>289</v>
      </c>
      <c r="O57" s="23">
        <v>0.16853558798897253</v>
      </c>
    </row>
    <row r="58" spans="1:15" x14ac:dyDescent="0.25">
      <c r="A58" s="147">
        <v>50</v>
      </c>
      <c r="B58" s="147">
        <v>0.2</v>
      </c>
      <c r="D58" s="23" t="str">
        <f>[3]!xf4_FitData("",[3]!xf4_SetModel("600"),[3]!xf4_SetParameters(0,FALSE,TRUE,100,FALSE,TRUE,100,FALSE,TRUE,1,FALSE,TRUE),[3]!xf4_SetData(,$A$55:$A$65,,$B$55:$B$65))</f>
        <v>#NoObject</v>
      </c>
      <c r="G58" s="134" t="s">
        <v>277</v>
      </c>
    </row>
    <row r="59" spans="1:15" x14ac:dyDescent="0.25">
      <c r="A59" s="147">
        <v>60</v>
      </c>
      <c r="B59" s="147">
        <v>0.2</v>
      </c>
    </row>
    <row r="60" spans="1:15" x14ac:dyDescent="0.25">
      <c r="A60" s="147">
        <v>80</v>
      </c>
      <c r="B60" s="147">
        <v>0.2</v>
      </c>
    </row>
    <row r="61" spans="1:15" x14ac:dyDescent="0.25">
      <c r="A61" s="147">
        <v>90</v>
      </c>
      <c r="B61" s="147">
        <v>0.2</v>
      </c>
      <c r="D61" s="23" t="str">
        <f>[3]!xf4_Chart2D([3]!xf_Init()&amp;[3]!xf_ScaleX(,,,,FALSE)&amp;[3]!xf_ScaleY(,,,,FALSE),[3]!xf4_C2DFit(D58))</f>
        <v>#NoObject</v>
      </c>
    </row>
    <row r="62" spans="1:15" x14ac:dyDescent="0.25">
      <c r="A62" s="147">
        <v>100</v>
      </c>
      <c r="B62" s="147">
        <v>1</v>
      </c>
      <c r="J62" s="134" t="s">
        <v>293</v>
      </c>
      <c r="K62" s="134">
        <v>100</v>
      </c>
      <c r="N62" s="134" t="s">
        <v>293</v>
      </c>
      <c r="O62" s="134">
        <v>0.3</v>
      </c>
    </row>
    <row r="63" spans="1:15" x14ac:dyDescent="0.25">
      <c r="A63" s="147">
        <v>120</v>
      </c>
      <c r="B63" s="147">
        <v>1</v>
      </c>
      <c r="J63" s="134" t="s">
        <v>294</v>
      </c>
      <c r="K63" s="134" t="e">
        <f xml:space="preserve"> (K54+((K55-K54)/(1+EXP((K56-K62)/K57))))</f>
        <v>#VALUE!</v>
      </c>
      <c r="N63" s="134" t="s">
        <v>294</v>
      </c>
      <c r="O63" s="134">
        <f xml:space="preserve"> (O54+((O55-O54)/(1+EXP((O56-O62)/O57))))</f>
        <v>0.20264683457205479</v>
      </c>
    </row>
    <row r="64" spans="1:15" x14ac:dyDescent="0.25">
      <c r="A64" s="147">
        <v>150</v>
      </c>
      <c r="B64" s="147">
        <v>1</v>
      </c>
    </row>
    <row r="65" spans="1:2" x14ac:dyDescent="0.25">
      <c r="A65" s="147">
        <v>200</v>
      </c>
      <c r="B65" s="147">
        <v>1</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IDBS_XLfitContainer.XFCObjectRepository" shapeId="59393" r:id="rId4">
          <objectPr defaultSize="0" r:id="rId5">
            <anchor moveWithCells="1">
              <from>
                <xdr:col>3</xdr:col>
                <xdr:colOff>0</xdr:colOff>
                <xdr:row>24</xdr:row>
                <xdr:rowOff>0</xdr:rowOff>
              </from>
              <to>
                <xdr:col>5</xdr:col>
                <xdr:colOff>438150</xdr:colOff>
                <xdr:row>33</xdr:row>
                <xdr:rowOff>114300</xdr:rowOff>
              </to>
            </anchor>
          </objectPr>
        </oleObject>
      </mc:Choice>
      <mc:Fallback>
        <oleObject progId="IDBS_XLfitContainer.XFCObjectRepository" shapeId="59393" r:id="rId4"/>
      </mc:Fallback>
    </mc:AlternateContent>
    <mc:AlternateContent xmlns:mc="http://schemas.openxmlformats.org/markup-compatibility/2006">
      <mc:Choice Requires="x14">
        <oleObject progId="IDBS_MathIQ.Chart2DObj" shapeId="59394" r:id="rId6">
          <objectPr locked="0" defaultSize="0" autoLine="0" autoPict="0" r:id="rId7">
            <anchor moveWithCells="1">
              <from>
                <xdr:col>17</xdr:col>
                <xdr:colOff>247650</xdr:colOff>
                <xdr:row>5</xdr:row>
                <xdr:rowOff>152400</xdr:rowOff>
              </from>
              <to>
                <xdr:col>23</xdr:col>
                <xdr:colOff>400050</xdr:colOff>
                <xdr:row>19</xdr:row>
                <xdr:rowOff>28575</xdr:rowOff>
              </to>
            </anchor>
          </objectPr>
        </oleObject>
      </mc:Choice>
      <mc:Fallback>
        <oleObject progId="IDBS_MathIQ.Chart2DObj" shapeId="59394" r:id="rId6"/>
      </mc:Fallback>
    </mc:AlternateContent>
    <mc:AlternateContent xmlns:mc="http://schemas.openxmlformats.org/markup-compatibility/2006">
      <mc:Choice Requires="x14">
        <oleObject progId="IDBS_MathIQ.Chart2DObj" shapeId="59395" r:id="rId8">
          <objectPr locked="0" defaultSize="0" autoLine="0" autoPict="0" r:id="rId9">
            <anchor moveWithCells="1">
              <from>
                <xdr:col>17</xdr:col>
                <xdr:colOff>333375</xdr:colOff>
                <xdr:row>32</xdr:row>
                <xdr:rowOff>133350</xdr:rowOff>
              </from>
              <to>
                <xdr:col>23</xdr:col>
                <xdr:colOff>485775</xdr:colOff>
                <xdr:row>46</xdr:row>
                <xdr:rowOff>9525</xdr:rowOff>
              </to>
            </anchor>
          </objectPr>
        </oleObject>
      </mc:Choice>
      <mc:Fallback>
        <oleObject progId="IDBS_MathIQ.Chart2DObj" shapeId="59395" r:id="rId8"/>
      </mc:Fallback>
    </mc:AlternateContent>
    <mc:AlternateContent xmlns:mc="http://schemas.openxmlformats.org/markup-compatibility/2006">
      <mc:Choice Requires="x14">
        <oleObject progId="IDBS_MathIQ.Chart2DObj" shapeId="59396" r:id="rId10">
          <objectPr locked="0" defaultSize="0" autoLine="0" autoPict="0" r:id="rId11">
            <anchor moveWithCells="1">
              <from>
                <xdr:col>17</xdr:col>
                <xdr:colOff>438150</xdr:colOff>
                <xdr:row>54</xdr:row>
                <xdr:rowOff>85725</xdr:rowOff>
              </from>
              <to>
                <xdr:col>23</xdr:col>
                <xdr:colOff>590550</xdr:colOff>
                <xdr:row>67</xdr:row>
                <xdr:rowOff>152400</xdr:rowOff>
              </to>
            </anchor>
          </objectPr>
        </oleObject>
      </mc:Choice>
      <mc:Fallback>
        <oleObject progId="IDBS_MathIQ.Chart2DObj" shapeId="59396" r:id="rId10"/>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0"/>
  <sheetViews>
    <sheetView workbookViewId="0">
      <selection activeCell="G23" sqref="G23"/>
    </sheetView>
  </sheetViews>
  <sheetFormatPr defaultRowHeight="15" x14ac:dyDescent="0.25"/>
  <cols>
    <col min="1" max="1" width="12.375" bestFit="1" customWidth="1"/>
    <col min="2" max="2" width="23" customWidth="1"/>
    <col min="6" max="6" width="15.875" bestFit="1" customWidth="1"/>
  </cols>
  <sheetData>
    <row r="1" spans="1:1" x14ac:dyDescent="0.25">
      <c r="A1" s="23"/>
    </row>
    <row r="2" spans="1:1" x14ac:dyDescent="0.25">
      <c r="A2" s="23"/>
    </row>
    <row r="3" spans="1:1" x14ac:dyDescent="0.25">
      <c r="A3" s="23"/>
    </row>
    <row r="4" spans="1:1" x14ac:dyDescent="0.25">
      <c r="A4" s="23"/>
    </row>
    <row r="5" spans="1:1" x14ac:dyDescent="0.25">
      <c r="A5" s="23"/>
    </row>
    <row r="6" spans="1:1" x14ac:dyDescent="0.25">
      <c r="A6" s="23"/>
    </row>
    <row r="7" spans="1:1" x14ac:dyDescent="0.25">
      <c r="A7" s="23"/>
    </row>
    <row r="8" spans="1:1" x14ac:dyDescent="0.25">
      <c r="A8" s="23"/>
    </row>
    <row r="9" spans="1:1" x14ac:dyDescent="0.25">
      <c r="A9" s="23"/>
    </row>
    <row r="10" spans="1:1" x14ac:dyDescent="0.25">
      <c r="A10" s="23"/>
    </row>
    <row r="11" spans="1:1" x14ac:dyDescent="0.25">
      <c r="A11" s="23"/>
    </row>
    <row r="12" spans="1:1" x14ac:dyDescent="0.25">
      <c r="A12" s="23"/>
    </row>
    <row r="13" spans="1:1" x14ac:dyDescent="0.25">
      <c r="A13" s="23"/>
    </row>
    <row r="14" spans="1:1" x14ac:dyDescent="0.25">
      <c r="A14" s="23"/>
    </row>
    <row r="15" spans="1:1" x14ac:dyDescent="0.25">
      <c r="A15" s="23"/>
    </row>
    <row r="16" spans="1:1" x14ac:dyDescent="0.25">
      <c r="A16" s="23"/>
    </row>
    <row r="17" spans="1:1" x14ac:dyDescent="0.25">
      <c r="A17" s="23"/>
    </row>
    <row r="18" spans="1:1" x14ac:dyDescent="0.25">
      <c r="A18" s="23"/>
    </row>
    <row r="19" spans="1:1" x14ac:dyDescent="0.25">
      <c r="A19" s="23"/>
    </row>
    <row r="20" spans="1:1" x14ac:dyDescent="0.25">
      <c r="A20" s="23"/>
    </row>
    <row r="21" spans="1:1" x14ac:dyDescent="0.25">
      <c r="A21" s="23"/>
    </row>
    <row r="22" spans="1:1" x14ac:dyDescent="0.25">
      <c r="A22" s="23"/>
    </row>
    <row r="23" spans="1:1" x14ac:dyDescent="0.25">
      <c r="A23" s="23"/>
    </row>
    <row r="24" spans="1:1" x14ac:dyDescent="0.25">
      <c r="A24" s="23"/>
    </row>
    <row r="25" spans="1:1" x14ac:dyDescent="0.25">
      <c r="A25" s="23"/>
    </row>
    <row r="26" spans="1:1" x14ac:dyDescent="0.25">
      <c r="A26" s="23"/>
    </row>
    <row r="27" spans="1:1" x14ac:dyDescent="0.25">
      <c r="A27" s="23"/>
    </row>
    <row r="28" spans="1:1" x14ac:dyDescent="0.25">
      <c r="A28" s="23"/>
    </row>
    <row r="29" spans="1:1" x14ac:dyDescent="0.25">
      <c r="A29" s="23"/>
    </row>
    <row r="30" spans="1:1" x14ac:dyDescent="0.25">
      <c r="A30"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81</vt:i4>
      </vt:variant>
    </vt:vector>
  </HeadingPairs>
  <TitlesOfParts>
    <vt:vector size="81" baseType="lpstr">
      <vt:lpstr>Intro</vt:lpstr>
      <vt:lpstr>Copyright &amp; License</vt:lpstr>
      <vt:lpstr>BearRiverNetwork</vt:lpstr>
      <vt:lpstr>SubInd</vt:lpstr>
      <vt:lpstr>FishSpp</vt:lpstr>
      <vt:lpstr>VegSpp</vt:lpstr>
      <vt:lpstr>Month</vt:lpstr>
      <vt:lpstr>Nodes</vt:lpstr>
      <vt:lpstr>NodesNotDemand</vt:lpstr>
      <vt:lpstr>NodeNotHeadwater</vt:lpstr>
      <vt:lpstr>MassBalanceNodes</vt:lpstr>
      <vt:lpstr>Reservoirs</vt:lpstr>
      <vt:lpstr>Wetlands</vt:lpstr>
      <vt:lpstr>Demand</vt:lpstr>
      <vt:lpstr>R_indx</vt:lpstr>
      <vt:lpstr>sf_indx</vt:lpstr>
      <vt:lpstr>wf_indx</vt:lpstr>
      <vt:lpstr>wsi_indx</vt:lpstr>
      <vt:lpstr>EnvSite</vt:lpstr>
      <vt:lpstr>Connect</vt:lpstr>
      <vt:lpstr>Diversions</vt:lpstr>
      <vt:lpstr>ReturnFlow</vt:lpstr>
      <vt:lpstr>WetlandsSites</vt:lpstr>
      <vt:lpstr>LinktoReservoir</vt:lpstr>
      <vt:lpstr>LinkOutReservoir</vt:lpstr>
      <vt:lpstr>rsiIndex</vt:lpstr>
      <vt:lpstr>rsiEQ</vt:lpstr>
      <vt:lpstr>fciIndex</vt:lpstr>
      <vt:lpstr>fciEQ</vt:lpstr>
      <vt:lpstr>wp</vt:lpstr>
      <vt:lpstr>Length</vt:lpstr>
      <vt:lpstr>aw</vt:lpstr>
      <vt:lpstr>lss</vt:lpstr>
      <vt:lpstr>LinkName</vt:lpstr>
      <vt:lpstr>evap</vt:lpstr>
      <vt:lpstr>linkEvap</vt:lpstr>
      <vt:lpstr>evap_WEAP</vt:lpstr>
      <vt:lpstr>ResElevVol</vt:lpstr>
      <vt:lpstr>Cons</vt:lpstr>
      <vt:lpstr>inactive</vt:lpstr>
      <vt:lpstr>capacity</vt:lpstr>
      <vt:lpstr>InStor</vt:lpstr>
      <vt:lpstr>demandReq</vt:lpstr>
      <vt:lpstr>demandReq_Sc</vt:lpstr>
      <vt:lpstr>Instream</vt:lpstr>
      <vt:lpstr>divCap</vt:lpstr>
      <vt:lpstr>StageFlow</vt:lpstr>
      <vt:lpstr>WidthFlow</vt:lpstr>
      <vt:lpstr>Revegetate</vt:lpstr>
      <vt:lpstr>NaturalGrowth</vt:lpstr>
      <vt:lpstr>MaxVegCover</vt:lpstr>
      <vt:lpstr>SimLinks</vt:lpstr>
      <vt:lpstr>Connect_Sim</vt:lpstr>
      <vt:lpstr>Qmax</vt:lpstr>
      <vt:lpstr>Qmin</vt:lpstr>
      <vt:lpstr>QSim</vt:lpstr>
      <vt:lpstr>QSimulation_NHD</vt:lpstr>
      <vt:lpstr>HeadFlow</vt:lpstr>
      <vt:lpstr>HeadFlow_Climate1</vt:lpstr>
      <vt:lpstr>HeadFlow_Climate2</vt:lpstr>
      <vt:lpstr>RiversHeadFlow</vt:lpstr>
      <vt:lpstr>RiversHeadFlow-2005</vt:lpstr>
      <vt:lpstr>RiversHeadFlow-2006</vt:lpstr>
      <vt:lpstr>RiversHeadFlow-2011</vt:lpstr>
      <vt:lpstr>RiversHeadFlow-2003</vt:lpstr>
      <vt:lpstr>weights</vt:lpstr>
      <vt:lpstr>Budget</vt:lpstr>
      <vt:lpstr>InitD</vt:lpstr>
      <vt:lpstr>InitC</vt:lpstr>
      <vt:lpstr>UnitCost</vt:lpstr>
      <vt:lpstr>Runs</vt:lpstr>
      <vt:lpstr>DemandRuns</vt:lpstr>
      <vt:lpstr>Qrun</vt:lpstr>
      <vt:lpstr>QRunValues</vt:lpstr>
      <vt:lpstr>EvaporationCurve</vt:lpstr>
      <vt:lpstr>WSI curves-Mm3</vt:lpstr>
      <vt:lpstr>Stage-Flow</vt:lpstr>
      <vt:lpstr>Stage-Flow-Width</vt:lpstr>
      <vt:lpstr>RSI curves</vt:lpstr>
      <vt:lpstr>RSI curves-Stage</vt:lpstr>
      <vt:lpstr>h curves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Ayman</dc:creator>
  <cp:lastModifiedBy>Ayman</cp:lastModifiedBy>
  <dcterms:created xsi:type="dcterms:W3CDTF">2015-05-24T22:43:37Z</dcterms:created>
  <dcterms:modified xsi:type="dcterms:W3CDTF">2016-10-06T21:37:24Z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28fa810a-f7e1-4e11-b835-07add866aa27</vt:lpwstr>
  </property>
</Properties>
</file>