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shboard" sheetId="1" state="visible" r:id="rId2"/>
    <sheet name="Dados-Status-Invest" sheetId="2" state="hidden" r:id="rId3"/>
    <sheet name="Setor" sheetId="3" state="hidden" r:id="rId4"/>
  </sheets>
  <definedNames>
    <definedName function="false" hidden="true" localSheetId="0" name="_xlnm._FilterDatabase" vbProcedure="false">Dashboard!$A$1:$AB$566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<sst xmlns="http://schemas.openxmlformats.org/spreadsheetml/2006/main" count="3005" uniqueCount="1165">
  <si>
    <t xml:space="preserve">TICKER</t>
  </si>
  <si>
    <t xml:space="preserve">SETOR</t>
  </si>
  <si>
    <t xml:space="preserve">COTAÇÃO</t>
  </si>
  <si>
    <t xml:space="preserve">VALOR DE MERCADO</t>
  </si>
  <si>
    <t xml:space="preserve">ENTERPRISE VALUE</t>
  </si>
  <si>
    <t xml:space="preserve">PATRIMÔNIO LÍQUIDO</t>
  </si>
  <si>
    <t xml:space="preserve">ATIVO TOTAL</t>
  </si>
  <si>
    <t xml:space="preserve">DÍVIDA LÍQUIDA ANO</t>
  </si>
  <si>
    <t xml:space="preserve">Receita Liquida - Ano</t>
  </si>
  <si>
    <t xml:space="preserve">Ebit</t>
  </si>
  <si>
    <t xml:space="preserve">DY 1 ano</t>
  </si>
  <si>
    <t xml:space="preserve">ROE</t>
  </si>
  <si>
    <t xml:space="preserve">ROA</t>
  </si>
  <si>
    <t xml:space="preserve">ROIC</t>
  </si>
  <si>
    <t xml:space="preserve">MARGEM BRUTA</t>
  </si>
  <si>
    <t xml:space="preserve">MARGEM EBIT</t>
  </si>
  <si>
    <t xml:space="preserve">MARG. LIQUIDA</t>
  </si>
  <si>
    <t xml:space="preserve">P/L</t>
  </si>
  <si>
    <t xml:space="preserve">P/VP</t>
  </si>
  <si>
    <t xml:space="preserve">EV/EBIT</t>
  </si>
  <si>
    <t xml:space="preserve">LIQ. CORRENTE</t>
  </si>
  <si>
    <t xml:space="preserve">DIVIDA LIQUIDA / EBIT</t>
  </si>
  <si>
    <t xml:space="preserve">CAGR RECEITAS 5 ANOS</t>
  </si>
  <si>
    <t xml:space="preserve">CAGR LUCROS 5 ANOS</t>
  </si>
  <si>
    <t xml:space="preserve">AALR3</t>
  </si>
  <si>
    <t xml:space="preserve">ABCB4</t>
  </si>
  <si>
    <t xml:space="preserve">ABEV3</t>
  </si>
  <si>
    <t xml:space="preserve">ADHM3</t>
  </si>
  <si>
    <t xml:space="preserve">AERI3</t>
  </si>
  <si>
    <t xml:space="preserve">Bens Industriais</t>
  </si>
  <si>
    <t xml:space="preserve">AESB3</t>
  </si>
  <si>
    <t xml:space="preserve">Utilidade Pública</t>
  </si>
  <si>
    <t xml:space="preserve">AFLT3</t>
  </si>
  <si>
    <t xml:space="preserve">AGRO3</t>
  </si>
  <si>
    <t xml:space="preserve">AHEB3</t>
  </si>
  <si>
    <t xml:space="preserve">AHEB5</t>
  </si>
  <si>
    <t xml:space="preserve">AHEB6</t>
  </si>
  <si>
    <t xml:space="preserve">ALLD3</t>
  </si>
  <si>
    <t xml:space="preserve">Consumo Cíclico</t>
  </si>
  <si>
    <t xml:space="preserve">ALPA3</t>
  </si>
  <si>
    <t xml:space="preserve">ALPA4</t>
  </si>
  <si>
    <t xml:space="preserve">ALPK3</t>
  </si>
  <si>
    <t xml:space="preserve">ALSO3</t>
  </si>
  <si>
    <t xml:space="preserve">ALUP11</t>
  </si>
  <si>
    <t xml:space="preserve">ALUP3</t>
  </si>
  <si>
    <t xml:space="preserve">ALUP4</t>
  </si>
  <si>
    <t xml:space="preserve">AMAR3</t>
  </si>
  <si>
    <t xml:space="preserve">AMBP3</t>
  </si>
  <si>
    <t xml:space="preserve">ANIM3</t>
  </si>
  <si>
    <t xml:space="preserve">APER3</t>
  </si>
  <si>
    <t xml:space="preserve">APTI3</t>
  </si>
  <si>
    <t xml:space="preserve">APTI4</t>
  </si>
  <si>
    <t xml:space="preserve">ARZZ3</t>
  </si>
  <si>
    <t xml:space="preserve">ASAI3</t>
  </si>
  <si>
    <t xml:space="preserve">Consumo não Cíclico</t>
  </si>
  <si>
    <t xml:space="preserve">ATMP3</t>
  </si>
  <si>
    <t xml:space="preserve">ATOM3</t>
  </si>
  <si>
    <t xml:space="preserve">AURA33</t>
  </si>
  <si>
    <t xml:space="preserve">Materiais Básicos</t>
  </si>
  <si>
    <t xml:space="preserve">AVLL3</t>
  </si>
  <si>
    <t xml:space="preserve">AZEV3</t>
  </si>
  <si>
    <t xml:space="preserve">AZEV4</t>
  </si>
  <si>
    <t xml:space="preserve">AZUL4</t>
  </si>
  <si>
    <t xml:space="preserve">B3SA3</t>
  </si>
  <si>
    <t xml:space="preserve">BAHI3</t>
  </si>
  <si>
    <t xml:space="preserve">BALM3</t>
  </si>
  <si>
    <t xml:space="preserve">BALM4</t>
  </si>
  <si>
    <t xml:space="preserve">BAUH4</t>
  </si>
  <si>
    <t xml:space="preserve">BAZA3</t>
  </si>
  <si>
    <t xml:space="preserve">BBAS3</t>
  </si>
  <si>
    <t xml:space="preserve">BBDC3</t>
  </si>
  <si>
    <t xml:space="preserve">BBDC4</t>
  </si>
  <si>
    <t xml:space="preserve">BBML3</t>
  </si>
  <si>
    <t xml:space="preserve">BBRK3</t>
  </si>
  <si>
    <t xml:space="preserve">BBSE3</t>
  </si>
  <si>
    <t xml:space="preserve">BDLL3</t>
  </si>
  <si>
    <t xml:space="preserve">BDLL4</t>
  </si>
  <si>
    <t xml:space="preserve">BEEF3</t>
  </si>
  <si>
    <t xml:space="preserve">BEES3</t>
  </si>
  <si>
    <t xml:space="preserve">BEES4</t>
  </si>
  <si>
    <t xml:space="preserve">BFRE11</t>
  </si>
  <si>
    <t xml:space="preserve">BFRE12</t>
  </si>
  <si>
    <t xml:space="preserve">BGIP3</t>
  </si>
  <si>
    <t xml:space="preserve">BGIP4</t>
  </si>
  <si>
    <t xml:space="preserve">BIDI11</t>
  </si>
  <si>
    <t xml:space="preserve">BIDI3</t>
  </si>
  <si>
    <t xml:space="preserve">BIDI4</t>
  </si>
  <si>
    <t xml:space="preserve">BIOM3</t>
  </si>
  <si>
    <t xml:space="preserve">BKBR3</t>
  </si>
  <si>
    <t xml:space="preserve">BLAU3</t>
  </si>
  <si>
    <t xml:space="preserve">Saúde</t>
  </si>
  <si>
    <t xml:space="preserve">BMEB3</t>
  </si>
  <si>
    <t xml:space="preserve">BMEB4</t>
  </si>
  <si>
    <t xml:space="preserve">BMGB4</t>
  </si>
  <si>
    <t xml:space="preserve">BMIN3</t>
  </si>
  <si>
    <t xml:space="preserve">BMIN4</t>
  </si>
  <si>
    <t xml:space="preserve">BMKS3</t>
  </si>
  <si>
    <t xml:space="preserve">BMOB3</t>
  </si>
  <si>
    <t xml:space="preserve">Tecnologia da Informação</t>
  </si>
  <si>
    <t xml:space="preserve">BNBR3</t>
  </si>
  <si>
    <t xml:space="preserve">BOAS3</t>
  </si>
  <si>
    <t xml:space="preserve">BOBR3</t>
  </si>
  <si>
    <t xml:space="preserve">BOBR4</t>
  </si>
  <si>
    <t xml:space="preserve">BPAC11</t>
  </si>
  <si>
    <t xml:space="preserve">BPAC3</t>
  </si>
  <si>
    <t xml:space="preserve">BPAC5</t>
  </si>
  <si>
    <t xml:space="preserve">BPAN4</t>
  </si>
  <si>
    <t xml:space="preserve">BPAR3</t>
  </si>
  <si>
    <t xml:space="preserve">BPAT33</t>
  </si>
  <si>
    <t xml:space="preserve">Financeiro</t>
  </si>
  <si>
    <t xml:space="preserve">BPHA3</t>
  </si>
  <si>
    <t xml:space="preserve">BRAP3</t>
  </si>
  <si>
    <t xml:space="preserve">BRAP4</t>
  </si>
  <si>
    <t xml:space="preserve">BRBI11</t>
  </si>
  <si>
    <t xml:space="preserve">BRDT3</t>
  </si>
  <si>
    <t xml:space="preserve">BRFS3</t>
  </si>
  <si>
    <t xml:space="preserve">BRGE11</t>
  </si>
  <si>
    <t xml:space="preserve">BRGE12</t>
  </si>
  <si>
    <t xml:space="preserve">BRGE3</t>
  </si>
  <si>
    <t xml:space="preserve">BRGE5</t>
  </si>
  <si>
    <t xml:space="preserve">BRGE6</t>
  </si>
  <si>
    <t xml:space="preserve">BRGE7</t>
  </si>
  <si>
    <t xml:space="preserve">BRGE8</t>
  </si>
  <si>
    <t xml:space="preserve">BRIV3</t>
  </si>
  <si>
    <t xml:space="preserve">BRIV4</t>
  </si>
  <si>
    <t xml:space="preserve">BRKM3</t>
  </si>
  <si>
    <t xml:space="preserve">BRKM5</t>
  </si>
  <si>
    <t xml:space="preserve">BRKM6</t>
  </si>
  <si>
    <t xml:space="preserve">BRML3</t>
  </si>
  <si>
    <t xml:space="preserve">BRPR3</t>
  </si>
  <si>
    <t xml:space="preserve">BRQB3</t>
  </si>
  <si>
    <t xml:space="preserve">BRSR3</t>
  </si>
  <si>
    <t xml:space="preserve">BRSR5</t>
  </si>
  <si>
    <t xml:space="preserve">BRSR6</t>
  </si>
  <si>
    <t xml:space="preserve">BSEV3</t>
  </si>
  <si>
    <t xml:space="preserve">BSLI3</t>
  </si>
  <si>
    <t xml:space="preserve">BSLI4</t>
  </si>
  <si>
    <t xml:space="preserve">BTOW3</t>
  </si>
  <si>
    <t xml:space="preserve">BTTL4</t>
  </si>
  <si>
    <t xml:space="preserve">CALI3</t>
  </si>
  <si>
    <t xml:space="preserve">CALI4</t>
  </si>
  <si>
    <t xml:space="preserve">CAMB3</t>
  </si>
  <si>
    <t xml:space="preserve">CAMB4</t>
  </si>
  <si>
    <t xml:space="preserve">CAML3</t>
  </si>
  <si>
    <t xml:space="preserve">CARD3</t>
  </si>
  <si>
    <t xml:space="preserve">CASH3</t>
  </si>
  <si>
    <t xml:space="preserve">CASN3</t>
  </si>
  <si>
    <t xml:space="preserve">CASN4</t>
  </si>
  <si>
    <t xml:space="preserve">CATA3</t>
  </si>
  <si>
    <t xml:space="preserve">CATA4</t>
  </si>
  <si>
    <t xml:space="preserve">CBEE3</t>
  </si>
  <si>
    <t xml:space="preserve">CCPR3</t>
  </si>
  <si>
    <t xml:space="preserve">CCRO3</t>
  </si>
  <si>
    <t xml:space="preserve">CCXC3</t>
  </si>
  <si>
    <t xml:space="preserve">Outros</t>
  </si>
  <si>
    <t xml:space="preserve">CEAB3</t>
  </si>
  <si>
    <t xml:space="preserve">CEBR3</t>
  </si>
  <si>
    <t xml:space="preserve">CEBR5</t>
  </si>
  <si>
    <t xml:space="preserve">CEBR6</t>
  </si>
  <si>
    <t xml:space="preserve">CEDO3</t>
  </si>
  <si>
    <t xml:space="preserve">CEDO4</t>
  </si>
  <si>
    <t xml:space="preserve">CEEB3</t>
  </si>
  <si>
    <t xml:space="preserve">CEEB5</t>
  </si>
  <si>
    <t xml:space="preserve">CEEB6</t>
  </si>
  <si>
    <t xml:space="preserve">CEED3</t>
  </si>
  <si>
    <t xml:space="preserve">CEED4</t>
  </si>
  <si>
    <t xml:space="preserve">CEGR3</t>
  </si>
  <si>
    <t xml:space="preserve">CEPE3</t>
  </si>
  <si>
    <t xml:space="preserve">CEPE5</t>
  </si>
  <si>
    <t xml:space="preserve">CEPE6</t>
  </si>
  <si>
    <t xml:space="preserve">CESP3</t>
  </si>
  <si>
    <t xml:space="preserve">CESP5</t>
  </si>
  <si>
    <t xml:space="preserve">CESP6</t>
  </si>
  <si>
    <t xml:space="preserve">CGAS3</t>
  </si>
  <si>
    <t xml:space="preserve">CGAS5</t>
  </si>
  <si>
    <t xml:space="preserve">CGRA3</t>
  </si>
  <si>
    <t xml:space="preserve">CGRA4</t>
  </si>
  <si>
    <t xml:space="preserve">CIEL3</t>
  </si>
  <si>
    <t xml:space="preserve">CLSC3</t>
  </si>
  <si>
    <t xml:space="preserve">CLSC4</t>
  </si>
  <si>
    <t xml:space="preserve">CMIG3</t>
  </si>
  <si>
    <t xml:space="preserve">CMIG4</t>
  </si>
  <si>
    <t xml:space="preserve">CMIN3</t>
  </si>
  <si>
    <t xml:space="preserve">CMSA3</t>
  </si>
  <si>
    <t xml:space="preserve">CMSA4</t>
  </si>
  <si>
    <t xml:space="preserve">CNSY3</t>
  </si>
  <si>
    <t xml:space="preserve">COCE3</t>
  </si>
  <si>
    <t xml:space="preserve">COCE5</t>
  </si>
  <si>
    <t xml:space="preserve">COCE6</t>
  </si>
  <si>
    <t xml:space="preserve">COGN3</t>
  </si>
  <si>
    <t xml:space="preserve">CORR3</t>
  </si>
  <si>
    <t xml:space="preserve">CORR4</t>
  </si>
  <si>
    <t xml:space="preserve">CPFE3</t>
  </si>
  <si>
    <t xml:space="preserve">CPLE11</t>
  </si>
  <si>
    <t xml:space="preserve">CPLE3</t>
  </si>
  <si>
    <t xml:space="preserve">CPLE5</t>
  </si>
  <si>
    <t xml:space="preserve">CPLE6</t>
  </si>
  <si>
    <t xml:space="preserve">CPRE3</t>
  </si>
  <si>
    <t xml:space="preserve">CRDE3</t>
  </si>
  <si>
    <t xml:space="preserve">CREM3</t>
  </si>
  <si>
    <t xml:space="preserve">CRFB3</t>
  </si>
  <si>
    <t xml:space="preserve">CRIV3</t>
  </si>
  <si>
    <t xml:space="preserve">CRIV4</t>
  </si>
  <si>
    <t xml:space="preserve">CRPG3</t>
  </si>
  <si>
    <t xml:space="preserve">CRPG5</t>
  </si>
  <si>
    <t xml:space="preserve">CRPG6</t>
  </si>
  <si>
    <t xml:space="preserve">CSAB3</t>
  </si>
  <si>
    <t xml:space="preserve">CSAB4</t>
  </si>
  <si>
    <t xml:space="preserve">CSAN3</t>
  </si>
  <si>
    <t xml:space="preserve">CSED3</t>
  </si>
  <si>
    <t xml:space="preserve">CSMG3</t>
  </si>
  <si>
    <t xml:space="preserve">CSNA3</t>
  </si>
  <si>
    <t xml:space="preserve">CSRN3</t>
  </si>
  <si>
    <t xml:space="preserve">CSRN5</t>
  </si>
  <si>
    <t xml:space="preserve">CSRN6</t>
  </si>
  <si>
    <t xml:space="preserve">CTCA3</t>
  </si>
  <si>
    <t xml:space="preserve">CTKA3</t>
  </si>
  <si>
    <t xml:space="preserve">CTKA4</t>
  </si>
  <si>
    <t xml:space="preserve">CTNM3</t>
  </si>
  <si>
    <t xml:space="preserve">CTNM4</t>
  </si>
  <si>
    <t xml:space="preserve">CTSA3</t>
  </si>
  <si>
    <t xml:space="preserve">CTSA4</t>
  </si>
  <si>
    <t xml:space="preserve">CTSA8</t>
  </si>
  <si>
    <t xml:space="preserve">CURY3</t>
  </si>
  <si>
    <t xml:space="preserve">CVCB3</t>
  </si>
  <si>
    <t xml:space="preserve">CXSE3</t>
  </si>
  <si>
    <t xml:space="preserve">CYRE3</t>
  </si>
  <si>
    <t xml:space="preserve">DASA3</t>
  </si>
  <si>
    <t xml:space="preserve">DEXP3</t>
  </si>
  <si>
    <t xml:space="preserve">DEXP4</t>
  </si>
  <si>
    <t xml:space="preserve">DIRR3</t>
  </si>
  <si>
    <t xml:space="preserve">DMMO3</t>
  </si>
  <si>
    <t xml:space="preserve">DMVF3</t>
  </si>
  <si>
    <t xml:space="preserve">DOHL3</t>
  </si>
  <si>
    <t xml:space="preserve">DOHL4</t>
  </si>
  <si>
    <t xml:space="preserve">DOTZ3</t>
  </si>
  <si>
    <t xml:space="preserve">DTCY3</t>
  </si>
  <si>
    <t xml:space="preserve">DTCY4</t>
  </si>
  <si>
    <t xml:space="preserve">DTEX3</t>
  </si>
  <si>
    <t xml:space="preserve">EALT3</t>
  </si>
  <si>
    <t xml:space="preserve">EALT4</t>
  </si>
  <si>
    <t xml:space="preserve">ECOR3</t>
  </si>
  <si>
    <t xml:space="preserve">ECPR3</t>
  </si>
  <si>
    <t xml:space="preserve">ECPR4</t>
  </si>
  <si>
    <t xml:space="preserve">EEEL3</t>
  </si>
  <si>
    <t xml:space="preserve">EEEL4</t>
  </si>
  <si>
    <t xml:space="preserve">EGIE3</t>
  </si>
  <si>
    <t xml:space="preserve">EKTR3</t>
  </si>
  <si>
    <t xml:space="preserve">EKTR4</t>
  </si>
  <si>
    <t xml:space="preserve">ELEK3</t>
  </si>
  <si>
    <t xml:space="preserve">ELEK4</t>
  </si>
  <si>
    <t xml:space="preserve">ELET3</t>
  </si>
  <si>
    <t xml:space="preserve">ELET5</t>
  </si>
  <si>
    <t xml:space="preserve">ELET6</t>
  </si>
  <si>
    <t xml:space="preserve">ELMD3</t>
  </si>
  <si>
    <t xml:space="preserve">Comunicações</t>
  </si>
  <si>
    <t xml:space="preserve">ELPL3</t>
  </si>
  <si>
    <t xml:space="preserve">EMAE3</t>
  </si>
  <si>
    <t xml:space="preserve">EMAE4</t>
  </si>
  <si>
    <t xml:space="preserve">EMBR3</t>
  </si>
  <si>
    <t xml:space="preserve">ENAT3</t>
  </si>
  <si>
    <t xml:space="preserve">ENBR3</t>
  </si>
  <si>
    <t xml:space="preserve">ENEV3</t>
  </si>
  <si>
    <t xml:space="preserve">ENGI11</t>
  </si>
  <si>
    <t xml:space="preserve">ENGI3</t>
  </si>
  <si>
    <t xml:space="preserve">ENGI4</t>
  </si>
  <si>
    <t xml:space="preserve">ENJU3</t>
  </si>
  <si>
    <t xml:space="preserve">ENMA3B</t>
  </si>
  <si>
    <t xml:space="preserve">ENMA6B</t>
  </si>
  <si>
    <t xml:space="preserve">ENMT3</t>
  </si>
  <si>
    <t xml:space="preserve">ENMT4</t>
  </si>
  <si>
    <t xml:space="preserve">EPAR3</t>
  </si>
  <si>
    <t xml:space="preserve">EQPA3</t>
  </si>
  <si>
    <t xml:space="preserve">EQPA5</t>
  </si>
  <si>
    <t xml:space="preserve">EQPA6</t>
  </si>
  <si>
    <t xml:space="preserve">EQPA7</t>
  </si>
  <si>
    <t xml:space="preserve">EQTL3</t>
  </si>
  <si>
    <t xml:space="preserve">ESPA3</t>
  </si>
  <si>
    <t xml:space="preserve">ESTR3</t>
  </si>
  <si>
    <t xml:space="preserve">ESTR4</t>
  </si>
  <si>
    <t xml:space="preserve">ETER3</t>
  </si>
  <si>
    <t xml:space="preserve">EUCA3</t>
  </si>
  <si>
    <t xml:space="preserve">EUCA4</t>
  </si>
  <si>
    <t xml:space="preserve">EVEN3</t>
  </si>
  <si>
    <t xml:space="preserve">EZTC3</t>
  </si>
  <si>
    <t xml:space="preserve">FBMC3</t>
  </si>
  <si>
    <t xml:space="preserve">FBMC4</t>
  </si>
  <si>
    <t xml:space="preserve">FESA3</t>
  </si>
  <si>
    <t xml:space="preserve">FESA4</t>
  </si>
  <si>
    <t xml:space="preserve">FHER3</t>
  </si>
  <si>
    <t xml:space="preserve">FIGE3</t>
  </si>
  <si>
    <t xml:space="preserve">FIGE4</t>
  </si>
  <si>
    <t xml:space="preserve">FLEX3</t>
  </si>
  <si>
    <t xml:space="preserve">FLRY3</t>
  </si>
  <si>
    <t xml:space="preserve">FNCN3</t>
  </si>
  <si>
    <t xml:space="preserve">FRAS3</t>
  </si>
  <si>
    <t xml:space="preserve">FRIO3</t>
  </si>
  <si>
    <t xml:space="preserve">FRTA3</t>
  </si>
  <si>
    <t xml:space="preserve">FTRT3B</t>
  </si>
  <si>
    <t xml:space="preserve">G2DI33</t>
  </si>
  <si>
    <t xml:space="preserve">GBIO33</t>
  </si>
  <si>
    <t xml:space="preserve">GEPA3</t>
  </si>
  <si>
    <t xml:space="preserve">GEPA4</t>
  </si>
  <si>
    <t xml:space="preserve">GFSA3</t>
  </si>
  <si>
    <t xml:space="preserve">GGBR3</t>
  </si>
  <si>
    <t xml:space="preserve">GGBR4</t>
  </si>
  <si>
    <t xml:space="preserve">GGPS3</t>
  </si>
  <si>
    <t xml:space="preserve">GMAT3</t>
  </si>
  <si>
    <t xml:space="preserve">GNDI3</t>
  </si>
  <si>
    <t xml:space="preserve">GOAU3</t>
  </si>
  <si>
    <t xml:space="preserve">GOAU4</t>
  </si>
  <si>
    <t xml:space="preserve">GOLL4</t>
  </si>
  <si>
    <t xml:space="preserve">GPAR3</t>
  </si>
  <si>
    <t xml:space="preserve">GPIV33</t>
  </si>
  <si>
    <t xml:space="preserve">GRND3</t>
  </si>
  <si>
    <t xml:space="preserve">GSHP3</t>
  </si>
  <si>
    <t xml:space="preserve">GUAR3</t>
  </si>
  <si>
    <t xml:space="preserve">HAGA3</t>
  </si>
  <si>
    <t xml:space="preserve">HAGA4</t>
  </si>
  <si>
    <t xml:space="preserve">HAPV3</t>
  </si>
  <si>
    <t xml:space="preserve">HBOR3</t>
  </si>
  <si>
    <t xml:space="preserve">HBRE3</t>
  </si>
  <si>
    <t xml:space="preserve">HBSA3</t>
  </si>
  <si>
    <t xml:space="preserve">HBTS5</t>
  </si>
  <si>
    <t xml:space="preserve">HETA3</t>
  </si>
  <si>
    <t xml:space="preserve">HETA4</t>
  </si>
  <si>
    <t xml:space="preserve">HGTX3</t>
  </si>
  <si>
    <t xml:space="preserve">HOOT3</t>
  </si>
  <si>
    <t xml:space="preserve">HOOT4</t>
  </si>
  <si>
    <t xml:space="preserve">HYPE3</t>
  </si>
  <si>
    <t xml:space="preserve">IDVL3</t>
  </si>
  <si>
    <t xml:space="preserve">IDVL4</t>
  </si>
  <si>
    <t xml:space="preserve">IFCM3</t>
  </si>
  <si>
    <t xml:space="preserve">IGBR3</t>
  </si>
  <si>
    <t xml:space="preserve">IGSN3</t>
  </si>
  <si>
    <t xml:space="preserve">IGTA3</t>
  </si>
  <si>
    <t xml:space="preserve">INEP3</t>
  </si>
  <si>
    <t xml:space="preserve">INEP4</t>
  </si>
  <si>
    <t xml:space="preserve">INNT3</t>
  </si>
  <si>
    <t xml:space="preserve">INTB3</t>
  </si>
  <si>
    <t xml:space="preserve">IRBR3</t>
  </si>
  <si>
    <t xml:space="preserve">ITEC3</t>
  </si>
  <si>
    <t xml:space="preserve">ITSA3</t>
  </si>
  <si>
    <t xml:space="preserve">ITSA4</t>
  </si>
  <si>
    <t xml:space="preserve">ITUB3</t>
  </si>
  <si>
    <t xml:space="preserve">ITUB4</t>
  </si>
  <si>
    <t xml:space="preserve">JALL3</t>
  </si>
  <si>
    <t xml:space="preserve">JBDU3</t>
  </si>
  <si>
    <t xml:space="preserve">JBDU4</t>
  </si>
  <si>
    <t xml:space="preserve">JBSS3</t>
  </si>
  <si>
    <t xml:space="preserve">JFEN3</t>
  </si>
  <si>
    <t xml:space="preserve">JHSF3</t>
  </si>
  <si>
    <t xml:space="preserve">JOPA3</t>
  </si>
  <si>
    <t xml:space="preserve">JOPA4</t>
  </si>
  <si>
    <t xml:space="preserve">JPSA3</t>
  </si>
  <si>
    <t xml:space="preserve">JSLG3</t>
  </si>
  <si>
    <t xml:space="preserve">KEPL3</t>
  </si>
  <si>
    <t xml:space="preserve">KLBN11</t>
  </si>
  <si>
    <t xml:space="preserve">KLBN3</t>
  </si>
  <si>
    <t xml:space="preserve">KLBN4</t>
  </si>
  <si>
    <t xml:space="preserve">LAME3</t>
  </si>
  <si>
    <t xml:space="preserve">LAME4</t>
  </si>
  <si>
    <t xml:space="preserve">LAVV3</t>
  </si>
  <si>
    <t xml:space="preserve">LCAM3</t>
  </si>
  <si>
    <t xml:space="preserve">LEVE3</t>
  </si>
  <si>
    <t xml:space="preserve">LHER3</t>
  </si>
  <si>
    <t xml:space="preserve">LHER4</t>
  </si>
  <si>
    <t xml:space="preserve">LIGT3</t>
  </si>
  <si>
    <t xml:space="preserve">LINX3</t>
  </si>
  <si>
    <t xml:space="preserve">LIPR3</t>
  </si>
  <si>
    <t xml:space="preserve">LJQQ3</t>
  </si>
  <si>
    <t xml:space="preserve">LLIS3</t>
  </si>
  <si>
    <t xml:space="preserve">LOGG3</t>
  </si>
  <si>
    <t xml:space="preserve">LOGN3</t>
  </si>
  <si>
    <t xml:space="preserve">LPSB3</t>
  </si>
  <si>
    <t xml:space="preserve">LREN3</t>
  </si>
  <si>
    <t xml:space="preserve">LTEL3B</t>
  </si>
  <si>
    <t xml:space="preserve">LUPA3</t>
  </si>
  <si>
    <t xml:space="preserve">LUXM3</t>
  </si>
  <si>
    <t xml:space="preserve">LUXM4</t>
  </si>
  <si>
    <t xml:space="preserve">LWSA3</t>
  </si>
  <si>
    <t xml:space="preserve">MAPT3</t>
  </si>
  <si>
    <t xml:space="preserve">MAPT4</t>
  </si>
  <si>
    <t xml:space="preserve">MATD3</t>
  </si>
  <si>
    <t xml:space="preserve">MBLY3</t>
  </si>
  <si>
    <t xml:space="preserve">MDIA3</t>
  </si>
  <si>
    <t xml:space="preserve">MDNE3</t>
  </si>
  <si>
    <t xml:space="preserve">MEAL3</t>
  </si>
  <si>
    <t xml:space="preserve">MELK3</t>
  </si>
  <si>
    <t xml:space="preserve">MERC3</t>
  </si>
  <si>
    <t xml:space="preserve">MERC4</t>
  </si>
  <si>
    <t xml:space="preserve">MGEL3</t>
  </si>
  <si>
    <t xml:space="preserve">MGEL4</t>
  </si>
  <si>
    <t xml:space="preserve">MGLU3</t>
  </si>
  <si>
    <t xml:space="preserve">MILS3</t>
  </si>
  <si>
    <t xml:space="preserve">MMXM3</t>
  </si>
  <si>
    <t xml:space="preserve">MNDL3</t>
  </si>
  <si>
    <t xml:space="preserve">MNPR3</t>
  </si>
  <si>
    <t xml:space="preserve">MOAR3</t>
  </si>
  <si>
    <t xml:space="preserve">MODL11</t>
  </si>
  <si>
    <t xml:space="preserve">MODL3</t>
  </si>
  <si>
    <t xml:space="preserve">MODL4</t>
  </si>
  <si>
    <t xml:space="preserve">MOSI3</t>
  </si>
  <si>
    <t xml:space="preserve">MOVI3</t>
  </si>
  <si>
    <t xml:space="preserve">MRFG3</t>
  </si>
  <si>
    <t xml:space="preserve">MRSA3B</t>
  </si>
  <si>
    <t xml:space="preserve">MRSA5B</t>
  </si>
  <si>
    <t xml:space="preserve">MRSA6B</t>
  </si>
  <si>
    <t xml:space="preserve">MRVE3</t>
  </si>
  <si>
    <t xml:space="preserve">MSPA3</t>
  </si>
  <si>
    <t xml:space="preserve">MSPA4</t>
  </si>
  <si>
    <t xml:space="preserve">MSRO3</t>
  </si>
  <si>
    <t xml:space="preserve">MTIG3</t>
  </si>
  <si>
    <t xml:space="preserve">MTIG4</t>
  </si>
  <si>
    <t xml:space="preserve">MTRE3</t>
  </si>
  <si>
    <t xml:space="preserve">MTSA3</t>
  </si>
  <si>
    <t xml:space="preserve">MTSA4</t>
  </si>
  <si>
    <t xml:space="preserve">MULT3</t>
  </si>
  <si>
    <t xml:space="preserve">MWET3</t>
  </si>
  <si>
    <t xml:space="preserve">MWET4</t>
  </si>
  <si>
    <t xml:space="preserve">MYPK3</t>
  </si>
  <si>
    <t xml:space="preserve">NAFG3</t>
  </si>
  <si>
    <t xml:space="preserve">NAFG4</t>
  </si>
  <si>
    <t xml:space="preserve">NEMO3</t>
  </si>
  <si>
    <t xml:space="preserve">NEMO5</t>
  </si>
  <si>
    <t xml:space="preserve">NEMO6</t>
  </si>
  <si>
    <t xml:space="preserve">NEOE3</t>
  </si>
  <si>
    <t xml:space="preserve">NGRD3</t>
  </si>
  <si>
    <t xml:space="preserve">NINJ3</t>
  </si>
  <si>
    <t xml:space="preserve">NORD3</t>
  </si>
  <si>
    <t xml:space="preserve">NRTQ3</t>
  </si>
  <si>
    <t xml:space="preserve">NTCO3</t>
  </si>
  <si>
    <t xml:space="preserve">NUTR3</t>
  </si>
  <si>
    <t xml:space="preserve">ODER4</t>
  </si>
  <si>
    <t xml:space="preserve">ODPV3</t>
  </si>
  <si>
    <t xml:space="preserve">OFSA3</t>
  </si>
  <si>
    <t xml:space="preserve">OGXP3</t>
  </si>
  <si>
    <t xml:space="preserve">Petróleo, Gás e Biocombustíveis</t>
  </si>
  <si>
    <t xml:space="preserve">OIBR3</t>
  </si>
  <si>
    <t xml:space="preserve">OIBR4</t>
  </si>
  <si>
    <t xml:space="preserve">OMGE3</t>
  </si>
  <si>
    <t xml:space="preserve">OPCT3</t>
  </si>
  <si>
    <t xml:space="preserve">ORVR3</t>
  </si>
  <si>
    <t xml:space="preserve">OSXB3</t>
  </si>
  <si>
    <t xml:space="preserve">PARD3</t>
  </si>
  <si>
    <t xml:space="preserve">PATI3</t>
  </si>
  <si>
    <t xml:space="preserve">PATI4</t>
  </si>
  <si>
    <t xml:space="preserve">PCAR3</t>
  </si>
  <si>
    <t xml:space="preserve">PCAR4</t>
  </si>
  <si>
    <t xml:space="preserve">PDGR3</t>
  </si>
  <si>
    <t xml:space="preserve">PDTC3</t>
  </si>
  <si>
    <t xml:space="preserve">PEAB3</t>
  </si>
  <si>
    <t xml:space="preserve">PEAB4</t>
  </si>
  <si>
    <t xml:space="preserve">PETR3</t>
  </si>
  <si>
    <t xml:space="preserve">PETR4</t>
  </si>
  <si>
    <t xml:space="preserve">PETZ3</t>
  </si>
  <si>
    <t xml:space="preserve">PFRM3</t>
  </si>
  <si>
    <t xml:space="preserve">PGMN3</t>
  </si>
  <si>
    <t xml:space="preserve">PINE3</t>
  </si>
  <si>
    <t xml:space="preserve">PINE4</t>
  </si>
  <si>
    <t xml:space="preserve">PLAS3</t>
  </si>
  <si>
    <t xml:space="preserve">PLPL3</t>
  </si>
  <si>
    <t xml:space="preserve">PMAM3</t>
  </si>
  <si>
    <t xml:space="preserve">PNVL3</t>
  </si>
  <si>
    <t xml:space="preserve">PNVL4</t>
  </si>
  <si>
    <t xml:space="preserve">POMO3</t>
  </si>
  <si>
    <t xml:space="preserve">POMO4</t>
  </si>
  <si>
    <t xml:space="preserve">POSI3</t>
  </si>
  <si>
    <t xml:space="preserve">POWE3</t>
  </si>
  <si>
    <t xml:space="preserve">PPAR3</t>
  </si>
  <si>
    <t xml:space="preserve">PPLA11</t>
  </si>
  <si>
    <t xml:space="preserve">PRIO3</t>
  </si>
  <si>
    <t xml:space="preserve">PRNR3</t>
  </si>
  <si>
    <t xml:space="preserve">PSSA3</t>
  </si>
  <si>
    <t xml:space="preserve">PTBL3</t>
  </si>
  <si>
    <t xml:space="preserve">PTCA11</t>
  </si>
  <si>
    <t xml:space="preserve">PTCA3</t>
  </si>
  <si>
    <t xml:space="preserve">PTNT3</t>
  </si>
  <si>
    <t xml:space="preserve">PTNT4</t>
  </si>
  <si>
    <t xml:space="preserve">QUAL3</t>
  </si>
  <si>
    <t xml:space="preserve">QUSW3</t>
  </si>
  <si>
    <t xml:space="preserve">QVQP3B</t>
  </si>
  <si>
    <t xml:space="preserve">RADL3</t>
  </si>
  <si>
    <t xml:space="preserve">RAIL3</t>
  </si>
  <si>
    <t xml:space="preserve">RANI3</t>
  </si>
  <si>
    <t xml:space="preserve">RANI4</t>
  </si>
  <si>
    <t xml:space="preserve">RAPT3</t>
  </si>
  <si>
    <t xml:space="preserve">RAPT4</t>
  </si>
  <si>
    <t xml:space="preserve">RCSL3</t>
  </si>
  <si>
    <t xml:space="preserve">RCSL4</t>
  </si>
  <si>
    <t xml:space="preserve">RDNI3</t>
  </si>
  <si>
    <t xml:space="preserve">RDOR3</t>
  </si>
  <si>
    <t xml:space="preserve">RECV3</t>
  </si>
  <si>
    <t xml:space="preserve">REDE3</t>
  </si>
  <si>
    <t xml:space="preserve">RENT3</t>
  </si>
  <si>
    <t xml:space="preserve">RLOG3</t>
  </si>
  <si>
    <t xml:space="preserve">RNEW11</t>
  </si>
  <si>
    <t xml:space="preserve">RNEW3</t>
  </si>
  <si>
    <t xml:space="preserve">RNEW4</t>
  </si>
  <si>
    <t xml:space="preserve">ROMI3</t>
  </si>
  <si>
    <t xml:space="preserve">RPAD3</t>
  </si>
  <si>
    <t xml:space="preserve">RPAD5</t>
  </si>
  <si>
    <t xml:space="preserve">RPAD6</t>
  </si>
  <si>
    <t xml:space="preserve">RPMG3</t>
  </si>
  <si>
    <t xml:space="preserve">RRRP3</t>
  </si>
  <si>
    <t xml:space="preserve">RSID3</t>
  </si>
  <si>
    <t xml:space="preserve">RSUL3</t>
  </si>
  <si>
    <t xml:space="preserve">RSUL4</t>
  </si>
  <si>
    <t xml:space="preserve">SANB11</t>
  </si>
  <si>
    <t xml:space="preserve">SANB3</t>
  </si>
  <si>
    <t xml:space="preserve">SANB4</t>
  </si>
  <si>
    <t xml:space="preserve">SAPR11</t>
  </si>
  <si>
    <t xml:space="preserve">SAPR3</t>
  </si>
  <si>
    <t xml:space="preserve">SAPR4</t>
  </si>
  <si>
    <t xml:space="preserve">SBFG3</t>
  </si>
  <si>
    <t xml:space="preserve">SBSP3</t>
  </si>
  <si>
    <t xml:space="preserve">SCAR3</t>
  </si>
  <si>
    <t xml:space="preserve">SEDU3</t>
  </si>
  <si>
    <t xml:space="preserve">SEER3</t>
  </si>
  <si>
    <t xml:space="preserve">SEQL3</t>
  </si>
  <si>
    <t xml:space="preserve">SGPS3</t>
  </si>
  <si>
    <t xml:space="preserve">SHOW3</t>
  </si>
  <si>
    <t xml:space="preserve">SHUL3</t>
  </si>
  <si>
    <t xml:space="preserve">SHUL4</t>
  </si>
  <si>
    <t xml:space="preserve">SIMH3</t>
  </si>
  <si>
    <t xml:space="preserve">SLCE3</t>
  </si>
  <si>
    <t xml:space="preserve">SLED3</t>
  </si>
  <si>
    <t xml:space="preserve">SLED4</t>
  </si>
  <si>
    <t xml:space="preserve">SMFT3</t>
  </si>
  <si>
    <t xml:space="preserve">SMLS3</t>
  </si>
  <si>
    <t xml:space="preserve">SMTO3</t>
  </si>
  <si>
    <t xml:space="preserve">SNSY3</t>
  </si>
  <si>
    <t xml:space="preserve">SNSY5</t>
  </si>
  <si>
    <t xml:space="preserve">SNSY6</t>
  </si>
  <si>
    <t xml:space="preserve">SOJA3</t>
  </si>
  <si>
    <t xml:space="preserve">SOMA3</t>
  </si>
  <si>
    <t xml:space="preserve">SOND3</t>
  </si>
  <si>
    <t xml:space="preserve">SOND5</t>
  </si>
  <si>
    <t xml:space="preserve">SOND6</t>
  </si>
  <si>
    <t xml:space="preserve">SPRT3B</t>
  </si>
  <si>
    <t xml:space="preserve">SQIA3</t>
  </si>
  <si>
    <t xml:space="preserve">STBP3</t>
  </si>
  <si>
    <t xml:space="preserve">STKF3</t>
  </si>
  <si>
    <t xml:space="preserve">STTR3</t>
  </si>
  <si>
    <t xml:space="preserve">SULA11</t>
  </si>
  <si>
    <t xml:space="preserve">SULA3</t>
  </si>
  <si>
    <t xml:space="preserve">SULA4</t>
  </si>
  <si>
    <t xml:space="preserve">SUZB3</t>
  </si>
  <si>
    <t xml:space="preserve">TAEE11</t>
  </si>
  <si>
    <t xml:space="preserve">TAEE3</t>
  </si>
  <si>
    <t xml:space="preserve">TAEE4</t>
  </si>
  <si>
    <t xml:space="preserve">TASA3</t>
  </si>
  <si>
    <t xml:space="preserve">TASA4</t>
  </si>
  <si>
    <t xml:space="preserve">TCNO3</t>
  </si>
  <si>
    <t xml:space="preserve">TCNO4</t>
  </si>
  <si>
    <t xml:space="preserve">TCSA3</t>
  </si>
  <si>
    <t xml:space="preserve">TECN3</t>
  </si>
  <si>
    <t xml:space="preserve">TEKA3</t>
  </si>
  <si>
    <t xml:space="preserve">TEKA4</t>
  </si>
  <si>
    <t xml:space="preserve">TELB3</t>
  </si>
  <si>
    <t xml:space="preserve">TELB4</t>
  </si>
  <si>
    <t xml:space="preserve">TEND3</t>
  </si>
  <si>
    <t xml:space="preserve">TESA3</t>
  </si>
  <si>
    <t xml:space="preserve">TFCO4</t>
  </si>
  <si>
    <t xml:space="preserve">TGMA3</t>
  </si>
  <si>
    <t xml:space="preserve">TIET11</t>
  </si>
  <si>
    <t xml:space="preserve">TIET3</t>
  </si>
  <si>
    <t xml:space="preserve">TIET4</t>
  </si>
  <si>
    <t xml:space="preserve">TIMS3</t>
  </si>
  <si>
    <t xml:space="preserve">TKNO3</t>
  </si>
  <si>
    <t xml:space="preserve">TKNO4</t>
  </si>
  <si>
    <t xml:space="preserve">TOTS3</t>
  </si>
  <si>
    <t xml:space="preserve">TOYB3</t>
  </si>
  <si>
    <t xml:space="preserve">TOYB4</t>
  </si>
  <si>
    <t xml:space="preserve">TPIS3</t>
  </si>
  <si>
    <t xml:space="preserve">TRIS3</t>
  </si>
  <si>
    <t xml:space="preserve">TRPL3</t>
  </si>
  <si>
    <t xml:space="preserve">TRPL4</t>
  </si>
  <si>
    <t xml:space="preserve">TUPY3</t>
  </si>
  <si>
    <t xml:space="preserve">TXRX3</t>
  </si>
  <si>
    <t xml:space="preserve">TXRX4</t>
  </si>
  <si>
    <t xml:space="preserve">UCAS3</t>
  </si>
  <si>
    <t xml:space="preserve">UGPA3</t>
  </si>
  <si>
    <t xml:space="preserve">UNIP3</t>
  </si>
  <si>
    <t xml:space="preserve">UNIP5</t>
  </si>
  <si>
    <t xml:space="preserve">UNIP6</t>
  </si>
  <si>
    <t xml:space="preserve">USIM3</t>
  </si>
  <si>
    <t xml:space="preserve">USIM5</t>
  </si>
  <si>
    <t xml:space="preserve">USIM6</t>
  </si>
  <si>
    <t xml:space="preserve">VALE3</t>
  </si>
  <si>
    <t xml:space="preserve">VAMO3</t>
  </si>
  <si>
    <t xml:space="preserve">VIVA3</t>
  </si>
  <si>
    <t xml:space="preserve">VIVR3</t>
  </si>
  <si>
    <t xml:space="preserve">VIVT3</t>
  </si>
  <si>
    <t xml:space="preserve">VIVT4</t>
  </si>
  <si>
    <t xml:space="preserve">VLID3</t>
  </si>
  <si>
    <t xml:space="preserve">VSPT3</t>
  </si>
  <si>
    <t xml:space="preserve">VSPT4</t>
  </si>
  <si>
    <t xml:space="preserve">VULC3</t>
  </si>
  <si>
    <t xml:space="preserve">VVAR3</t>
  </si>
  <si>
    <t xml:space="preserve">WEGE3</t>
  </si>
  <si>
    <t xml:space="preserve">WEST3</t>
  </si>
  <si>
    <t xml:space="preserve">WHRL3</t>
  </si>
  <si>
    <t xml:space="preserve">WHRL4</t>
  </si>
  <si>
    <t xml:space="preserve">WIZS3</t>
  </si>
  <si>
    <t xml:space="preserve">WLMM3</t>
  </si>
  <si>
    <t xml:space="preserve">WLMM4</t>
  </si>
  <si>
    <t xml:space="preserve">WSON33</t>
  </si>
  <si>
    <t xml:space="preserve">YDUQ3</t>
  </si>
  <si>
    <t xml:space="preserve">link</t>
  </si>
  <si>
    <t xml:space="preserve">replace ;</t>
  </si>
  <si>
    <t xml:space="preserve">PRECO</t>
  </si>
  <si>
    <t xml:space="preserve">DY</t>
  </si>
  <si>
    <t xml:space="preserve">P/ATIVOS</t>
  </si>
  <si>
    <t xml:space="preserve">P/EBIT</t>
  </si>
  <si>
    <t xml:space="preserve">DIV. LIQ. / PATRI.</t>
  </si>
  <si>
    <t xml:space="preserve">PSR</t>
  </si>
  <si>
    <t xml:space="preserve">P/CAP. GIRO</t>
  </si>
  <si>
    <t xml:space="preserve">P. AT CIR. LIQ.</t>
  </si>
  <si>
    <t xml:space="preserve">PATRIMONIO / ATIVOS</t>
  </si>
  <si>
    <t xml:space="preserve">PASSIVOS / ATIVOS</t>
  </si>
  <si>
    <t xml:space="preserve">GIRO ATIVOS</t>
  </si>
  <si>
    <t xml:space="preserve">LIQUIDEZ MEDIA DIARIA</t>
  </si>
  <si>
    <t xml:space="preserve">VPA</t>
  </si>
  <si>
    <t xml:space="preserve">LPA</t>
  </si>
  <si>
    <t xml:space="preserve">PEG Ratio</t>
  </si>
  <si>
    <t xml:space="preserve">LINK</t>
  </si>
  <si>
    <t xml:space="preserve">CÓDIGO</t>
  </si>
  <si>
    <t xml:space="preserve">SETOR ECONÔMICO</t>
  </si>
  <si>
    <t xml:space="preserve">SUBSETOR</t>
  </si>
  <si>
    <t xml:space="preserve">SEGMENTO</t>
  </si>
  <si>
    <t xml:space="preserve">CSAN</t>
  </si>
  <si>
    <t xml:space="preserve">Exploração, Refino e Distribuição</t>
  </si>
  <si>
    <t xml:space="preserve">DMMO</t>
  </si>
  <si>
    <t xml:space="preserve">ENAT</t>
  </si>
  <si>
    <t xml:space="preserve">RPMG</t>
  </si>
  <si>
    <t xml:space="preserve">PETR</t>
  </si>
  <si>
    <t xml:space="preserve">BRDT</t>
  </si>
  <si>
    <t xml:space="preserve">PRIO</t>
  </si>
  <si>
    <t xml:space="preserve">UGPA</t>
  </si>
  <si>
    <t xml:space="preserve">LUPA</t>
  </si>
  <si>
    <t xml:space="preserve">Equipamentos e Serviços</t>
  </si>
  <si>
    <t xml:space="preserve">OSXB</t>
  </si>
  <si>
    <t xml:space="preserve">BRAP</t>
  </si>
  <si>
    <t xml:space="preserve">Mineração</t>
  </si>
  <si>
    <t xml:space="preserve">Minerais Metálicos</t>
  </si>
  <si>
    <t xml:space="preserve">LTEL</t>
  </si>
  <si>
    <t xml:space="preserve">LTLA</t>
  </si>
  <si>
    <t xml:space="preserve">MMXM</t>
  </si>
  <si>
    <t xml:space="preserve">VALE</t>
  </si>
  <si>
    <t xml:space="preserve">FESA</t>
  </si>
  <si>
    <t xml:space="preserve">Siderurgia e Metalurgia</t>
  </si>
  <si>
    <t xml:space="preserve">Siderurgia</t>
  </si>
  <si>
    <t xml:space="preserve">GGBR</t>
  </si>
  <si>
    <t xml:space="preserve">GOAU</t>
  </si>
  <si>
    <t xml:space="preserve">CSNA</t>
  </si>
  <si>
    <t xml:space="preserve">USIM</t>
  </si>
  <si>
    <t xml:space="preserve">MGEL</t>
  </si>
  <si>
    <t xml:space="preserve">Artefatos de Ferro e Aço</t>
  </si>
  <si>
    <t xml:space="preserve">PATI</t>
  </si>
  <si>
    <t xml:space="preserve">TKNO</t>
  </si>
  <si>
    <t xml:space="preserve">PMAM</t>
  </si>
  <si>
    <t xml:space="preserve">Artefatos de Cobre</t>
  </si>
  <si>
    <t xml:space="preserve">BRKM</t>
  </si>
  <si>
    <t xml:space="preserve">Químicos</t>
  </si>
  <si>
    <t xml:space="preserve">Petroquímicos</t>
  </si>
  <si>
    <t xml:space="preserve">ELEK</t>
  </si>
  <si>
    <t xml:space="preserve">GPCP</t>
  </si>
  <si>
    <t xml:space="preserve">FHER</t>
  </si>
  <si>
    <t xml:space="preserve">Fertilizantes e Defensivos</t>
  </si>
  <si>
    <t xml:space="preserve">NUTR</t>
  </si>
  <si>
    <t xml:space="preserve">CRPG</t>
  </si>
  <si>
    <t xml:space="preserve">Químicos Diversos</t>
  </si>
  <si>
    <t xml:space="preserve">UNIP</t>
  </si>
  <si>
    <t xml:space="preserve">DTEX</t>
  </si>
  <si>
    <t xml:space="preserve">Madeira e Papel</t>
  </si>
  <si>
    <t xml:space="preserve">Madeira</t>
  </si>
  <si>
    <t xml:space="preserve">EUCA</t>
  </si>
  <si>
    <t xml:space="preserve">RANI</t>
  </si>
  <si>
    <t xml:space="preserve">Papel e Celulose</t>
  </si>
  <si>
    <t xml:space="preserve">KLBN</t>
  </si>
  <si>
    <t xml:space="preserve">MSPA</t>
  </si>
  <si>
    <t xml:space="preserve">STTZ</t>
  </si>
  <si>
    <t xml:space="preserve">NEMO</t>
  </si>
  <si>
    <t xml:space="preserve">SUZB</t>
  </si>
  <si>
    <t xml:space="preserve">MTIG</t>
  </si>
  <si>
    <t xml:space="preserve">Embalagens</t>
  </si>
  <si>
    <t xml:space="preserve">SNSY</t>
  </si>
  <si>
    <t xml:space="preserve">Materiais Diversos</t>
  </si>
  <si>
    <t xml:space="preserve">ETER</t>
  </si>
  <si>
    <t xml:space="preserve">Construção e Engenharia</t>
  </si>
  <si>
    <t xml:space="preserve">Produtos para Construção</t>
  </si>
  <si>
    <t xml:space="preserve">HAGA</t>
  </si>
  <si>
    <t xml:space="preserve">PTBL</t>
  </si>
  <si>
    <t xml:space="preserve">AZEV</t>
  </si>
  <si>
    <t xml:space="preserve">Construção Pesada</t>
  </si>
  <si>
    <t xml:space="preserve">SOND</t>
  </si>
  <si>
    <t xml:space="preserve">Engenharia Consultiva</t>
  </si>
  <si>
    <t xml:space="preserve">TCNO</t>
  </si>
  <si>
    <t xml:space="preserve">MILS</t>
  </si>
  <si>
    <t xml:space="preserve">Serviços Diversos</t>
  </si>
  <si>
    <t xml:space="preserve">EMBR</t>
  </si>
  <si>
    <t xml:space="preserve">Material de Transporte</t>
  </si>
  <si>
    <t xml:space="preserve">Material Aeronáutico e de Defesa</t>
  </si>
  <si>
    <t xml:space="preserve">FRAS</t>
  </si>
  <si>
    <t xml:space="preserve">Material Rodoviário</t>
  </si>
  <si>
    <t xml:space="preserve">POMO</t>
  </si>
  <si>
    <t xml:space="preserve">RAPT</t>
  </si>
  <si>
    <t xml:space="preserve">RCSL</t>
  </si>
  <si>
    <t xml:space="preserve">RSUL</t>
  </si>
  <si>
    <t xml:space="preserve">TUPY</t>
  </si>
  <si>
    <t xml:space="preserve">MWET</t>
  </si>
  <si>
    <t xml:space="preserve">SHUL</t>
  </si>
  <si>
    <t xml:space="preserve">Máquinas e Equipamentos</t>
  </si>
  <si>
    <t xml:space="preserve">Motores, Compressores e Outros</t>
  </si>
  <si>
    <t xml:space="preserve">WEGE</t>
  </si>
  <si>
    <t xml:space="preserve">EALT</t>
  </si>
  <si>
    <t xml:space="preserve">Máq. e Equip. Industriais</t>
  </si>
  <si>
    <t xml:space="preserve">BDLL</t>
  </si>
  <si>
    <t xml:space="preserve">ROMI</t>
  </si>
  <si>
    <t xml:space="preserve">INEP</t>
  </si>
  <si>
    <t xml:space="preserve">KEPL</t>
  </si>
  <si>
    <t xml:space="preserve">FRIO</t>
  </si>
  <si>
    <t xml:space="preserve">NORD</t>
  </si>
  <si>
    <t xml:space="preserve">PTCA</t>
  </si>
  <si>
    <t xml:space="preserve">MTSA</t>
  </si>
  <si>
    <t xml:space="preserve">Máq. e Equip. Construção e Agrícolas</t>
  </si>
  <si>
    <t xml:space="preserve">STTR</t>
  </si>
  <si>
    <t xml:space="preserve">TASA</t>
  </si>
  <si>
    <t xml:space="preserve">Armas e Munições</t>
  </si>
  <si>
    <t xml:space="preserve">AZUL</t>
  </si>
  <si>
    <t xml:space="preserve">Transporte</t>
  </si>
  <si>
    <t xml:space="preserve">Transporte Aéreo</t>
  </si>
  <si>
    <t xml:space="preserve">GOLL</t>
  </si>
  <si>
    <t xml:space="preserve">FRRN</t>
  </si>
  <si>
    <t xml:space="preserve">Transporte Ferroviário</t>
  </si>
  <si>
    <t xml:space="preserve">GASC</t>
  </si>
  <si>
    <t xml:space="preserve">RLOG</t>
  </si>
  <si>
    <t xml:space="preserve">VSPT</t>
  </si>
  <si>
    <t xml:space="preserve">MRSA</t>
  </si>
  <si>
    <t xml:space="preserve">RAIL</t>
  </si>
  <si>
    <t xml:space="preserve">LOGN</t>
  </si>
  <si>
    <t xml:space="preserve">Transporte Hidroviário</t>
  </si>
  <si>
    <t xml:space="preserve">LUXM</t>
  </si>
  <si>
    <t xml:space="preserve">Transporte Rodoviário</t>
  </si>
  <si>
    <t xml:space="preserve">TGMA</t>
  </si>
  <si>
    <t xml:space="preserve">ANHB</t>
  </si>
  <si>
    <t xml:space="preserve">Exploração de Rodovias</t>
  </si>
  <si>
    <t xml:space="preserve">CCRO</t>
  </si>
  <si>
    <t xml:space="preserve">RPTA</t>
  </si>
  <si>
    <t xml:space="preserve">CRTE</t>
  </si>
  <si>
    <t xml:space="preserve">ERDV</t>
  </si>
  <si>
    <t xml:space="preserve">ECNT</t>
  </si>
  <si>
    <t xml:space="preserve">ASCP</t>
  </si>
  <si>
    <t xml:space="preserve">ECOR</t>
  </si>
  <si>
    <t xml:space="preserve">ECOV</t>
  </si>
  <si>
    <t xml:space="preserve">COLN</t>
  </si>
  <si>
    <t xml:space="preserve">RDVT</t>
  </si>
  <si>
    <t xml:space="preserve">CRBD</t>
  </si>
  <si>
    <t xml:space="preserve">TRIA</t>
  </si>
  <si>
    <t xml:space="preserve">TPIS</t>
  </si>
  <si>
    <t xml:space="preserve">VOES</t>
  </si>
  <si>
    <t xml:space="preserve">AGRU</t>
  </si>
  <si>
    <t xml:space="preserve">Serviços de Apoio e Armazenagem</t>
  </si>
  <si>
    <t xml:space="preserve">PSVM</t>
  </si>
  <si>
    <t xml:space="preserve">IVPR</t>
  </si>
  <si>
    <t xml:space="preserve">SAIP</t>
  </si>
  <si>
    <t xml:space="preserve">STBP</t>
  </si>
  <si>
    <t xml:space="preserve">WSON</t>
  </si>
  <si>
    <t xml:space="preserve">ATMP</t>
  </si>
  <si>
    <t xml:space="preserve">BBML</t>
  </si>
  <si>
    <t xml:space="preserve">CARD</t>
  </si>
  <si>
    <t xml:space="preserve">DTCY</t>
  </si>
  <si>
    <t xml:space="preserve">FLEX</t>
  </si>
  <si>
    <t xml:space="preserve">PRNR</t>
  </si>
  <si>
    <t xml:space="preserve">VLID</t>
  </si>
  <si>
    <t xml:space="preserve">BTTL</t>
  </si>
  <si>
    <t xml:space="preserve">Comércio</t>
  </si>
  <si>
    <t xml:space="preserve">MMAQ</t>
  </si>
  <si>
    <t xml:space="preserve">WLMM</t>
  </si>
  <si>
    <t xml:space="preserve">APTI</t>
  </si>
  <si>
    <t xml:space="preserve">Agropecuária</t>
  </si>
  <si>
    <t xml:space="preserve">Agricultura</t>
  </si>
  <si>
    <t xml:space="preserve">AGRO</t>
  </si>
  <si>
    <t xml:space="preserve">FRTA</t>
  </si>
  <si>
    <t xml:space="preserve">SLCE</t>
  </si>
  <si>
    <t xml:space="preserve">TESA</t>
  </si>
  <si>
    <t xml:space="preserve">BSEV</t>
  </si>
  <si>
    <t xml:space="preserve">Alimentos Processados</t>
  </si>
  <si>
    <t xml:space="preserve">Açucar e Alcool</t>
  </si>
  <si>
    <t xml:space="preserve">RESA</t>
  </si>
  <si>
    <t xml:space="preserve">SMTO</t>
  </si>
  <si>
    <t xml:space="preserve">BRFS</t>
  </si>
  <si>
    <t xml:space="preserve">Carnes e Derivados</t>
  </si>
  <si>
    <t xml:space="preserve">BAUH</t>
  </si>
  <si>
    <t xml:space="preserve">JBSS</t>
  </si>
  <si>
    <t xml:space="preserve">MRFG</t>
  </si>
  <si>
    <t xml:space="preserve">BEEF</t>
  </si>
  <si>
    <t xml:space="preserve">MNPR</t>
  </si>
  <si>
    <t xml:space="preserve">CAML</t>
  </si>
  <si>
    <t xml:space="preserve">Alimentos Diversos</t>
  </si>
  <si>
    <t xml:space="preserve">JMCD</t>
  </si>
  <si>
    <t xml:space="preserve">JOPA</t>
  </si>
  <si>
    <t xml:space="preserve">MDIA</t>
  </si>
  <si>
    <t xml:space="preserve">ODER</t>
  </si>
  <si>
    <t xml:space="preserve">ABEV</t>
  </si>
  <si>
    <t xml:space="preserve">Bebidas</t>
  </si>
  <si>
    <t xml:space="preserve">Cervejas e Refrigerantes</t>
  </si>
  <si>
    <t xml:space="preserve">NTCO</t>
  </si>
  <si>
    <t xml:space="preserve">Produtos de Uso Pessoal e de Limpeza</t>
  </si>
  <si>
    <t xml:space="preserve">Produtos de Uso Pessoal</t>
  </si>
  <si>
    <t xml:space="preserve">BOBR</t>
  </si>
  <si>
    <t xml:space="preserve">Produtos de Limpeza</t>
  </si>
  <si>
    <t xml:space="preserve">CRFB</t>
  </si>
  <si>
    <t xml:space="preserve">Comércio e Distribuição</t>
  </si>
  <si>
    <t xml:space="preserve">Alimentos</t>
  </si>
  <si>
    <t xml:space="preserve">PCAR</t>
  </si>
  <si>
    <t xml:space="preserve">CALI</t>
  </si>
  <si>
    <t xml:space="preserve">Construção Civil</t>
  </si>
  <si>
    <t xml:space="preserve">Incorporações</t>
  </si>
  <si>
    <t xml:space="preserve">CRDE</t>
  </si>
  <si>
    <t xml:space="preserve">CYRE</t>
  </si>
  <si>
    <t xml:space="preserve">DIRR</t>
  </si>
  <si>
    <t xml:space="preserve">EVEN</t>
  </si>
  <si>
    <t xml:space="preserve">EZTC</t>
  </si>
  <si>
    <t xml:space="preserve">GFSA</t>
  </si>
  <si>
    <t xml:space="preserve">HBOR</t>
  </si>
  <si>
    <t xml:space="preserve">INNT</t>
  </si>
  <si>
    <t xml:space="preserve">JHSF</t>
  </si>
  <si>
    <t xml:space="preserve">JFEN</t>
  </si>
  <si>
    <t xml:space="preserve">MTRE</t>
  </si>
  <si>
    <t xml:space="preserve">MDNE</t>
  </si>
  <si>
    <t xml:space="preserve">MRVE</t>
  </si>
  <si>
    <t xml:space="preserve">PDGR</t>
  </si>
  <si>
    <t xml:space="preserve">RDNI</t>
  </si>
  <si>
    <t xml:space="preserve">RSID</t>
  </si>
  <si>
    <t xml:space="preserve">TCSA</t>
  </si>
  <si>
    <t xml:space="preserve">TEND</t>
  </si>
  <si>
    <t xml:space="preserve">TRIS</t>
  </si>
  <si>
    <t xml:space="preserve">VIVR</t>
  </si>
  <si>
    <t xml:space="preserve">CEDO</t>
  </si>
  <si>
    <t xml:space="preserve">Tecidos, Vestuário e Calçados</t>
  </si>
  <si>
    <t xml:space="preserve">Fios e Tecidos</t>
  </si>
  <si>
    <t xml:space="preserve">CTNM</t>
  </si>
  <si>
    <t xml:space="preserve">DOHL</t>
  </si>
  <si>
    <t xml:space="preserve">ECPR</t>
  </si>
  <si>
    <t xml:space="preserve">CATA</t>
  </si>
  <si>
    <t xml:space="preserve">CTKA</t>
  </si>
  <si>
    <t xml:space="preserve">PTNT</t>
  </si>
  <si>
    <t xml:space="preserve">CTSA</t>
  </si>
  <si>
    <t xml:space="preserve">SGPS</t>
  </si>
  <si>
    <t xml:space="preserve">TEKA</t>
  </si>
  <si>
    <t xml:space="preserve">TXRX</t>
  </si>
  <si>
    <t xml:space="preserve">HGTX</t>
  </si>
  <si>
    <t xml:space="preserve">Vestuário</t>
  </si>
  <si>
    <t xml:space="preserve">ALPA</t>
  </si>
  <si>
    <t xml:space="preserve">Calçados</t>
  </si>
  <si>
    <t xml:space="preserve">CAMB</t>
  </si>
  <si>
    <t xml:space="preserve">GRND</t>
  </si>
  <si>
    <t xml:space="preserve">VULC</t>
  </si>
  <si>
    <t xml:space="preserve">MNDL</t>
  </si>
  <si>
    <t xml:space="preserve">Acessórios</t>
  </si>
  <si>
    <t xml:space="preserve">TECN</t>
  </si>
  <si>
    <t xml:space="preserve">VIVA</t>
  </si>
  <si>
    <t xml:space="preserve">WHRL</t>
  </si>
  <si>
    <t xml:space="preserve">Utilidades Domésticas</t>
  </si>
  <si>
    <t xml:space="preserve">Eletrodomésticos</t>
  </si>
  <si>
    <t xml:space="preserve">UCAS</t>
  </si>
  <si>
    <t xml:space="preserve">Móveis</t>
  </si>
  <si>
    <t xml:space="preserve">HETA</t>
  </si>
  <si>
    <t xml:space="preserve">Utensílios Domésticos</t>
  </si>
  <si>
    <t xml:space="preserve">NAFG</t>
  </si>
  <si>
    <t xml:space="preserve">MYPK</t>
  </si>
  <si>
    <t xml:space="preserve">Automóveis e Motocicletas</t>
  </si>
  <si>
    <t xml:space="preserve">LEVE</t>
  </si>
  <si>
    <t xml:space="preserve">PLAS</t>
  </si>
  <si>
    <t xml:space="preserve">HOOT</t>
  </si>
  <si>
    <t xml:space="preserve">Hoteis e Restaurantes</t>
  </si>
  <si>
    <t xml:space="preserve">Hotelaria</t>
  </si>
  <si>
    <t xml:space="preserve">BKBR</t>
  </si>
  <si>
    <t xml:space="preserve">Restaurante e Similares</t>
  </si>
  <si>
    <t xml:space="preserve">MEAL</t>
  </si>
  <si>
    <t xml:space="preserve">BMKS</t>
  </si>
  <si>
    <t xml:space="preserve">Viagens e Lazer</t>
  </si>
  <si>
    <t xml:space="preserve">Bicicletas</t>
  </si>
  <si>
    <t xml:space="preserve">ESTR</t>
  </si>
  <si>
    <t xml:space="preserve">Brinquedos e Jogos</t>
  </si>
  <si>
    <t xml:space="preserve">AHEB</t>
  </si>
  <si>
    <t xml:space="preserve">Produção de Eventos e Shows</t>
  </si>
  <si>
    <t xml:space="preserve">SHOW</t>
  </si>
  <si>
    <t xml:space="preserve">CVCB</t>
  </si>
  <si>
    <t xml:space="preserve">Viagens e Turismo</t>
  </si>
  <si>
    <t xml:space="preserve">SMFT</t>
  </si>
  <si>
    <t xml:space="preserve">Atividades Esportivas</t>
  </si>
  <si>
    <t xml:space="preserve">ANIM</t>
  </si>
  <si>
    <t xml:space="preserve">Diversos</t>
  </si>
  <si>
    <t xml:space="preserve">Serviços Educacionais</t>
  </si>
  <si>
    <t xml:space="preserve">BAHI</t>
  </si>
  <si>
    <t xml:space="preserve">COGN</t>
  </si>
  <si>
    <t xml:space="preserve">SEER</t>
  </si>
  <si>
    <t xml:space="preserve">YDUQ</t>
  </si>
  <si>
    <t xml:space="preserve">RENT</t>
  </si>
  <si>
    <t xml:space="preserve">Aluguel de carros</t>
  </si>
  <si>
    <t xml:space="preserve">LCAM</t>
  </si>
  <si>
    <t xml:space="preserve">MSRO</t>
  </si>
  <si>
    <t xml:space="preserve">MOVI</t>
  </si>
  <si>
    <t xml:space="preserve">UNID</t>
  </si>
  <si>
    <t xml:space="preserve">SMLS</t>
  </si>
  <si>
    <t xml:space="preserve">Programas de Fidelização</t>
  </si>
  <si>
    <t xml:space="preserve">ARZZ</t>
  </si>
  <si>
    <t xml:space="preserve">CEAB</t>
  </si>
  <si>
    <t xml:space="preserve">CGRA</t>
  </si>
  <si>
    <t xml:space="preserve">GUAR</t>
  </si>
  <si>
    <t xml:space="preserve">LLIS</t>
  </si>
  <si>
    <t xml:space="preserve">AMAR</t>
  </si>
  <si>
    <t xml:space="preserve">LREN</t>
  </si>
  <si>
    <t xml:space="preserve">MGLU</t>
  </si>
  <si>
    <t xml:space="preserve">VVAR</t>
  </si>
  <si>
    <t xml:space="preserve">BTOW</t>
  </si>
  <si>
    <t xml:space="preserve">Produtos Diversos</t>
  </si>
  <si>
    <t xml:space="preserve">CNTO</t>
  </si>
  <si>
    <t xml:space="preserve">LAME</t>
  </si>
  <si>
    <t xml:space="preserve">SLED</t>
  </si>
  <si>
    <t xml:space="preserve">BIOM</t>
  </si>
  <si>
    <t xml:space="preserve">Medicamentos e Outros Produtos</t>
  </si>
  <si>
    <t xml:space="preserve">GBIO</t>
  </si>
  <si>
    <t xml:space="preserve">NRTQ</t>
  </si>
  <si>
    <t xml:space="preserve">OFSA</t>
  </si>
  <si>
    <t xml:space="preserve">ADHM</t>
  </si>
  <si>
    <t xml:space="preserve">Análises e Diagnósticos</t>
  </si>
  <si>
    <t xml:space="preserve">AALR</t>
  </si>
  <si>
    <t xml:space="preserve">DASA</t>
  </si>
  <si>
    <t xml:space="preserve">FLRY</t>
  </si>
  <si>
    <t xml:space="preserve">HAPV</t>
  </si>
  <si>
    <t xml:space="preserve">PARD</t>
  </si>
  <si>
    <t xml:space="preserve">GNDI</t>
  </si>
  <si>
    <t xml:space="preserve">ODPV</t>
  </si>
  <si>
    <t xml:space="preserve">QUAL</t>
  </si>
  <si>
    <t xml:space="preserve">BALM</t>
  </si>
  <si>
    <t xml:space="preserve">Equipamentos</t>
  </si>
  <si>
    <t xml:space="preserve">LMED</t>
  </si>
  <si>
    <t xml:space="preserve">PNVL</t>
  </si>
  <si>
    <t xml:space="preserve">HYPE</t>
  </si>
  <si>
    <t xml:space="preserve">PFRM</t>
  </si>
  <si>
    <t xml:space="preserve">RADL</t>
  </si>
  <si>
    <t xml:space="preserve">POSI</t>
  </si>
  <si>
    <t xml:space="preserve">Computadores e Equipamentos</t>
  </si>
  <si>
    <t xml:space="preserve">BRQB</t>
  </si>
  <si>
    <t xml:space="preserve">Programas e Serviços</t>
  </si>
  <si>
    <t xml:space="preserve">LINX</t>
  </si>
  <si>
    <t xml:space="preserve">LWSA</t>
  </si>
  <si>
    <t xml:space="preserve">QUSW</t>
  </si>
  <si>
    <t xml:space="preserve">SQIA</t>
  </si>
  <si>
    <t xml:space="preserve">TOTS</t>
  </si>
  <si>
    <t xml:space="preserve">ALGT</t>
  </si>
  <si>
    <t xml:space="preserve">Telecomunicações</t>
  </si>
  <si>
    <t xml:space="preserve">OIBR</t>
  </si>
  <si>
    <t xml:space="preserve">TELB</t>
  </si>
  <si>
    <t xml:space="preserve">VIVT</t>
  </si>
  <si>
    <t xml:space="preserve">TIMS</t>
  </si>
  <si>
    <t xml:space="preserve">CNSY</t>
  </si>
  <si>
    <t xml:space="preserve">Mídia</t>
  </si>
  <si>
    <t xml:space="preserve">Produção e Difusão de Filmes e Programas</t>
  </si>
  <si>
    <t xml:space="preserve">AESL</t>
  </si>
  <si>
    <t xml:space="preserve">Energia Elétrica</t>
  </si>
  <si>
    <t xml:space="preserve">TIET</t>
  </si>
  <si>
    <t xml:space="preserve">AFLT</t>
  </si>
  <si>
    <t xml:space="preserve">ALUP</t>
  </si>
  <si>
    <t xml:space="preserve">CBEE</t>
  </si>
  <si>
    <t xml:space="preserve">CPTE</t>
  </si>
  <si>
    <t xml:space="preserve">CEBR</t>
  </si>
  <si>
    <t xml:space="preserve">CEED</t>
  </si>
  <si>
    <t xml:space="preserve">EEEL</t>
  </si>
  <si>
    <t xml:space="preserve">CLSC</t>
  </si>
  <si>
    <t xml:space="preserve">GPAR</t>
  </si>
  <si>
    <t xml:space="preserve">CEPE</t>
  </si>
  <si>
    <t xml:space="preserve">CMIG</t>
  </si>
  <si>
    <t xml:space="preserve">CMGD</t>
  </si>
  <si>
    <t xml:space="preserve">CMGT</t>
  </si>
  <si>
    <t xml:space="preserve">CESP</t>
  </si>
  <si>
    <t xml:space="preserve">CEEB</t>
  </si>
  <si>
    <t xml:space="preserve">COCE</t>
  </si>
  <si>
    <t xml:space="preserve">CPLE</t>
  </si>
  <si>
    <t xml:space="preserve">CSRN</t>
  </si>
  <si>
    <t xml:space="preserve">CPFE</t>
  </si>
  <si>
    <t xml:space="preserve">CPFG</t>
  </si>
  <si>
    <t xml:space="preserve">CPFP</t>
  </si>
  <si>
    <t xml:space="preserve">CPRE</t>
  </si>
  <si>
    <t xml:space="preserve">EBEN</t>
  </si>
  <si>
    <t xml:space="preserve">EKTR</t>
  </si>
  <si>
    <t xml:space="preserve">ELET</t>
  </si>
  <si>
    <t xml:space="preserve">LIPR</t>
  </si>
  <si>
    <t xml:space="preserve">EMAE</t>
  </si>
  <si>
    <t xml:space="preserve">ENBR</t>
  </si>
  <si>
    <t xml:space="preserve">ENGI</t>
  </si>
  <si>
    <t xml:space="preserve">ENMT</t>
  </si>
  <si>
    <t xml:space="preserve">ENER</t>
  </si>
  <si>
    <t xml:space="preserve">ENEV</t>
  </si>
  <si>
    <t xml:space="preserve">EGIE</t>
  </si>
  <si>
    <t xml:space="preserve">EQPA</t>
  </si>
  <si>
    <t xml:space="preserve">EQMA</t>
  </si>
  <si>
    <t xml:space="preserve">EQTL</t>
  </si>
  <si>
    <t xml:space="preserve">ESCE</t>
  </si>
  <si>
    <t xml:space="preserve">FGEN</t>
  </si>
  <si>
    <t xml:space="preserve">GEPA</t>
  </si>
  <si>
    <t xml:space="preserve">ITPB</t>
  </si>
  <si>
    <t xml:space="preserve">LIGH</t>
  </si>
  <si>
    <t xml:space="preserve">LIGT</t>
  </si>
  <si>
    <t xml:space="preserve">NEOE</t>
  </si>
  <si>
    <t xml:space="preserve">OMGE</t>
  </si>
  <si>
    <t xml:space="preserve">PALF</t>
  </si>
  <si>
    <t xml:space="preserve">PRMN</t>
  </si>
  <si>
    <t xml:space="preserve">REDE</t>
  </si>
  <si>
    <t xml:space="preserve">RNEW</t>
  </si>
  <si>
    <t xml:space="preserve">STKF</t>
  </si>
  <si>
    <t xml:space="preserve">STEN</t>
  </si>
  <si>
    <t xml:space="preserve">TAEE</t>
  </si>
  <si>
    <t xml:space="preserve">TMPE</t>
  </si>
  <si>
    <t xml:space="preserve">TEPE</t>
  </si>
  <si>
    <t xml:space="preserve">TRPL</t>
  </si>
  <si>
    <t xml:space="preserve">UPKP</t>
  </si>
  <si>
    <t xml:space="preserve">CASN</t>
  </si>
  <si>
    <t xml:space="preserve">Água e Saneamento</t>
  </si>
  <si>
    <t xml:space="preserve">CSMG</t>
  </si>
  <si>
    <t xml:space="preserve">IGSN</t>
  </si>
  <si>
    <t xml:space="preserve">SBSP</t>
  </si>
  <si>
    <t xml:space="preserve">SAPR</t>
  </si>
  <si>
    <t xml:space="preserve">SNST</t>
  </si>
  <si>
    <t xml:space="preserve">CEGR</t>
  </si>
  <si>
    <t xml:space="preserve">Gás</t>
  </si>
  <si>
    <t xml:space="preserve">CGAS</t>
  </si>
  <si>
    <t xml:space="preserve">ABCB</t>
  </si>
  <si>
    <t xml:space="preserve">Intermediários Financeiros</t>
  </si>
  <si>
    <t xml:space="preserve">Bancos</t>
  </si>
  <si>
    <t xml:space="preserve">RPAD</t>
  </si>
  <si>
    <t xml:space="preserve">BRIV</t>
  </si>
  <si>
    <t xml:space="preserve">BAZA</t>
  </si>
  <si>
    <t xml:space="preserve">BMGB</t>
  </si>
  <si>
    <t xml:space="preserve">BIDI</t>
  </si>
  <si>
    <t xml:space="preserve">BPAN</t>
  </si>
  <si>
    <t xml:space="preserve">BGIP</t>
  </si>
  <si>
    <t xml:space="preserve">BEES</t>
  </si>
  <si>
    <t xml:space="preserve">BPAR</t>
  </si>
  <si>
    <t xml:space="preserve">BRSR</t>
  </si>
  <si>
    <t xml:space="preserve">BBDC</t>
  </si>
  <si>
    <t xml:space="preserve">BBAS</t>
  </si>
  <si>
    <t xml:space="preserve">BSLI</t>
  </si>
  <si>
    <t xml:space="preserve">BPAC</t>
  </si>
  <si>
    <t xml:space="preserve">IDVL</t>
  </si>
  <si>
    <t xml:space="preserve">ITSA</t>
  </si>
  <si>
    <t xml:space="preserve">ITUB</t>
  </si>
  <si>
    <t xml:space="preserve">BMEB</t>
  </si>
  <si>
    <t xml:space="preserve">BMIN</t>
  </si>
  <si>
    <t xml:space="preserve">BNBR</t>
  </si>
  <si>
    <t xml:space="preserve">PRBC</t>
  </si>
  <si>
    <t xml:space="preserve">PINE</t>
  </si>
  <si>
    <t xml:space="preserve">SANB</t>
  </si>
  <si>
    <t xml:space="preserve">CRIV</t>
  </si>
  <si>
    <t xml:space="preserve">Soc. Crédito e Financiamento</t>
  </si>
  <si>
    <t xml:space="preserve">FNCN</t>
  </si>
  <si>
    <t xml:space="preserve">MERC</t>
  </si>
  <si>
    <t xml:space="preserve">BDLS</t>
  </si>
  <si>
    <t xml:space="preserve">Soc. Arrendamento Mercantil</t>
  </si>
  <si>
    <t xml:space="preserve">BVLS</t>
  </si>
  <si>
    <t xml:space="preserve">DBEN</t>
  </si>
  <si>
    <t xml:space="preserve">BZRS</t>
  </si>
  <si>
    <t xml:space="preserve">Securitizadoras de Recebíveis</t>
  </si>
  <si>
    <t xml:space="preserve">BSCS</t>
  </si>
  <si>
    <t xml:space="preserve">BRCS</t>
  </si>
  <si>
    <t xml:space="preserve">WTVR</t>
  </si>
  <si>
    <t xml:space="preserve">CBSC</t>
  </si>
  <si>
    <t xml:space="preserve">ECOA</t>
  </si>
  <si>
    <t xml:space="preserve">GAFL</t>
  </si>
  <si>
    <t xml:space="preserve">GAIA</t>
  </si>
  <si>
    <t xml:space="preserve">OCTS</t>
  </si>
  <si>
    <t xml:space="preserve">PDGS</t>
  </si>
  <si>
    <t xml:space="preserve">PLSC</t>
  </si>
  <si>
    <t xml:space="preserve">RBRA</t>
  </si>
  <si>
    <t xml:space="preserve">APCS</t>
  </si>
  <si>
    <t xml:space="preserve">VERT</t>
  </si>
  <si>
    <t xml:space="preserve">WTPI</t>
  </si>
  <si>
    <t xml:space="preserve">BNDP</t>
  </si>
  <si>
    <t xml:space="preserve">Serviços Financeiros Diversos</t>
  </si>
  <si>
    <t xml:space="preserve">Gestão de Recursos e Investimentos</t>
  </si>
  <si>
    <t xml:space="preserve">BFRE</t>
  </si>
  <si>
    <t xml:space="preserve">GPIV</t>
  </si>
  <si>
    <t xml:space="preserve">IDNT</t>
  </si>
  <si>
    <t xml:space="preserve">PPLA</t>
  </si>
  <si>
    <t xml:space="preserve">B3SA</t>
  </si>
  <si>
    <t xml:space="preserve">CIEL</t>
  </si>
  <si>
    <t xml:space="preserve">BRGE</t>
  </si>
  <si>
    <t xml:space="preserve">Previdência e Seguros</t>
  </si>
  <si>
    <t xml:space="preserve">Seguradoras</t>
  </si>
  <si>
    <t xml:space="preserve">BBSE</t>
  </si>
  <si>
    <t xml:space="preserve">IRBR</t>
  </si>
  <si>
    <t xml:space="preserve">PSSA</t>
  </si>
  <si>
    <t xml:space="preserve">CSAB</t>
  </si>
  <si>
    <t xml:space="preserve">SULA</t>
  </si>
  <si>
    <t xml:space="preserve">APER</t>
  </si>
  <si>
    <t xml:space="preserve">Corretoras de Seguros</t>
  </si>
  <si>
    <t xml:space="preserve">WIZS</t>
  </si>
  <si>
    <t xml:space="preserve">ALSO</t>
  </si>
  <si>
    <t xml:space="preserve">Exploração de Imóveis</t>
  </si>
  <si>
    <t xml:space="preserve">BRML</t>
  </si>
  <si>
    <t xml:space="preserve">BRPR</t>
  </si>
  <si>
    <t xml:space="preserve">CORR</t>
  </si>
  <si>
    <t xml:space="preserve">CCPR</t>
  </si>
  <si>
    <t xml:space="preserve">GSHP</t>
  </si>
  <si>
    <t xml:space="preserve">HBTS</t>
  </si>
  <si>
    <t xml:space="preserve">IGBR</t>
  </si>
  <si>
    <t xml:space="preserve">IGTA</t>
  </si>
  <si>
    <t xml:space="preserve">JPSA</t>
  </si>
  <si>
    <t xml:space="preserve">LOGG</t>
  </si>
  <si>
    <t xml:space="preserve">MNZC</t>
  </si>
  <si>
    <t xml:space="preserve">MULT</t>
  </si>
  <si>
    <t xml:space="preserve">SCAR</t>
  </si>
  <si>
    <t xml:space="preserve">BBRK</t>
  </si>
  <si>
    <t xml:space="preserve">Intermediação Imobiliária</t>
  </si>
  <si>
    <t xml:space="preserve">LPSB</t>
  </si>
  <si>
    <t xml:space="preserve">MOAR</t>
  </si>
  <si>
    <t xml:space="preserve">Holdings Diversificadas</t>
  </si>
  <si>
    <t xml:space="preserve">PEAB</t>
  </si>
  <si>
    <t xml:space="preserve">SPRI</t>
  </si>
  <si>
    <t xml:space="preserve">CTBA</t>
  </si>
  <si>
    <t xml:space="preserve">Outros Títulos</t>
  </si>
  <si>
    <t xml:space="preserve">MCRJ</t>
  </si>
  <si>
    <t xml:space="preserve">PMSP</t>
  </si>
  <si>
    <t xml:space="preserve">QVQP</t>
  </si>
  <si>
    <t xml:space="preserve">ALEF</t>
  </si>
  <si>
    <t xml:space="preserve">ATOM</t>
  </si>
  <si>
    <t xml:space="preserve">BETP</t>
  </si>
  <si>
    <t xml:space="preserve">CABI</t>
  </si>
  <si>
    <t xml:space="preserve">CACO</t>
  </si>
  <si>
    <t xml:space="preserve">CPTP</t>
  </si>
  <si>
    <t xml:space="preserve">MAPT</t>
  </si>
  <si>
    <t xml:space="preserve">CMSA</t>
  </si>
  <si>
    <t xml:space="preserve">OPGM</t>
  </si>
  <si>
    <t xml:space="preserve">FIGE</t>
  </si>
  <si>
    <t xml:space="preserve">JBDU</t>
  </si>
  <si>
    <t xml:space="preserve">SPRT</t>
  </si>
  <si>
    <t xml:space="preserve">MGIP</t>
  </si>
  <si>
    <t xml:space="preserve">OPHE</t>
  </si>
  <si>
    <t xml:space="preserve">PPAR</t>
  </si>
  <si>
    <t xml:space="preserve">PRPT</t>
  </si>
  <si>
    <t xml:space="preserve">SLCT</t>
  </si>
  <si>
    <t xml:space="preserve">OPSE</t>
  </si>
  <si>
    <t xml:space="preserve">OPTS</t>
  </si>
  <si>
    <t xml:space="preserve">GMAT</t>
  </si>
  <si>
    <t xml:space="preserve">PETZ</t>
  </si>
  <si>
    <t xml:space="preserve">ENJU</t>
  </si>
  <si>
    <t xml:space="preserve">LJQQ</t>
  </si>
  <si>
    <t xml:space="preserve">SOMA</t>
  </si>
  <si>
    <t xml:space="preserve">HBSA</t>
  </si>
  <si>
    <t xml:space="preserve">CASH</t>
  </si>
  <si>
    <t xml:space="preserve">BOAS</t>
  </si>
  <si>
    <t xml:space="preserve">AMBP</t>
  </si>
  <si>
    <t xml:space="preserve">LAVV</t>
  </si>
  <si>
    <t xml:space="preserve">SIMH</t>
  </si>
  <si>
    <t xml:space="preserve">CURY</t>
  </si>
  <si>
    <t xml:space="preserve">PGMN</t>
  </si>
  <si>
    <t xml:space="preserve">PLPL</t>
  </si>
  <si>
    <t xml:space="preserve">DMVF</t>
  </si>
  <si>
    <t xml:space="preserve">MELK</t>
  </si>
  <si>
    <t xml:space="preserve">ALPK</t>
  </si>
  <si>
    <t xml:space="preserve">PDTC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</si>
</sst>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General"/>
    <numFmt numFmtId="167" formatCode="[$R$ -416]#,##0.00"/>
    <numFmt numFmtId="168" formatCode="0.00%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Inconsolata"/>
      <family val="0"/>
      <charset val="1"/>
    </font>
    <font>
      <u val="single"/>
      <sz val="11"/>
      <color rgb="FF1155CC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ECD472"/>
        <bgColor rgb="FFFFFF99"/>
      </patternFill>
    </fill>
    <fill>
      <patternFill patternType="solid">
        <fgColor rgb="FFF3F3F3"/>
        <bgColor rgb="FFFFFFFF"/>
      </patternFill>
    </fill>
    <fill>
      <patternFill patternType="solid">
        <fgColor rgb="FFFFFFFF"/>
        <bgColor rgb="FFF3F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CD47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statusinvest.com.br/acoes/busca-avancada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b3.com.br/pt_br/produtos-e-servicos/negociacao/renda-variavel/acoes/consultas/classificacao-setorial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7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7.63"/>
    <col collapsed="false" customWidth="true" hidden="false" outlineLevel="0" max="2" min="2" style="0" width="19"/>
    <col collapsed="false" customWidth="true" hidden="false" outlineLevel="0" max="4" min="4" style="0" width="20.25"/>
    <col collapsed="false" customWidth="true" hidden="false" outlineLevel="0" max="6" min="5" style="0" width="22.75"/>
    <col collapsed="false" customWidth="true" hidden="false" outlineLevel="0" max="7" min="7" style="0" width="19.76"/>
    <col collapsed="false" customWidth="true" hidden="false" outlineLevel="0" max="9" min="8" style="0" width="18.38"/>
    <col collapsed="false" customWidth="true" hidden="false" outlineLevel="0" max="10" min="10" style="0" width="20.88"/>
    <col collapsed="false" customWidth="true" hidden="false" outlineLevel="0" max="15" min="15" style="0" width="18.74"/>
    <col collapsed="false" customWidth="true" hidden="false" outlineLevel="0" max="17" min="17" style="0" width="13.63"/>
    <col collapsed="false" customWidth="true" hidden="false" outlineLevel="0" max="20" min="18" style="0" width="18.38"/>
    <col collapsed="false" customWidth="true" hidden="false" outlineLevel="0" max="21" min="21" style="0" width="14.01"/>
    <col collapsed="false" customWidth="true" hidden="false" outlineLevel="0" max="22" min="22" style="0" width="12.88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4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5"/>
      <c r="Z1" s="5"/>
      <c r="AA1" s="5"/>
      <c r="AB1" s="5"/>
    </row>
    <row r="2" customFormat="false" ht="15.75" hidden="false" customHeight="false" outlineLevel="0" collapsed="false">
      <c r="A2" s="6" t="s">
        <v>24</v>
      </c>
      <c r="B2" s="7" t="str">
        <f aca="false">IFERROR(VLOOKUP(LEFT(A2,4),Setor!A:D,2,FALSE()),"")</f>
        <v>Saúde</v>
      </c>
      <c r="C2" s="8" t="n">
        <f aca="false">IFERROR(__xludf.dummyfunction("IFERROR(IFERROR(GOOGLEFINANCE(A8,""price""),VLOOKUP(A8,'Dados-Status-Invest'!A:B,2,FALSE)),"""")"),20.15)</f>
        <v>20.15</v>
      </c>
      <c r="D2" s="8" t="n">
        <f aca="false">IFERROR(VLOOKUP(A2,'Dados-Status-Invest'!$1:$1000,MATCH(D$1,'Dados-Status-Invest'!$2:$2,0),FALSE()),"")</f>
        <v>1331977108</v>
      </c>
      <c r="E2" s="8" t="n">
        <f aca="false">IF(D2+H2&gt;0,D2+H2,"")</f>
        <v>1892103302.4</v>
      </c>
      <c r="F2" s="8" t="n">
        <f aca="false">IFERROR(D2/VLOOKUP(A2,'Dados-Status-Invest'!$1:$1000,5,FALSE()),"")</f>
        <v>1189265275</v>
      </c>
      <c r="G2" s="8" t="n">
        <f aca="false">IFERROR(D2/VLOOKUP(A2,'Dados-Status-Invest'!$1:$1000,6,FALSE()),"")</f>
        <v>2561494439</v>
      </c>
      <c r="H2" s="8" t="n">
        <f aca="false">IFERROR(VLOOKUP(A2,'Dados-Status-Invest'!$1:$1000,12,FALSE())*J2,"")</f>
        <v>560126194.4</v>
      </c>
      <c r="I2" s="8" t="n">
        <f aca="false">IFERROR(D2/VLOOKUP(A2,'Dados-Status-Invest'!$1:$1000,14,FALSE()),"")</f>
        <v>972246064.4</v>
      </c>
      <c r="J2" s="9" t="n">
        <f aca="false">IFERROR(D2/VLOOKUP(A2,'Dados-Status-Invest'!$1:$1000,10,FALSE()),"")</f>
        <v>24850319.18</v>
      </c>
      <c r="K2" s="10" t="n">
        <f aca="false">IFERROR(VLOOKUP(A2,'Dados-Status-Invest'!$1:$1000,3,FALSE())/100,"")</f>
        <v>0</v>
      </c>
      <c r="L2" s="11" t="n">
        <f aca="false">IFERROR(VLOOKUP(A2,'Dados-Status-Invest'!$1:$1000,MATCH(L$1,'Dados-Status-Invest'!$2:$2,0),FALSE())/100,"")</f>
        <v>-0.0546</v>
      </c>
      <c r="M2" s="10" t="n">
        <f aca="false">IFERROR(VLOOKUP(A2,'Dados-Status-Invest'!$1:$1000,MATCH(M$1,'Dados-Status-Invest'!$2:$2,0),FALSE())/100,"")</f>
        <v>-0.0255</v>
      </c>
      <c r="N2" s="10" t="n">
        <f aca="false">IFERROR(VLOOKUP(A2,'Dados-Status-Invest'!$1:$1000,MATCH(N$1,'Dados-Status-Invest'!$2:$2,0),FALSE())/100,"")</f>
        <v>0.002</v>
      </c>
      <c r="O2" s="10" t="n">
        <f aca="false">IFERROR(VLOOKUP(A2,'Dados-Status-Invest'!$1:$1000,MATCH(O$1,'Dados-Status-Invest'!$2:$2,0),FALSE())/100,"")</f>
        <v>0.2141</v>
      </c>
      <c r="P2" s="10" t="n">
        <f aca="false">IFERROR(VLOOKUP(A2,'Dados-Status-Invest'!$1:$1000,MATCH(P$1,'Dados-Status-Invest'!$2:$2,0),FALSE())/100,"")</f>
        <v>0.0255</v>
      </c>
      <c r="Q2" s="10" t="n">
        <f aca="false">IFERROR(VLOOKUP(A2,'Dados-Status-Invest'!$1:$1000,MATCH(Q$1,'Dados-Status-Invest'!$2:$2,0),FALSE())/100,"")</f>
        <v>-0.0671</v>
      </c>
      <c r="R2" s="12" t="n">
        <f aca="false">IFERROR(VLOOKUP(A2,'Dados-Status-Invest'!$1:$1000,MATCH(R$1,'Dados-Status-Invest'!$2:$2,0),FALSE()),"")</f>
        <v>-20.41</v>
      </c>
      <c r="S2" s="12" t="n">
        <f aca="false">IFERROR(VLOOKUP(A2,'Dados-Status-Invest'!$1:$1000,MATCH(S$1,'Dados-Status-Invest'!$2:$2,0),FALSE()),"")</f>
        <v>1.12</v>
      </c>
      <c r="T2" s="12" t="n">
        <f aca="false">IFERROR(VLOOKUP(A2,'Dados-Status-Invest'!$1:$1000,MATCH(T$1,'Dados-Status-Invest'!$2:$2,0),FALSE()),"")</f>
        <v>75.85</v>
      </c>
      <c r="U2" s="12" t="n">
        <f aca="false">IFERROR(VLOOKUP(A2,'Dados-Status-Invest'!$1:$1000,MATCH(U$1,'Dados-Status-Invest'!$2:$2,0),FALSE()),"")</f>
        <v>1.11</v>
      </c>
      <c r="V2" s="12" t="n">
        <f aca="false">IFERROR(VLOOKUP(A2,'Dados-Status-Invest'!$1:$1000,MATCH(V$1,'Dados-Status-Invest'!$2:$2,0),FALSE()),"")</f>
        <v>22.54</v>
      </c>
      <c r="W2" s="10" t="n">
        <f aca="false">IFERROR(VLOOKUP(A2,'Dados-Status-Invest'!$1:$1000,MATCH(W$1,'Dados-Status-Invest'!$2:$2,0),FALSE())/100,"")</f>
        <v>0.0583</v>
      </c>
      <c r="X2" s="10" t="n">
        <f aca="false">IFERROR(VLOOKUP(A2,'Dados-Status-Invest'!$1:$1000,MATCH(X$1,'Dados-Status-Invest'!$2:$2,0),FALSE())/100,"")</f>
        <v>0</v>
      </c>
    </row>
    <row r="3" customFormat="false" ht="15.75" hidden="false" customHeight="false" outlineLevel="0" collapsed="false">
      <c r="A3" s="6" t="s">
        <v>25</v>
      </c>
      <c r="B3" s="7" t="str">
        <f aca="false">IFERROR(VLOOKUP(LEFT(A3,4),Setor!A:D,2,FALSE()),"")</f>
        <v>Financeiro</v>
      </c>
      <c r="C3" s="8" t="n">
        <f aca="false">IFERROR(__xludf.dummyfunction("IFERROR(IFERROR(GOOGLEFINANCE(A9,""price""),VLOOKUP(A9,'Dados-Status-Invest'!A:B,2,FALSE)),"""")"),16.59)</f>
        <v>16.59</v>
      </c>
      <c r="D3" s="8" t="n">
        <f aca="false">IFERROR(VLOOKUP(A3,'Dados-Status-Invest'!$1:$1000,MATCH(D$1,'Dados-Status-Invest'!$2:$2,0),FALSE()),"")</f>
        <v>3642311801</v>
      </c>
      <c r="E3" s="8" t="n">
        <f aca="false">IF(D3+H3&gt;0,D3+H3,"")</f>
        <v>3642311801</v>
      </c>
      <c r="F3" s="8" t="n">
        <f aca="false">IFERROR(D3/VLOOKUP(A3,'Dados-Status-Invest'!$1:$1000,5,FALSE()),"")</f>
        <v>4388327471</v>
      </c>
      <c r="G3" s="8" t="n">
        <f aca="false">IFERROR(D3/VLOOKUP(A3,'Dados-Status-Invest'!$1:$1000,6,FALSE()),"")</f>
        <v>52033025728</v>
      </c>
      <c r="H3" s="8" t="n">
        <f aca="false">IFERROR(VLOOKUP(A3,'Dados-Status-Invest'!$1:$1000,12,FALSE())*J3,"")</f>
        <v>0</v>
      </c>
      <c r="I3" s="8" t="n">
        <f aca="false">IFERROR(D3/VLOOKUP(A3,'Dados-Status-Invest'!$1:$1000,14,FALSE()),"")</f>
        <v>4235246280</v>
      </c>
      <c r="J3" s="9" t="n">
        <f aca="false">IFERROR(D3/VLOOKUP(A3,'Dados-Status-Invest'!$1:$1000,10,FALSE()),"")</f>
        <v>380994958.3</v>
      </c>
      <c r="K3" s="10" t="n">
        <f aca="false">IFERROR(VLOOKUP(A3,'Dados-Status-Invest'!$1:$1000,3,FALSE())/100,"")</f>
        <v>0.0441</v>
      </c>
      <c r="L3" s="11" t="n">
        <f aca="false">IFERROR(VLOOKUP(A3,'Dados-Status-Invest'!$1:$1000,MATCH(L$1,'Dados-Status-Invest'!$2:$2,0),FALSE())/100,"")</f>
        <v>0.0828</v>
      </c>
      <c r="M3" s="10" t="n">
        <f aca="false">IFERROR(VLOOKUP(A3,'Dados-Status-Invest'!$1:$1000,MATCH(M$1,'Dados-Status-Invest'!$2:$2,0),FALSE())/100,"")</f>
        <v>0.0075</v>
      </c>
      <c r="N3" s="10" t="n">
        <f aca="false">IFERROR(VLOOKUP(A3,'Dados-Status-Invest'!$1:$1000,MATCH(N$1,'Dados-Status-Invest'!$2:$2,0),FALSE())/100,"")</f>
        <v>0</v>
      </c>
      <c r="O3" s="10" t="n">
        <f aca="false">IFERROR(VLOOKUP(A3,'Dados-Status-Invest'!$1:$1000,MATCH(O$1,'Dados-Status-Invest'!$2:$2,0),FALSE())/100,"")</f>
        <v>0.1355</v>
      </c>
      <c r="P3" s="10" t="n">
        <f aca="false">IFERROR(VLOOKUP(A3,'Dados-Status-Invest'!$1:$1000,MATCH(P$1,'Dados-Status-Invest'!$2:$2,0),FALSE())/100,"")</f>
        <v>0.0897</v>
      </c>
      <c r="Q3" s="10" t="n">
        <f aca="false">IFERROR(VLOOKUP(A3,'Dados-Status-Invest'!$1:$1000,MATCH(Q$1,'Dados-Status-Invest'!$2:$2,0),FALSE())/100,"")</f>
        <v>0.0856</v>
      </c>
      <c r="R3" s="12" t="n">
        <f aca="false">IFERROR(VLOOKUP(A3,'Dados-Status-Invest'!$1:$1000,MATCH(R$1,'Dados-Status-Invest'!$2:$2,0),FALSE()),"")</f>
        <v>10.01</v>
      </c>
      <c r="S3" s="12" t="n">
        <f aca="false">IFERROR(VLOOKUP(A3,'Dados-Status-Invest'!$1:$1000,MATCH(S$1,'Dados-Status-Invest'!$2:$2,0),FALSE()),"")</f>
        <v>0.83</v>
      </c>
      <c r="T3" s="12" t="n">
        <f aca="false">IFERROR(VLOOKUP(A3,'Dados-Status-Invest'!$1:$1000,MATCH(T$1,'Dados-Status-Invest'!$2:$2,0),FALSE()),"")</f>
        <v>9.56</v>
      </c>
      <c r="U3" s="12" t="n">
        <f aca="false">IFERROR(VLOOKUP(A3,'Dados-Status-Invest'!$1:$1000,MATCH(U$1,'Dados-Status-Invest'!$2:$2,0),FALSE()),"")</f>
        <v>2</v>
      </c>
      <c r="V3" s="12" t="n">
        <f aca="false">IFERROR(VLOOKUP(A3,'Dados-Status-Invest'!$1:$1000,MATCH(V$1,'Dados-Status-Invest'!$2:$2,0),FALSE()),"")</f>
        <v>0</v>
      </c>
      <c r="W3" s="10" t="n">
        <f aca="false">IFERROR(VLOOKUP(A3,'Dados-Status-Invest'!$1:$1000,MATCH(W$1,'Dados-Status-Invest'!$2:$2,0),FALSE())/100,"")</f>
        <v>0.0117</v>
      </c>
      <c r="X3" s="10" t="n">
        <f aca="false">IFERROR(VLOOKUP(A3,'Dados-Status-Invest'!$1:$1000,MATCH(X$1,'Dados-Status-Invest'!$2:$2,0),FALSE())/100,"")</f>
        <v>-0.026</v>
      </c>
    </row>
    <row r="4" customFormat="false" ht="15.75" hidden="false" customHeight="false" outlineLevel="0" collapsed="false">
      <c r="A4" s="6" t="s">
        <v>26</v>
      </c>
      <c r="B4" s="7" t="str">
        <f aca="false">IFERROR(VLOOKUP(LEFT(A4,4),Setor!A:D,2,FALSE()),"")</f>
        <v>Consumo não Cíclico</v>
      </c>
      <c r="C4" s="8" t="n">
        <f aca="false">IFERROR(__xludf.dummyfunction("IFERROR(IFERROR(GOOGLEFINANCE(A10,""price""),VLOOKUP(A10,'Dados-Status-Invest'!A:B,2,FALSE)),"""")"),14.07)</f>
        <v>14.07</v>
      </c>
      <c r="D4" s="8" t="n">
        <f aca="false">IFERROR(VLOOKUP(A4,'Dados-Status-Invest'!$1:$1000,MATCH(D$1,'Dados-Status-Invest'!$2:$2,0),FALSE()),"")</f>
        <v>268831135746</v>
      </c>
      <c r="E4" s="8" t="n">
        <f aca="false">IF(D4+H4&gt;0,D4+H4,"")</f>
        <v>254522653255</v>
      </c>
      <c r="F4" s="8" t="n">
        <f aca="false">IFERROR(D4/VLOOKUP(A4,'Dados-Status-Invest'!$1:$1000,5,FALSE()),"")</f>
        <v>81711591412</v>
      </c>
      <c r="G4" s="8" t="n">
        <f aca="false">IFERROR(D4/VLOOKUP(A4,'Dados-Status-Invest'!$1:$1000,6,FALSE()),"")</f>
        <v>133084720666</v>
      </c>
      <c r="H4" s="8" t="n">
        <f aca="false">IFERROR(VLOOKUP(A4,'Dados-Status-Invest'!$1:$1000,12,FALSE())*J4,"")</f>
        <v>-14308482491</v>
      </c>
      <c r="I4" s="8" t="n">
        <f aca="false">IFERROR(D4/VLOOKUP(A4,'Dados-Status-Invest'!$1:$1000,14,FALSE()),"")</f>
        <v>62229429571</v>
      </c>
      <c r="J4" s="9" t="n">
        <f aca="false">IFERROR(D4/VLOOKUP(A4,'Dados-Status-Invest'!$1:$1000,10,FALSE()),"")</f>
        <v>16833508813</v>
      </c>
      <c r="K4" s="10" t="n">
        <f aca="false">IFERROR(VLOOKUP(A4,'Dados-Status-Invest'!$1:$1000,3,FALSE())/100,"")</f>
        <v>0.0286</v>
      </c>
      <c r="L4" s="11" t="n">
        <f aca="false">IFERROR(VLOOKUP(A4,'Dados-Status-Invest'!$1:$1000,MATCH(L$1,'Dados-Status-Invest'!$2:$2,0),FALSE())/100,"")</f>
        <v>0.1574</v>
      </c>
      <c r="M4" s="10" t="n">
        <f aca="false">IFERROR(VLOOKUP(A4,'Dados-Status-Invest'!$1:$1000,MATCH(M$1,'Dados-Status-Invest'!$2:$2,0),FALSE())/100,"")</f>
        <v>0.0968</v>
      </c>
      <c r="N4" s="10" t="n">
        <f aca="false">IFERROR(VLOOKUP(A4,'Dados-Status-Invest'!$1:$1000,MATCH(N$1,'Dados-Status-Invest'!$2:$2,0),FALSE())/100,"")</f>
        <v>0.1716</v>
      </c>
      <c r="O4" s="10" t="n">
        <f aca="false">IFERROR(VLOOKUP(A4,'Dados-Status-Invest'!$1:$1000,MATCH(O$1,'Dados-Status-Invest'!$2:$2,0),FALSE())/100,"")</f>
        <v>0.5295</v>
      </c>
      <c r="P4" s="10" t="n">
        <f aca="false">IFERROR(VLOOKUP(A4,'Dados-Status-Invest'!$1:$1000,MATCH(P$1,'Dados-Status-Invest'!$2:$2,0),FALSE())/100,"")</f>
        <v>0.2705</v>
      </c>
      <c r="Q4" s="10" t="n">
        <f aca="false">IFERROR(VLOOKUP(A4,'Dados-Status-Invest'!$1:$1000,MATCH(Q$1,'Dados-Status-Invest'!$2:$2,0),FALSE())/100,"")</f>
        <v>0.2069</v>
      </c>
      <c r="R4" s="12" t="n">
        <f aca="false">IFERROR(VLOOKUP(A4,'Dados-Status-Invest'!$1:$1000,MATCH(R$1,'Dados-Status-Invest'!$2:$2,0),FALSE()),"")</f>
        <v>20.88</v>
      </c>
      <c r="S4" s="12" t="n">
        <f aca="false">IFERROR(VLOOKUP(A4,'Dados-Status-Invest'!$1:$1000,MATCH(S$1,'Dados-Status-Invest'!$2:$2,0),FALSE()),"")</f>
        <v>3.29</v>
      </c>
      <c r="T4" s="12" t="n">
        <f aca="false">IFERROR(VLOOKUP(A4,'Dados-Status-Invest'!$1:$1000,MATCH(T$1,'Dados-Status-Invest'!$2:$2,0),FALSE()),"")</f>
        <v>15.08</v>
      </c>
      <c r="U4" s="12" t="n">
        <f aca="false">IFERROR(VLOOKUP(A4,'Dados-Status-Invest'!$1:$1000,MATCH(U$1,'Dados-Status-Invest'!$2:$2,0),FALSE()),"")</f>
        <v>1.16</v>
      </c>
      <c r="V4" s="12" t="n">
        <f aca="false">IFERROR(VLOOKUP(A4,'Dados-Status-Invest'!$1:$1000,MATCH(V$1,'Dados-Status-Invest'!$2:$2,0),FALSE()),"")</f>
        <v>-0.85</v>
      </c>
      <c r="W4" s="10" t="n">
        <f aca="false">IFERROR(VLOOKUP(A4,'Dados-Status-Invest'!$1:$1000,MATCH(W$1,'Dados-Status-Invest'!$2:$2,0),FALSE())/100,"")</f>
        <v>0.0456</v>
      </c>
      <c r="X4" s="10" t="n">
        <f aca="false">IFERROR(VLOOKUP(A4,'Dados-Status-Invest'!$1:$1000,MATCH(X$1,'Dados-Status-Invest'!$2:$2,0),FALSE())/100,"")</f>
        <v>-0.0185</v>
      </c>
    </row>
    <row r="5" customFormat="false" ht="15.75" hidden="false" customHeight="false" outlineLevel="0" collapsed="false">
      <c r="A5" s="6" t="s">
        <v>27</v>
      </c>
      <c r="B5" s="7" t="str">
        <f aca="false">IFERROR(VLOOKUP(LEFT(A5,4),Setor!A:D,2,FALSE()),"")</f>
        <v>Saúde</v>
      </c>
      <c r="C5" s="8" t="n">
        <f aca="false">IFERROR(__xludf.dummyfunction("IFERROR(IFERROR(GOOGLEFINANCE(A11,""price""),VLOOKUP(A11,'Dados-Status-Invest'!A:B,2,FALSE)),"""")"),1.56)</f>
        <v>1.56</v>
      </c>
      <c r="D5" s="8" t="n">
        <f aca="false">IFERROR(VLOOKUP(A5,'Dados-Status-Invest'!$1:$1000,MATCH(D$1,'Dados-Status-Invest'!$2:$2,0),FALSE()),"")</f>
        <v>25439770.2</v>
      </c>
      <c r="E5" s="8" t="n">
        <f aca="false">IF(D5+H5&gt;0,D5+H5,"")</f>
        <v>25439770.2</v>
      </c>
      <c r="F5" s="8" t="n">
        <f aca="false">IFERROR(D5/VLOOKUP(A5,'Dados-Status-Invest'!$1:$1000,5,FALSE()),"")</f>
        <v>-19720752.09</v>
      </c>
      <c r="G5" s="8" t="n">
        <f aca="false">IFERROR(D5/VLOOKUP(A5,'Dados-Status-Invest'!$1:$1000,6,FALSE()),"")</f>
        <v>242006.9463</v>
      </c>
      <c r="H5" s="8" t="n">
        <f aca="false">IFERROR(VLOOKUP(A5,'Dados-Status-Invest'!$1:$1000,12,FALSE())*J5,"")</f>
        <v>0</v>
      </c>
      <c r="I5" s="8" t="n">
        <f aca="false">IFERROR(D5/VLOOKUP(A5,'Dados-Status-Invest'!$1:$1000,14,FALSE()),"")</f>
        <v>33000.09106</v>
      </c>
      <c r="J5" s="9" t="n">
        <f aca="false">IFERROR(D5/VLOOKUP(A5,'Dados-Status-Invest'!$1:$1000,10,FALSE()),"")</f>
        <v>-4470961.371</v>
      </c>
      <c r="K5" s="10" t="n">
        <f aca="false">IFERROR(VLOOKUP(A5,'Dados-Status-Invest'!$1:$1000,3,FALSE())/100,"")</f>
        <v>0</v>
      </c>
      <c r="L5" s="11" t="n">
        <f aca="false">IFERROR(VLOOKUP(A5,'Dados-Status-Invest'!$1:$1000,MATCH(L$1,'Dados-Status-Invest'!$2:$2,0),FALSE())/100,"")</f>
        <v>-0.3147</v>
      </c>
      <c r="M5" s="10" t="n">
        <f aca="false">IFERROR(VLOOKUP(A5,'Dados-Status-Invest'!$1:$1000,MATCH(M$1,'Dados-Status-Invest'!$2:$2,0),FALSE())/100,"")</f>
        <v>-25.719</v>
      </c>
      <c r="N5" s="10" t="n">
        <f aca="false">IFERROR(VLOOKUP(A5,'Dados-Status-Invest'!$1:$1000,MATCH(N$1,'Dados-Status-Invest'!$2:$2,0),FALSE())/100,"")</f>
        <v>0.2261</v>
      </c>
      <c r="O5" s="10" t="n">
        <f aca="false">IFERROR(VLOOKUP(A5,'Dados-Status-Invest'!$1:$1000,MATCH(O$1,'Dados-Status-Invest'!$2:$2,0),FALSE())/100,"")</f>
        <v>1</v>
      </c>
      <c r="P5" s="10" t="n">
        <f aca="false">IFERROR(VLOOKUP(A5,'Dados-Status-Invest'!$1:$1000,MATCH(P$1,'Dados-Status-Invest'!$2:$2,0),FALSE())/100,"")</f>
        <v>-135.4848</v>
      </c>
      <c r="Q5" s="10" t="n">
        <f aca="false">IFERROR(VLOOKUP(A5,'Dados-Status-Invest'!$1:$1000,MATCH(Q$1,'Dados-Status-Invest'!$2:$2,0),FALSE())/100,"")</f>
        <v>-188.6061</v>
      </c>
      <c r="R5" s="12" t="n">
        <f aca="false">IFERROR(VLOOKUP(A5,'Dados-Status-Invest'!$1:$1000,MATCH(R$1,'Dados-Status-Invest'!$2:$2,0),FALSE()),"")</f>
        <v>-4.09</v>
      </c>
      <c r="S5" s="12" t="n">
        <f aca="false">IFERROR(VLOOKUP(A5,'Dados-Status-Invest'!$1:$1000,MATCH(S$1,'Dados-Status-Invest'!$2:$2,0),FALSE()),"")</f>
        <v>-1.29</v>
      </c>
      <c r="T5" s="12" t="n">
        <f aca="false">IFERROR(VLOOKUP(A5,'Dados-Status-Invest'!$1:$1000,MATCH(T$1,'Dados-Status-Invest'!$2:$2,0),FALSE()),"")</f>
        <v>-5.69</v>
      </c>
      <c r="U5" s="12" t="n">
        <f aca="false">IFERROR(VLOOKUP(A5,'Dados-Status-Invest'!$1:$1000,MATCH(U$1,'Dados-Status-Invest'!$2:$2,0),FALSE()),"")</f>
        <v>0</v>
      </c>
      <c r="V5" s="12" t="n">
        <f aca="false">IFERROR(VLOOKUP(A5,'Dados-Status-Invest'!$1:$1000,MATCH(V$1,'Dados-Status-Invest'!$2:$2,0),FALSE()),"")</f>
        <v>0</v>
      </c>
      <c r="W5" s="10" t="n">
        <f aca="false">IFERROR(VLOOKUP(A5,'Dados-Status-Invest'!$1:$1000,MATCH(W$1,'Dados-Status-Invest'!$2:$2,0),FALSE())/100,"")</f>
        <v>0</v>
      </c>
      <c r="X5" s="10" t="n">
        <f aca="false">IFERROR(VLOOKUP(A5,'Dados-Status-Invest'!$1:$1000,MATCH(X$1,'Dados-Status-Invest'!$2:$2,0),FALSE())/100,"")</f>
        <v>0</v>
      </c>
    </row>
    <row r="6" customFormat="false" ht="15.75" hidden="false" customHeight="false" outlineLevel="0" collapsed="false">
      <c r="A6" s="6" t="s">
        <v>28</v>
      </c>
      <c r="B6" s="7" t="s">
        <v>29</v>
      </c>
      <c r="C6" s="8" t="n">
        <f aca="false">IFERROR(__xludf.dummyfunction("IFERROR(IFERROR(GOOGLEFINANCE(A12,""price""),VLOOKUP(A12,'Dados-Status-Invest'!A:B,2,FALSE)),"""")"),3.64)</f>
        <v>3.64</v>
      </c>
      <c r="D6" s="8" t="n">
        <f aca="false">IFERROR(VLOOKUP(A6,'Dados-Status-Invest'!$1:$1000,MATCH(D$1,'Dados-Status-Invest'!$2:$2,0),FALSE()),"")</f>
        <v>7554864676</v>
      </c>
      <c r="E6" s="8" t="n">
        <f aca="false">IF(D6+H6&gt;0,D6+H6,"")</f>
        <v>8203651678.4</v>
      </c>
      <c r="F6" s="8" t="n">
        <f aca="false">IFERROR(D6/VLOOKUP(A6,'Dados-Status-Invest'!$1:$1000,5,FALSE()),"")</f>
        <v>990152644.3</v>
      </c>
      <c r="G6" s="8" t="n">
        <f aca="false">IFERROR(D6/VLOOKUP(A6,'Dados-Status-Invest'!$1:$1000,6,FALSE()),"")</f>
        <v>2777523778</v>
      </c>
      <c r="H6" s="8" t="n">
        <f aca="false">IFERROR(VLOOKUP(A6,'Dados-Status-Invest'!$1:$1000,12,FALSE())*J6,"")</f>
        <v>648787002.4</v>
      </c>
      <c r="I6" s="8" t="n">
        <f aca="false">IFERROR(D6/VLOOKUP(A6,'Dados-Status-Invest'!$1:$1000,14,FALSE()),"")</f>
        <v>2596173428</v>
      </c>
      <c r="J6" s="9" t="n">
        <f aca="false">IFERROR(D6/VLOOKUP(A6,'Dados-Status-Invest'!$1:$1000,10,FALSE()),"")</f>
        <v>226058189</v>
      </c>
      <c r="K6" s="10" t="n">
        <f aca="false">IFERROR(VLOOKUP(A6,'Dados-Status-Invest'!$1:$1000,3,FALSE())/100,"")</f>
        <v>0</v>
      </c>
      <c r="L6" s="11" t="n">
        <f aca="false">IFERROR(VLOOKUP(A6,'Dados-Status-Invest'!$1:$1000,MATCH(L$1,'Dados-Status-Invest'!$2:$2,0),FALSE())/100,"")</f>
        <v>0.1209</v>
      </c>
      <c r="M6" s="10" t="n">
        <f aca="false">IFERROR(VLOOKUP(A6,'Dados-Status-Invest'!$1:$1000,MATCH(M$1,'Dados-Status-Invest'!$2:$2,0),FALSE())/100,"")</f>
        <v>0.0431</v>
      </c>
      <c r="N6" s="10" t="n">
        <f aca="false">IFERROR(VLOOKUP(A6,'Dados-Status-Invest'!$1:$1000,MATCH(N$1,'Dados-Status-Invest'!$2:$2,0),FALSE())/100,"")</f>
        <v>0.0887</v>
      </c>
      <c r="O6" s="10" t="n">
        <f aca="false">IFERROR(VLOOKUP(A6,'Dados-Status-Invest'!$1:$1000,MATCH(O$1,'Dados-Status-Invest'!$2:$2,0),FALSE())/100,"")</f>
        <v>0.1082</v>
      </c>
      <c r="P6" s="10" t="n">
        <f aca="false">IFERROR(VLOOKUP(A6,'Dados-Status-Invest'!$1:$1000,MATCH(P$1,'Dados-Status-Invest'!$2:$2,0),FALSE())/100,"")</f>
        <v>0.0871</v>
      </c>
      <c r="Q6" s="10" t="n">
        <f aca="false">IFERROR(VLOOKUP(A6,'Dados-Status-Invest'!$1:$1000,MATCH(Q$1,'Dados-Status-Invest'!$2:$2,0),FALSE())/100,"")</f>
        <v>0.0461</v>
      </c>
      <c r="R6" s="12" t="n">
        <f aca="false">IFERROR(VLOOKUP(A6,'Dados-Status-Invest'!$1:$1000,MATCH(R$1,'Dados-Status-Invest'!$2:$2,0),FALSE()),"")</f>
        <v>63.15</v>
      </c>
      <c r="S6" s="12" t="n">
        <f aca="false">IFERROR(VLOOKUP(A6,'Dados-Status-Invest'!$1:$1000,MATCH(S$1,'Dados-Status-Invest'!$2:$2,0),FALSE()),"")</f>
        <v>7.63</v>
      </c>
      <c r="T6" s="12" t="n">
        <f aca="false">IFERROR(VLOOKUP(A6,'Dados-Status-Invest'!$1:$1000,MATCH(T$1,'Dados-Status-Invest'!$2:$2,0),FALSE()),"")</f>
        <v>36.29</v>
      </c>
      <c r="U6" s="12" t="n">
        <f aca="false">IFERROR(VLOOKUP(A6,'Dados-Status-Invest'!$1:$1000,MATCH(U$1,'Dados-Status-Invest'!$2:$2,0),FALSE()),"")</f>
        <v>2.65</v>
      </c>
      <c r="V6" s="12" t="n">
        <f aca="false">IFERROR(VLOOKUP(A6,'Dados-Status-Invest'!$1:$1000,MATCH(V$1,'Dados-Status-Invest'!$2:$2,0),FALSE()),"")</f>
        <v>2.87</v>
      </c>
      <c r="W6" s="10" t="n">
        <f aca="false">IFERROR(VLOOKUP(A6,'Dados-Status-Invest'!$1:$1000,MATCH(W$1,'Dados-Status-Invest'!$2:$2,0),FALSE())/100,"")</f>
        <v>0</v>
      </c>
      <c r="X6" s="10" t="n">
        <f aca="false">IFERROR(VLOOKUP(A6,'Dados-Status-Invest'!$1:$1000,MATCH(X$1,'Dados-Status-Invest'!$2:$2,0),FALSE())/100,"")</f>
        <v>0</v>
      </c>
    </row>
    <row r="7" customFormat="false" ht="15.75" hidden="false" customHeight="false" outlineLevel="0" collapsed="false">
      <c r="A7" s="6" t="s">
        <v>30</v>
      </c>
      <c r="B7" s="7" t="s">
        <v>31</v>
      </c>
      <c r="C7" s="8" t="n">
        <f aca="false">IFERROR(__xludf.dummyfunction("IFERROR(IFERROR(GOOGLEFINANCE(A13,""price""),VLOOKUP(A13,'Dados-Status-Invest'!A:B,2,FALSE)),"""")"),10.64)</f>
        <v>10.64</v>
      </c>
      <c r="D7" s="8" t="n">
        <f aca="false">IFERROR(VLOOKUP(A7,'Dados-Status-Invest'!$1:$1000,MATCH(D$1,'Dados-Status-Invest'!$2:$2,0),FALSE()),"")</f>
        <v>5579509150</v>
      </c>
      <c r="E7" s="8" t="n">
        <f aca="false">IF(D7+H7&gt;0,D7+H7,"")</f>
        <v>5579509150</v>
      </c>
      <c r="F7" s="8" t="n">
        <f aca="false">IFERROR(D7/VLOOKUP(A7,'Dados-Status-Invest'!$1:$1000,5,FALSE()),"")</f>
        <v>1866056572</v>
      </c>
      <c r="G7" s="8" t="n">
        <f aca="false">IFERROR(D7/VLOOKUP(A7,'Dados-Status-Invest'!$1:$1000,6,FALSE()),"")</f>
        <v>9619843361</v>
      </c>
      <c r="H7" s="8" t="n">
        <f aca="false">IFERROR(VLOOKUP(A7,'Dados-Status-Invest'!$1:$1000,12,FALSE())*J7,"")</f>
        <v>0</v>
      </c>
      <c r="I7" s="8" t="str">
        <f aca="false">IFERROR(D7/VLOOKUP(A7,'Dados-Status-Invest'!$1:$1000,14,FALSE()),"")</f>
        <v/>
      </c>
      <c r="J7" s="9" t="str">
        <f aca="false">IFERROR(D7/VLOOKUP(A7,'Dados-Status-Invest'!$1:$1000,10,FALSE()),"")</f>
        <v/>
      </c>
      <c r="K7" s="10" t="n">
        <f aca="false">IFERROR(VLOOKUP(A7,'Dados-Status-Invest'!$1:$1000,3,FALSE())/100,"")</f>
        <v>0.0122</v>
      </c>
      <c r="L7" s="11" t="n">
        <f aca="false">IFERROR(VLOOKUP(A7,'Dados-Status-Invest'!$1:$1000,MATCH(L$1,'Dados-Status-Invest'!$2:$2,0),FALSE())/100,"")</f>
        <v>0</v>
      </c>
      <c r="M7" s="10" t="n">
        <f aca="false">IFERROR(VLOOKUP(A7,'Dados-Status-Invest'!$1:$1000,MATCH(M$1,'Dados-Status-Invest'!$2:$2,0),FALSE())/100,"")</f>
        <v>0</v>
      </c>
      <c r="N7" s="10" t="n">
        <f aca="false">IFERROR(VLOOKUP(A7,'Dados-Status-Invest'!$1:$1000,MATCH(N$1,'Dados-Status-Invest'!$2:$2,0),FALSE())/100,"")</f>
        <v>0</v>
      </c>
      <c r="O7" s="10" t="n">
        <f aca="false">IFERROR(VLOOKUP(A7,'Dados-Status-Invest'!$1:$1000,MATCH(O$1,'Dados-Status-Invest'!$2:$2,0),FALSE())/100,"")</f>
        <v>0</v>
      </c>
      <c r="P7" s="10" t="n">
        <f aca="false">IFERROR(VLOOKUP(A7,'Dados-Status-Invest'!$1:$1000,MATCH(P$1,'Dados-Status-Invest'!$2:$2,0),FALSE())/100,"")</f>
        <v>0</v>
      </c>
      <c r="Q7" s="10" t="n">
        <f aca="false">IFERROR(VLOOKUP(A7,'Dados-Status-Invest'!$1:$1000,MATCH(Q$1,'Dados-Status-Invest'!$2:$2,0),FALSE())/100,"")</f>
        <v>0</v>
      </c>
      <c r="R7" s="12" t="n">
        <f aca="false">IFERROR(VLOOKUP(A7,'Dados-Status-Invest'!$1:$1000,MATCH(R$1,'Dados-Status-Invest'!$2:$2,0),FALSE()),"")</f>
        <v>0</v>
      </c>
      <c r="S7" s="12" t="n">
        <f aca="false">IFERROR(VLOOKUP(A7,'Dados-Status-Invest'!$1:$1000,MATCH(S$1,'Dados-Status-Invest'!$2:$2,0),FALSE()),"")</f>
        <v>2.99</v>
      </c>
      <c r="T7" s="12" t="n">
        <f aca="false">IFERROR(VLOOKUP(A7,'Dados-Status-Invest'!$1:$1000,MATCH(T$1,'Dados-Status-Invest'!$2:$2,0),FALSE()),"")</f>
        <v>0</v>
      </c>
      <c r="U7" s="12" t="n">
        <f aca="false">IFERROR(VLOOKUP(A7,'Dados-Status-Invest'!$1:$1000,MATCH(U$1,'Dados-Status-Invest'!$2:$2,0),FALSE()),"")</f>
        <v>1.34</v>
      </c>
      <c r="V7" s="12" t="n">
        <f aca="false">IFERROR(VLOOKUP(A7,'Dados-Status-Invest'!$1:$1000,MATCH(V$1,'Dados-Status-Invest'!$2:$2,0),FALSE()),"")</f>
        <v>0</v>
      </c>
      <c r="W7" s="10" t="n">
        <f aca="false">IFERROR(VLOOKUP(A7,'Dados-Status-Invest'!$1:$1000,MATCH(W$1,'Dados-Status-Invest'!$2:$2,0),FALSE())/100,"")</f>
        <v>0</v>
      </c>
      <c r="X7" s="10" t="n">
        <f aca="false">IFERROR(VLOOKUP(A7,'Dados-Status-Invest'!$1:$1000,MATCH(X$1,'Dados-Status-Invest'!$2:$2,0),FALSE())/100,"")</f>
        <v>0</v>
      </c>
    </row>
    <row r="8" customFormat="false" ht="15.75" hidden="false" customHeight="false" outlineLevel="0" collapsed="false">
      <c r="A8" s="6" t="s">
        <v>32</v>
      </c>
      <c r="B8" s="7" t="str">
        <f aca="false">IFERROR(VLOOKUP(LEFT(A8,4),Setor!A:D,2,FALSE()),"")</f>
        <v>Utilidade Pública</v>
      </c>
      <c r="C8" s="8" t="n">
        <f aca="false">IFERROR(__xludf.dummyfunction("IFERROR(IFERROR(GOOGLEFINANCE(A14,""price""),VLOOKUP(A14,'Dados-Status-Invest'!A:B,2,FALSE)),"""")"),9.05)</f>
        <v>9.05</v>
      </c>
      <c r="D8" s="8" t="n">
        <f aca="false">IFERROR(VLOOKUP(A8,'Dados-Status-Invest'!$1:$1000,MATCH(D$1,'Dados-Status-Invest'!$2:$2,0),FALSE()),"")</f>
        <v>686361536</v>
      </c>
      <c r="E8" s="8" t="n">
        <f aca="false">IF(D8+H8&gt;0,D8+H8,"")</f>
        <v>651807866</v>
      </c>
      <c r="F8" s="8" t="n">
        <f aca="false">IFERROR(D8/VLOOKUP(A8,'Dados-Status-Invest'!$1:$1000,5,FALSE()),"")</f>
        <v>193341277.7</v>
      </c>
      <c r="G8" s="8" t="n">
        <f aca="false">IFERROR(D8/VLOOKUP(A8,'Dados-Status-Invest'!$1:$1000,6,FALSE()),"")</f>
        <v>211188164.9</v>
      </c>
      <c r="H8" s="8" t="n">
        <f aca="false">IFERROR(VLOOKUP(A8,'Dados-Status-Invest'!$1:$1000,12,FALSE())*J8,"")</f>
        <v>-34553670</v>
      </c>
      <c r="I8" s="8" t="n">
        <f aca="false">IFERROR(D8/VLOOKUP(A8,'Dados-Status-Invest'!$1:$1000,14,FALSE()),"")</f>
        <v>35878804.81</v>
      </c>
      <c r="J8" s="9" t="n">
        <f aca="false">IFERROR(D8/VLOOKUP(A8,'Dados-Status-Invest'!$1:$1000,10,FALSE()),"")</f>
        <v>19632767.05</v>
      </c>
      <c r="K8" s="10" t="n">
        <f aca="false">IFERROR(VLOOKUP(A8,'Dados-Status-Invest'!$1:$1000,3,FALSE())/100,"")</f>
        <v>0.1068</v>
      </c>
      <c r="L8" s="11" t="n">
        <f aca="false">IFERROR(VLOOKUP(A8,'Dados-Status-Invest'!$1:$1000,MATCH(L$1,'Dados-Status-Invest'!$2:$2,0),FALSE())/100,"")</f>
        <v>0.0976</v>
      </c>
      <c r="M8" s="10" t="n">
        <f aca="false">IFERROR(VLOOKUP(A8,'Dados-Status-Invest'!$1:$1000,MATCH(M$1,'Dados-Status-Invest'!$2:$2,0),FALSE())/100,"")</f>
        <v>0.0893</v>
      </c>
      <c r="N8" s="10" t="n">
        <f aca="false">IFERROR(VLOOKUP(A8,'Dados-Status-Invest'!$1:$1000,MATCH(N$1,'Dados-Status-Invest'!$2:$2,0),FALSE())/100,"")</f>
        <v>0.0929</v>
      </c>
      <c r="O8" s="10" t="n">
        <f aca="false">IFERROR(VLOOKUP(A8,'Dados-Status-Invest'!$1:$1000,MATCH(O$1,'Dados-Status-Invest'!$2:$2,0),FALSE())/100,"")</f>
        <v>0.6761</v>
      </c>
      <c r="P8" s="10" t="n">
        <f aca="false">IFERROR(VLOOKUP(A8,'Dados-Status-Invest'!$1:$1000,MATCH(P$1,'Dados-Status-Invest'!$2:$2,0),FALSE())/100,"")</f>
        <v>0.5472</v>
      </c>
      <c r="Q8" s="10" t="n">
        <f aca="false">IFERROR(VLOOKUP(A8,'Dados-Status-Invest'!$1:$1000,MATCH(Q$1,'Dados-Status-Invest'!$2:$2,0),FALSE())/100,"")</f>
        <v>0.5263</v>
      </c>
      <c r="R8" s="12" t="n">
        <f aca="false">IFERROR(VLOOKUP(A8,'Dados-Status-Invest'!$1:$1000,MATCH(R$1,'Dados-Status-Invest'!$2:$2,0),FALSE()),"")</f>
        <v>36.35</v>
      </c>
      <c r="S8" s="12" t="n">
        <f aca="false">IFERROR(VLOOKUP(A8,'Dados-Status-Invest'!$1:$1000,MATCH(S$1,'Dados-Status-Invest'!$2:$2,0),FALSE()),"")</f>
        <v>3.55</v>
      </c>
      <c r="T8" s="12" t="n">
        <f aca="false">IFERROR(VLOOKUP(A8,'Dados-Status-Invest'!$1:$1000,MATCH(T$1,'Dados-Status-Invest'!$2:$2,0),FALSE()),"")</f>
        <v>33.21</v>
      </c>
      <c r="U8" s="12" t="n">
        <f aca="false">IFERROR(VLOOKUP(A8,'Dados-Status-Invest'!$1:$1000,MATCH(U$1,'Dados-Status-Invest'!$2:$2,0),FALSE()),"")</f>
        <v>13.16</v>
      </c>
      <c r="V8" s="12" t="n">
        <f aca="false">IFERROR(VLOOKUP(A8,'Dados-Status-Invest'!$1:$1000,MATCH(V$1,'Dados-Status-Invest'!$2:$2,0),FALSE()),"")</f>
        <v>-1.76</v>
      </c>
      <c r="W8" s="10" t="n">
        <f aca="false">IFERROR(VLOOKUP(A8,'Dados-Status-Invest'!$1:$1000,MATCH(W$1,'Dados-Status-Invest'!$2:$2,0),FALSE())/100,"")</f>
        <v>0.0556</v>
      </c>
      <c r="X8" s="10" t="n">
        <f aca="false">IFERROR(VLOOKUP(A8,'Dados-Status-Invest'!$1:$1000,MATCH(X$1,'Dados-Status-Invest'!$2:$2,0),FALSE())/100,"")</f>
        <v>0.0817</v>
      </c>
    </row>
    <row r="9" customFormat="false" ht="15.75" hidden="false" customHeight="false" outlineLevel="0" collapsed="false">
      <c r="A9" s="6" t="s">
        <v>33</v>
      </c>
      <c r="B9" s="7" t="str">
        <f aca="false">IFERROR(VLOOKUP(LEFT(A9,4),Setor!A:D,2,FALSE()),"")</f>
        <v>Consumo não Cíclico</v>
      </c>
      <c r="C9" s="8" t="n">
        <f aca="false">IFERROR(__xludf.dummyfunction("IFERROR(IFERROR(GOOGLEFINANCE(A15,""price""),VLOOKUP(A15,'Dados-Status-Invest'!A:B,2,FALSE)),"""")"),30.75)</f>
        <v>30.75</v>
      </c>
      <c r="D9" s="8" t="n">
        <f aca="false">IFERROR(VLOOKUP(A9,'Dados-Status-Invest'!$1:$1000,MATCH(D$1,'Dados-Status-Invest'!$2:$2,0),FALSE()),"")</f>
        <v>2984289783</v>
      </c>
      <c r="E9" s="8" t="n">
        <f aca="false">IF(D9+H9&gt;0,D9+H9,"")</f>
        <v>3269689637.5</v>
      </c>
      <c r="F9" s="8" t="n">
        <f aca="false">IFERROR(D9/VLOOKUP(A9,'Dados-Status-Invest'!$1:$1000,5,FALSE()),"")</f>
        <v>1735052200</v>
      </c>
      <c r="G9" s="8" t="n">
        <f aca="false">IFERROR(D9/VLOOKUP(A9,'Dados-Status-Invest'!$1:$1000,6,FALSE()),"")</f>
        <v>2869509407</v>
      </c>
      <c r="H9" s="8" t="n">
        <f aca="false">IFERROR(VLOOKUP(A9,'Dados-Status-Invest'!$1:$1000,12,FALSE())*J9,"")</f>
        <v>285399854.5</v>
      </c>
      <c r="I9" s="8" t="n">
        <f aca="false">IFERROR(D9/VLOOKUP(A9,'Dados-Status-Invest'!$1:$1000,14,FALSE()),"")</f>
        <v>1578989303</v>
      </c>
      <c r="J9" s="9" t="n">
        <f aca="false">IFERROR(D9/VLOOKUP(A9,'Dados-Status-Invest'!$1:$1000,10,FALSE()),"")</f>
        <v>620434466.4</v>
      </c>
      <c r="K9" s="10" t="n">
        <f aca="false">IFERROR(VLOOKUP(A9,'Dados-Status-Invest'!$1:$1000,3,FALSE())/100,"")</f>
        <v>0.0244</v>
      </c>
      <c r="L9" s="11" t="n">
        <f aca="false">IFERROR(VLOOKUP(A9,'Dados-Status-Invest'!$1:$1000,MATCH(L$1,'Dados-Status-Invest'!$2:$2,0),FALSE())/100,"")</f>
        <v>0.069</v>
      </c>
      <c r="M9" s="10" t="n">
        <f aca="false">IFERROR(VLOOKUP(A9,'Dados-Status-Invest'!$1:$1000,MATCH(M$1,'Dados-Status-Invest'!$2:$2,0),FALSE())/100,"")</f>
        <v>0.0418</v>
      </c>
      <c r="N9" s="10" t="n">
        <f aca="false">IFERROR(VLOOKUP(A9,'Dados-Status-Invest'!$1:$1000,MATCH(N$1,'Dados-Status-Invest'!$2:$2,0),FALSE())/100,"")</f>
        <v>0.2282</v>
      </c>
      <c r="O9" s="10" t="n">
        <f aca="false">IFERROR(VLOOKUP(A9,'Dados-Status-Invest'!$1:$1000,MATCH(O$1,'Dados-Status-Invest'!$2:$2,0),FALSE())/100,"")</f>
        <v>0.4645</v>
      </c>
      <c r="P9" s="10" t="n">
        <f aca="false">IFERROR(VLOOKUP(A9,'Dados-Status-Invest'!$1:$1000,MATCH(P$1,'Dados-Status-Invest'!$2:$2,0),FALSE())/100,"")</f>
        <v>0.3931</v>
      </c>
      <c r="Q9" s="10" t="n">
        <f aca="false">IFERROR(VLOOKUP(A9,'Dados-Status-Invest'!$1:$1000,MATCH(Q$1,'Dados-Status-Invest'!$2:$2,0),FALSE())/100,"")</f>
        <v>0.0758</v>
      </c>
      <c r="R9" s="12" t="n">
        <f aca="false">IFERROR(VLOOKUP(A9,'Dados-Status-Invest'!$1:$1000,MATCH(R$1,'Dados-Status-Invest'!$2:$2,0),FALSE()),"")</f>
        <v>24.94</v>
      </c>
      <c r="S9" s="12" t="n">
        <f aca="false">IFERROR(VLOOKUP(A9,'Dados-Status-Invest'!$1:$1000,MATCH(S$1,'Dados-Status-Invest'!$2:$2,0),FALSE()),"")</f>
        <v>1.72</v>
      </c>
      <c r="T9" s="12" t="n">
        <f aca="false">IFERROR(VLOOKUP(A9,'Dados-Status-Invest'!$1:$1000,MATCH(T$1,'Dados-Status-Invest'!$2:$2,0),FALSE()),"")</f>
        <v>5.27</v>
      </c>
      <c r="U9" s="12" t="n">
        <f aca="false">IFERROR(VLOOKUP(A9,'Dados-Status-Invest'!$1:$1000,MATCH(U$1,'Dados-Status-Invest'!$2:$2,0),FALSE()),"")</f>
        <v>1.61</v>
      </c>
      <c r="V9" s="12" t="n">
        <f aca="false">IFERROR(VLOOKUP(A9,'Dados-Status-Invest'!$1:$1000,MATCH(V$1,'Dados-Status-Invest'!$2:$2,0),FALSE()),"")</f>
        <v>0.46</v>
      </c>
      <c r="W9" s="10" t="n">
        <f aca="false">IFERROR(VLOOKUP(A9,'Dados-Status-Invest'!$1:$1000,MATCH(W$1,'Dados-Status-Invest'!$2:$2,0),FALSE())/100,"")</f>
        <v>0.1349</v>
      </c>
      <c r="X9" s="10" t="n">
        <f aca="false">IFERROR(VLOOKUP(A9,'Dados-Status-Invest'!$1:$1000,MATCH(X$1,'Dados-Status-Invest'!$2:$2,0),FALSE())/100,"")</f>
        <v>-0.0794</v>
      </c>
    </row>
    <row r="10" customFormat="false" ht="15.75" hidden="false" customHeight="false" outlineLevel="0" collapsed="false">
      <c r="A10" s="6" t="s">
        <v>34</v>
      </c>
      <c r="B10" s="7" t="str">
        <f aca="false">IFERROR(VLOOKUP(LEFT(A10,4),Setor!A:D,2,FALSE()),"")</f>
        <v>Consumo Cíclico</v>
      </c>
      <c r="C10" s="8" t="n">
        <f aca="false">IFERROR(__xludf.dummyfunction("IFERROR(IFERROR(GOOGLEFINANCE(A16,""price""),VLOOKUP(A16,'Dados-Status-Invest'!A:B,2,FALSE)),"""")"),27.5)</f>
        <v>27.5</v>
      </c>
      <c r="D10" s="8" t="n">
        <f aca="false">IFERROR(VLOOKUP(A10,'Dados-Status-Invest'!$1:$1000,MATCH(D$1,'Dados-Status-Invest'!$2:$2,0),FALSE()),"")</f>
        <v>225693756.3</v>
      </c>
      <c r="E10" s="8" t="n">
        <f aca="false">IF(D10+H10&gt;0,D10+H10,"")</f>
        <v>209433399.22</v>
      </c>
      <c r="F10" s="8" t="n">
        <f aca="false">IFERROR(D10/VLOOKUP(A10,'Dados-Status-Invest'!$1:$1000,5,FALSE()),"")</f>
        <v>-25444617.39</v>
      </c>
      <c r="G10" s="8" t="n">
        <f aca="false">IFERROR(D10/VLOOKUP(A10,'Dados-Status-Invest'!$1:$1000,6,FALSE()),"")</f>
        <v>285688299.1</v>
      </c>
      <c r="H10" s="8" t="n">
        <f aca="false">IFERROR(VLOOKUP(A10,'Dados-Status-Invest'!$1:$1000,12,FALSE())*J10,"")</f>
        <v>-16260357.08</v>
      </c>
      <c r="I10" s="8" t="n">
        <f aca="false">IFERROR(D10/VLOOKUP(A10,'Dados-Status-Invest'!$1:$1000,14,FALSE()),"")</f>
        <v>186523765.5</v>
      </c>
      <c r="J10" s="9" t="n">
        <f aca="false">IFERROR(D10/VLOOKUP(A10,'Dados-Status-Invest'!$1:$1000,10,FALSE()),"")</f>
        <v>-32520714.16</v>
      </c>
      <c r="K10" s="10" t="n">
        <f aca="false">IFERROR(VLOOKUP(A10,'Dados-Status-Invest'!$1:$1000,3,FALSE())/100,"")</f>
        <v>0</v>
      </c>
      <c r="L10" s="11" t="n">
        <f aca="false">IFERROR(VLOOKUP(A10,'Dados-Status-Invest'!$1:$1000,MATCH(L$1,'Dados-Status-Invest'!$2:$2,0),FALSE())/100,"")</f>
        <v>-1.8786</v>
      </c>
      <c r="M10" s="10" t="n">
        <f aca="false">IFERROR(VLOOKUP(A10,'Dados-Status-Invest'!$1:$1000,MATCH(M$1,'Dados-Status-Invest'!$2:$2,0),FALSE())/100,"")</f>
        <v>-0.1672</v>
      </c>
      <c r="N10" s="10" t="n">
        <f aca="false">IFERROR(VLOOKUP(A10,'Dados-Status-Invest'!$1:$1000,MATCH(N$1,'Dados-Status-Invest'!$2:$2,0),FALSE())/100,"")</f>
        <v>1.279</v>
      </c>
      <c r="O10" s="10" t="n">
        <f aca="false">IFERROR(VLOOKUP(A10,'Dados-Status-Invest'!$1:$1000,MATCH(O$1,'Dados-Status-Invest'!$2:$2,0),FALSE())/100,"")</f>
        <v>0.1918</v>
      </c>
      <c r="P10" s="10" t="n">
        <f aca="false">IFERROR(VLOOKUP(A10,'Dados-Status-Invest'!$1:$1000,MATCH(P$1,'Dados-Status-Invest'!$2:$2,0),FALSE())/100,"")</f>
        <v>-0.1742</v>
      </c>
      <c r="Q10" s="10" t="n">
        <f aca="false">IFERROR(VLOOKUP(A10,'Dados-Status-Invest'!$1:$1000,MATCH(Q$1,'Dados-Status-Invest'!$2:$2,0),FALSE())/100,"")</f>
        <v>-0.2558</v>
      </c>
      <c r="R10" s="12" t="n">
        <f aca="false">IFERROR(VLOOKUP(A10,'Dados-Status-Invest'!$1:$1000,MATCH(R$1,'Dados-Status-Invest'!$2:$2,0),FALSE()),"")</f>
        <v>-4.72</v>
      </c>
      <c r="S10" s="12" t="n">
        <f aca="false">IFERROR(VLOOKUP(A10,'Dados-Status-Invest'!$1:$1000,MATCH(S$1,'Dados-Status-Invest'!$2:$2,0),FALSE()),"")</f>
        <v>-8.87</v>
      </c>
      <c r="T10" s="12" t="n">
        <f aca="false">IFERROR(VLOOKUP(A10,'Dados-Status-Invest'!$1:$1000,MATCH(T$1,'Dados-Status-Invest'!$2:$2,0),FALSE()),"")</f>
        <v>-6.55</v>
      </c>
      <c r="U10" s="12" t="n">
        <f aca="false">IFERROR(VLOOKUP(A10,'Dados-Status-Invest'!$1:$1000,MATCH(U$1,'Dados-Status-Invest'!$2:$2,0),FALSE()),"")</f>
        <v>0.52</v>
      </c>
      <c r="V10" s="12" t="n">
        <f aca="false">IFERROR(VLOOKUP(A10,'Dados-Status-Invest'!$1:$1000,MATCH(V$1,'Dados-Status-Invest'!$2:$2,0),FALSE()),"")</f>
        <v>0.5</v>
      </c>
      <c r="W10" s="10" t="n">
        <f aca="false">IFERROR(VLOOKUP(A10,'Dados-Status-Invest'!$1:$1000,MATCH(W$1,'Dados-Status-Invest'!$2:$2,0),FALSE())/100,"")</f>
        <v>0.0188</v>
      </c>
      <c r="X10" s="10" t="n">
        <f aca="false">IFERROR(VLOOKUP(A10,'Dados-Status-Invest'!$1:$1000,MATCH(X$1,'Dados-Status-Invest'!$2:$2,0),FALSE())/100,"")</f>
        <v>0</v>
      </c>
    </row>
    <row r="11" customFormat="false" ht="15.75" hidden="false" customHeight="false" outlineLevel="0" collapsed="false">
      <c r="A11" s="6" t="s">
        <v>35</v>
      </c>
      <c r="B11" s="7" t="str">
        <f aca="false">IFERROR(VLOOKUP(LEFT(A11,4),Setor!A:D,2,FALSE()),"")</f>
        <v>Consumo Cíclico</v>
      </c>
      <c r="C11" s="8" t="n">
        <f aca="false">IFERROR(__xludf.dummyfunction("IFERROR(IFERROR(GOOGLEFINANCE(A17,""price""),VLOOKUP(A17,'Dados-Status-Invest'!A:B,2,FALSE)),"""")"),22)</f>
        <v>22</v>
      </c>
      <c r="D11" s="8" t="n">
        <f aca="false">IFERROR(VLOOKUP(A11,'Dados-Status-Invest'!$1:$1000,MATCH(D$1,'Dados-Status-Invest'!$2:$2,0),FALSE()),"")</f>
        <v>225693756.3</v>
      </c>
      <c r="E11" s="8" t="n">
        <f aca="false">IF(D11+H11&gt;0,D11+H11,"")</f>
        <v>206034021.43</v>
      </c>
      <c r="F11" s="8" t="n">
        <f aca="false">IFERROR(D11/VLOOKUP(A11,'Dados-Status-Invest'!$1:$1000,5,FALSE()),"")</f>
        <v>-30748468.16</v>
      </c>
      <c r="G11" s="8" t="n">
        <f aca="false">IFERROR(D11/VLOOKUP(A11,'Dados-Status-Invest'!$1:$1000,6,FALSE()),"")</f>
        <v>347221163.5</v>
      </c>
      <c r="H11" s="8" t="n">
        <f aca="false">IFERROR(VLOOKUP(A11,'Dados-Status-Invest'!$1:$1000,12,FALSE())*J11,"")</f>
        <v>-19659734.87</v>
      </c>
      <c r="I11" s="8" t="n">
        <f aca="false">IFERROR(D11/VLOOKUP(A11,'Dados-Status-Invest'!$1:$1000,14,FALSE()),"")</f>
        <v>225693756.3</v>
      </c>
      <c r="J11" s="9" t="n">
        <f aca="false">IFERROR(D11/VLOOKUP(A11,'Dados-Status-Invest'!$1:$1000,10,FALSE()),"")</f>
        <v>-39319469.73</v>
      </c>
      <c r="K11" s="10" t="n">
        <f aca="false">IFERROR(VLOOKUP(A11,'Dados-Status-Invest'!$1:$1000,3,FALSE())/100,"")</f>
        <v>0</v>
      </c>
      <c r="L11" s="11" t="n">
        <f aca="false">IFERROR(VLOOKUP(A11,'Dados-Status-Invest'!$1:$1000,MATCH(L$1,'Dados-Status-Invest'!$2:$2,0),FALSE())/100,"")</f>
        <v>-1.8786</v>
      </c>
      <c r="M11" s="10" t="n">
        <f aca="false">IFERROR(VLOOKUP(A11,'Dados-Status-Invest'!$1:$1000,MATCH(M$1,'Dados-Status-Invest'!$2:$2,0),FALSE())/100,"")</f>
        <v>-0.1672</v>
      </c>
      <c r="N11" s="10" t="n">
        <f aca="false">IFERROR(VLOOKUP(A11,'Dados-Status-Invest'!$1:$1000,MATCH(N$1,'Dados-Status-Invest'!$2:$2,0),FALSE())/100,"")</f>
        <v>1.279</v>
      </c>
      <c r="O11" s="10" t="n">
        <f aca="false">IFERROR(VLOOKUP(A11,'Dados-Status-Invest'!$1:$1000,MATCH(O$1,'Dados-Status-Invest'!$2:$2,0),FALSE())/100,"")</f>
        <v>0.1918</v>
      </c>
      <c r="P11" s="10" t="n">
        <f aca="false">IFERROR(VLOOKUP(A11,'Dados-Status-Invest'!$1:$1000,MATCH(P$1,'Dados-Status-Invest'!$2:$2,0),FALSE())/100,"")</f>
        <v>-0.1742</v>
      </c>
      <c r="Q11" s="10" t="n">
        <f aca="false">IFERROR(VLOOKUP(A11,'Dados-Status-Invest'!$1:$1000,MATCH(Q$1,'Dados-Status-Invest'!$2:$2,0),FALSE())/100,"")</f>
        <v>-0.2558</v>
      </c>
      <c r="R11" s="12" t="n">
        <f aca="false">IFERROR(VLOOKUP(A11,'Dados-Status-Invest'!$1:$1000,MATCH(R$1,'Dados-Status-Invest'!$2:$2,0),FALSE()),"")</f>
        <v>-3.91</v>
      </c>
      <c r="S11" s="12" t="n">
        <f aca="false">IFERROR(VLOOKUP(A11,'Dados-Status-Invest'!$1:$1000,MATCH(S$1,'Dados-Status-Invest'!$2:$2,0),FALSE()),"")</f>
        <v>-7.34</v>
      </c>
      <c r="T11" s="12" t="n">
        <f aca="false">IFERROR(VLOOKUP(A11,'Dados-Status-Invest'!$1:$1000,MATCH(T$1,'Dados-Status-Invest'!$2:$2,0),FALSE()),"")</f>
        <v>-6.55</v>
      </c>
      <c r="U11" s="12" t="n">
        <f aca="false">IFERROR(VLOOKUP(A11,'Dados-Status-Invest'!$1:$1000,MATCH(U$1,'Dados-Status-Invest'!$2:$2,0),FALSE()),"")</f>
        <v>0.52</v>
      </c>
      <c r="V11" s="12" t="n">
        <f aca="false">IFERROR(VLOOKUP(A11,'Dados-Status-Invest'!$1:$1000,MATCH(V$1,'Dados-Status-Invest'!$2:$2,0),FALSE()),"")</f>
        <v>0.5</v>
      </c>
      <c r="W11" s="10" t="n">
        <f aca="false">IFERROR(VLOOKUP(A11,'Dados-Status-Invest'!$1:$1000,MATCH(W$1,'Dados-Status-Invest'!$2:$2,0),FALSE())/100,"")</f>
        <v>0.0188</v>
      </c>
      <c r="X11" s="10" t="n">
        <f aca="false">IFERROR(VLOOKUP(A11,'Dados-Status-Invest'!$1:$1000,MATCH(X$1,'Dados-Status-Invest'!$2:$2,0),FALSE())/100,"")</f>
        <v>0</v>
      </c>
    </row>
    <row r="12" customFormat="false" ht="15.75" hidden="false" customHeight="false" outlineLevel="0" collapsed="false">
      <c r="A12" s="6" t="s">
        <v>36</v>
      </c>
      <c r="B12" s="7" t="str">
        <f aca="false">IFERROR(VLOOKUP(LEFT(A12,4),Setor!A:D,2,FALSE()),"")</f>
        <v>Consumo Cíclico</v>
      </c>
      <c r="C12" s="8" t="n">
        <f aca="false">IFERROR(__xludf.dummyfunction("IFERROR(IFERROR(GOOGLEFINANCE(A18,""price""),VLOOKUP(A18,'Dados-Status-Invest'!A:B,2,FALSE)),"""")"),41.2)</f>
        <v>41.2</v>
      </c>
      <c r="D12" s="8" t="n">
        <f aca="false">IFERROR(VLOOKUP(A12,'Dados-Status-Invest'!$1:$1000,MATCH(D$1,'Dados-Status-Invest'!$2:$2,0),FALSE()),"")</f>
        <v>225693756.3</v>
      </c>
      <c r="E12" s="8" t="n">
        <f aca="false">IF(D12+H12&gt;0,D12+H12,"")</f>
        <v>217474755.708</v>
      </c>
      <c r="F12" s="8" t="n">
        <f aca="false">IFERROR(D12/VLOOKUP(A12,'Dados-Status-Invest'!$1:$1000,5,FALSE()),"")</f>
        <v>-12845404.45</v>
      </c>
      <c r="G12" s="8" t="n">
        <f aca="false">IFERROR(D12/VLOOKUP(A12,'Dados-Status-Invest'!$1:$1000,6,FALSE()),"")</f>
        <v>144675484.8</v>
      </c>
      <c r="H12" s="8" t="n">
        <f aca="false">IFERROR(VLOOKUP(A12,'Dados-Status-Invest'!$1:$1000,12,FALSE())*J12,"")</f>
        <v>-8219000.592</v>
      </c>
      <c r="I12" s="8" t="n">
        <f aca="false">IFERROR(D12/VLOOKUP(A12,'Dados-Status-Invest'!$1:$1000,14,FALSE()),"")</f>
        <v>94432534</v>
      </c>
      <c r="J12" s="9" t="n">
        <f aca="false">IFERROR(D12/VLOOKUP(A12,'Dados-Status-Invest'!$1:$1000,10,FALSE()),"")</f>
        <v>-16438001.18</v>
      </c>
      <c r="K12" s="10" t="n">
        <f aca="false">IFERROR(VLOOKUP(A12,'Dados-Status-Invest'!$1:$1000,3,FALSE())/100,"")</f>
        <v>0</v>
      </c>
      <c r="L12" s="11" t="n">
        <f aca="false">IFERROR(VLOOKUP(A12,'Dados-Status-Invest'!$1:$1000,MATCH(L$1,'Dados-Status-Invest'!$2:$2,0),FALSE())/100,"")</f>
        <v>-1.8786</v>
      </c>
      <c r="M12" s="10" t="n">
        <f aca="false">IFERROR(VLOOKUP(A12,'Dados-Status-Invest'!$1:$1000,MATCH(M$1,'Dados-Status-Invest'!$2:$2,0),FALSE())/100,"")</f>
        <v>-0.1672</v>
      </c>
      <c r="N12" s="10" t="n">
        <f aca="false">IFERROR(VLOOKUP(A12,'Dados-Status-Invest'!$1:$1000,MATCH(N$1,'Dados-Status-Invest'!$2:$2,0),FALSE())/100,"")</f>
        <v>1.279</v>
      </c>
      <c r="O12" s="10" t="n">
        <f aca="false">IFERROR(VLOOKUP(A12,'Dados-Status-Invest'!$1:$1000,MATCH(O$1,'Dados-Status-Invest'!$2:$2,0),FALSE())/100,"")</f>
        <v>0.1918</v>
      </c>
      <c r="P12" s="10" t="n">
        <f aca="false">IFERROR(VLOOKUP(A12,'Dados-Status-Invest'!$1:$1000,MATCH(P$1,'Dados-Status-Invest'!$2:$2,0),FALSE())/100,"")</f>
        <v>-0.1742</v>
      </c>
      <c r="Q12" s="10" t="n">
        <f aca="false">IFERROR(VLOOKUP(A12,'Dados-Status-Invest'!$1:$1000,MATCH(Q$1,'Dados-Status-Invest'!$2:$2,0),FALSE())/100,"")</f>
        <v>-0.2558</v>
      </c>
      <c r="R12" s="12" t="n">
        <f aca="false">IFERROR(VLOOKUP(A12,'Dados-Status-Invest'!$1:$1000,MATCH(R$1,'Dados-Status-Invest'!$2:$2,0),FALSE()),"")</f>
        <v>-9.35</v>
      </c>
      <c r="S12" s="12" t="n">
        <f aca="false">IFERROR(VLOOKUP(A12,'Dados-Status-Invest'!$1:$1000,MATCH(S$1,'Dados-Status-Invest'!$2:$2,0),FALSE()),"")</f>
        <v>-17.57</v>
      </c>
      <c r="T12" s="12" t="n">
        <f aca="false">IFERROR(VLOOKUP(A12,'Dados-Status-Invest'!$1:$1000,MATCH(T$1,'Dados-Status-Invest'!$2:$2,0),FALSE()),"")</f>
        <v>-6.55</v>
      </c>
      <c r="U12" s="12" t="n">
        <f aca="false">IFERROR(VLOOKUP(A12,'Dados-Status-Invest'!$1:$1000,MATCH(U$1,'Dados-Status-Invest'!$2:$2,0),FALSE()),"")</f>
        <v>0.52</v>
      </c>
      <c r="V12" s="12" t="n">
        <f aca="false">IFERROR(VLOOKUP(A12,'Dados-Status-Invest'!$1:$1000,MATCH(V$1,'Dados-Status-Invest'!$2:$2,0),FALSE()),"")</f>
        <v>0.5</v>
      </c>
      <c r="W12" s="10" t="n">
        <f aca="false">IFERROR(VLOOKUP(A12,'Dados-Status-Invest'!$1:$1000,MATCH(W$1,'Dados-Status-Invest'!$2:$2,0),FALSE())/100,"")</f>
        <v>0.0188</v>
      </c>
      <c r="X12" s="10" t="n">
        <f aca="false">IFERROR(VLOOKUP(A12,'Dados-Status-Invest'!$1:$1000,MATCH(X$1,'Dados-Status-Invest'!$2:$2,0),FALSE())/100,"")</f>
        <v>0</v>
      </c>
    </row>
    <row r="13" customFormat="false" ht="15.75" hidden="false" customHeight="false" outlineLevel="0" collapsed="false">
      <c r="A13" s="6" t="s">
        <v>37</v>
      </c>
      <c r="B13" s="7" t="s">
        <v>38</v>
      </c>
      <c r="C13" s="8" t="n">
        <f aca="false">IFERROR(__xludf.dummyfunction("IFERROR(IFERROR(GOOGLEFINANCE(A19,""price""),VLOOKUP(A19,'Dados-Status-Invest'!A:B,2,FALSE)),"""")"),13.26)</f>
        <v>13.26</v>
      </c>
      <c r="D13" s="8" t="n">
        <f aca="false">IFERROR(VLOOKUP(A13,'Dados-Status-Invest'!$1:$1000,MATCH(D$1,'Dados-Status-Invest'!$2:$2,0),FALSE()),"")</f>
        <v>3003025629</v>
      </c>
      <c r="E13" s="8" t="n">
        <f aca="false">IF(D13+H13&gt;0,D13+H13,"")</f>
        <v>3153270813.7</v>
      </c>
      <c r="F13" s="8" t="n">
        <f aca="false">IFERROR(D13/VLOOKUP(A13,'Dados-Status-Invest'!$1:$1000,5,FALSE()),"")</f>
        <v>1150584532</v>
      </c>
      <c r="G13" s="8" t="n">
        <f aca="false">IFERROR(D13/VLOOKUP(A13,'Dados-Status-Invest'!$1:$1000,6,FALSE()),"")</f>
        <v>3753782036</v>
      </c>
      <c r="H13" s="8" t="n">
        <f aca="false">IFERROR(VLOOKUP(A13,'Dados-Status-Invest'!$1:$1000,12,FALSE())*J13,"")</f>
        <v>150245184.7</v>
      </c>
      <c r="I13" s="8" t="n">
        <f aca="false">IFERROR(D13/VLOOKUP(A13,'Dados-Status-Invest'!$1:$1000,14,FALSE()),"")</f>
        <v>1962761849</v>
      </c>
      <c r="J13" s="9" t="n">
        <f aca="false">IFERROR(D13/VLOOKUP(A13,'Dados-Status-Invest'!$1:$1000,10,FALSE()),"")</f>
        <v>93903240.43</v>
      </c>
      <c r="K13" s="10" t="n">
        <f aca="false">IFERROR(VLOOKUP(A13,'Dados-Status-Invest'!$1:$1000,3,FALSE())/100,"")</f>
        <v>0</v>
      </c>
      <c r="L13" s="11" t="n">
        <f aca="false">IFERROR(VLOOKUP(A13,'Dados-Status-Invest'!$1:$1000,MATCH(L$1,'Dados-Status-Invest'!$2:$2,0),FALSE())/100,"")</f>
        <v>0.0484</v>
      </c>
      <c r="M13" s="10" t="n">
        <f aca="false">IFERROR(VLOOKUP(A13,'Dados-Status-Invest'!$1:$1000,MATCH(M$1,'Dados-Status-Invest'!$2:$2,0),FALSE())/100,"")</f>
        <v>0.0148</v>
      </c>
      <c r="N13" s="10" t="n">
        <f aca="false">IFERROR(VLOOKUP(A13,'Dados-Status-Invest'!$1:$1000,MATCH(N$1,'Dados-Status-Invest'!$2:$2,0),FALSE())/100,"")</f>
        <v>0.0579</v>
      </c>
      <c r="O13" s="10" t="n">
        <f aca="false">IFERROR(VLOOKUP(A13,'Dados-Status-Invest'!$1:$1000,MATCH(O$1,'Dados-Status-Invest'!$2:$2,0),FALSE())/100,"")</f>
        <v>0.1488</v>
      </c>
      <c r="P13" s="10" t="n">
        <f aca="false">IFERROR(VLOOKUP(A13,'Dados-Status-Invest'!$1:$1000,MATCH(P$1,'Dados-Status-Invest'!$2:$2,0),FALSE())/100,"")</f>
        <v>0.0478</v>
      </c>
      <c r="Q13" s="10" t="n">
        <f aca="false">IFERROR(VLOOKUP(A13,'Dados-Status-Invest'!$1:$1000,MATCH(Q$1,'Dados-Status-Invest'!$2:$2,0),FALSE())/100,"")</f>
        <v>0.0283</v>
      </c>
      <c r="R13" s="12" t="n">
        <f aca="false">IFERROR(VLOOKUP(A13,'Dados-Status-Invest'!$1:$1000,MATCH(R$1,'Dados-Status-Invest'!$2:$2,0),FALSE()),"")</f>
        <v>53.99</v>
      </c>
      <c r="S13" s="12" t="n">
        <f aca="false">IFERROR(VLOOKUP(A13,'Dados-Status-Invest'!$1:$1000,MATCH(S$1,'Dados-Status-Invest'!$2:$2,0),FALSE()),"")</f>
        <v>2.61</v>
      </c>
      <c r="T13" s="12" t="n">
        <f aca="false">IFERROR(VLOOKUP(A13,'Dados-Status-Invest'!$1:$1000,MATCH(T$1,'Dados-Status-Invest'!$2:$2,0),FALSE()),"")</f>
        <v>33.58</v>
      </c>
      <c r="U13" s="12" t="n">
        <f aca="false">IFERROR(VLOOKUP(A13,'Dados-Status-Invest'!$1:$1000,MATCH(U$1,'Dados-Status-Invest'!$2:$2,0),FALSE()),"")</f>
        <v>1.37</v>
      </c>
      <c r="V13" s="12" t="n">
        <f aca="false">IFERROR(VLOOKUP(A13,'Dados-Status-Invest'!$1:$1000,MATCH(V$1,'Dados-Status-Invest'!$2:$2,0),FALSE()),"")</f>
        <v>1.6</v>
      </c>
      <c r="W13" s="10" t="n">
        <f aca="false">IFERROR(VLOOKUP(A13,'Dados-Status-Invest'!$1:$1000,MATCH(W$1,'Dados-Status-Invest'!$2:$2,0),FALSE())/100,"")</f>
        <v>0</v>
      </c>
      <c r="X13" s="10" t="n">
        <f aca="false">IFERROR(VLOOKUP(A13,'Dados-Status-Invest'!$1:$1000,MATCH(X$1,'Dados-Status-Invest'!$2:$2,0),FALSE())/100,"")</f>
        <v>0</v>
      </c>
    </row>
    <row r="14" customFormat="false" ht="15.75" hidden="false" customHeight="false" outlineLevel="0" collapsed="false">
      <c r="A14" s="6" t="s">
        <v>39</v>
      </c>
      <c r="B14" s="7" t="str">
        <f aca="false">IFERROR(VLOOKUP(LEFT(A14,4),Setor!A:D,2,FALSE()),"")</f>
        <v>Consumo Cíclico</v>
      </c>
      <c r="C14" s="8" t="n">
        <f aca="false">IFERROR(__xludf.dummyfunction("IFERROR(IFERROR(GOOGLEFINANCE(A20,""price""),VLOOKUP(A20,'Dados-Status-Invest'!A:B,2,FALSE)),"""")"),17.87)</f>
        <v>17.87</v>
      </c>
      <c r="D14" s="8" t="n">
        <f aca="false">IFERROR(VLOOKUP(A14,'Dados-Status-Invest'!$1:$1000,MATCH(D$1,'Dados-Status-Invest'!$2:$2,0),FALSE()),"")</f>
        <v>27614533057</v>
      </c>
      <c r="E14" s="8" t="n">
        <f aca="false">IF(D14+H14&gt;0,D14+H14,"")</f>
        <v>26872367576.2</v>
      </c>
      <c r="F14" s="8" t="n">
        <f aca="false">IFERROR(D14/VLOOKUP(A14,'Dados-Status-Invest'!$1:$1000,5,FALSE()),"")</f>
        <v>3319054454</v>
      </c>
      <c r="G14" s="8" t="n">
        <f aca="false">IFERROR(D14/VLOOKUP(A14,'Dados-Status-Invest'!$1:$1000,6,FALSE()),"")</f>
        <v>5230025200</v>
      </c>
      <c r="H14" s="8" t="n">
        <f aca="false">IFERROR(VLOOKUP(A14,'Dados-Status-Invest'!$1:$1000,12,FALSE())*J14,"")</f>
        <v>-742165480.8</v>
      </c>
      <c r="I14" s="8" t="n">
        <f aca="false">IFERROR(D14/VLOOKUP(A14,'Dados-Status-Invest'!$1:$1000,14,FALSE()),"")</f>
        <v>3798422704</v>
      </c>
      <c r="J14" s="9" t="n">
        <f aca="false">IFERROR(D14/VLOOKUP(A14,'Dados-Status-Invest'!$1:$1000,10,FALSE()),"")</f>
        <v>498097638.1</v>
      </c>
      <c r="K14" s="10" t="n">
        <f aca="false">IFERROR(VLOOKUP(A14,'Dados-Status-Invest'!$1:$1000,3,FALSE())/100,"")</f>
        <v>0</v>
      </c>
      <c r="L14" s="11" t="n">
        <f aca="false">IFERROR(VLOOKUP(A14,'Dados-Status-Invest'!$1:$1000,MATCH(L$1,'Dados-Status-Invest'!$2:$2,0),FALSE())/100,"")</f>
        <v>0.0798</v>
      </c>
      <c r="M14" s="10" t="n">
        <f aca="false">IFERROR(VLOOKUP(A14,'Dados-Status-Invest'!$1:$1000,MATCH(M$1,'Dados-Status-Invest'!$2:$2,0),FALSE())/100,"")</f>
        <v>0.0506</v>
      </c>
      <c r="N14" s="10" t="n">
        <f aca="false">IFERROR(VLOOKUP(A14,'Dados-Status-Invest'!$1:$1000,MATCH(N$1,'Dados-Status-Invest'!$2:$2,0),FALSE())/100,"")</f>
        <v>0.1174</v>
      </c>
      <c r="O14" s="10" t="n">
        <f aca="false">IFERROR(VLOOKUP(A14,'Dados-Status-Invest'!$1:$1000,MATCH(O$1,'Dados-Status-Invest'!$2:$2,0),FALSE())/100,"")</f>
        <v>0.5323</v>
      </c>
      <c r="P14" s="10" t="n">
        <f aca="false">IFERROR(VLOOKUP(A14,'Dados-Status-Invest'!$1:$1000,MATCH(P$1,'Dados-Status-Invest'!$2:$2,0),FALSE())/100,"")</f>
        <v>0.1311</v>
      </c>
      <c r="Q14" s="10" t="n">
        <f aca="false">IFERROR(VLOOKUP(A14,'Dados-Status-Invest'!$1:$1000,MATCH(Q$1,'Dados-Status-Invest'!$2:$2,0),FALSE())/100,"")</f>
        <v>0.0698</v>
      </c>
      <c r="R14" s="12" t="n">
        <f aca="false">IFERROR(VLOOKUP(A14,'Dados-Status-Invest'!$1:$1000,MATCH(R$1,'Dados-Status-Invest'!$2:$2,0),FALSE()),"")</f>
        <v>104.23</v>
      </c>
      <c r="S14" s="12" t="n">
        <f aca="false">IFERROR(VLOOKUP(A14,'Dados-Status-Invest'!$1:$1000,MATCH(S$1,'Dados-Status-Invest'!$2:$2,0),FALSE()),"")</f>
        <v>8.32</v>
      </c>
      <c r="T14" s="12" t="n">
        <f aca="false">IFERROR(VLOOKUP(A14,'Dados-Status-Invest'!$1:$1000,MATCH(T$1,'Dados-Status-Invest'!$2:$2,0),FALSE()),"")</f>
        <v>58.37</v>
      </c>
      <c r="U14" s="12" t="n">
        <f aca="false">IFERROR(VLOOKUP(A14,'Dados-Status-Invest'!$1:$1000,MATCH(U$1,'Dados-Status-Invest'!$2:$2,0),FALSE()),"")</f>
        <v>2.19</v>
      </c>
      <c r="V14" s="12" t="n">
        <f aca="false">IFERROR(VLOOKUP(A14,'Dados-Status-Invest'!$1:$1000,MATCH(V$1,'Dados-Status-Invest'!$2:$2,0),FALSE()),"")</f>
        <v>-1.49</v>
      </c>
      <c r="W14" s="10" t="n">
        <f aca="false">IFERROR(VLOOKUP(A14,'Dados-Status-Invest'!$1:$1000,MATCH(W$1,'Dados-Status-Invest'!$2:$2,0),FALSE())/100,"")</f>
        <v>-0.0359</v>
      </c>
      <c r="X14" s="10" t="n">
        <f aca="false">IFERROR(VLOOKUP(A14,'Dados-Status-Invest'!$1:$1000,MATCH(X$1,'Dados-Status-Invest'!$2:$2,0),FALSE())/100,"")</f>
        <v>-0.1358</v>
      </c>
    </row>
    <row r="15" customFormat="false" ht="15.75" hidden="false" customHeight="false" outlineLevel="0" collapsed="false">
      <c r="A15" s="6" t="s">
        <v>40</v>
      </c>
      <c r="B15" s="7" t="str">
        <f aca="false">IFERROR(VLOOKUP(LEFT(A15,4),Setor!A:D,2,FALSE()),"")</f>
        <v>Consumo Cíclico</v>
      </c>
      <c r="C15" s="8" t="n">
        <f aca="false">IFERROR(__xludf.dummyfunction("IFERROR(IFERROR(GOOGLEFINANCE(A21,""price""),VLOOKUP(A21,'Dados-Status-Invest'!A:B,2,FALSE)),"""")"),20.48)</f>
        <v>20.48</v>
      </c>
      <c r="D15" s="8" t="n">
        <f aca="false">IFERROR(VLOOKUP(A15,'Dados-Status-Invest'!$1:$1000,MATCH(D$1,'Dados-Status-Invest'!$2:$2,0),FALSE()),"")</f>
        <v>27614533057</v>
      </c>
      <c r="E15" s="8" t="n">
        <f aca="false">IF(D15+H15&gt;0,D15+H15,"")</f>
        <v>26979078937.2</v>
      </c>
      <c r="F15" s="8" t="n">
        <f aca="false">IFERROR(D15/VLOOKUP(A15,'Dados-Status-Invest'!$1:$1000,5,FALSE()),"")</f>
        <v>2841001343</v>
      </c>
      <c r="G15" s="8" t="n">
        <f aca="false">IFERROR(D15/VLOOKUP(A15,'Dados-Status-Invest'!$1:$1000,6,FALSE()),"")</f>
        <v>4482878743</v>
      </c>
      <c r="H15" s="8" t="n">
        <f aca="false">IFERROR(VLOOKUP(A15,'Dados-Status-Invest'!$1:$1000,12,FALSE())*J15,"")</f>
        <v>-635454119.8</v>
      </c>
      <c r="I15" s="8" t="n">
        <f aca="false">IFERROR(D15/VLOOKUP(A15,'Dados-Status-Invest'!$1:$1000,14,FALSE()),"")</f>
        <v>3252595177</v>
      </c>
      <c r="J15" s="9" t="n">
        <f aca="false">IFERROR(D15/VLOOKUP(A15,'Dados-Status-Invest'!$1:$1000,10,FALSE()),"")</f>
        <v>426479275</v>
      </c>
      <c r="K15" s="10" t="n">
        <f aca="false">IFERROR(VLOOKUP(A15,'Dados-Status-Invest'!$1:$1000,3,FALSE())/100,"")</f>
        <v>0</v>
      </c>
      <c r="L15" s="11" t="n">
        <f aca="false">IFERROR(VLOOKUP(A15,'Dados-Status-Invest'!$1:$1000,MATCH(L$1,'Dados-Status-Invest'!$2:$2,0),FALSE())/100,"")</f>
        <v>0.0798</v>
      </c>
      <c r="M15" s="10" t="n">
        <f aca="false">IFERROR(VLOOKUP(A15,'Dados-Status-Invest'!$1:$1000,MATCH(M$1,'Dados-Status-Invest'!$2:$2,0),FALSE())/100,"")</f>
        <v>0.0506</v>
      </c>
      <c r="N15" s="10" t="n">
        <f aca="false">IFERROR(VLOOKUP(A15,'Dados-Status-Invest'!$1:$1000,MATCH(N$1,'Dados-Status-Invest'!$2:$2,0),FALSE())/100,"")</f>
        <v>0.1174</v>
      </c>
      <c r="O15" s="10" t="n">
        <f aca="false">IFERROR(VLOOKUP(A15,'Dados-Status-Invest'!$1:$1000,MATCH(O$1,'Dados-Status-Invest'!$2:$2,0),FALSE())/100,"")</f>
        <v>0.5323</v>
      </c>
      <c r="P15" s="10" t="n">
        <f aca="false">IFERROR(VLOOKUP(A15,'Dados-Status-Invest'!$1:$1000,MATCH(P$1,'Dados-Status-Invest'!$2:$2,0),FALSE())/100,"")</f>
        <v>0.1311</v>
      </c>
      <c r="Q15" s="10" t="n">
        <f aca="false">IFERROR(VLOOKUP(A15,'Dados-Status-Invest'!$1:$1000,MATCH(Q$1,'Dados-Status-Invest'!$2:$2,0),FALSE())/100,"")</f>
        <v>0.0698</v>
      </c>
      <c r="R15" s="12" t="n">
        <f aca="false">IFERROR(VLOOKUP(A15,'Dados-Status-Invest'!$1:$1000,MATCH(R$1,'Dados-Status-Invest'!$2:$2,0),FALSE()),"")</f>
        <v>121.72</v>
      </c>
      <c r="S15" s="12" t="n">
        <f aca="false">IFERROR(VLOOKUP(A15,'Dados-Status-Invest'!$1:$1000,MATCH(S$1,'Dados-Status-Invest'!$2:$2,0),FALSE()),"")</f>
        <v>9.72</v>
      </c>
      <c r="T15" s="12" t="n">
        <f aca="false">IFERROR(VLOOKUP(A15,'Dados-Status-Invest'!$1:$1000,MATCH(T$1,'Dados-Status-Invest'!$2:$2,0),FALSE()),"")</f>
        <v>58.37</v>
      </c>
      <c r="U15" s="12" t="n">
        <f aca="false">IFERROR(VLOOKUP(A15,'Dados-Status-Invest'!$1:$1000,MATCH(U$1,'Dados-Status-Invest'!$2:$2,0),FALSE()),"")</f>
        <v>2.19</v>
      </c>
      <c r="V15" s="12" t="n">
        <f aca="false">IFERROR(VLOOKUP(A15,'Dados-Status-Invest'!$1:$1000,MATCH(V$1,'Dados-Status-Invest'!$2:$2,0),FALSE()),"")</f>
        <v>-1.49</v>
      </c>
      <c r="W15" s="10" t="n">
        <f aca="false">IFERROR(VLOOKUP(A15,'Dados-Status-Invest'!$1:$1000,MATCH(W$1,'Dados-Status-Invest'!$2:$2,0),FALSE())/100,"")</f>
        <v>-0.0359</v>
      </c>
      <c r="X15" s="10" t="n">
        <f aca="false">IFERROR(VLOOKUP(A15,'Dados-Status-Invest'!$1:$1000,MATCH(X$1,'Dados-Status-Invest'!$2:$2,0),FALSE())/100,"")</f>
        <v>-0.1358</v>
      </c>
    </row>
    <row r="16" customFormat="false" ht="15.75" hidden="false" customHeight="false" outlineLevel="0" collapsed="false">
      <c r="A16" s="6" t="s">
        <v>41</v>
      </c>
      <c r="B16" s="7" t="str">
        <f aca="false">IFERROR(VLOOKUP(LEFT(A16,4),Setor!A:D,2,FALSE()),"")</f>
        <v>Bens Industriais</v>
      </c>
      <c r="C16" s="8" t="n">
        <f aca="false">IFERROR(__xludf.dummyfunction("IFERROR(IFERROR(GOOGLEFINANCE(A22,""price""),VLOOKUP(A22,'Dados-Status-Invest'!A:B,2,FALSE)),"""")"),3.64)</f>
        <v>3.64</v>
      </c>
      <c r="D16" s="8" t="n">
        <f aca="false">IFERROR(VLOOKUP(A16,'Dados-Status-Invest'!$1:$1000,MATCH(D$1,'Dados-Status-Invest'!$2:$2,0),FALSE()),"")</f>
        <v>1563732825</v>
      </c>
      <c r="E16" s="8" t="n">
        <f aca="false">IF(D16+H16&gt;0,D16+H16,"")</f>
        <v>3010743862</v>
      </c>
      <c r="F16" s="8" t="n">
        <f aca="false">IFERROR(D16/VLOOKUP(A16,'Dados-Status-Invest'!$1:$1000,5,FALSE()),"")</f>
        <v>610833134.9</v>
      </c>
      <c r="G16" s="8" t="n">
        <f aca="false">IFERROR(D16/VLOOKUP(A16,'Dados-Status-Invest'!$1:$1000,6,FALSE()),"")</f>
        <v>2743390922</v>
      </c>
      <c r="H16" s="8" t="n">
        <f aca="false">IFERROR(VLOOKUP(A16,'Dados-Status-Invest'!$1:$1000,12,FALSE())*J16,"")</f>
        <v>1447011037</v>
      </c>
      <c r="I16" s="8" t="n">
        <f aca="false">IFERROR(D16/VLOOKUP(A16,'Dados-Status-Invest'!$1:$1000,14,FALSE()),"")</f>
        <v>568630118.3</v>
      </c>
      <c r="J16" s="9" t="n">
        <f aca="false">IFERROR(D16/VLOOKUP(A16,'Dados-Status-Invest'!$1:$1000,10,FALSE()),"")</f>
        <v>-28261934.31</v>
      </c>
      <c r="K16" s="10" t="n">
        <f aca="false">IFERROR(VLOOKUP(A16,'Dados-Status-Invest'!$1:$1000,3,FALSE())/100,"")</f>
        <v>0</v>
      </c>
      <c r="L16" s="11" t="n">
        <f aca="false">IFERROR(VLOOKUP(A16,'Dados-Status-Invest'!$1:$1000,MATCH(L$1,'Dados-Status-Invest'!$2:$2,0),FALSE())/100,"")</f>
        <v>-0.3425</v>
      </c>
      <c r="M16" s="10" t="n">
        <f aca="false">IFERROR(VLOOKUP(A16,'Dados-Status-Invest'!$1:$1000,MATCH(M$1,'Dados-Status-Invest'!$2:$2,0),FALSE())/100,"")</f>
        <v>-0.077</v>
      </c>
      <c r="N16" s="10" t="n">
        <f aca="false">IFERROR(VLOOKUP(A16,'Dados-Status-Invest'!$1:$1000,MATCH(N$1,'Dados-Status-Invest'!$2:$2,0),FALSE())/100,"")</f>
        <v>-0.0138</v>
      </c>
      <c r="O16" s="10" t="n">
        <f aca="false">IFERROR(VLOOKUP(A16,'Dados-Status-Invest'!$1:$1000,MATCH(O$1,'Dados-Status-Invest'!$2:$2,0),FALSE())/100,"")</f>
        <v>0.2413</v>
      </c>
      <c r="P16" s="10" t="n">
        <f aca="false">IFERROR(VLOOKUP(A16,'Dados-Status-Invest'!$1:$1000,MATCH(P$1,'Dados-Status-Invest'!$2:$2,0),FALSE())/100,"")</f>
        <v>-0.0496</v>
      </c>
      <c r="Q16" s="10" t="n">
        <f aca="false">IFERROR(VLOOKUP(A16,'Dados-Status-Invest'!$1:$1000,MATCH(Q$1,'Dados-Status-Invest'!$2:$2,0),FALSE())/100,"")</f>
        <v>-0.3679</v>
      </c>
      <c r="R16" s="12" t="n">
        <f aca="false">IFERROR(VLOOKUP(A16,'Dados-Status-Invest'!$1:$1000,MATCH(R$1,'Dados-Status-Invest'!$2:$2,0),FALSE()),"")</f>
        <v>-7.46</v>
      </c>
      <c r="S16" s="12" t="n">
        <f aca="false">IFERROR(VLOOKUP(A16,'Dados-Status-Invest'!$1:$1000,MATCH(S$1,'Dados-Status-Invest'!$2:$2,0),FALSE()),"")</f>
        <v>2.56</v>
      </c>
      <c r="T16" s="12" t="n">
        <f aca="false">IFERROR(VLOOKUP(A16,'Dados-Status-Invest'!$1:$1000,MATCH(T$1,'Dados-Status-Invest'!$2:$2,0),FALSE()),"")</f>
        <v>-106.32</v>
      </c>
      <c r="U16" s="12" t="n">
        <f aca="false">IFERROR(VLOOKUP(A16,'Dados-Status-Invest'!$1:$1000,MATCH(U$1,'Dados-Status-Invest'!$2:$2,0),FALSE()),"")</f>
        <v>0.32</v>
      </c>
      <c r="V16" s="12" t="n">
        <f aca="false">IFERROR(VLOOKUP(A16,'Dados-Status-Invest'!$1:$1000,MATCH(V$1,'Dados-Status-Invest'!$2:$2,0),FALSE()),"")</f>
        <v>-51.2</v>
      </c>
      <c r="W16" s="10" t="n">
        <f aca="false">IFERROR(VLOOKUP(A16,'Dados-Status-Invest'!$1:$1000,MATCH(W$1,'Dados-Status-Invest'!$2:$2,0),FALSE())/100,"")</f>
        <v>0</v>
      </c>
      <c r="X16" s="10" t="n">
        <f aca="false">IFERROR(VLOOKUP(A16,'Dados-Status-Invest'!$1:$1000,MATCH(X$1,'Dados-Status-Invest'!$2:$2,0),FALSE())/100,"")</f>
        <v>0</v>
      </c>
    </row>
    <row r="17" customFormat="false" ht="15.75" hidden="false" customHeight="false" outlineLevel="0" collapsed="false">
      <c r="A17" s="6" t="s">
        <v>42</v>
      </c>
      <c r="B17" s="7" t="str">
        <f aca="false">IFERROR(VLOOKUP(LEFT(A17,4),Setor!A:D,2,FALSE()),"")</f>
        <v>Financeiro</v>
      </c>
      <c r="C17" s="8" t="n">
        <f aca="false">IFERROR(__xludf.dummyfunction("IFERROR(IFERROR(GOOGLEFINANCE(A23,""price""),VLOOKUP(A23,'Dados-Status-Invest'!A:B,2,FALSE)),"""")"),19.01)</f>
        <v>19.01</v>
      </c>
      <c r="D17" s="8" t="n">
        <f aca="false">IFERROR(VLOOKUP(A17,'Dados-Status-Invest'!$1:$1000,MATCH(D$1,'Dados-Status-Invest'!$2:$2,0),FALSE()),"")</f>
        <v>7521369617</v>
      </c>
      <c r="E17" s="8" t="n">
        <f aca="false">IF(D17+H17&gt;0,D17+H17,"")</f>
        <v>8100468934.2</v>
      </c>
      <c r="F17" s="8" t="n">
        <f aca="false">IFERROR(D17/VLOOKUP(A17,'Dados-Status-Invest'!$1:$1000,5,FALSE()),"")</f>
        <v>6597692647</v>
      </c>
      <c r="G17" s="8" t="n">
        <f aca="false">IFERROR(D17/VLOOKUP(A17,'Dados-Status-Invest'!$1:$1000,6,FALSE()),"")</f>
        <v>10900535677</v>
      </c>
      <c r="H17" s="8" t="n">
        <f aca="false">IFERROR(VLOOKUP(A17,'Dados-Status-Invest'!$1:$1000,12,FALSE())*J17,"")</f>
        <v>579099317.2</v>
      </c>
      <c r="I17" s="8" t="n">
        <f aca="false">IFERROR(D17/VLOOKUP(A17,'Dados-Status-Invest'!$1:$1000,14,FALSE()),"")</f>
        <v>762816391.2</v>
      </c>
      <c r="J17" s="9" t="n">
        <f aca="false">IFERROR(D17/VLOOKUP(A17,'Dados-Status-Invest'!$1:$1000,10,FALSE()),"")</f>
        <v>230716859.4</v>
      </c>
      <c r="K17" s="10" t="n">
        <f aca="false">IFERROR(VLOOKUP(A17,'Dados-Status-Invest'!$1:$1000,3,FALSE())/100,"")</f>
        <v>0.008</v>
      </c>
      <c r="L17" s="11" t="n">
        <f aca="false">IFERROR(VLOOKUP(A17,'Dados-Status-Invest'!$1:$1000,MATCH(L$1,'Dados-Status-Invest'!$2:$2,0),FALSE())/100,"")</f>
        <v>0.0162</v>
      </c>
      <c r="M17" s="10" t="n">
        <f aca="false">IFERROR(VLOOKUP(A17,'Dados-Status-Invest'!$1:$1000,MATCH(M$1,'Dados-Status-Invest'!$2:$2,0),FALSE())/100,"")</f>
        <v>0.0099</v>
      </c>
      <c r="N17" s="10" t="n">
        <f aca="false">IFERROR(VLOOKUP(A17,'Dados-Status-Invest'!$1:$1000,MATCH(N$1,'Dados-Status-Invest'!$2:$2,0),FALSE())/100,"")</f>
        <v>0.0207</v>
      </c>
      <c r="O17" s="10" t="n">
        <f aca="false">IFERROR(VLOOKUP(A17,'Dados-Status-Invest'!$1:$1000,MATCH(O$1,'Dados-Status-Invest'!$2:$2,0),FALSE())/100,"")</f>
        <v>0.6503</v>
      </c>
      <c r="P17" s="10" t="n">
        <f aca="false">IFERROR(VLOOKUP(A17,'Dados-Status-Invest'!$1:$1000,MATCH(P$1,'Dados-Status-Invest'!$2:$2,0),FALSE())/100,"")</f>
        <v>0.3024</v>
      </c>
      <c r="Q17" s="10" t="n">
        <f aca="false">IFERROR(VLOOKUP(A17,'Dados-Status-Invest'!$1:$1000,MATCH(Q$1,'Dados-Status-Invest'!$2:$2,0),FALSE())/100,"")</f>
        <v>0.1399</v>
      </c>
      <c r="R17" s="12" t="n">
        <f aca="false">IFERROR(VLOOKUP(A17,'Dados-Status-Invest'!$1:$1000,MATCH(R$1,'Dados-Status-Invest'!$2:$2,0),FALSE()),"")</f>
        <v>70.47</v>
      </c>
      <c r="S17" s="12" t="n">
        <f aca="false">IFERROR(VLOOKUP(A17,'Dados-Status-Invest'!$1:$1000,MATCH(S$1,'Dados-Status-Invest'!$2:$2,0),FALSE()),"")</f>
        <v>1.14</v>
      </c>
      <c r="T17" s="12" t="n">
        <f aca="false">IFERROR(VLOOKUP(A17,'Dados-Status-Invest'!$1:$1000,MATCH(T$1,'Dados-Status-Invest'!$2:$2,0),FALSE()),"")</f>
        <v>35.02</v>
      </c>
      <c r="U17" s="12" t="n">
        <f aca="false">IFERROR(VLOOKUP(A17,'Dados-Status-Invest'!$1:$1000,MATCH(U$1,'Dados-Status-Invest'!$2:$2,0),FALSE()),"")</f>
        <v>4.32</v>
      </c>
      <c r="V17" s="12" t="n">
        <f aca="false">IFERROR(VLOOKUP(A17,'Dados-Status-Invest'!$1:$1000,MATCH(V$1,'Dados-Status-Invest'!$2:$2,0),FALSE()),"")</f>
        <v>2.51</v>
      </c>
      <c r="W17" s="10" t="n">
        <f aca="false">IFERROR(VLOOKUP(A17,'Dados-Status-Invest'!$1:$1000,MATCH(W$1,'Dados-Status-Invest'!$2:$2,0),FALSE())/100,"")</f>
        <v>0.1922</v>
      </c>
      <c r="X17" s="10" t="n">
        <f aca="false">IFERROR(VLOOKUP(A17,'Dados-Status-Invest'!$1:$1000,MATCH(X$1,'Dados-Status-Invest'!$2:$2,0),FALSE())/100,"")</f>
        <v>-0.0015</v>
      </c>
    </row>
    <row r="18" customFormat="false" ht="15.75" hidden="false" customHeight="false" outlineLevel="0" collapsed="false">
      <c r="A18" s="6" t="s">
        <v>43</v>
      </c>
      <c r="B18" s="7" t="str">
        <f aca="false">IFERROR(VLOOKUP(LEFT(A18,4),Setor!A:D,2,FALSE()),"")</f>
        <v>Utilidade Pública</v>
      </c>
      <c r="C18" s="8" t="n">
        <f aca="false">IFERROR(__xludf.dummyfunction("IFERROR(IFERROR(GOOGLEFINANCE(A24,""price""),VLOOKUP(A24,'Dados-Status-Invest'!A:B,2,FALSE)),"""")"),27.1)</f>
        <v>27.1</v>
      </c>
      <c r="D18" s="8" t="n">
        <f aca="false">IFERROR(VLOOKUP(A18,'Dados-Status-Invest'!$1:$1000,MATCH(D$1,'Dados-Status-Invest'!$2:$2,0),FALSE()),"")</f>
        <v>7765482876</v>
      </c>
      <c r="E18" s="8" t="n">
        <f aca="false">IF(D18+H18&gt;0,D18+H18,"")</f>
        <v>14998040457</v>
      </c>
      <c r="F18" s="8" t="n">
        <f aca="false">IFERROR(D18/VLOOKUP(A18,'Dados-Status-Invest'!$1:$1000,5,FALSE()),"")</f>
        <v>6066783497</v>
      </c>
      <c r="G18" s="8" t="n">
        <f aca="false">IFERROR(D18/VLOOKUP(A18,'Dados-Status-Invest'!$1:$1000,6,FALSE()),"")</f>
        <v>23531766291</v>
      </c>
      <c r="H18" s="8" t="n">
        <f aca="false">IFERROR(VLOOKUP(A18,'Dados-Status-Invest'!$1:$1000,12,FALSE())*J18,"")</f>
        <v>7232557581</v>
      </c>
      <c r="I18" s="8" t="n">
        <f aca="false">IFERROR(D18/VLOOKUP(A18,'Dados-Status-Invest'!$1:$1000,14,FALSE()),"")</f>
        <v>6525615862</v>
      </c>
      <c r="J18" s="9" t="n">
        <f aca="false">IFERROR(D18/VLOOKUP(A18,'Dados-Status-Invest'!$1:$1000,10,FALSE()),"")</f>
        <v>3806609253</v>
      </c>
      <c r="K18" s="10" t="n">
        <f aca="false">IFERROR(VLOOKUP(A18,'Dados-Status-Invest'!$1:$1000,3,FALSE())/100,"")</f>
        <v>0.0316</v>
      </c>
      <c r="L18" s="11" t="n">
        <f aca="false">IFERROR(VLOOKUP(A18,'Dados-Status-Invest'!$1:$1000,MATCH(L$1,'Dados-Status-Invest'!$2:$2,0),FALSE())/100,"")</f>
        <v>0.1783</v>
      </c>
      <c r="M18" s="10" t="n">
        <f aca="false">IFERROR(VLOOKUP(A18,'Dados-Status-Invest'!$1:$1000,MATCH(M$1,'Dados-Status-Invest'!$2:$2,0),FALSE())/100,"")</f>
        <v>0.0462</v>
      </c>
      <c r="N18" s="10" t="n">
        <f aca="false">IFERROR(VLOOKUP(A18,'Dados-Status-Invest'!$1:$1000,MATCH(N$1,'Dados-Status-Invest'!$2:$2,0),FALSE())/100,"")</f>
        <v>0.1555</v>
      </c>
      <c r="O18" s="10" t="n">
        <f aca="false">IFERROR(VLOOKUP(A18,'Dados-Status-Invest'!$1:$1000,MATCH(O$1,'Dados-Status-Invest'!$2:$2,0),FALSE())/100,"")</f>
        <v>0.6024</v>
      </c>
      <c r="P18" s="10" t="n">
        <f aca="false">IFERROR(VLOOKUP(A18,'Dados-Status-Invest'!$1:$1000,MATCH(P$1,'Dados-Status-Invest'!$2:$2,0),FALSE())/100,"")</f>
        <v>0.5847</v>
      </c>
      <c r="Q18" s="10" t="n">
        <f aca="false">IFERROR(VLOOKUP(A18,'Dados-Status-Invest'!$1:$1000,MATCH(Q$1,'Dados-Status-Invest'!$2:$2,0),FALSE())/100,"")</f>
        <v>0.1665</v>
      </c>
      <c r="R18" s="12" t="n">
        <f aca="false">IFERROR(VLOOKUP(A18,'Dados-Status-Invest'!$1:$1000,MATCH(R$1,'Dados-Status-Invest'!$2:$2,0),FALSE()),"")</f>
        <v>7.16</v>
      </c>
      <c r="S18" s="12" t="n">
        <f aca="false">IFERROR(VLOOKUP(A18,'Dados-Status-Invest'!$1:$1000,MATCH(S$1,'Dados-Status-Invest'!$2:$2,0),FALSE()),"")</f>
        <v>1.28</v>
      </c>
      <c r="T18" s="12" t="n">
        <f aca="false">IFERROR(VLOOKUP(A18,'Dados-Status-Invest'!$1:$1000,MATCH(T$1,'Dados-Status-Invest'!$2:$2,0),FALSE()),"")</f>
        <v>3.94</v>
      </c>
      <c r="U18" s="12" t="n">
        <f aca="false">IFERROR(VLOOKUP(A18,'Dados-Status-Invest'!$1:$1000,MATCH(U$1,'Dados-Status-Invest'!$2:$2,0),FALSE()),"")</f>
        <v>1.71</v>
      </c>
      <c r="V18" s="12" t="n">
        <f aca="false">IFERROR(VLOOKUP(A18,'Dados-Status-Invest'!$1:$1000,MATCH(V$1,'Dados-Status-Invest'!$2:$2,0),FALSE()),"")</f>
        <v>1.9</v>
      </c>
      <c r="W18" s="10" t="n">
        <f aca="false">IFERROR(VLOOKUP(A18,'Dados-Status-Invest'!$1:$1000,MATCH(W$1,'Dados-Status-Invest'!$2:$2,0),FALSE())/100,"")</f>
        <v>0.3268</v>
      </c>
      <c r="X18" s="10" t="n">
        <f aca="false">IFERROR(VLOOKUP(A18,'Dados-Status-Invest'!$1:$1000,MATCH(X$1,'Dados-Status-Invest'!$2:$2,0),FALSE())/100,"")</f>
        <v>0.2919</v>
      </c>
    </row>
    <row r="19" customFormat="false" ht="15.75" hidden="false" customHeight="false" outlineLevel="0" collapsed="false">
      <c r="A19" s="6" t="s">
        <v>44</v>
      </c>
      <c r="B19" s="7" t="str">
        <f aca="false">IFERROR(VLOOKUP(LEFT(A19,4),Setor!A:D,2,FALSE()),"")</f>
        <v>Utilidade Pública</v>
      </c>
      <c r="C19" s="8" t="n">
        <f aca="false">IFERROR(__xludf.dummyfunction("IFERROR(IFERROR(GOOGLEFINANCE(A25,""price""),VLOOKUP(A25,'Dados-Status-Invest'!A:B,2,FALSE)),"""")"),9.09)</f>
        <v>9.09</v>
      </c>
      <c r="D19" s="8" t="n">
        <f aca="false">IFERROR(VLOOKUP(A19,'Dados-Status-Invest'!$1:$1000,MATCH(D$1,'Dados-Status-Invest'!$2:$2,0),FALSE()),"")</f>
        <v>7765482876</v>
      </c>
      <c r="E19" s="8" t="n">
        <f aca="false">IF(D19+H19&gt;0,D19+H19,"")</f>
        <v>15142691608</v>
      </c>
      <c r="F19" s="8" t="n">
        <f aca="false">IFERROR(D19/VLOOKUP(A19,'Dados-Status-Invest'!$1:$1000,5,FALSE()),"")</f>
        <v>6212386301</v>
      </c>
      <c r="G19" s="8" t="n">
        <f aca="false">IFERROR(D19/VLOOKUP(A19,'Dados-Status-Invest'!$1:$1000,6,FALSE()),"")</f>
        <v>24267133988</v>
      </c>
      <c r="H19" s="8" t="n">
        <f aca="false">IFERROR(VLOOKUP(A19,'Dados-Status-Invest'!$1:$1000,12,FALSE())*J19,"")</f>
        <v>7377208732</v>
      </c>
      <c r="I19" s="8" t="n">
        <f aca="false">IFERROR(D19/VLOOKUP(A19,'Dados-Status-Invest'!$1:$1000,14,FALSE()),"")</f>
        <v>6637164851</v>
      </c>
      <c r="J19" s="9" t="n">
        <f aca="false">IFERROR(D19/VLOOKUP(A19,'Dados-Status-Invest'!$1:$1000,10,FALSE()),"")</f>
        <v>3882741438</v>
      </c>
      <c r="K19" s="10" t="n">
        <f aca="false">IFERROR(VLOOKUP(A19,'Dados-Status-Invest'!$1:$1000,3,FALSE())/100,"")</f>
        <v>0.0323</v>
      </c>
      <c r="L19" s="11" t="n">
        <f aca="false">IFERROR(VLOOKUP(A19,'Dados-Status-Invest'!$1:$1000,MATCH(L$1,'Dados-Status-Invest'!$2:$2,0),FALSE())/100,"")</f>
        <v>0.1783</v>
      </c>
      <c r="M19" s="10" t="n">
        <f aca="false">IFERROR(VLOOKUP(A19,'Dados-Status-Invest'!$1:$1000,MATCH(M$1,'Dados-Status-Invest'!$2:$2,0),FALSE())/100,"")</f>
        <v>0.0462</v>
      </c>
      <c r="N19" s="10" t="n">
        <f aca="false">IFERROR(VLOOKUP(A19,'Dados-Status-Invest'!$1:$1000,MATCH(N$1,'Dados-Status-Invest'!$2:$2,0),FALSE())/100,"")</f>
        <v>0.1555</v>
      </c>
      <c r="O19" s="10" t="n">
        <f aca="false">IFERROR(VLOOKUP(A19,'Dados-Status-Invest'!$1:$1000,MATCH(O$1,'Dados-Status-Invest'!$2:$2,0),FALSE())/100,"")</f>
        <v>0.6024</v>
      </c>
      <c r="P19" s="10" t="n">
        <f aca="false">IFERROR(VLOOKUP(A19,'Dados-Status-Invest'!$1:$1000,MATCH(P$1,'Dados-Status-Invest'!$2:$2,0),FALSE())/100,"")</f>
        <v>0.5847</v>
      </c>
      <c r="Q19" s="10" t="n">
        <f aca="false">IFERROR(VLOOKUP(A19,'Dados-Status-Invest'!$1:$1000,MATCH(Q$1,'Dados-Status-Invest'!$2:$2,0),FALSE())/100,"")</f>
        <v>0.1665</v>
      </c>
      <c r="R19" s="12" t="n">
        <f aca="false">IFERROR(VLOOKUP(A19,'Dados-Status-Invest'!$1:$1000,MATCH(R$1,'Dados-Status-Invest'!$2:$2,0),FALSE()),"")</f>
        <v>7.02</v>
      </c>
      <c r="S19" s="12" t="n">
        <f aca="false">IFERROR(VLOOKUP(A19,'Dados-Status-Invest'!$1:$1000,MATCH(S$1,'Dados-Status-Invest'!$2:$2,0),FALSE()),"")</f>
        <v>1.25</v>
      </c>
      <c r="T19" s="12" t="n">
        <f aca="false">IFERROR(VLOOKUP(A19,'Dados-Status-Invest'!$1:$1000,MATCH(T$1,'Dados-Status-Invest'!$2:$2,0),FALSE()),"")</f>
        <v>3.94</v>
      </c>
      <c r="U19" s="12" t="n">
        <f aca="false">IFERROR(VLOOKUP(A19,'Dados-Status-Invest'!$1:$1000,MATCH(U$1,'Dados-Status-Invest'!$2:$2,0),FALSE()),"")</f>
        <v>1.71</v>
      </c>
      <c r="V19" s="12" t="n">
        <f aca="false">IFERROR(VLOOKUP(A19,'Dados-Status-Invest'!$1:$1000,MATCH(V$1,'Dados-Status-Invest'!$2:$2,0),FALSE()),"")</f>
        <v>1.9</v>
      </c>
      <c r="W19" s="10" t="n">
        <f aca="false">IFERROR(VLOOKUP(A19,'Dados-Status-Invest'!$1:$1000,MATCH(W$1,'Dados-Status-Invest'!$2:$2,0),FALSE())/100,"")</f>
        <v>0.3268</v>
      </c>
      <c r="X19" s="10" t="n">
        <f aca="false">IFERROR(VLOOKUP(A19,'Dados-Status-Invest'!$1:$1000,MATCH(X$1,'Dados-Status-Invest'!$2:$2,0),FALSE())/100,"")</f>
        <v>0.2919</v>
      </c>
    </row>
    <row r="20" customFormat="false" ht="15.75" hidden="false" customHeight="false" outlineLevel="0" collapsed="false">
      <c r="A20" s="6" t="s">
        <v>45</v>
      </c>
      <c r="B20" s="7" t="str">
        <f aca="false">IFERROR(VLOOKUP(LEFT(A20,4),Setor!A:D,2,FALSE()),"")</f>
        <v>Utilidade Pública</v>
      </c>
      <c r="C20" s="8" t="n">
        <f aca="false">IFERROR(__xludf.dummyfunction("IFERROR(IFERROR(GOOGLEFINANCE(A26,""price""),VLOOKUP(A26,'Dados-Status-Invest'!A:B,2,FALSE)),"""")"),8.96)</f>
        <v>8.96</v>
      </c>
      <c r="D20" s="8" t="n">
        <f aca="false">IFERROR(VLOOKUP(A20,'Dados-Status-Invest'!$1:$1000,MATCH(D$1,'Dados-Status-Invest'!$2:$2,0),FALSE()),"")</f>
        <v>7765482876</v>
      </c>
      <c r="E20" s="8" t="n">
        <f aca="false">IF(D20+H20&gt;0,D20+H20,"")</f>
        <v>14927821451</v>
      </c>
      <c r="F20" s="8" t="n">
        <f aca="false">IFERROR(D20/VLOOKUP(A20,'Dados-Status-Invest'!$1:$1000,5,FALSE()),"")</f>
        <v>6019754168</v>
      </c>
      <c r="G20" s="8" t="n">
        <f aca="false">IFERROR(D20/VLOOKUP(A20,'Dados-Status-Invest'!$1:$1000,6,FALSE()),"")</f>
        <v>23531766291</v>
      </c>
      <c r="H20" s="8" t="n">
        <f aca="false">IFERROR(VLOOKUP(A20,'Dados-Status-Invest'!$1:$1000,12,FALSE())*J20,"")</f>
        <v>7162338575</v>
      </c>
      <c r="I20" s="8" t="n">
        <f aca="false">IFERROR(D20/VLOOKUP(A20,'Dados-Status-Invest'!$1:$1000,14,FALSE()),"")</f>
        <v>6417754443</v>
      </c>
      <c r="J20" s="9" t="n">
        <f aca="false">IFERROR(D20/VLOOKUP(A20,'Dados-Status-Invest'!$1:$1000,10,FALSE()),"")</f>
        <v>3769651882</v>
      </c>
      <c r="K20" s="10" t="n">
        <f aca="false">IFERROR(VLOOKUP(A20,'Dados-Status-Invest'!$1:$1000,3,FALSE())/100,"")</f>
        <v>0.0313</v>
      </c>
      <c r="L20" s="11" t="n">
        <f aca="false">IFERROR(VLOOKUP(A20,'Dados-Status-Invest'!$1:$1000,MATCH(L$1,'Dados-Status-Invest'!$2:$2,0),FALSE())/100,"")</f>
        <v>0.1783</v>
      </c>
      <c r="M20" s="10" t="n">
        <f aca="false">IFERROR(VLOOKUP(A20,'Dados-Status-Invest'!$1:$1000,MATCH(M$1,'Dados-Status-Invest'!$2:$2,0),FALSE())/100,"")</f>
        <v>0.0462</v>
      </c>
      <c r="N20" s="10" t="n">
        <f aca="false">IFERROR(VLOOKUP(A20,'Dados-Status-Invest'!$1:$1000,MATCH(N$1,'Dados-Status-Invest'!$2:$2,0),FALSE())/100,"")</f>
        <v>0.1555</v>
      </c>
      <c r="O20" s="10" t="n">
        <f aca="false">IFERROR(VLOOKUP(A20,'Dados-Status-Invest'!$1:$1000,MATCH(O$1,'Dados-Status-Invest'!$2:$2,0),FALSE())/100,"")</f>
        <v>0.6024</v>
      </c>
      <c r="P20" s="10" t="n">
        <f aca="false">IFERROR(VLOOKUP(A20,'Dados-Status-Invest'!$1:$1000,MATCH(P$1,'Dados-Status-Invest'!$2:$2,0),FALSE())/100,"")</f>
        <v>0.5847</v>
      </c>
      <c r="Q20" s="10" t="n">
        <f aca="false">IFERROR(VLOOKUP(A20,'Dados-Status-Invest'!$1:$1000,MATCH(Q$1,'Dados-Status-Invest'!$2:$2,0),FALSE())/100,"")</f>
        <v>0.1665</v>
      </c>
      <c r="R20" s="12" t="n">
        <f aca="false">IFERROR(VLOOKUP(A20,'Dados-Status-Invest'!$1:$1000,MATCH(R$1,'Dados-Status-Invest'!$2:$2,0),FALSE()),"")</f>
        <v>7.25</v>
      </c>
      <c r="S20" s="12" t="n">
        <f aca="false">IFERROR(VLOOKUP(A20,'Dados-Status-Invest'!$1:$1000,MATCH(S$1,'Dados-Status-Invest'!$2:$2,0),FALSE()),"")</f>
        <v>1.29</v>
      </c>
      <c r="T20" s="12" t="n">
        <f aca="false">IFERROR(VLOOKUP(A20,'Dados-Status-Invest'!$1:$1000,MATCH(T$1,'Dados-Status-Invest'!$2:$2,0),FALSE()),"")</f>
        <v>3.94</v>
      </c>
      <c r="U20" s="12" t="n">
        <f aca="false">IFERROR(VLOOKUP(A20,'Dados-Status-Invest'!$1:$1000,MATCH(U$1,'Dados-Status-Invest'!$2:$2,0),FALSE()),"")</f>
        <v>1.71</v>
      </c>
      <c r="V20" s="12" t="n">
        <f aca="false">IFERROR(VLOOKUP(A20,'Dados-Status-Invest'!$1:$1000,MATCH(V$1,'Dados-Status-Invest'!$2:$2,0),FALSE()),"")</f>
        <v>1.9</v>
      </c>
      <c r="W20" s="10" t="n">
        <f aca="false">IFERROR(VLOOKUP(A20,'Dados-Status-Invest'!$1:$1000,MATCH(W$1,'Dados-Status-Invest'!$2:$2,0),FALSE())/100,"")</f>
        <v>0.3268</v>
      </c>
      <c r="X20" s="10" t="n">
        <f aca="false">IFERROR(VLOOKUP(A20,'Dados-Status-Invest'!$1:$1000,MATCH(X$1,'Dados-Status-Invest'!$2:$2,0),FALSE())/100,"")</f>
        <v>0.2919</v>
      </c>
    </row>
    <row r="21" customFormat="false" ht="15.75" hidden="false" customHeight="false" outlineLevel="0" collapsed="false">
      <c r="A21" s="6" t="s">
        <v>46</v>
      </c>
      <c r="B21" s="7" t="str">
        <f aca="false">IFERROR(VLOOKUP(LEFT(A21,4),Setor!A:D,2,FALSE()),"")</f>
        <v>Consumo Cíclico</v>
      </c>
      <c r="C21" s="8" t="n">
        <f aca="false">IFERROR(__xludf.dummyfunction("IFERROR(IFERROR(GOOGLEFINANCE(A27,""price""),VLOOKUP(A27,'Dados-Status-Invest'!A:B,2,FALSE)),"""")"),2.38)</f>
        <v>2.38</v>
      </c>
      <c r="D21" s="8" t="n">
        <f aca="false">IFERROR(VLOOKUP(A21,'Dados-Status-Invest'!$1:$1000,MATCH(D$1,'Dados-Status-Invest'!$2:$2,0),FALSE()),"")</f>
        <v>2409950666</v>
      </c>
      <c r="E21" s="8" t="n">
        <f aca="false">IF(D21+H21&gt;0,D21+H21,"")</f>
        <v>3604156607</v>
      </c>
      <c r="F21" s="8" t="n">
        <f aca="false">IFERROR(D21/VLOOKUP(A21,'Dados-Status-Invest'!$1:$1000,5,FALSE()),"")</f>
        <v>941386979</v>
      </c>
      <c r="G21" s="8" t="n">
        <f aca="false">IFERROR(D21/VLOOKUP(A21,'Dados-Status-Invest'!$1:$1000,6,FALSE()),"")</f>
        <v>3256690089</v>
      </c>
      <c r="H21" s="8" t="n">
        <f aca="false">IFERROR(VLOOKUP(A21,'Dados-Status-Invest'!$1:$1000,12,FALSE())*J21,"")</f>
        <v>1194205941</v>
      </c>
      <c r="I21" s="8" t="n">
        <f aca="false">IFERROR(D21/VLOOKUP(A21,'Dados-Status-Invest'!$1:$1000,14,FALSE()),"")</f>
        <v>1975369399</v>
      </c>
      <c r="J21" s="9" t="n">
        <f aca="false">IFERROR(D21/VLOOKUP(A21,'Dados-Status-Invest'!$1:$1000,10,FALSE()),"")</f>
        <v>-239319827.8</v>
      </c>
      <c r="K21" s="10" t="n">
        <f aca="false">IFERROR(VLOOKUP(A21,'Dados-Status-Invest'!$1:$1000,3,FALSE())/100,"")</f>
        <v>0</v>
      </c>
      <c r="L21" s="11" t="n">
        <f aca="false">IFERROR(VLOOKUP(A21,'Dados-Status-Invest'!$1:$1000,MATCH(L$1,'Dados-Status-Invest'!$2:$2,0),FALSE())/100,"")</f>
        <v>0</v>
      </c>
      <c r="M21" s="10" t="n">
        <f aca="false">IFERROR(VLOOKUP(A21,'Dados-Status-Invest'!$1:$1000,MATCH(M$1,'Dados-Status-Invest'!$2:$2,0),FALSE())/100,"")</f>
        <v>0</v>
      </c>
      <c r="N21" s="10" t="n">
        <f aca="false">IFERROR(VLOOKUP(A21,'Dados-Status-Invest'!$1:$1000,MATCH(N$1,'Dados-Status-Invest'!$2:$2,0),FALSE())/100,"")</f>
        <v>-0.1034</v>
      </c>
      <c r="O21" s="10" t="n">
        <f aca="false">IFERROR(VLOOKUP(A21,'Dados-Status-Invest'!$1:$1000,MATCH(O$1,'Dados-Status-Invest'!$2:$2,0),FALSE())/100,"")</f>
        <v>0.3938</v>
      </c>
      <c r="P21" s="10" t="n">
        <f aca="false">IFERROR(VLOOKUP(A21,'Dados-Status-Invest'!$1:$1000,MATCH(P$1,'Dados-Status-Invest'!$2:$2,0),FALSE())/100,"")</f>
        <v>-0.1213</v>
      </c>
      <c r="Q21" s="10" t="n">
        <f aca="false">IFERROR(VLOOKUP(A21,'Dados-Status-Invest'!$1:$1000,MATCH(Q$1,'Dados-Status-Invest'!$2:$2,0),FALSE())/100,"")</f>
        <v>0</v>
      </c>
      <c r="R21" s="12" t="n">
        <f aca="false">IFERROR(VLOOKUP(A21,'Dados-Status-Invest'!$1:$1000,MATCH(R$1,'Dados-Status-Invest'!$2:$2,0),FALSE()),"")</f>
        <v>0</v>
      </c>
      <c r="S21" s="12" t="n">
        <f aca="false">IFERROR(VLOOKUP(A21,'Dados-Status-Invest'!$1:$1000,MATCH(S$1,'Dados-Status-Invest'!$2:$2,0),FALSE()),"")</f>
        <v>2.56</v>
      </c>
      <c r="T21" s="12" t="n">
        <f aca="false">IFERROR(VLOOKUP(A21,'Dados-Status-Invest'!$1:$1000,MATCH(T$1,'Dados-Status-Invest'!$2:$2,0),FALSE()),"")</f>
        <v>-15.02</v>
      </c>
      <c r="U21" s="12" t="n">
        <f aca="false">IFERROR(VLOOKUP(A21,'Dados-Status-Invest'!$1:$1000,MATCH(U$1,'Dados-Status-Invest'!$2:$2,0),FALSE()),"")</f>
        <v>1.18</v>
      </c>
      <c r="V21" s="12" t="n">
        <f aca="false">IFERROR(VLOOKUP(A21,'Dados-Status-Invest'!$1:$1000,MATCH(V$1,'Dados-Status-Invest'!$2:$2,0),FALSE()),"")</f>
        <v>-4.99</v>
      </c>
      <c r="W21" s="10" t="n">
        <f aca="false">IFERROR(VLOOKUP(A21,'Dados-Status-Invest'!$1:$1000,MATCH(W$1,'Dados-Status-Invest'!$2:$2,0),FALSE())/100,"")</f>
        <v>-0.0753</v>
      </c>
      <c r="X21" s="10" t="n">
        <f aca="false">IFERROR(VLOOKUP(A21,'Dados-Status-Invest'!$1:$1000,MATCH(X$1,'Dados-Status-Invest'!$2:$2,0),FALSE())/100,"")</f>
        <v>0</v>
      </c>
    </row>
    <row r="22" customFormat="false" ht="15.75" hidden="false" customHeight="false" outlineLevel="0" collapsed="false">
      <c r="A22" s="6" t="s">
        <v>47</v>
      </c>
      <c r="B22" s="7" t="str">
        <f aca="false">IFERROR(VLOOKUP(LEFT(A22,4),Setor!A:D,2,FALSE()),"")</f>
        <v>Bens Industriais</v>
      </c>
      <c r="C22" s="8" t="n">
        <f aca="false">IFERROR(__xludf.dummyfunction("IFERROR(IFERROR(GOOGLEFINANCE(A28,""price""),VLOOKUP(A28,'Dados-Status-Invest'!A:B,2,FALSE)),"""")"),30.47)</f>
        <v>30.47</v>
      </c>
      <c r="D22" s="8" t="n">
        <f aca="false">IFERROR(VLOOKUP(A22,'Dados-Status-Invest'!$1:$1000,MATCH(D$1,'Dados-Status-Invest'!$2:$2,0),FALSE()),"")</f>
        <v>4923991637</v>
      </c>
      <c r="E22" s="8" t="n">
        <f aca="false">IF(D22+H22&gt;0,D22+H22,"")</f>
        <v>4731741358.2</v>
      </c>
      <c r="F22" s="8" t="n">
        <f aca="false">IFERROR(D22/VLOOKUP(A22,'Dados-Status-Invest'!$1:$1000,5,FALSE()),"")</f>
        <v>1234083117</v>
      </c>
      <c r="G22" s="8" t="n">
        <f aca="false">IFERROR(D22/VLOOKUP(A22,'Dados-Status-Invest'!$1:$1000,6,FALSE()),"")</f>
        <v>1938579385</v>
      </c>
      <c r="H22" s="8" t="n">
        <f aca="false">IFERROR(VLOOKUP(A22,'Dados-Status-Invest'!$1:$1000,12,FALSE())*J22,"")</f>
        <v>-192250278.8</v>
      </c>
      <c r="I22" s="8" t="n">
        <f aca="false">IFERROR(D22/VLOOKUP(A22,'Dados-Status-Invest'!$1:$1000,14,FALSE()),"")</f>
        <v>816582361</v>
      </c>
      <c r="J22" s="9" t="n">
        <f aca="false">IFERROR(D22/VLOOKUP(A22,'Dados-Status-Invest'!$1:$1000,10,FALSE()),"")</f>
        <v>149031223.9</v>
      </c>
      <c r="K22" s="10" t="n">
        <f aca="false">IFERROR(VLOOKUP(A22,'Dados-Status-Invest'!$1:$1000,3,FALSE())/100,"")</f>
        <v>0.0022</v>
      </c>
      <c r="L22" s="11" t="n">
        <f aca="false">IFERROR(VLOOKUP(A22,'Dados-Status-Invest'!$1:$1000,MATCH(L$1,'Dados-Status-Invest'!$2:$2,0),FALSE())/100,"")</f>
        <v>0.0539</v>
      </c>
      <c r="M22" s="10" t="n">
        <f aca="false">IFERROR(VLOOKUP(A22,'Dados-Status-Invest'!$1:$1000,MATCH(M$1,'Dados-Status-Invest'!$2:$2,0),FALSE())/100,"")</f>
        <v>0.0343</v>
      </c>
      <c r="N22" s="10" t="n">
        <f aca="false">IFERROR(VLOOKUP(A22,'Dados-Status-Invest'!$1:$1000,MATCH(N$1,'Dados-Status-Invest'!$2:$2,0),FALSE())/100,"")</f>
        <v>0.0716</v>
      </c>
      <c r="O22" s="10" t="n">
        <f aca="false">IFERROR(VLOOKUP(A22,'Dados-Status-Invest'!$1:$1000,MATCH(O$1,'Dados-Status-Invest'!$2:$2,0),FALSE())/100,"")</f>
        <v>0.2192</v>
      </c>
      <c r="P22" s="10" t="n">
        <f aca="false">IFERROR(VLOOKUP(A22,'Dados-Status-Invest'!$1:$1000,MATCH(P$1,'Dados-Status-Invest'!$2:$2,0),FALSE())/100,"")</f>
        <v>0.1824</v>
      </c>
      <c r="Q22" s="10" t="n">
        <f aca="false">IFERROR(VLOOKUP(A22,'Dados-Status-Invest'!$1:$1000,MATCH(Q$1,'Dados-Status-Invest'!$2:$2,0),FALSE())/100,"")</f>
        <v>0.0814</v>
      </c>
      <c r="R22" s="12" t="n">
        <f aca="false">IFERROR(VLOOKUP(A22,'Dados-Status-Invest'!$1:$1000,MATCH(R$1,'Dados-Status-Invest'!$2:$2,0),FALSE()),"")</f>
        <v>74.07</v>
      </c>
      <c r="S22" s="12" t="n">
        <f aca="false">IFERROR(VLOOKUP(A22,'Dados-Status-Invest'!$1:$1000,MATCH(S$1,'Dados-Status-Invest'!$2:$2,0),FALSE()),"")</f>
        <v>3.99</v>
      </c>
      <c r="T22" s="12" t="n">
        <f aca="false">IFERROR(VLOOKUP(A22,'Dados-Status-Invest'!$1:$1000,MATCH(T$1,'Dados-Status-Invest'!$2:$2,0),FALSE()),"")</f>
        <v>31.58</v>
      </c>
      <c r="U22" s="12" t="n">
        <f aca="false">IFERROR(VLOOKUP(A22,'Dados-Status-Invest'!$1:$1000,MATCH(U$1,'Dados-Status-Invest'!$2:$2,0),FALSE()),"")</f>
        <v>2.58</v>
      </c>
      <c r="V22" s="12" t="n">
        <f aca="false">IFERROR(VLOOKUP(A22,'Dados-Status-Invest'!$1:$1000,MATCH(V$1,'Dados-Status-Invest'!$2:$2,0),FALSE()),"")</f>
        <v>-1.29</v>
      </c>
      <c r="W22" s="10" t="n">
        <f aca="false">IFERROR(VLOOKUP(A22,'Dados-Status-Invest'!$1:$1000,MATCH(W$1,'Dados-Status-Invest'!$2:$2,0),FALSE())/100,"")</f>
        <v>0</v>
      </c>
      <c r="X22" s="10" t="n">
        <f aca="false">IFERROR(VLOOKUP(A22,'Dados-Status-Invest'!$1:$1000,MATCH(X$1,'Dados-Status-Invest'!$2:$2,0),FALSE())/100,"")</f>
        <v>0</v>
      </c>
    </row>
    <row r="23" customFormat="false" ht="15.75" hidden="false" customHeight="false" outlineLevel="0" collapsed="false">
      <c r="A23" s="6" t="s">
        <v>48</v>
      </c>
      <c r="B23" s="7" t="str">
        <f aca="false">IFERROR(VLOOKUP(LEFT(A23,4),Setor!A:D,2,FALSE()),"")</f>
        <v>Consumo Cíclico</v>
      </c>
      <c r="C23" s="8" t="n">
        <f aca="false">IFERROR(__xludf.dummyfunction("IFERROR(IFERROR(GOOGLEFINANCE(A29,""price""),VLOOKUP(A29,'Dados-Status-Invest'!A:B,2,FALSE)),"""")"),5.28)</f>
        <v>5.28</v>
      </c>
      <c r="D23" s="8" t="n">
        <f aca="false">IFERROR(VLOOKUP(A23,'Dados-Status-Invest'!$1:$1000,MATCH(D$1,'Dados-Status-Invest'!$2:$2,0),FALSE()),"")</f>
        <v>5500693124</v>
      </c>
      <c r="E23" s="8" t="n">
        <f aca="false">IF(D23+H23&gt;0,D23+H23,"")</f>
        <v>5735053640.9</v>
      </c>
      <c r="F23" s="8" t="n">
        <f aca="false">IFERROR(D23/VLOOKUP(A23,'Dados-Status-Invest'!$1:$1000,5,FALSE()),"")</f>
        <v>2546617187</v>
      </c>
      <c r="G23" s="8" t="n">
        <f aca="false">IFERROR(D23/VLOOKUP(A23,'Dados-Status-Invest'!$1:$1000,6,FALSE()),"")</f>
        <v>4955579391</v>
      </c>
      <c r="H23" s="8" t="n">
        <f aca="false">IFERROR(VLOOKUP(A23,'Dados-Status-Invest'!$1:$1000,12,FALSE())*J23,"")</f>
        <v>234360516.9</v>
      </c>
      <c r="I23" s="8" t="n">
        <f aca="false">IFERROR(D23/VLOOKUP(A23,'Dados-Status-Invest'!$1:$1000,14,FALSE()),"")</f>
        <v>1490702744</v>
      </c>
      <c r="J23" s="9" t="n">
        <f aca="false">IFERROR(D23/VLOOKUP(A23,'Dados-Status-Invest'!$1:$1000,10,FALSE()),"")</f>
        <v>193686377.6</v>
      </c>
      <c r="K23" s="10" t="n">
        <f aca="false">IFERROR(VLOOKUP(A23,'Dados-Status-Invest'!$1:$1000,3,FALSE())/100,"")</f>
        <v>0</v>
      </c>
      <c r="L23" s="11" t="n">
        <f aca="false">IFERROR(VLOOKUP(A23,'Dados-Status-Invest'!$1:$1000,MATCH(L$1,'Dados-Status-Invest'!$2:$2,0),FALSE())/100,"")</f>
        <v>0.0116</v>
      </c>
      <c r="M23" s="10" t="n">
        <f aca="false">IFERROR(VLOOKUP(A23,'Dados-Status-Invest'!$1:$1000,MATCH(M$1,'Dados-Status-Invest'!$2:$2,0),FALSE())/100,"")</f>
        <v>0.006</v>
      </c>
      <c r="N23" s="10" t="n">
        <f aca="false">IFERROR(VLOOKUP(A23,'Dados-Status-Invest'!$1:$1000,MATCH(N$1,'Dados-Status-Invest'!$2:$2,0),FALSE())/100,"")</f>
        <v>0.0473</v>
      </c>
      <c r="O23" s="10" t="n">
        <f aca="false">IFERROR(VLOOKUP(A23,'Dados-Status-Invest'!$1:$1000,MATCH(O$1,'Dados-Status-Invest'!$2:$2,0),FALSE())/100,"")</f>
        <v>0.522</v>
      </c>
      <c r="P23" s="10" t="n">
        <f aca="false">IFERROR(VLOOKUP(A23,'Dados-Status-Invest'!$1:$1000,MATCH(P$1,'Dados-Status-Invest'!$2:$2,0),FALSE())/100,"")</f>
        <v>0.1299</v>
      </c>
      <c r="Q23" s="10" t="n">
        <f aca="false">IFERROR(VLOOKUP(A23,'Dados-Status-Invest'!$1:$1000,MATCH(Q$1,'Dados-Status-Invest'!$2:$2,0),FALSE())/100,"")</f>
        <v>0.0199</v>
      </c>
      <c r="R23" s="12" t="n">
        <f aca="false">IFERROR(VLOOKUP(A23,'Dados-Status-Invest'!$1:$1000,MATCH(R$1,'Dados-Status-Invest'!$2:$2,0),FALSE()),"")</f>
        <v>185.5</v>
      </c>
      <c r="S23" s="12" t="n">
        <f aca="false">IFERROR(VLOOKUP(A23,'Dados-Status-Invest'!$1:$1000,MATCH(S$1,'Dados-Status-Invest'!$2:$2,0),FALSE()),"")</f>
        <v>2.16</v>
      </c>
      <c r="T23" s="12" t="n">
        <f aca="false">IFERROR(VLOOKUP(A23,'Dados-Status-Invest'!$1:$1000,MATCH(T$1,'Dados-Status-Invest'!$2:$2,0),FALSE()),"")</f>
        <v>29.47</v>
      </c>
      <c r="U23" s="12" t="n">
        <f aca="false">IFERROR(VLOOKUP(A23,'Dados-Status-Invest'!$1:$1000,MATCH(U$1,'Dados-Status-Invest'!$2:$2,0),FALSE()),"")</f>
        <v>3.76</v>
      </c>
      <c r="V23" s="12" t="n">
        <f aca="false">IFERROR(VLOOKUP(A23,'Dados-Status-Invest'!$1:$1000,MATCH(V$1,'Dados-Status-Invest'!$2:$2,0),FALSE()),"")</f>
        <v>1.21</v>
      </c>
      <c r="W23" s="10" t="n">
        <f aca="false">IFERROR(VLOOKUP(A23,'Dados-Status-Invest'!$1:$1000,MATCH(W$1,'Dados-Status-Invest'!$2:$2,0),FALSE())/100,"")</f>
        <v>0.1124</v>
      </c>
      <c r="X23" s="10" t="n">
        <f aca="false">IFERROR(VLOOKUP(A23,'Dados-Status-Invest'!$1:$1000,MATCH(X$1,'Dados-Status-Invest'!$2:$2,0),FALSE())/100,"")</f>
        <v>0</v>
      </c>
    </row>
    <row r="24" customFormat="false" ht="15.75" hidden="false" customHeight="false" outlineLevel="0" collapsed="false">
      <c r="A24" s="6" t="s">
        <v>49</v>
      </c>
      <c r="B24" s="7" t="str">
        <f aca="false">IFERROR(VLOOKUP(LEFT(A24,4),Setor!A:D,2,FALSE()),"")</f>
        <v>Financeiro</v>
      </c>
      <c r="C24" s="8" t="n">
        <f aca="false">IFERROR(__xludf.dummyfunction("IFERROR(IFERROR(GOOGLEFINANCE(A30,""price""),VLOOKUP(A30,'Dados-Status-Invest'!A:B,2,FALSE)),"""")"),33.23)</f>
        <v>33.23</v>
      </c>
      <c r="D24" s="8" t="n">
        <f aca="false">IFERROR(VLOOKUP(A24,'Dados-Status-Invest'!$1:$1000,MATCH(D$1,'Dados-Status-Invest'!$2:$2,0),FALSE()),"")</f>
        <v>551964842.7</v>
      </c>
      <c r="E24" s="8" t="n">
        <f aca="false">IF(D24+H24&gt;0,D24+H24,"")</f>
        <v>551964842.7</v>
      </c>
      <c r="F24" s="8" t="n">
        <f aca="false">IFERROR(D24/VLOOKUP(A24,'Dados-Status-Invest'!$1:$1000,5,FALSE()),"")</f>
        <v>288986828.6</v>
      </c>
      <c r="G24" s="8" t="n">
        <f aca="false">IFERROR(D24/VLOOKUP(A24,'Dados-Status-Invest'!$1:$1000,6,FALSE()),"")</f>
        <v>448751904.7</v>
      </c>
      <c r="H24" s="8" t="n">
        <f aca="false">IFERROR(VLOOKUP(A24,'Dados-Status-Invest'!$1:$1000,12,FALSE())*J24,"")</f>
        <v>0</v>
      </c>
      <c r="I24" s="8" t="n">
        <f aca="false">IFERROR(D24/VLOOKUP(A24,'Dados-Status-Invest'!$1:$1000,14,FALSE()),"")</f>
        <v>109734561.2</v>
      </c>
      <c r="J24" s="9" t="n">
        <f aca="false">IFERROR(D24/VLOOKUP(A24,'Dados-Status-Invest'!$1:$1000,10,FALSE()),"")</f>
        <v>-3128875.023</v>
      </c>
      <c r="K24" s="10" t="n">
        <f aca="false">IFERROR(VLOOKUP(A24,'Dados-Status-Invest'!$1:$1000,3,FALSE())/100,"")</f>
        <v>0</v>
      </c>
      <c r="L24" s="11" t="n">
        <f aca="false">IFERROR(VLOOKUP(A24,'Dados-Status-Invest'!$1:$1000,MATCH(L$1,'Dados-Status-Invest'!$2:$2,0),FALSE())/100,"")</f>
        <v>0.0005</v>
      </c>
      <c r="M24" s="10" t="n">
        <f aca="false">IFERROR(VLOOKUP(A24,'Dados-Status-Invest'!$1:$1000,MATCH(M$1,'Dados-Status-Invest'!$2:$2,0),FALSE())/100,"")</f>
        <v>0.0003</v>
      </c>
      <c r="N24" s="10" t="n">
        <f aca="false">IFERROR(VLOOKUP(A24,'Dados-Status-Invest'!$1:$1000,MATCH(N$1,'Dados-Status-Invest'!$2:$2,0),FALSE())/100,"")</f>
        <v>0</v>
      </c>
      <c r="O24" s="10" t="n">
        <f aca="false">IFERROR(VLOOKUP(A24,'Dados-Status-Invest'!$1:$1000,MATCH(O$1,'Dados-Status-Invest'!$2:$2,0),FALSE())/100,"")</f>
        <v>1</v>
      </c>
      <c r="P24" s="10" t="n">
        <f aca="false">IFERROR(VLOOKUP(A24,'Dados-Status-Invest'!$1:$1000,MATCH(P$1,'Dados-Status-Invest'!$2:$2,0),FALSE())/100,"")</f>
        <v>-0.0285</v>
      </c>
      <c r="Q24" s="10" t="n">
        <f aca="false">IFERROR(VLOOKUP(A24,'Dados-Status-Invest'!$1:$1000,MATCH(Q$1,'Dados-Status-Invest'!$2:$2,0),FALSE())/100,"")</f>
        <v>0.0012</v>
      </c>
      <c r="R24" s="12" t="n">
        <f aca="false">IFERROR(VLOOKUP(A24,'Dados-Status-Invest'!$1:$1000,MATCH(R$1,'Dados-Status-Invest'!$2:$2,0),FALSE()),"")</f>
        <v>4176.33</v>
      </c>
      <c r="S24" s="12" t="n">
        <f aca="false">IFERROR(VLOOKUP(A24,'Dados-Status-Invest'!$1:$1000,MATCH(S$1,'Dados-Status-Invest'!$2:$2,0),FALSE()),"")</f>
        <v>1.91</v>
      </c>
      <c r="T24" s="12" t="n">
        <f aca="false">IFERROR(VLOOKUP(A24,'Dados-Status-Invest'!$1:$1000,MATCH(T$1,'Dados-Status-Invest'!$2:$2,0),FALSE()),"")</f>
        <v>-176.63</v>
      </c>
      <c r="U24" s="12" t="n">
        <f aca="false">IFERROR(VLOOKUP(A24,'Dados-Status-Invest'!$1:$1000,MATCH(U$1,'Dados-Status-Invest'!$2:$2,0),FALSE()),"")</f>
        <v>3.28</v>
      </c>
      <c r="V24" s="12" t="n">
        <f aca="false">IFERROR(VLOOKUP(A24,'Dados-Status-Invest'!$1:$1000,MATCH(V$1,'Dados-Status-Invest'!$2:$2,0),FALSE()),"")</f>
        <v>0</v>
      </c>
      <c r="W24" s="10" t="n">
        <f aca="false">IFERROR(VLOOKUP(A24,'Dados-Status-Invest'!$1:$1000,MATCH(W$1,'Dados-Status-Invest'!$2:$2,0),FALSE())/100,"")</f>
        <v>-0.1142</v>
      </c>
      <c r="X24" s="10" t="n">
        <f aca="false">IFERROR(VLOOKUP(A24,'Dados-Status-Invest'!$1:$1000,MATCH(X$1,'Dados-Status-Invest'!$2:$2,0),FALSE())/100,"")</f>
        <v>0</v>
      </c>
    </row>
    <row r="25" customFormat="false" ht="15.75" hidden="false" customHeight="false" outlineLevel="0" collapsed="false">
      <c r="A25" s="6" t="s">
        <v>50</v>
      </c>
      <c r="B25" s="7" t="str">
        <f aca="false">IFERROR(VLOOKUP(LEFT(A25,4),Setor!A:D,2,FALSE()),"")</f>
        <v>Consumo não Cíclico</v>
      </c>
      <c r="C25" s="8" t="n">
        <f aca="false">IFERROR(__xludf.dummyfunction("IFERROR(IFERROR(GOOGLEFINANCE(A31,""price""),VLOOKUP(A31,'Dados-Status-Invest'!A:B,2,FALSE)),"""")"),0)</f>
        <v>0</v>
      </c>
      <c r="D25" s="8" t="n">
        <f aca="false">IFERROR(VLOOKUP(A25,'Dados-Status-Invest'!$1:$1000,MATCH(D$1,'Dados-Status-Invest'!$2:$2,0),FALSE()),"")</f>
        <v>44442750</v>
      </c>
      <c r="E25" s="8" t="n">
        <f aca="false">IF(D25+H25&gt;0,D25+H25,"")</f>
        <v>74071250</v>
      </c>
      <c r="F25" s="8" t="n">
        <f aca="false">IFERROR(D25/VLOOKUP(A25,'Dados-Status-Invest'!$1:$1000,5,FALSE()),"")</f>
        <v>4444275000</v>
      </c>
      <c r="G25" s="8" t="n">
        <f aca="false">IFERROR(D25/VLOOKUP(A25,'Dados-Status-Invest'!$1:$1000,6,FALSE()),"")</f>
        <v>4444275000</v>
      </c>
      <c r="H25" s="8" t="n">
        <f aca="false">IFERROR(VLOOKUP(A25,'Dados-Status-Invest'!$1:$1000,12,FALSE())*J25,"")</f>
        <v>29628500</v>
      </c>
      <c r="I25" s="8" t="n">
        <f aca="false">IFERROR(D25/VLOOKUP(A25,'Dados-Status-Invest'!$1:$1000,14,FALSE()),"")</f>
        <v>158724107.1</v>
      </c>
      <c r="J25" s="9" t="n">
        <f aca="false">IFERROR(D25/VLOOKUP(A25,'Dados-Status-Invest'!$1:$1000,10,FALSE()),"")</f>
        <v>740712500</v>
      </c>
      <c r="K25" s="10" t="n">
        <f aca="false">IFERROR(VLOOKUP(A25,'Dados-Status-Invest'!$1:$1000,3,FALSE())/100,"")</f>
        <v>0</v>
      </c>
      <c r="L25" s="11" t="n">
        <f aca="false">IFERROR(VLOOKUP(A25,'Dados-Status-Invest'!$1:$1000,MATCH(L$1,'Dados-Status-Invest'!$2:$2,0),FALSE())/100,"")</f>
        <v>0.2023</v>
      </c>
      <c r="M25" s="10" t="n">
        <f aca="false">IFERROR(VLOOKUP(A25,'Dados-Status-Invest'!$1:$1000,MATCH(M$1,'Dados-Status-Invest'!$2:$2,0),FALSE())/100,"")</f>
        <v>0.1085</v>
      </c>
      <c r="N25" s="10" t="n">
        <f aca="false">IFERROR(VLOOKUP(A25,'Dados-Status-Invest'!$1:$1000,MATCH(N$1,'Dados-Status-Invest'!$2:$2,0),FALSE())/100,"")</f>
        <v>0.1969</v>
      </c>
      <c r="O25" s="10" t="n">
        <f aca="false">IFERROR(VLOOKUP(A25,'Dados-Status-Invest'!$1:$1000,MATCH(O$1,'Dados-Status-Invest'!$2:$2,0),FALSE())/100,"")</f>
        <v>0.503</v>
      </c>
      <c r="P25" s="10" t="n">
        <f aca="false">IFERROR(VLOOKUP(A25,'Dados-Status-Invest'!$1:$1000,MATCH(P$1,'Dados-Status-Invest'!$2:$2,0),FALSE())/100,"")</f>
        <v>4.8677</v>
      </c>
      <c r="Q25" s="10" t="n">
        <f aca="false">IFERROR(VLOOKUP(A25,'Dados-Status-Invest'!$1:$1000,MATCH(Q$1,'Dados-Status-Invest'!$2:$2,0),FALSE())/100,"")</f>
        <v>3.9644</v>
      </c>
      <c r="R25" s="12" t="n">
        <f aca="false">IFERROR(VLOOKUP(A25,'Dados-Status-Invest'!$1:$1000,MATCH(R$1,'Dados-Status-Invest'!$2:$2,0),FALSE()),"")</f>
        <v>0.07</v>
      </c>
      <c r="S25" s="12" t="n">
        <f aca="false">IFERROR(VLOOKUP(A25,'Dados-Status-Invest'!$1:$1000,MATCH(S$1,'Dados-Status-Invest'!$2:$2,0),FALSE()),"")</f>
        <v>0.01</v>
      </c>
      <c r="T25" s="12" t="n">
        <f aca="false">IFERROR(VLOOKUP(A25,'Dados-Status-Invest'!$1:$1000,MATCH(T$1,'Dados-Status-Invest'!$2:$2,0),FALSE()),"")</f>
        <v>0.75</v>
      </c>
      <c r="U25" s="12" t="n">
        <f aca="false">IFERROR(VLOOKUP(A25,'Dados-Status-Invest'!$1:$1000,MATCH(U$1,'Dados-Status-Invest'!$2:$2,0),FALSE()),"")</f>
        <v>2.15</v>
      </c>
      <c r="V25" s="12" t="n">
        <f aca="false">IFERROR(VLOOKUP(A25,'Dados-Status-Invest'!$1:$1000,MATCH(V$1,'Dados-Status-Invest'!$2:$2,0),FALSE()),"")</f>
        <v>0.04</v>
      </c>
      <c r="W25" s="10" t="n">
        <f aca="false">IFERROR(VLOOKUP(A25,'Dados-Status-Invest'!$1:$1000,MATCH(W$1,'Dados-Status-Invest'!$2:$2,0),FALSE())/100,"")</f>
        <v>-0.2274</v>
      </c>
      <c r="X25" s="10" t="n">
        <f aca="false">IFERROR(VLOOKUP(A25,'Dados-Status-Invest'!$1:$1000,MATCH(X$1,'Dados-Status-Invest'!$2:$2,0),FALSE())/100,"")</f>
        <v>0.8417</v>
      </c>
    </row>
    <row r="26" customFormat="false" ht="15.75" hidden="false" customHeight="false" outlineLevel="0" collapsed="false">
      <c r="A26" s="6" t="s">
        <v>51</v>
      </c>
      <c r="B26" s="7" t="str">
        <f aca="false">IFERROR(VLOOKUP(LEFT(A26,4),Setor!A:D,2,FALSE()),"")</f>
        <v>Consumo não Cíclico</v>
      </c>
      <c r="C26" s="8" t="n">
        <f aca="false">IFERROR(__xludf.dummyfunction("IFERROR(IFERROR(GOOGLEFINANCE(A32,""price""),VLOOKUP(A32,'Dados-Status-Invest'!A:B,2,FALSE)),"""")"),0)</f>
        <v>0</v>
      </c>
      <c r="D26" s="8" t="n">
        <f aca="false">IFERROR(VLOOKUP(A26,'Dados-Status-Invest'!$1:$1000,MATCH(D$1,'Dados-Status-Invest'!$2:$2,0),FALSE()),"")</f>
        <v>44442750</v>
      </c>
      <c r="E26" s="8" t="n">
        <f aca="false">IF(D26+H26&gt;0,D26+H26,"")</f>
        <v>46168682.039</v>
      </c>
      <c r="F26" s="8" t="n">
        <f aca="false">IFERROR(D26/VLOOKUP(A26,'Dados-Status-Invest'!$1:$1000,5,FALSE()),"")</f>
        <v>170933653.8</v>
      </c>
      <c r="G26" s="8" t="n">
        <f aca="false">IFERROR(D26/VLOOKUP(A26,'Dados-Status-Invest'!$1:$1000,6,FALSE()),"")</f>
        <v>317448214.3</v>
      </c>
      <c r="H26" s="8" t="n">
        <f aca="false">IFERROR(VLOOKUP(A26,'Dados-Status-Invest'!$1:$1000,12,FALSE())*J26,"")</f>
        <v>1725932.039</v>
      </c>
      <c r="I26" s="8" t="n">
        <f aca="false">IFERROR(D26/VLOOKUP(A26,'Dados-Status-Invest'!$1:$1000,14,FALSE()),"")</f>
        <v>8870808.383</v>
      </c>
      <c r="J26" s="9" t="n">
        <f aca="false">IFERROR(D26/VLOOKUP(A26,'Dados-Status-Invest'!$1:$1000,10,FALSE()),"")</f>
        <v>43148300.97</v>
      </c>
      <c r="K26" s="10" t="n">
        <f aca="false">IFERROR(VLOOKUP(A26,'Dados-Status-Invest'!$1:$1000,3,FALSE())/100,"")</f>
        <v>0</v>
      </c>
      <c r="L26" s="11" t="n">
        <f aca="false">IFERROR(VLOOKUP(A26,'Dados-Status-Invest'!$1:$1000,MATCH(L$1,'Dados-Status-Invest'!$2:$2,0),FALSE())/100,"")</f>
        <v>0.2023</v>
      </c>
      <c r="M26" s="10" t="n">
        <f aca="false">IFERROR(VLOOKUP(A26,'Dados-Status-Invest'!$1:$1000,MATCH(M$1,'Dados-Status-Invest'!$2:$2,0),FALSE())/100,"")</f>
        <v>0.1085</v>
      </c>
      <c r="N26" s="10" t="n">
        <f aca="false">IFERROR(VLOOKUP(A26,'Dados-Status-Invest'!$1:$1000,MATCH(N$1,'Dados-Status-Invest'!$2:$2,0),FALSE())/100,"")</f>
        <v>0.1969</v>
      </c>
      <c r="O26" s="10" t="n">
        <f aca="false">IFERROR(VLOOKUP(A26,'Dados-Status-Invest'!$1:$1000,MATCH(O$1,'Dados-Status-Invest'!$2:$2,0),FALSE())/100,"")</f>
        <v>0.503</v>
      </c>
      <c r="P26" s="10" t="n">
        <f aca="false">IFERROR(VLOOKUP(A26,'Dados-Status-Invest'!$1:$1000,MATCH(P$1,'Dados-Status-Invest'!$2:$2,0),FALSE())/100,"")</f>
        <v>4.8677</v>
      </c>
      <c r="Q26" s="10" t="n">
        <f aca="false">IFERROR(VLOOKUP(A26,'Dados-Status-Invest'!$1:$1000,MATCH(Q$1,'Dados-Status-Invest'!$2:$2,0),FALSE())/100,"")</f>
        <v>3.9644</v>
      </c>
      <c r="R26" s="12" t="n">
        <f aca="false">IFERROR(VLOOKUP(A26,'Dados-Status-Invest'!$1:$1000,MATCH(R$1,'Dados-Status-Invest'!$2:$2,0),FALSE()),"")</f>
        <v>1.26</v>
      </c>
      <c r="S26" s="12" t="n">
        <f aca="false">IFERROR(VLOOKUP(A26,'Dados-Status-Invest'!$1:$1000,MATCH(S$1,'Dados-Status-Invest'!$2:$2,0),FALSE()),"")</f>
        <v>0.26</v>
      </c>
      <c r="T26" s="12" t="n">
        <f aca="false">IFERROR(VLOOKUP(A26,'Dados-Status-Invest'!$1:$1000,MATCH(T$1,'Dados-Status-Invest'!$2:$2,0),FALSE()),"")</f>
        <v>0.75</v>
      </c>
      <c r="U26" s="12" t="n">
        <f aca="false">IFERROR(VLOOKUP(A26,'Dados-Status-Invest'!$1:$1000,MATCH(U$1,'Dados-Status-Invest'!$2:$2,0),FALSE()),"")</f>
        <v>2.15</v>
      </c>
      <c r="V26" s="12" t="n">
        <f aca="false">IFERROR(VLOOKUP(A26,'Dados-Status-Invest'!$1:$1000,MATCH(V$1,'Dados-Status-Invest'!$2:$2,0),FALSE()),"")</f>
        <v>0.04</v>
      </c>
      <c r="W26" s="10" t="n">
        <f aca="false">IFERROR(VLOOKUP(A26,'Dados-Status-Invest'!$1:$1000,MATCH(W$1,'Dados-Status-Invest'!$2:$2,0),FALSE())/100,"")</f>
        <v>-0.2274</v>
      </c>
      <c r="X26" s="10" t="n">
        <f aca="false">IFERROR(VLOOKUP(A26,'Dados-Status-Invest'!$1:$1000,MATCH(X$1,'Dados-Status-Invest'!$2:$2,0),FALSE())/100,"")</f>
        <v>0.8417</v>
      </c>
    </row>
    <row r="27" customFormat="false" ht="15.75" hidden="false" customHeight="false" outlineLevel="0" collapsed="false">
      <c r="A27" s="6" t="s">
        <v>52</v>
      </c>
      <c r="B27" s="7" t="str">
        <f aca="false">IFERROR(VLOOKUP(LEFT(A27,4),Setor!A:D,2,FALSE()),"")</f>
        <v>Consumo Cíclico</v>
      </c>
      <c r="C27" s="8" t="n">
        <f aca="false">IFERROR(__xludf.dummyfunction("IFERROR(IFERROR(GOOGLEFINANCE(A33,""price""),VLOOKUP(A33,'Dados-Status-Invest'!A:B,2,FALSE)),"""")"),79.15)</f>
        <v>79.15</v>
      </c>
      <c r="D27" s="8" t="n">
        <f aca="false">IFERROR(VLOOKUP(A27,'Dados-Status-Invest'!$1:$1000,MATCH(D$1,'Dados-Status-Invest'!$2:$2,0),FALSE()),"")</f>
        <v>9455021189</v>
      </c>
      <c r="E27" s="8" t="n">
        <f aca="false">IF(D27+H27&gt;0,D27+H27,"")</f>
        <v>9547927670.82</v>
      </c>
      <c r="F27" s="8" t="n">
        <f aca="false">IFERROR(D27/VLOOKUP(A27,'Dados-Status-Invest'!$1:$1000,5,FALSE()),"")</f>
        <v>1374276336</v>
      </c>
      <c r="G27" s="8" t="n">
        <f aca="false">IFERROR(D27/VLOOKUP(A27,'Dados-Status-Invest'!$1:$1000,6,FALSE()),"")</f>
        <v>2840121.832</v>
      </c>
      <c r="H27" s="8" t="n">
        <f aca="false">IFERROR(VLOOKUP(A27,'Dados-Status-Invest'!$1:$1000,12,FALSE())*J27,"")</f>
        <v>92906481.82</v>
      </c>
      <c r="I27" s="8" t="n">
        <f aca="false">IFERROR(D27/VLOOKUP(A27,'Dados-Status-Invest'!$1:$1000,14,FALSE()),"")</f>
        <v>1719094762</v>
      </c>
      <c r="J27" s="9" t="n">
        <f aca="false">IFERROR(D27/VLOOKUP(A27,'Dados-Status-Invest'!$1:$1000,10,FALSE()),"")</f>
        <v>89333155.6</v>
      </c>
      <c r="K27" s="10" t="n">
        <f aca="false">IFERROR(VLOOKUP(A27,'Dados-Status-Invest'!$1:$1000,3,FALSE())/100,"")</f>
        <v>0.0059</v>
      </c>
      <c r="L27" s="11" t="n">
        <f aca="false">IFERROR(VLOOKUP(A27,'Dados-Status-Invest'!$1:$1000,MATCH(L$1,'Dados-Status-Invest'!$2:$2,0),FALSE())/100,"")</f>
        <v>0.0383</v>
      </c>
      <c r="M27" s="10" t="n">
        <f aca="false">IFERROR(VLOOKUP(A27,'Dados-Status-Invest'!$1:$1000,MATCH(M$1,'Dados-Status-Invest'!$2:$2,0),FALSE())/100,"")</f>
        <v>18.5045</v>
      </c>
      <c r="N27" s="10" t="n">
        <f aca="false">IFERROR(VLOOKUP(A27,'Dados-Status-Invest'!$1:$1000,MATCH(N$1,'Dados-Status-Invest'!$2:$2,0),FALSE())/100,"")</f>
        <v>0.0396</v>
      </c>
      <c r="O27" s="10" t="n">
        <f aca="false">IFERROR(VLOOKUP(A27,'Dados-Status-Invest'!$1:$1000,MATCH(O$1,'Dados-Status-Invest'!$2:$2,0),FALSE())/100,"")</f>
        <v>0.4854</v>
      </c>
      <c r="P27" s="10" t="n">
        <f aca="false">IFERROR(VLOOKUP(A27,'Dados-Status-Invest'!$1:$1000,MATCH(P$1,'Dados-Status-Invest'!$2:$2,0),FALSE())/100,"")</f>
        <v>0.052</v>
      </c>
      <c r="Q27" s="10" t="n">
        <f aca="false">IFERROR(VLOOKUP(A27,'Dados-Status-Invest'!$1:$1000,MATCH(Q$1,'Dados-Status-Invest'!$2:$2,0),FALSE())/100,"")</f>
        <v>0.0306</v>
      </c>
      <c r="R27" s="12" t="n">
        <f aca="false">IFERROR(VLOOKUP(A27,'Dados-Status-Invest'!$1:$1000,MATCH(R$1,'Dados-Status-Invest'!$2:$2,0),FALSE()),"")</f>
        <v>179.91</v>
      </c>
      <c r="S27" s="12" t="n">
        <f aca="false">IFERROR(VLOOKUP(A27,'Dados-Status-Invest'!$1:$1000,MATCH(S$1,'Dados-Status-Invest'!$2:$2,0),FALSE()),"")</f>
        <v>6.88</v>
      </c>
      <c r="T27" s="12" t="n">
        <f aca="false">IFERROR(VLOOKUP(A27,'Dados-Status-Invest'!$1:$1000,MATCH(T$1,'Dados-Status-Invest'!$2:$2,0),FALSE()),"")</f>
        <v>107.05</v>
      </c>
      <c r="U27" s="12" t="n">
        <f aca="false">IFERROR(VLOOKUP(A27,'Dados-Status-Invest'!$1:$1000,MATCH(U$1,'Dados-Status-Invest'!$2:$2,0),FALSE()),"")</f>
        <v>1.55</v>
      </c>
      <c r="V27" s="12" t="n">
        <f aca="false">IFERROR(VLOOKUP(A27,'Dados-Status-Invest'!$1:$1000,MATCH(V$1,'Dados-Status-Invest'!$2:$2,0),FALSE()),"")</f>
        <v>1.04</v>
      </c>
      <c r="W27" s="10" t="n">
        <f aca="false">IFERROR(VLOOKUP(A27,'Dados-Status-Invest'!$1:$1000,MATCH(W$1,'Dados-Status-Invest'!$2:$2,0),FALSE())/100,"")</f>
        <v>0.0726</v>
      </c>
      <c r="X27" s="10" t="n">
        <f aca="false">IFERROR(VLOOKUP(A27,'Dados-Status-Invest'!$1:$1000,MATCH(X$1,'Dados-Status-Invest'!$2:$2,0),FALSE())/100,"")</f>
        <v>-0.165</v>
      </c>
    </row>
    <row r="28" customFormat="false" ht="15.75" hidden="false" customHeight="false" outlineLevel="0" collapsed="false">
      <c r="A28" s="6" t="s">
        <v>53</v>
      </c>
      <c r="B28" s="7" t="s">
        <v>54</v>
      </c>
      <c r="C28" s="8" t="n">
        <f aca="false">IFERROR(__xludf.dummyfunction("IFERROR(IFERROR(GOOGLEFINANCE(A34,""price""),VLOOKUP(A34,'Dados-Status-Invest'!A:B,2,FALSE)),"""")"),15.63)</f>
        <v>15.63</v>
      </c>
      <c r="D28" s="8" t="n">
        <f aca="false">IFERROR(VLOOKUP(A28,'Dados-Status-Invest'!$1:$1000,MATCH(D$1,'Dados-Status-Invest'!$2:$2,0),FALSE()),"")</f>
        <v>22995957955</v>
      </c>
      <c r="E28" s="8" t="n">
        <f aca="false">IF(D28+H28&gt;0,D28+H28,"")</f>
        <v>27790241608</v>
      </c>
      <c r="F28" s="8" t="n">
        <f aca="false">IFERROR(D28/VLOOKUP(A28,'Dados-Status-Invest'!$1:$1000,5,FALSE()),"")</f>
        <v>1584835145</v>
      </c>
      <c r="G28" s="8" t="n">
        <f aca="false">IFERROR(D28/VLOOKUP(A28,'Dados-Status-Invest'!$1:$1000,6,FALSE()),"")</f>
        <v>17554166378</v>
      </c>
      <c r="H28" s="8" t="n">
        <f aca="false">IFERROR(VLOOKUP(A28,'Dados-Status-Invest'!$1:$1000,12,FALSE())*J28,"")</f>
        <v>4794283653</v>
      </c>
      <c r="I28" s="8" t="n">
        <f aca="false">IFERROR(D28/VLOOKUP(A28,'Dados-Status-Invest'!$1:$1000,14,FALSE()),"")</f>
        <v>38976199924</v>
      </c>
      <c r="J28" s="9" t="n">
        <f aca="false">IFERROR(D28/VLOOKUP(A28,'Dados-Status-Invest'!$1:$1000,10,FALSE()),"")</f>
        <v>2075447469</v>
      </c>
      <c r="K28" s="10" t="n">
        <f aca="false">IFERROR(VLOOKUP(A28,'Dados-Status-Invest'!$1:$1000,3,FALSE())/100,"")</f>
        <v>0.0037</v>
      </c>
      <c r="L28" s="11" t="n">
        <f aca="false">IFERROR(VLOOKUP(A28,'Dados-Status-Invest'!$1:$1000,MATCH(L$1,'Dados-Status-Invest'!$2:$2,0),FALSE())/100,"")</f>
        <v>0.744</v>
      </c>
      <c r="M28" s="10" t="n">
        <f aca="false">IFERROR(VLOOKUP(A28,'Dados-Status-Invest'!$1:$1000,MATCH(M$1,'Dados-Status-Invest'!$2:$2,0),FALSE())/100,"")</f>
        <v>0.0672</v>
      </c>
      <c r="N28" s="10" t="n">
        <f aca="false">IFERROR(VLOOKUP(A28,'Dados-Status-Invest'!$1:$1000,MATCH(N$1,'Dados-Status-Invest'!$2:$2,0),FALSE())/100,"")</f>
        <v>0.1834</v>
      </c>
      <c r="O28" s="10" t="n">
        <f aca="false">IFERROR(VLOOKUP(A28,'Dados-Status-Invest'!$1:$1000,MATCH(O$1,'Dados-Status-Invest'!$2:$2,0),FALSE())/100,"")</f>
        <v>0.1764</v>
      </c>
      <c r="P28" s="10" t="n">
        <f aca="false">IFERROR(VLOOKUP(A28,'Dados-Status-Invest'!$1:$1000,MATCH(P$1,'Dados-Status-Invest'!$2:$2,0),FALSE())/100,"")</f>
        <v>0.0534</v>
      </c>
      <c r="Q28" s="10" t="n">
        <f aca="false">IFERROR(VLOOKUP(A28,'Dados-Status-Invest'!$1:$1000,MATCH(Q$1,'Dados-Status-Invest'!$2:$2,0),FALSE())/100,"")</f>
        <v>0.0303</v>
      </c>
      <c r="R28" s="12" t="n">
        <f aca="false">IFERROR(VLOOKUP(A28,'Dados-Status-Invest'!$1:$1000,MATCH(R$1,'Dados-Status-Invest'!$2:$2,0),FALSE()),"")</f>
        <v>19.5</v>
      </c>
      <c r="S28" s="12" t="n">
        <f aca="false">IFERROR(VLOOKUP(A28,'Dados-Status-Invest'!$1:$1000,MATCH(S$1,'Dados-Status-Invest'!$2:$2,0),FALSE()),"")</f>
        <v>14.51</v>
      </c>
      <c r="T28" s="12" t="n">
        <f aca="false">IFERROR(VLOOKUP(A28,'Dados-Status-Invest'!$1:$1000,MATCH(T$1,'Dados-Status-Invest'!$2:$2,0),FALSE()),"")</f>
        <v>13.35</v>
      </c>
      <c r="U28" s="12" t="n">
        <f aca="false">IFERROR(VLOOKUP(A28,'Dados-Status-Invest'!$1:$1000,MATCH(U$1,'Dados-Status-Invest'!$2:$2,0),FALSE()),"")</f>
        <v>0.98</v>
      </c>
      <c r="V28" s="12" t="n">
        <f aca="false">IFERROR(VLOOKUP(A28,'Dados-Status-Invest'!$1:$1000,MATCH(V$1,'Dados-Status-Invest'!$2:$2,0),FALSE()),"")</f>
        <v>2.31</v>
      </c>
      <c r="W28" s="10" t="n">
        <f aca="false">IFERROR(VLOOKUP(A28,'Dados-Status-Invest'!$1:$1000,MATCH(W$1,'Dados-Status-Invest'!$2:$2,0),FALSE())/100,"")</f>
        <v>0</v>
      </c>
      <c r="X28" s="10" t="n">
        <f aca="false">IFERROR(VLOOKUP(A28,'Dados-Status-Invest'!$1:$1000,MATCH(X$1,'Dados-Status-Invest'!$2:$2,0),FALSE())/100,"")</f>
        <v>0</v>
      </c>
    </row>
    <row r="29" customFormat="false" ht="15.75" hidden="false" customHeight="false" outlineLevel="0" collapsed="false">
      <c r="A29" s="6" t="s">
        <v>55</v>
      </c>
      <c r="B29" s="7" t="str">
        <f aca="false">IFERROR(VLOOKUP(LEFT(A29,4),Setor!A:D,2,FALSE()),"")</f>
        <v>Bens Industriais</v>
      </c>
      <c r="C29" s="8" t="n">
        <f aca="false">IFERROR(__xludf.dummyfunction("IFERROR(IFERROR(GOOGLEFINANCE(A35,""price""),VLOOKUP(A35,'Dados-Status-Invest'!A:B,2,FALSE)),"""")"),1.97)</f>
        <v>1.97</v>
      </c>
      <c r="D29" s="8" t="n">
        <f aca="false">IFERROR(VLOOKUP(A29,'Dados-Status-Invest'!$1:$1000,MATCH(D$1,'Dados-Status-Invest'!$2:$2,0),FALSE()),"")</f>
        <v>220657379.8</v>
      </c>
      <c r="E29" s="8" t="n">
        <f aca="false">IF(D29+H29&gt;0,D29+H29,"")</f>
        <v>497256067.1</v>
      </c>
      <c r="F29" s="8" t="n">
        <f aca="false">IFERROR(D29/VLOOKUP(A29,'Dados-Status-Invest'!$1:$1000,5,FALSE()),"")</f>
        <v>135372625.6</v>
      </c>
      <c r="G29" s="8" t="n">
        <f aca="false">IFERROR(D29/VLOOKUP(A29,'Dados-Status-Invest'!$1:$1000,6,FALSE()),"")</f>
        <v>1838811498</v>
      </c>
      <c r="H29" s="8" t="n">
        <f aca="false">IFERROR(VLOOKUP(A29,'Dados-Status-Invest'!$1:$1000,12,FALSE())*J29,"")</f>
        <v>276598687.3</v>
      </c>
      <c r="I29" s="8" t="n">
        <f aca="false">IFERROR(D29/VLOOKUP(A29,'Dados-Status-Invest'!$1:$1000,14,FALSE()),"")</f>
        <v>1002988090</v>
      </c>
      <c r="J29" s="9" t="n">
        <f aca="false">IFERROR(D29/VLOOKUP(A29,'Dados-Status-Invest'!$1:$1000,10,FALSE()),"")</f>
        <v>-103595014</v>
      </c>
      <c r="K29" s="10" t="n">
        <f aca="false">IFERROR(VLOOKUP(A29,'Dados-Status-Invest'!$1:$1000,3,FALSE())/100,"")</f>
        <v>0</v>
      </c>
      <c r="L29" s="11" t="n">
        <f aca="false">IFERROR(VLOOKUP(A29,'Dados-Status-Invest'!$1:$1000,MATCH(L$1,'Dados-Status-Invest'!$2:$2,0),FALSE())/100,"")</f>
        <v>-1.2221</v>
      </c>
      <c r="M29" s="10" t="n">
        <f aca="false">IFERROR(VLOOKUP(A29,'Dados-Status-Invest'!$1:$1000,MATCH(M$1,'Dados-Status-Invest'!$2:$2,0),FALSE())/100,"")</f>
        <v>-0.0916</v>
      </c>
      <c r="N29" s="10" t="n">
        <f aca="false">IFERROR(VLOOKUP(A29,'Dados-Status-Invest'!$1:$1000,MATCH(N$1,'Dados-Status-Invest'!$2:$2,0),FALSE())/100,"")</f>
        <v>-0.2994</v>
      </c>
      <c r="O29" s="10" t="n">
        <f aca="false">IFERROR(VLOOKUP(A29,'Dados-Status-Invest'!$1:$1000,MATCH(O$1,'Dados-Status-Invest'!$2:$2,0),FALSE())/100,"")</f>
        <v>0.0549</v>
      </c>
      <c r="P29" s="10" t="n">
        <f aca="false">IFERROR(VLOOKUP(A29,'Dados-Status-Invest'!$1:$1000,MATCH(P$1,'Dados-Status-Invest'!$2:$2,0),FALSE())/100,"")</f>
        <v>-0.1047</v>
      </c>
      <c r="Q29" s="10" t="n">
        <f aca="false">IFERROR(VLOOKUP(A29,'Dados-Status-Invest'!$1:$1000,MATCH(Q$1,'Dados-Status-Invest'!$2:$2,0),FALSE())/100,"")</f>
        <v>-0.1668</v>
      </c>
      <c r="R29" s="12" t="n">
        <f aca="false">IFERROR(VLOOKUP(A29,'Dados-Status-Invest'!$1:$1000,MATCH(R$1,'Dados-Status-Invest'!$2:$2,0),FALSE()),"")</f>
        <v>-1.34</v>
      </c>
      <c r="S29" s="12" t="n">
        <f aca="false">IFERROR(VLOOKUP(A29,'Dados-Status-Invest'!$1:$1000,MATCH(S$1,'Dados-Status-Invest'!$2:$2,0),FALSE()),"")</f>
        <v>1.63</v>
      </c>
      <c r="T29" s="12" t="n">
        <f aca="false">IFERROR(VLOOKUP(A29,'Dados-Status-Invest'!$1:$1000,MATCH(T$1,'Dados-Status-Invest'!$2:$2,0),FALSE()),"")</f>
        <v>-4.84</v>
      </c>
      <c r="U29" s="12" t="n">
        <f aca="false">IFERROR(VLOOKUP(A29,'Dados-Status-Invest'!$1:$1000,MATCH(U$1,'Dados-Status-Invest'!$2:$2,0),FALSE()),"")</f>
        <v>0.48</v>
      </c>
      <c r="V29" s="12" t="n">
        <f aca="false">IFERROR(VLOOKUP(A29,'Dados-Status-Invest'!$1:$1000,MATCH(V$1,'Dados-Status-Invest'!$2:$2,0),FALSE()),"")</f>
        <v>-2.67</v>
      </c>
      <c r="W29" s="10" t="n">
        <f aca="false">IFERROR(VLOOKUP(A29,'Dados-Status-Invest'!$1:$1000,MATCH(W$1,'Dados-Status-Invest'!$2:$2,0),FALSE())/100,"")</f>
        <v>-0.1698</v>
      </c>
      <c r="X29" s="10" t="n">
        <f aca="false">IFERROR(VLOOKUP(A29,'Dados-Status-Invest'!$1:$1000,MATCH(X$1,'Dados-Status-Invest'!$2:$2,0),FALSE())/100,"")</f>
        <v>0</v>
      </c>
    </row>
    <row r="30" customFormat="false" ht="15.75" hidden="false" customHeight="false" outlineLevel="0" collapsed="false">
      <c r="A30" s="6" t="s">
        <v>56</v>
      </c>
      <c r="B30" s="7" t="str">
        <f aca="false">IFERROR(VLOOKUP(LEFT(A30,4),Setor!A:D,2,FALSE()),"")</f>
        <v>Outros</v>
      </c>
      <c r="C30" s="8" t="n">
        <f aca="false">IFERROR(__xludf.dummyfunction("IFERROR(IFERROR(GOOGLEFINANCE(A36,""price""),VLOOKUP(A36,'Dados-Status-Invest'!A:B,2,FALSE)),"""")"),2.66)</f>
        <v>2.66</v>
      </c>
      <c r="D30" s="8" t="n">
        <f aca="false">IFERROR(VLOOKUP(A30,'Dados-Status-Invest'!$1:$1000,MATCH(D$1,'Dados-Status-Invest'!$2:$2,0),FALSE()),"")</f>
        <v>164684072.7</v>
      </c>
      <c r="E30" s="8" t="n">
        <f aca="false">IF(D30+H30&gt;0,D30+H30,"")</f>
        <v>150324346.01</v>
      </c>
      <c r="F30" s="8" t="n">
        <f aca="false">IFERROR(D30/VLOOKUP(A30,'Dados-Status-Invest'!$1:$1000,5,FALSE()),"")</f>
        <v>15580328.54</v>
      </c>
      <c r="G30" s="8" t="n">
        <f aca="false">IFERROR(D30/VLOOKUP(A30,'Dados-Status-Invest'!$1:$1000,6,FALSE()),"")</f>
        <v>32164857.95</v>
      </c>
      <c r="H30" s="8" t="n">
        <f aca="false">IFERROR(VLOOKUP(A30,'Dados-Status-Invest'!$1:$1000,12,FALSE())*J30,"")</f>
        <v>-14359726.69</v>
      </c>
      <c r="I30" s="8" t="n">
        <f aca="false">IFERROR(D30/VLOOKUP(A30,'Dados-Status-Invest'!$1:$1000,14,FALSE()),"")</f>
        <v>36596460.6</v>
      </c>
      <c r="J30" s="9" t="n">
        <f aca="false">IFERROR(D30/VLOOKUP(A30,'Dados-Status-Invest'!$1:$1000,10,FALSE()),"")</f>
        <v>12936690.71</v>
      </c>
      <c r="K30" s="10" t="n">
        <f aca="false">IFERROR(VLOOKUP(A30,'Dados-Status-Invest'!$1:$1000,3,FALSE())/100,"")</f>
        <v>0.0383</v>
      </c>
      <c r="L30" s="11" t="n">
        <f aca="false">IFERROR(VLOOKUP(A30,'Dados-Status-Invest'!$1:$1000,MATCH(L$1,'Dados-Status-Invest'!$2:$2,0),FALSE())/100,"")</f>
        <v>0.8341</v>
      </c>
      <c r="M30" s="10" t="n">
        <f aca="false">IFERROR(VLOOKUP(A30,'Dados-Status-Invest'!$1:$1000,MATCH(M$1,'Dados-Status-Invest'!$2:$2,0),FALSE())/100,"")</f>
        <v>0.4042</v>
      </c>
      <c r="N30" s="10" t="n">
        <f aca="false">IFERROR(VLOOKUP(A30,'Dados-Status-Invest'!$1:$1000,MATCH(N$1,'Dados-Status-Invest'!$2:$2,0),FALSE())/100,"")</f>
        <v>0.7892</v>
      </c>
      <c r="O30" s="10" t="n">
        <f aca="false">IFERROR(VLOOKUP(A30,'Dados-Status-Invest'!$1:$1000,MATCH(O$1,'Dados-Status-Invest'!$2:$2,0),FALSE())/100,"")</f>
        <v>1</v>
      </c>
      <c r="P30" s="10" t="n">
        <f aca="false">IFERROR(VLOOKUP(A30,'Dados-Status-Invest'!$1:$1000,MATCH(P$1,'Dados-Status-Invest'!$2:$2,0),FALSE())/100,"")</f>
        <v>0.3535</v>
      </c>
      <c r="Q30" s="10" t="n">
        <f aca="false">IFERROR(VLOOKUP(A30,'Dados-Status-Invest'!$1:$1000,MATCH(Q$1,'Dados-Status-Invest'!$2:$2,0),FALSE())/100,"")</f>
        <v>0.355</v>
      </c>
      <c r="R30" s="12" t="n">
        <f aca="false">IFERROR(VLOOKUP(A30,'Dados-Status-Invest'!$1:$1000,MATCH(R$1,'Dados-Status-Invest'!$2:$2,0),FALSE()),"")</f>
        <v>12.67</v>
      </c>
      <c r="S30" s="12" t="n">
        <f aca="false">IFERROR(VLOOKUP(A30,'Dados-Status-Invest'!$1:$1000,MATCH(S$1,'Dados-Status-Invest'!$2:$2,0),FALSE()),"")</f>
        <v>10.57</v>
      </c>
      <c r="T30" s="12" t="n">
        <f aca="false">IFERROR(VLOOKUP(A30,'Dados-Status-Invest'!$1:$1000,MATCH(T$1,'Dados-Status-Invest'!$2:$2,0),FALSE()),"")</f>
        <v>11.68</v>
      </c>
      <c r="U30" s="12" t="n">
        <f aca="false">IFERROR(VLOOKUP(A30,'Dados-Status-Invest'!$1:$1000,MATCH(U$1,'Dados-Status-Invest'!$2:$2,0),FALSE()),"")</f>
        <v>4.12</v>
      </c>
      <c r="V30" s="12" t="n">
        <f aca="false">IFERROR(VLOOKUP(A30,'Dados-Status-Invest'!$1:$1000,MATCH(V$1,'Dados-Status-Invest'!$2:$2,0),FALSE()),"")</f>
        <v>-1.11</v>
      </c>
      <c r="W30" s="10" t="n">
        <f aca="false">IFERROR(VLOOKUP(A30,'Dados-Status-Invest'!$1:$1000,MATCH(W$1,'Dados-Status-Invest'!$2:$2,0),FALSE())/100,"")</f>
        <v>0</v>
      </c>
      <c r="X30" s="10" t="n">
        <f aca="false">IFERROR(VLOOKUP(A30,'Dados-Status-Invest'!$1:$1000,MATCH(X$1,'Dados-Status-Invest'!$2:$2,0),FALSE())/100,"")</f>
        <v>0</v>
      </c>
    </row>
    <row r="31" customFormat="false" ht="15.75" hidden="false" customHeight="false" outlineLevel="0" collapsed="false">
      <c r="A31" s="6" t="s">
        <v>57</v>
      </c>
      <c r="B31" s="7" t="s">
        <v>58</v>
      </c>
      <c r="C31" s="8" t="n">
        <f aca="false">IFERROR(__xludf.dummyfunction("IFERROR(IFERROR(GOOGLEFINANCE(A37,""price""),VLOOKUP(A37,'Dados-Status-Invest'!A:B,2,FALSE)),"""")"),37.23)</f>
        <v>37.23</v>
      </c>
      <c r="D31" s="8" t="n">
        <f aca="false">IFERROR(VLOOKUP(A31,'Dados-Status-Invest'!$1:$1000,MATCH(D$1,'Dados-Status-Invest'!$2:$2,0),FALSE()),"")</f>
        <v>4667587511</v>
      </c>
      <c r="E31" s="8" t="n">
        <f aca="false">IF(D31+H31&gt;0,D31+H31,"")</f>
        <v>4317836403.2</v>
      </c>
      <c r="F31" s="8" t="n">
        <f aca="false">IFERROR(D31/VLOOKUP(A31,'Dados-Status-Invest'!$1:$1000,5,FALSE()),"")</f>
        <v>1530356561</v>
      </c>
      <c r="G31" s="8" t="n">
        <f aca="false">IFERROR(D31/VLOOKUP(A31,'Dados-Status-Invest'!$1:$1000,6,FALSE()),"")</f>
        <v>3241380216</v>
      </c>
      <c r="H31" s="8" t="n">
        <f aca="false">IFERROR(VLOOKUP(A31,'Dados-Status-Invest'!$1:$1000,12,FALSE())*J31,"")</f>
        <v>-349751107.8</v>
      </c>
      <c r="I31" s="8" t="n">
        <f aca="false">IFERROR(D31/VLOOKUP(A31,'Dados-Status-Invest'!$1:$1000,14,FALSE()),"")</f>
        <v>1986207451</v>
      </c>
      <c r="J31" s="9" t="n">
        <f aca="false">IFERROR(D31/VLOOKUP(A31,'Dados-Status-Invest'!$1:$1000,10,FALSE()),"")</f>
        <v>635911105</v>
      </c>
      <c r="K31" s="10" t="n">
        <f aca="false">IFERROR(VLOOKUP(A31,'Dados-Status-Invest'!$1:$1000,3,FALSE())/100,"")</f>
        <v>0.0696</v>
      </c>
      <c r="L31" s="11" t="n">
        <f aca="false">IFERROR(VLOOKUP(A31,'Dados-Status-Invest'!$1:$1000,MATCH(L$1,'Dados-Status-Invest'!$2:$2,0),FALSE())/100,"")</f>
        <v>0.3529</v>
      </c>
      <c r="M31" s="10" t="n">
        <f aca="false">IFERROR(VLOOKUP(A31,'Dados-Status-Invest'!$1:$1000,MATCH(M$1,'Dados-Status-Invest'!$2:$2,0),FALSE())/100,"")</f>
        <v>0.1669</v>
      </c>
      <c r="N31" s="10" t="n">
        <f aca="false">IFERROR(VLOOKUP(A31,'Dados-Status-Invest'!$1:$1000,MATCH(N$1,'Dados-Status-Invest'!$2:$2,0),FALSE())/100,"")</f>
        <v>0.278</v>
      </c>
      <c r="O31" s="10" t="n">
        <f aca="false">IFERROR(VLOOKUP(A31,'Dados-Status-Invest'!$1:$1000,MATCH(O$1,'Dados-Status-Invest'!$2:$2,0),FALSE())/100,"")</f>
        <v>0.4523</v>
      </c>
      <c r="P31" s="10" t="n">
        <f aca="false">IFERROR(VLOOKUP(A31,'Dados-Status-Invest'!$1:$1000,MATCH(P$1,'Dados-Status-Invest'!$2:$2,0),FALSE())/100,"")</f>
        <v>0.3196</v>
      </c>
      <c r="Q31" s="10" t="n">
        <f aca="false">IFERROR(VLOOKUP(A31,'Dados-Status-Invest'!$1:$1000,MATCH(Q$1,'Dados-Status-Invest'!$2:$2,0),FALSE())/100,"")</f>
        <v>0.2716</v>
      </c>
      <c r="R31" s="12" t="n">
        <f aca="false">IFERROR(VLOOKUP(A31,'Dados-Status-Invest'!$1:$1000,MATCH(R$1,'Dados-Status-Invest'!$2:$2,0),FALSE()),"")</f>
        <v>8.64</v>
      </c>
      <c r="S31" s="12" t="n">
        <f aca="false">IFERROR(VLOOKUP(A31,'Dados-Status-Invest'!$1:$1000,MATCH(S$1,'Dados-Status-Invest'!$2:$2,0),FALSE()),"")</f>
        <v>3.05</v>
      </c>
      <c r="T31" s="12" t="n">
        <f aca="false">IFERROR(VLOOKUP(A31,'Dados-Status-Invest'!$1:$1000,MATCH(T$1,'Dados-Status-Invest'!$2:$2,0),FALSE()),"")</f>
        <v>6.79</v>
      </c>
      <c r="U31" s="12" t="n">
        <f aca="false">IFERROR(VLOOKUP(A31,'Dados-Status-Invest'!$1:$1000,MATCH(U$1,'Dados-Status-Invest'!$2:$2,0),FALSE()),"")</f>
        <v>1.36</v>
      </c>
      <c r="V31" s="12" t="n">
        <f aca="false">IFERROR(VLOOKUP(A31,'Dados-Status-Invest'!$1:$1000,MATCH(V$1,'Dados-Status-Invest'!$2:$2,0),FALSE()),"")</f>
        <v>-0.55</v>
      </c>
      <c r="W31" s="10" t="n">
        <f aca="false">IFERROR(VLOOKUP(A31,'Dados-Status-Invest'!$1:$1000,MATCH(W$1,'Dados-Status-Invest'!$2:$2,0),FALSE())/100,"")</f>
        <v>0</v>
      </c>
      <c r="X31" s="10" t="n">
        <f aca="false">IFERROR(VLOOKUP(A31,'Dados-Status-Invest'!$1:$1000,MATCH(X$1,'Dados-Status-Invest'!$2:$2,0),FALSE())/100,"")</f>
        <v>0</v>
      </c>
    </row>
    <row r="32" customFormat="false" ht="15.75" hidden="false" customHeight="false" outlineLevel="0" collapsed="false">
      <c r="A32" s="6" t="s">
        <v>59</v>
      </c>
      <c r="B32" s="7" t="s">
        <v>38</v>
      </c>
      <c r="C32" s="8" t="n">
        <f aca="false">IFERROR(__xludf.dummyfunction("IFERROR(IFERROR(GOOGLEFINANCE(A38,""price""),VLOOKUP(A38,'Dados-Status-Invest'!A:B,2,FALSE)),"""")"),18)</f>
        <v>18</v>
      </c>
      <c r="D32" s="8" t="n">
        <f aca="false">IFERROR(VLOOKUP(A32,'Dados-Status-Invest'!$1:$1000,MATCH(D$1,'Dados-Status-Invest'!$2:$2,0),FALSE()),"")</f>
        <v>544703794.2</v>
      </c>
      <c r="E32" s="8" t="n">
        <f aca="false">IF(D32+H32&gt;0,D32+H32,"")</f>
        <v>1228253653.6</v>
      </c>
      <c r="F32" s="8" t="n">
        <f aca="false">IFERROR(D32/VLOOKUP(A32,'Dados-Status-Invest'!$1:$1000,5,FALSE()),"")</f>
        <v>324228448.9</v>
      </c>
      <c r="G32" s="8" t="n">
        <f aca="false">IFERROR(D32/VLOOKUP(A32,'Dados-Status-Invest'!$1:$1000,6,FALSE()),"")</f>
        <v>2269599143</v>
      </c>
      <c r="H32" s="8" t="n">
        <f aca="false">IFERROR(VLOOKUP(A32,'Dados-Status-Invest'!$1:$1000,12,FALSE())*J32,"")</f>
        <v>683549859.4</v>
      </c>
      <c r="I32" s="8" t="n">
        <f aca="false">IFERROR(D32/VLOOKUP(A32,'Dados-Status-Invest'!$1:$1000,14,FALSE()),"")</f>
        <v>260623825</v>
      </c>
      <c r="J32" s="9" t="n">
        <f aca="false">IFERROR(D32/VLOOKUP(A32,'Dados-Status-Invest'!$1:$1000,10,FALSE()),"")</f>
        <v>-267011663.8</v>
      </c>
      <c r="K32" s="10" t="n">
        <f aca="false">IFERROR(VLOOKUP(A32,'Dados-Status-Invest'!$1:$1000,3,FALSE())/100,"")</f>
        <v>0</v>
      </c>
      <c r="L32" s="11" t="n">
        <f aca="false">IFERROR(VLOOKUP(A32,'Dados-Status-Invest'!$1:$1000,MATCH(L$1,'Dados-Status-Invest'!$2:$2,0),FALSE())/100,"")</f>
        <v>-1.0129</v>
      </c>
      <c r="M32" s="10" t="n">
        <f aca="false">IFERROR(VLOOKUP(A32,'Dados-Status-Invest'!$1:$1000,MATCH(M$1,'Dados-Status-Invest'!$2:$2,0),FALSE())/100,"")</f>
        <v>-0.1469</v>
      </c>
      <c r="N32" s="10" t="n">
        <f aca="false">IFERROR(VLOOKUP(A32,'Dados-Status-Invest'!$1:$1000,MATCH(N$1,'Dados-Status-Invest'!$2:$2,0),FALSE())/100,"")</f>
        <v>-0.2092</v>
      </c>
      <c r="O32" s="10" t="n">
        <f aca="false">IFERROR(VLOOKUP(A32,'Dados-Status-Invest'!$1:$1000,MATCH(O$1,'Dados-Status-Invest'!$2:$2,0),FALSE())/100,"")</f>
        <v>-0.1248</v>
      </c>
      <c r="P32" s="10" t="n">
        <f aca="false">IFERROR(VLOOKUP(A32,'Dados-Status-Invest'!$1:$1000,MATCH(P$1,'Dados-Status-Invest'!$2:$2,0),FALSE())/100,"")</f>
        <v>-1.0243</v>
      </c>
      <c r="Q32" s="10" t="n">
        <f aca="false">IFERROR(VLOOKUP(A32,'Dados-Status-Invest'!$1:$1000,MATCH(Q$1,'Dados-Status-Invest'!$2:$2,0),FALSE())/100,"")</f>
        <v>-1.2607</v>
      </c>
      <c r="R32" s="12" t="n">
        <f aca="false">IFERROR(VLOOKUP(A32,'Dados-Status-Invest'!$1:$1000,MATCH(R$1,'Dados-Status-Invest'!$2:$2,0),FALSE()),"")</f>
        <v>-1.66</v>
      </c>
      <c r="S32" s="12" t="n">
        <f aca="false">IFERROR(VLOOKUP(A32,'Dados-Status-Invest'!$1:$1000,MATCH(S$1,'Dados-Status-Invest'!$2:$2,0),FALSE()),"")</f>
        <v>1.68</v>
      </c>
      <c r="T32" s="12" t="n">
        <f aca="false">IFERROR(VLOOKUP(A32,'Dados-Status-Invest'!$1:$1000,MATCH(T$1,'Dados-Status-Invest'!$2:$2,0),FALSE()),"")</f>
        <v>-4.6</v>
      </c>
      <c r="U32" s="12" t="n">
        <f aca="false">IFERROR(VLOOKUP(A32,'Dados-Status-Invest'!$1:$1000,MATCH(U$1,'Dados-Status-Invest'!$2:$2,0),FALSE()),"")</f>
        <v>1.31</v>
      </c>
      <c r="V32" s="12" t="n">
        <f aca="false">IFERROR(VLOOKUP(A32,'Dados-Status-Invest'!$1:$1000,MATCH(V$1,'Dados-Status-Invest'!$2:$2,0),FALSE()),"")</f>
        <v>-2.56</v>
      </c>
      <c r="W32" s="10" t="n">
        <f aca="false">IFERROR(VLOOKUP(A32,'Dados-Status-Invest'!$1:$1000,MATCH(W$1,'Dados-Status-Invest'!$2:$2,0),FALSE())/100,"")</f>
        <v>0</v>
      </c>
      <c r="X32" s="10" t="n">
        <f aca="false">IFERROR(VLOOKUP(A32,'Dados-Status-Invest'!$1:$1000,MATCH(X$1,'Dados-Status-Invest'!$2:$2,0),FALSE())/100,"")</f>
        <v>0</v>
      </c>
    </row>
    <row r="33" customFormat="false" ht="15.75" hidden="false" customHeight="false" outlineLevel="0" collapsed="false">
      <c r="A33" s="6" t="s">
        <v>60</v>
      </c>
      <c r="B33" s="7" t="str">
        <f aca="false">IFERROR(VLOOKUP(LEFT(A33,4),Setor!A:D,2,FALSE()),"")</f>
        <v>Bens Industriais</v>
      </c>
      <c r="C33" s="8" t="n">
        <f aca="false">IFERROR(__xludf.dummyfunction("IFERROR(IFERROR(GOOGLEFINANCE(A39,""price""),VLOOKUP(A39,'Dados-Status-Invest'!A:B,2,FALSE)),"""")"),3.55)</f>
        <v>3.55</v>
      </c>
      <c r="D33" s="8" t="n">
        <f aca="false">IFERROR(VLOOKUP(A33,'Dados-Status-Invest'!$1:$1000,MATCH(D$1,'Dados-Status-Invest'!$2:$2,0),FALSE()),"")</f>
        <v>132924000</v>
      </c>
      <c r="E33" s="8" t="n">
        <f aca="false">IF(D33+H33&gt;0,D33+H33,"")</f>
        <v>132924000</v>
      </c>
      <c r="F33" s="8" t="n">
        <f aca="false">IFERROR(D33/VLOOKUP(A33,'Dados-Status-Invest'!$1:$1000,5,FALSE()),"")</f>
        <v>-59607174.89</v>
      </c>
      <c r="G33" s="8" t="n">
        <f aca="false">IFERROR(D33/VLOOKUP(A33,'Dados-Status-Invest'!$1:$1000,6,FALSE()),"")</f>
        <v>42332484.08</v>
      </c>
      <c r="H33" s="8" t="n">
        <f aca="false">IFERROR(VLOOKUP(A33,'Dados-Status-Invest'!$1:$1000,12,FALSE())*J33,"")</f>
        <v>0</v>
      </c>
      <c r="I33" s="8" t="n">
        <f aca="false">IFERROR(D33/VLOOKUP(A33,'Dados-Status-Invest'!$1:$1000,14,FALSE()),"")</f>
        <v>1744638.404</v>
      </c>
      <c r="J33" s="9" t="n">
        <f aca="false">IFERROR(D33/VLOOKUP(A33,'Dados-Status-Invest'!$1:$1000,10,FALSE()),"")</f>
        <v>141408510.6</v>
      </c>
      <c r="K33" s="10" t="n">
        <f aca="false">IFERROR(VLOOKUP(A33,'Dados-Status-Invest'!$1:$1000,3,FALSE())/100,"")</f>
        <v>0</v>
      </c>
      <c r="L33" s="11" t="n">
        <f aca="false">IFERROR(VLOOKUP(A33,'Dados-Status-Invest'!$1:$1000,MATCH(L$1,'Dados-Status-Invest'!$2:$2,0),FALSE())/100,"")</f>
        <v>-2.2359</v>
      </c>
      <c r="M33" s="10" t="n">
        <f aca="false">IFERROR(VLOOKUP(A33,'Dados-Status-Invest'!$1:$1000,MATCH(M$1,'Dados-Status-Invest'!$2:$2,0),FALSE())/100,"")</f>
        <v>3.1576</v>
      </c>
      <c r="N33" s="10" t="n">
        <f aca="false">IFERROR(VLOOKUP(A33,'Dados-Status-Invest'!$1:$1000,MATCH(N$1,'Dados-Status-Invest'!$2:$2,0),FALSE())/100,"")</f>
        <v>-2.3626</v>
      </c>
      <c r="O33" s="10" t="n">
        <f aca="false">IFERROR(VLOOKUP(A33,'Dados-Status-Invest'!$1:$1000,MATCH(O$1,'Dados-Status-Invest'!$2:$2,0),FALSE())/100,"")</f>
        <v>-4.903</v>
      </c>
      <c r="P33" s="10" t="n">
        <f aca="false">IFERROR(VLOOKUP(A33,'Dados-Status-Invest'!$1:$1000,MATCH(P$1,'Dados-Status-Invest'!$2:$2,0),FALSE())/100,"")</f>
        <v>80.923</v>
      </c>
      <c r="Q33" s="10" t="n">
        <f aca="false">IFERROR(VLOOKUP(A33,'Dados-Status-Invest'!$1:$1000,MATCH(Q$1,'Dados-Status-Invest'!$2:$2,0),FALSE())/100,"")</f>
        <v>76.5235</v>
      </c>
      <c r="R33" s="12" t="n">
        <f aca="false">IFERROR(VLOOKUP(A33,'Dados-Status-Invest'!$1:$1000,MATCH(R$1,'Dados-Status-Invest'!$2:$2,0),FALSE()),"")</f>
        <v>1</v>
      </c>
      <c r="S33" s="12" t="n">
        <f aca="false">IFERROR(VLOOKUP(A33,'Dados-Status-Invest'!$1:$1000,MATCH(S$1,'Dados-Status-Invest'!$2:$2,0),FALSE()),"")</f>
        <v>-2.23</v>
      </c>
      <c r="T33" s="12" t="n">
        <f aca="false">IFERROR(VLOOKUP(A33,'Dados-Status-Invest'!$1:$1000,MATCH(T$1,'Dados-Status-Invest'!$2:$2,0),FALSE()),"")</f>
        <v>0.86</v>
      </c>
      <c r="U33" s="12" t="n">
        <f aca="false">IFERROR(VLOOKUP(A33,'Dados-Status-Invest'!$1:$1000,MATCH(U$1,'Dados-Status-Invest'!$2:$2,0),FALSE()),"")</f>
        <v>1.03</v>
      </c>
      <c r="V33" s="12" t="n">
        <f aca="false">IFERROR(VLOOKUP(A33,'Dados-Status-Invest'!$1:$1000,MATCH(V$1,'Dados-Status-Invest'!$2:$2,0),FALSE()),"")</f>
        <v>0</v>
      </c>
      <c r="W33" s="10" t="n">
        <f aca="false">IFERROR(VLOOKUP(A33,'Dados-Status-Invest'!$1:$1000,MATCH(W$1,'Dados-Status-Invest'!$2:$2,0),FALSE())/100,"")</f>
        <v>-0.3842</v>
      </c>
      <c r="X33" s="10" t="n">
        <f aca="false">IFERROR(VLOOKUP(A33,'Dados-Status-Invest'!$1:$1000,MATCH(X$1,'Dados-Status-Invest'!$2:$2,0),FALSE())/100,"")</f>
        <v>0</v>
      </c>
    </row>
    <row r="34" customFormat="false" ht="15.75" hidden="false" customHeight="false" outlineLevel="0" collapsed="false">
      <c r="A34" s="6" t="s">
        <v>61</v>
      </c>
      <c r="B34" s="7" t="str">
        <f aca="false">IFERROR(VLOOKUP(LEFT(A34,4),Setor!A:D,2,FALSE()),"")</f>
        <v>Bens Industriais</v>
      </c>
      <c r="C34" s="8" t="n">
        <f aca="false">IFERROR(__xludf.dummyfunction("IFERROR(IFERROR(GOOGLEFINANCE(A40,""price""),VLOOKUP(A40,'Dados-Status-Invest'!A:B,2,FALSE)),"""")"),2.72)</f>
        <v>2.72</v>
      </c>
      <c r="D34" s="8" t="n">
        <f aca="false">IFERROR(VLOOKUP(A34,'Dados-Status-Invest'!$1:$1000,MATCH(D$1,'Dados-Status-Invest'!$2:$2,0),FALSE()),"")</f>
        <v>132924000</v>
      </c>
      <c r="E34" s="8" t="n">
        <f aca="false">IF(D34+H34&gt;0,D34+H34,"")</f>
        <v>132924000</v>
      </c>
      <c r="F34" s="8" t="n">
        <f aca="false">IFERROR(D34/VLOOKUP(A34,'Dados-Status-Invest'!$1:$1000,5,FALSE()),"")</f>
        <v>-68166153.85</v>
      </c>
      <c r="G34" s="8" t="n">
        <f aca="false">IFERROR(D34/VLOOKUP(A34,'Dados-Status-Invest'!$1:$1000,6,FALSE()),"")</f>
        <v>48336000</v>
      </c>
      <c r="H34" s="8" t="n">
        <f aca="false">IFERROR(VLOOKUP(A34,'Dados-Status-Invest'!$1:$1000,12,FALSE())*J34,"")</f>
        <v>0</v>
      </c>
      <c r="I34" s="8" t="n">
        <f aca="false">IFERROR(D34/VLOOKUP(A34,'Dados-Status-Invest'!$1:$1000,14,FALSE()),"")</f>
        <v>1996155.579</v>
      </c>
      <c r="J34" s="9" t="n">
        <f aca="false">IFERROR(D34/VLOOKUP(A34,'Dados-Status-Invest'!$1:$1000,10,FALSE()),"")</f>
        <v>162102439</v>
      </c>
      <c r="K34" s="10" t="n">
        <f aca="false">IFERROR(VLOOKUP(A34,'Dados-Status-Invest'!$1:$1000,3,FALSE())/100,"")</f>
        <v>0</v>
      </c>
      <c r="L34" s="11" t="n">
        <f aca="false">IFERROR(VLOOKUP(A34,'Dados-Status-Invest'!$1:$1000,MATCH(L$1,'Dados-Status-Invest'!$2:$2,0),FALSE())/100,"")</f>
        <v>-2.2359</v>
      </c>
      <c r="M34" s="10" t="n">
        <f aca="false">IFERROR(VLOOKUP(A34,'Dados-Status-Invest'!$1:$1000,MATCH(M$1,'Dados-Status-Invest'!$2:$2,0),FALSE())/100,"")</f>
        <v>3.1576</v>
      </c>
      <c r="N34" s="10" t="n">
        <f aca="false">IFERROR(VLOOKUP(A34,'Dados-Status-Invest'!$1:$1000,MATCH(N$1,'Dados-Status-Invest'!$2:$2,0),FALSE())/100,"")</f>
        <v>-2.3626</v>
      </c>
      <c r="O34" s="10" t="n">
        <f aca="false">IFERROR(VLOOKUP(A34,'Dados-Status-Invest'!$1:$1000,MATCH(O$1,'Dados-Status-Invest'!$2:$2,0),FALSE())/100,"")</f>
        <v>-4.903</v>
      </c>
      <c r="P34" s="10" t="n">
        <f aca="false">IFERROR(VLOOKUP(A34,'Dados-Status-Invest'!$1:$1000,MATCH(P$1,'Dados-Status-Invest'!$2:$2,0),FALSE())/100,"")</f>
        <v>80.923</v>
      </c>
      <c r="Q34" s="10" t="n">
        <f aca="false">IFERROR(VLOOKUP(A34,'Dados-Status-Invest'!$1:$1000,MATCH(Q$1,'Dados-Status-Invest'!$2:$2,0),FALSE())/100,"")</f>
        <v>76.5235</v>
      </c>
      <c r="R34" s="12" t="n">
        <f aca="false">IFERROR(VLOOKUP(A34,'Dados-Status-Invest'!$1:$1000,MATCH(R$1,'Dados-Status-Invest'!$2:$2,0),FALSE()),"")</f>
        <v>0.87</v>
      </c>
      <c r="S34" s="12" t="n">
        <f aca="false">IFERROR(VLOOKUP(A34,'Dados-Status-Invest'!$1:$1000,MATCH(S$1,'Dados-Status-Invest'!$2:$2,0),FALSE()),"")</f>
        <v>-1.95</v>
      </c>
      <c r="T34" s="12" t="n">
        <f aca="false">IFERROR(VLOOKUP(A34,'Dados-Status-Invest'!$1:$1000,MATCH(T$1,'Dados-Status-Invest'!$2:$2,0),FALSE()),"")</f>
        <v>0.86</v>
      </c>
      <c r="U34" s="12" t="n">
        <f aca="false">IFERROR(VLOOKUP(A34,'Dados-Status-Invest'!$1:$1000,MATCH(U$1,'Dados-Status-Invest'!$2:$2,0),FALSE()),"")</f>
        <v>1.03</v>
      </c>
      <c r="V34" s="12" t="n">
        <f aca="false">IFERROR(VLOOKUP(A34,'Dados-Status-Invest'!$1:$1000,MATCH(V$1,'Dados-Status-Invest'!$2:$2,0),FALSE()),"")</f>
        <v>0</v>
      </c>
      <c r="W34" s="10" t="n">
        <f aca="false">IFERROR(VLOOKUP(A34,'Dados-Status-Invest'!$1:$1000,MATCH(W$1,'Dados-Status-Invest'!$2:$2,0),FALSE())/100,"")</f>
        <v>-0.3842</v>
      </c>
      <c r="X34" s="10" t="n">
        <f aca="false">IFERROR(VLOOKUP(A34,'Dados-Status-Invest'!$1:$1000,MATCH(X$1,'Dados-Status-Invest'!$2:$2,0),FALSE())/100,"")</f>
        <v>0</v>
      </c>
    </row>
    <row r="35" customFormat="false" ht="15.75" hidden="false" customHeight="false" outlineLevel="0" collapsed="false">
      <c r="A35" s="6" t="s">
        <v>62</v>
      </c>
      <c r="B35" s="7" t="str">
        <f aca="false">IFERROR(VLOOKUP(LEFT(A35,4),Setor!A:D,2,FALSE()),"")</f>
        <v>Bens Industriais</v>
      </c>
      <c r="C35" s="8" t="n">
        <f aca="false">IFERROR(__xludf.dummyfunction("IFERROR(IFERROR(GOOGLEFINANCE(A41,""price""),VLOOKUP(A41,'Dados-Status-Invest'!A:B,2,FALSE)),"""")"),20.71)</f>
        <v>20.71</v>
      </c>
      <c r="D35" s="8" t="n">
        <f aca="false">IFERROR(VLOOKUP(A35,'Dados-Status-Invest'!$1:$1000,MATCH(D$1,'Dados-Status-Invest'!$2:$2,0),FALSE()),"")</f>
        <v>56131392047</v>
      </c>
      <c r="E35" s="8" t="n">
        <f aca="false">IF(D35+H35&gt;0,D35+H35,"")</f>
        <v>61605868525</v>
      </c>
      <c r="F35" s="8" t="n">
        <f aca="false">IFERROR(D35/VLOOKUP(A35,'Dados-Status-Invest'!$1:$1000,5,FALSE()),"")</f>
        <v>-16856273888</v>
      </c>
      <c r="G35" s="8" t="n">
        <f aca="false">IFERROR(D35/VLOOKUP(A35,'Dados-Status-Invest'!$1:$1000,6,FALSE()),"")</f>
        <v>15170646499</v>
      </c>
      <c r="H35" s="8" t="n">
        <f aca="false">IFERROR(VLOOKUP(A35,'Dados-Status-Invest'!$1:$1000,12,FALSE())*J35,"")</f>
        <v>5474476478</v>
      </c>
      <c r="I35" s="8" t="n">
        <f aca="false">IFERROR(D35/VLOOKUP(A35,'Dados-Status-Invest'!$1:$1000,14,FALSE()),"")</f>
        <v>4756897631</v>
      </c>
      <c r="J35" s="9" t="n">
        <f aca="false">IFERROR(D35/VLOOKUP(A35,'Dados-Status-Invest'!$1:$1000,10,FALSE()),"")</f>
        <v>-1800814631</v>
      </c>
      <c r="K35" s="10" t="n">
        <f aca="false">IFERROR(VLOOKUP(A35,'Dados-Status-Invest'!$1:$1000,3,FALSE())/100,"")</f>
        <v>0</v>
      </c>
      <c r="L35" s="11" t="n">
        <f aca="false">IFERROR(VLOOKUP(A35,'Dados-Status-Invest'!$1:$1000,MATCH(L$1,'Dados-Status-Invest'!$2:$2,0),FALSE())/100,"")</f>
        <v>-0.4418</v>
      </c>
      <c r="M35" s="10" t="n">
        <f aca="false">IFERROR(VLOOKUP(A35,'Dados-Status-Invest'!$1:$1000,MATCH(M$1,'Dados-Status-Invest'!$2:$2,0),FALSE())/100,"")</f>
        <v>-0.4917</v>
      </c>
      <c r="N35" s="10" t="n">
        <f aca="false">IFERROR(VLOOKUP(A35,'Dados-Status-Invest'!$1:$1000,MATCH(N$1,'Dados-Status-Invest'!$2:$2,0),FALSE())/100,"")</f>
        <v>0.1984</v>
      </c>
      <c r="O35" s="10" t="n">
        <f aca="false">IFERROR(VLOOKUP(A35,'Dados-Status-Invest'!$1:$1000,MATCH(O$1,'Dados-Status-Invest'!$2:$2,0),FALSE())/100,"")</f>
        <v>-0.0366</v>
      </c>
      <c r="P35" s="10" t="n">
        <f aca="false">IFERROR(VLOOKUP(A35,'Dados-Status-Invest'!$1:$1000,MATCH(P$1,'Dados-Status-Invest'!$2:$2,0),FALSE())/100,"")</f>
        <v>-0.3784</v>
      </c>
      <c r="Q35" s="10" t="n">
        <f aca="false">IFERROR(VLOOKUP(A35,'Dados-Status-Invest'!$1:$1000,MATCH(Q$1,'Dados-Status-Invest'!$2:$2,0),FALSE())/100,"")</f>
        <v>-1.5671</v>
      </c>
      <c r="R35" s="12" t="n">
        <f aca="false">IFERROR(VLOOKUP(A35,'Dados-Status-Invest'!$1:$1000,MATCH(R$1,'Dados-Status-Invest'!$2:$2,0),FALSE()),"")</f>
        <v>-7.53</v>
      </c>
      <c r="S35" s="12" t="n">
        <f aca="false">IFERROR(VLOOKUP(A35,'Dados-Status-Invest'!$1:$1000,MATCH(S$1,'Dados-Status-Invest'!$2:$2,0),FALSE()),"")</f>
        <v>-3.33</v>
      </c>
      <c r="T35" s="12" t="n">
        <f aca="false">IFERROR(VLOOKUP(A35,'Dados-Status-Invest'!$1:$1000,MATCH(T$1,'Dados-Status-Invest'!$2:$2,0),FALSE()),"")</f>
        <v>-34.16</v>
      </c>
      <c r="U35" s="12" t="n">
        <f aca="false">IFERROR(VLOOKUP(A35,'Dados-Status-Invest'!$1:$1000,MATCH(U$1,'Dados-Status-Invest'!$2:$2,0),FALSE()),"")</f>
        <v>0.45</v>
      </c>
      <c r="V35" s="12" t="n">
        <f aca="false">IFERROR(VLOOKUP(A35,'Dados-Status-Invest'!$1:$1000,MATCH(V$1,'Dados-Status-Invest'!$2:$2,0),FALSE()),"")</f>
        <v>-3.04</v>
      </c>
      <c r="W35" s="10" t="n">
        <f aca="false">IFERROR(VLOOKUP(A35,'Dados-Status-Invest'!$1:$1000,MATCH(W$1,'Dados-Status-Invest'!$2:$2,0),FALSE())/100,"")</f>
        <v>-0.017</v>
      </c>
      <c r="X35" s="10" t="n">
        <f aca="false">IFERROR(VLOOKUP(A35,'Dados-Status-Invest'!$1:$1000,MATCH(X$1,'Dados-Status-Invest'!$2:$2,0),FALSE())/100,"")</f>
        <v>0</v>
      </c>
    </row>
    <row r="36" customFormat="false" ht="15.75" hidden="false" customHeight="false" outlineLevel="0" collapsed="false">
      <c r="A36" s="6" t="s">
        <v>63</v>
      </c>
      <c r="B36" s="7" t="str">
        <f aca="false">IFERROR(VLOOKUP(LEFT(A36,4),Setor!A:D,2,FALSE()),"")</f>
        <v>Financeiro</v>
      </c>
      <c r="C36" s="8" t="n">
        <f aca="false">IFERROR(__xludf.dummyfunction("IFERROR(IFERROR(GOOGLEFINANCE(A42,""price""),VLOOKUP(A42,'Dados-Status-Invest'!A:B,2,FALSE)),"""")"),11.92)</f>
        <v>11.92</v>
      </c>
      <c r="D36" s="8" t="n">
        <f aca="false">IFERROR(VLOOKUP(A36,'Dados-Status-Invest'!$1:$1000,MATCH(D$1,'Dados-Status-Invest'!$2:$2,0),FALSE()),"")</f>
        <v>104142000000</v>
      </c>
      <c r="E36" s="8" t="n">
        <f aca="false">IF(D36+H36&gt;0,D36+H36,"")</f>
        <v>95584034722</v>
      </c>
      <c r="F36" s="8" t="n">
        <f aca="false">IFERROR(D36/VLOOKUP(A36,'Dados-Status-Invest'!$1:$1000,5,FALSE()),"")</f>
        <v>24332242991</v>
      </c>
      <c r="G36" s="8" t="n">
        <f aca="false">IFERROR(D36/VLOOKUP(A36,'Dados-Status-Invest'!$1:$1000,6,FALSE()),"")</f>
        <v>46080530973</v>
      </c>
      <c r="H36" s="8" t="n">
        <f aca="false">IFERROR(VLOOKUP(A36,'Dados-Status-Invest'!$1:$1000,12,FALSE())*J36,"")</f>
        <v>-8557965278</v>
      </c>
      <c r="I36" s="8" t="n">
        <f aca="false">IFERROR(D36/VLOOKUP(A36,'Dados-Status-Invest'!$1:$1000,14,FALSE()),"")</f>
        <v>9815457116</v>
      </c>
      <c r="J36" s="9" t="n">
        <f aca="false">IFERROR(D36/VLOOKUP(A36,'Dados-Status-Invest'!$1:$1000,10,FALSE()),"")</f>
        <v>6026736111</v>
      </c>
      <c r="K36" s="10" t="n">
        <f aca="false">IFERROR(VLOOKUP(A36,'Dados-Status-Invest'!$1:$1000,3,FALSE())/100,"")</f>
        <v>0.0634</v>
      </c>
      <c r="L36" s="11" t="n">
        <f aca="false">IFERROR(VLOOKUP(A36,'Dados-Status-Invest'!$1:$1000,MATCH(L$1,'Dados-Status-Invest'!$2:$2,0),FALSE())/100,"")</f>
        <v>0.18</v>
      </c>
      <c r="M36" s="10" t="n">
        <f aca="false">IFERROR(VLOOKUP(A36,'Dados-Status-Invest'!$1:$1000,MATCH(M$1,'Dados-Status-Invest'!$2:$2,0),FALSE())/100,"")</f>
        <v>0.0949</v>
      </c>
      <c r="N36" s="10" t="n">
        <f aca="false">IFERROR(VLOOKUP(A36,'Dados-Status-Invest'!$1:$1000,MATCH(N$1,'Dados-Status-Invest'!$2:$2,0),FALSE())/100,"")</f>
        <v>0.1399</v>
      </c>
      <c r="O36" s="10" t="n">
        <f aca="false">IFERROR(VLOOKUP(A36,'Dados-Status-Invest'!$1:$1000,MATCH(O$1,'Dados-Status-Invest'!$2:$2,0),FALSE())/100,"")</f>
        <v>0.9038</v>
      </c>
      <c r="P36" s="10" t="n">
        <f aca="false">IFERROR(VLOOKUP(A36,'Dados-Status-Invest'!$1:$1000,MATCH(P$1,'Dados-Status-Invest'!$2:$2,0),FALSE())/100,"")</f>
        <v>0.6143</v>
      </c>
      <c r="Q36" s="10" t="n">
        <f aca="false">IFERROR(VLOOKUP(A36,'Dados-Status-Invest'!$1:$1000,MATCH(Q$1,'Dados-Status-Invest'!$2:$2,0),FALSE())/100,"")</f>
        <v>0.4464</v>
      </c>
      <c r="R36" s="12" t="n">
        <f aca="false">IFERROR(VLOOKUP(A36,'Dados-Status-Invest'!$1:$1000,MATCH(R$1,'Dados-Status-Invest'!$2:$2,0),FALSE()),"")</f>
        <v>23.78</v>
      </c>
      <c r="S36" s="12" t="n">
        <f aca="false">IFERROR(VLOOKUP(A36,'Dados-Status-Invest'!$1:$1000,MATCH(S$1,'Dados-Status-Invest'!$2:$2,0),FALSE()),"")</f>
        <v>4.28</v>
      </c>
      <c r="T36" s="12" t="n">
        <f aca="false">IFERROR(VLOOKUP(A36,'Dados-Status-Invest'!$1:$1000,MATCH(T$1,'Dados-Status-Invest'!$2:$2,0),FALSE()),"")</f>
        <v>15.85</v>
      </c>
      <c r="U36" s="12" t="n">
        <f aca="false">IFERROR(VLOOKUP(A36,'Dados-Status-Invest'!$1:$1000,MATCH(U$1,'Dados-Status-Invest'!$2:$2,0),FALSE()),"")</f>
        <v>1.78</v>
      </c>
      <c r="V36" s="12" t="n">
        <f aca="false">IFERROR(VLOOKUP(A36,'Dados-Status-Invest'!$1:$1000,MATCH(V$1,'Dados-Status-Invest'!$2:$2,0),FALSE()),"")</f>
        <v>-1.42</v>
      </c>
      <c r="W36" s="10" t="n">
        <f aca="false">IFERROR(VLOOKUP(A36,'Dados-Status-Invest'!$1:$1000,MATCH(W$1,'Dados-Status-Invest'!$2:$2,0),FALSE())/100,"")</f>
        <v>0.3329</v>
      </c>
      <c r="X36" s="10" t="n">
        <f aca="false">IFERROR(VLOOKUP(A36,'Dados-Status-Invest'!$1:$1000,MATCH(X$1,'Dados-Status-Invest'!$2:$2,0),FALSE())/100,"")</f>
        <v>0.135</v>
      </c>
    </row>
    <row r="37" customFormat="false" ht="15.75" hidden="false" customHeight="false" outlineLevel="0" collapsed="false">
      <c r="A37" s="6" t="s">
        <v>64</v>
      </c>
      <c r="B37" s="7" t="str">
        <f aca="false">IFERROR(VLOOKUP(LEFT(A37,4),Setor!A:D,2,FALSE()),"")</f>
        <v>Consumo Cíclico</v>
      </c>
      <c r="C37" s="8" t="n">
        <f aca="false">IFERROR(__xludf.dummyfunction("IFERROR(IFERROR(GOOGLEFINANCE(A43,""price""),VLOOKUP(A43,'Dados-Status-Invest'!A:B,2,FALSE)),"""")"),13.61)</f>
        <v>13.61</v>
      </c>
      <c r="D37" s="8" t="n">
        <f aca="false">IFERROR(VLOOKUP(A37,'Dados-Status-Invest'!$1:$1000,MATCH(D$1,'Dados-Status-Invest'!$2:$2,0),FALSE()),"")</f>
        <v>186994111</v>
      </c>
      <c r="E37" s="8" t="n">
        <f aca="false">IF(D37+H37&gt;0,D37+H37,"")</f>
        <v>130263108.83</v>
      </c>
      <c r="F37" s="8" t="n">
        <f aca="false">IFERROR(D37/VLOOKUP(A37,'Dados-Status-Invest'!$1:$1000,5,FALSE()),"")</f>
        <v>178089629.5</v>
      </c>
      <c r="G37" s="8" t="n">
        <f aca="false">IFERROR(D37/VLOOKUP(A37,'Dados-Status-Invest'!$1:$1000,6,FALSE()),"")</f>
        <v>603206809.7</v>
      </c>
      <c r="H37" s="8" t="n">
        <f aca="false">IFERROR(VLOOKUP(A37,'Dados-Status-Invest'!$1:$1000,12,FALSE())*J37,"")</f>
        <v>-56731002.17</v>
      </c>
      <c r="I37" s="8" t="n">
        <f aca="false">IFERROR(D37/VLOOKUP(A37,'Dados-Status-Invest'!$1:$1000,14,FALSE()),"")</f>
        <v>219993071.8</v>
      </c>
      <c r="J37" s="9" t="n">
        <f aca="false">IFERROR(D37/VLOOKUP(A37,'Dados-Status-Invest'!$1:$1000,10,FALSE()),"")</f>
        <v>-10909808.11</v>
      </c>
      <c r="K37" s="10" t="n">
        <f aca="false">IFERROR(VLOOKUP(A37,'Dados-Status-Invest'!$1:$1000,3,FALSE())/100,"")</f>
        <v>0</v>
      </c>
      <c r="L37" s="11" t="n">
        <f aca="false">IFERROR(VLOOKUP(A37,'Dados-Status-Invest'!$1:$1000,MATCH(L$1,'Dados-Status-Invest'!$2:$2,0),FALSE())/100,"")</f>
        <v>-0.2236</v>
      </c>
      <c r="M37" s="10" t="n">
        <f aca="false">IFERROR(VLOOKUP(A37,'Dados-Status-Invest'!$1:$1000,MATCH(M$1,'Dados-Status-Invest'!$2:$2,0),FALSE())/100,"")</f>
        <v>-0.0662</v>
      </c>
      <c r="N37" s="10" t="n">
        <f aca="false">IFERROR(VLOOKUP(A37,'Dados-Status-Invest'!$1:$1000,MATCH(N$1,'Dados-Status-Invest'!$2:$2,0),FALSE())/100,"")</f>
        <v>-0.0916</v>
      </c>
      <c r="O37" s="10" t="n">
        <f aca="false">IFERROR(VLOOKUP(A37,'Dados-Status-Invest'!$1:$1000,MATCH(O$1,'Dados-Status-Invest'!$2:$2,0),FALSE())/100,"")</f>
        <v>0.4093</v>
      </c>
      <c r="P37" s="10" t="n">
        <f aca="false">IFERROR(VLOOKUP(A37,'Dados-Status-Invest'!$1:$1000,MATCH(P$1,'Dados-Status-Invest'!$2:$2,0),FALSE())/100,"")</f>
        <v>-0.0494</v>
      </c>
      <c r="Q37" s="10" t="n">
        <f aca="false">IFERROR(VLOOKUP(A37,'Dados-Status-Invest'!$1:$1000,MATCH(Q$1,'Dados-Status-Invest'!$2:$2,0),FALSE())/100,"")</f>
        <v>-0.1801</v>
      </c>
      <c r="R37" s="12" t="n">
        <f aca="false">IFERROR(VLOOKUP(A37,'Dados-Status-Invest'!$1:$1000,MATCH(R$1,'Dados-Status-Invest'!$2:$2,0),FALSE()),"")</f>
        <v>-4.7</v>
      </c>
      <c r="S37" s="12" t="n">
        <f aca="false">IFERROR(VLOOKUP(A37,'Dados-Status-Invest'!$1:$1000,MATCH(S$1,'Dados-Status-Invest'!$2:$2,0),FALSE()),"")</f>
        <v>1.05</v>
      </c>
      <c r="T37" s="12" t="n">
        <f aca="false">IFERROR(VLOOKUP(A37,'Dados-Status-Invest'!$1:$1000,MATCH(T$1,'Dados-Status-Invest'!$2:$2,0),FALSE()),"")</f>
        <v>-11.94</v>
      </c>
      <c r="U37" s="12" t="n">
        <f aca="false">IFERROR(VLOOKUP(A37,'Dados-Status-Invest'!$1:$1000,MATCH(U$1,'Dados-Status-Invest'!$2:$2,0),FALSE()),"")</f>
        <v>0.8</v>
      </c>
      <c r="V37" s="12" t="n">
        <f aca="false">IFERROR(VLOOKUP(A37,'Dados-Status-Invest'!$1:$1000,MATCH(V$1,'Dados-Status-Invest'!$2:$2,0),FALSE()),"")</f>
        <v>5.2</v>
      </c>
      <c r="W37" s="10" t="n">
        <f aca="false">IFERROR(VLOOKUP(A37,'Dados-Status-Invest'!$1:$1000,MATCH(W$1,'Dados-Status-Invest'!$2:$2,0),FALSE())/100,"")</f>
        <v>0</v>
      </c>
      <c r="X37" s="10" t="n">
        <f aca="false">IFERROR(VLOOKUP(A37,'Dados-Status-Invest'!$1:$1000,MATCH(X$1,'Dados-Status-Invest'!$2:$2,0),FALSE())/100,"")</f>
        <v>0</v>
      </c>
    </row>
    <row r="38" customFormat="false" ht="15.75" hidden="false" customHeight="false" outlineLevel="0" collapsed="false">
      <c r="A38" s="6" t="s">
        <v>65</v>
      </c>
      <c r="B38" s="7" t="str">
        <f aca="false">IFERROR(VLOOKUP(LEFT(A38,4),Setor!A:D,2,FALSE()),"")</f>
        <v>Saúde</v>
      </c>
      <c r="C38" s="8" t="n">
        <f aca="false">IFERROR(__xludf.dummyfunction("IFERROR(IFERROR(GOOGLEFINANCE(A44,""price""),VLOOKUP(A44,'Dados-Status-Invest'!A:B,2,FALSE)),"""")"),14.42)</f>
        <v>14.42</v>
      </c>
      <c r="D38" s="8" t="n">
        <f aca="false">IFERROR(VLOOKUP(A38,'Dados-Status-Invest'!$1:$1000,MATCH(D$1,'Dados-Status-Invest'!$2:$2,0),FALSE()),"")</f>
        <v>197666000</v>
      </c>
      <c r="E38" s="8" t="n">
        <f aca="false">IF(D38+H38&gt;0,D38+H38,"")</f>
        <v>181160690.14</v>
      </c>
      <c r="F38" s="8" t="n">
        <f aca="false">IFERROR(D38/VLOOKUP(A38,'Dados-Status-Invest'!$1:$1000,5,FALSE()),"")</f>
        <v>122016049.4</v>
      </c>
      <c r="G38" s="8" t="n">
        <f aca="false">IFERROR(D38/VLOOKUP(A38,'Dados-Status-Invest'!$1:$1000,6,FALSE()),"")</f>
        <v>219628888.9</v>
      </c>
      <c r="H38" s="8" t="n">
        <f aca="false">IFERROR(VLOOKUP(A38,'Dados-Status-Invest'!$1:$1000,12,FALSE())*J38,"")</f>
        <v>-16505309.86</v>
      </c>
      <c r="I38" s="8" t="n">
        <f aca="false">IFERROR(D38/VLOOKUP(A38,'Dados-Status-Invest'!$1:$1000,14,FALSE()),"")</f>
        <v>166105882.4</v>
      </c>
      <c r="J38" s="9" t="n">
        <f aca="false">IFERROR(D38/VLOOKUP(A38,'Dados-Status-Invest'!$1:$1000,10,FALSE()),"")</f>
        <v>19885915.49</v>
      </c>
      <c r="K38" s="10" t="n">
        <f aca="false">IFERROR(VLOOKUP(A38,'Dados-Status-Invest'!$1:$1000,3,FALSE())/100,"")</f>
        <v>0.03</v>
      </c>
      <c r="L38" s="11" t="n">
        <f aca="false">IFERROR(VLOOKUP(A38,'Dados-Status-Invest'!$1:$1000,MATCH(L$1,'Dados-Status-Invest'!$2:$2,0),FALSE())/100,"")</f>
        <v>0.1811</v>
      </c>
      <c r="M38" s="10" t="n">
        <f aca="false">IFERROR(VLOOKUP(A38,'Dados-Status-Invest'!$1:$1000,MATCH(M$1,'Dados-Status-Invest'!$2:$2,0),FALSE())/100,"")</f>
        <v>0.1004</v>
      </c>
      <c r="N38" s="10" t="n">
        <f aca="false">IFERROR(VLOOKUP(A38,'Dados-Status-Invest'!$1:$1000,MATCH(N$1,'Dados-Status-Invest'!$2:$2,0),FALSE())/100,"")</f>
        <v>0.1039</v>
      </c>
      <c r="O38" s="10" t="n">
        <f aca="false">IFERROR(VLOOKUP(A38,'Dados-Status-Invest'!$1:$1000,MATCH(O$1,'Dados-Status-Invest'!$2:$2,0),FALSE())/100,"")</f>
        <v>0.5182</v>
      </c>
      <c r="P38" s="10" t="n">
        <f aca="false">IFERROR(VLOOKUP(A38,'Dados-Status-Invest'!$1:$1000,MATCH(P$1,'Dados-Status-Invest'!$2:$2,0),FALSE())/100,"")</f>
        <v>0.1193</v>
      </c>
      <c r="Q38" s="10" t="n">
        <f aca="false">IFERROR(VLOOKUP(A38,'Dados-Status-Invest'!$1:$1000,MATCH(Q$1,'Dados-Status-Invest'!$2:$2,0),FALSE())/100,"")</f>
        <v>0.1325</v>
      </c>
      <c r="R38" s="12" t="n">
        <f aca="false">IFERROR(VLOOKUP(A38,'Dados-Status-Invest'!$1:$1000,MATCH(R$1,'Dados-Status-Invest'!$2:$2,0),FALSE()),"")</f>
        <v>8.95</v>
      </c>
      <c r="S38" s="12" t="n">
        <f aca="false">IFERROR(VLOOKUP(A38,'Dados-Status-Invest'!$1:$1000,MATCH(S$1,'Dados-Status-Invest'!$2:$2,0),FALSE()),"")</f>
        <v>1.62</v>
      </c>
      <c r="T38" s="12" t="n">
        <f aca="false">IFERROR(VLOOKUP(A38,'Dados-Status-Invest'!$1:$1000,MATCH(T$1,'Dados-Status-Invest'!$2:$2,0),FALSE()),"")</f>
        <v>9.19</v>
      </c>
      <c r="U38" s="12" t="n">
        <f aca="false">IFERROR(VLOOKUP(A38,'Dados-Status-Invest'!$1:$1000,MATCH(U$1,'Dados-Status-Invest'!$2:$2,0),FALSE()),"")</f>
        <v>2.4</v>
      </c>
      <c r="V38" s="12" t="n">
        <f aca="false">IFERROR(VLOOKUP(A38,'Dados-Status-Invest'!$1:$1000,MATCH(V$1,'Dados-Status-Invest'!$2:$2,0),FALSE()),"")</f>
        <v>-0.83</v>
      </c>
      <c r="W38" s="10" t="n">
        <f aca="false">IFERROR(VLOOKUP(A38,'Dados-Status-Invest'!$1:$1000,MATCH(W$1,'Dados-Status-Invest'!$2:$2,0),FALSE())/100,"")</f>
        <v>0.0778</v>
      </c>
      <c r="X38" s="10" t="n">
        <f aca="false">IFERROR(VLOOKUP(A38,'Dados-Status-Invest'!$1:$1000,MATCH(X$1,'Dados-Status-Invest'!$2:$2,0),FALSE())/100,"")</f>
        <v>0.0184</v>
      </c>
    </row>
    <row r="39" customFormat="false" ht="15.75" hidden="false" customHeight="false" outlineLevel="0" collapsed="false">
      <c r="A39" s="6" t="s">
        <v>66</v>
      </c>
      <c r="B39" s="7" t="str">
        <f aca="false">IFERROR(VLOOKUP(LEFT(A39,4),Setor!A:D,2,FALSE()),"")</f>
        <v>Saúde</v>
      </c>
      <c r="C39" s="8" t="n">
        <f aca="false">IFERROR(__xludf.dummyfunction("IFERROR(IFERROR(GOOGLEFINANCE(A45,""price""),VLOOKUP(A45,'Dados-Status-Invest'!A:B,2,FALSE)),"""")"),11.7)</f>
        <v>11.7</v>
      </c>
      <c r="D39" s="8" t="n">
        <f aca="false">IFERROR(VLOOKUP(A39,'Dados-Status-Invest'!$1:$1000,MATCH(D$1,'Dados-Status-Invest'!$2:$2,0),FALSE()),"")</f>
        <v>197666000</v>
      </c>
      <c r="E39" s="8" t="n">
        <f aca="false">IF(D39+H39&gt;0,D39+H39,"")</f>
        <v>181454262.85</v>
      </c>
      <c r="F39" s="8" t="n">
        <f aca="false">IFERROR(D39/VLOOKUP(A39,'Dados-Status-Invest'!$1:$1000,5,FALSE()),"")</f>
        <v>119797575.8</v>
      </c>
      <c r="G39" s="8" t="n">
        <f aca="false">IFERROR(D39/VLOOKUP(A39,'Dados-Status-Invest'!$1:$1000,6,FALSE()),"")</f>
        <v>217215384.6</v>
      </c>
      <c r="H39" s="8" t="n">
        <f aca="false">IFERROR(VLOOKUP(A39,'Dados-Status-Invest'!$1:$1000,12,FALSE())*J39,"")</f>
        <v>-16211737.15</v>
      </c>
      <c r="I39" s="8" t="n">
        <f aca="false">IFERROR(D39/VLOOKUP(A39,'Dados-Status-Invest'!$1:$1000,14,FALSE()),"")</f>
        <v>163360330.6</v>
      </c>
      <c r="J39" s="9" t="n">
        <f aca="false">IFERROR(D39/VLOOKUP(A39,'Dados-Status-Invest'!$1:$1000,10,FALSE()),"")</f>
        <v>19532213.44</v>
      </c>
      <c r="K39" s="10" t="n">
        <f aca="false">IFERROR(VLOOKUP(A39,'Dados-Status-Invest'!$1:$1000,3,FALSE())/100,"")</f>
        <v>0.0329</v>
      </c>
      <c r="L39" s="11" t="n">
        <f aca="false">IFERROR(VLOOKUP(A39,'Dados-Status-Invest'!$1:$1000,MATCH(L$1,'Dados-Status-Invest'!$2:$2,0),FALSE())/100,"")</f>
        <v>0.1811</v>
      </c>
      <c r="M39" s="10" t="n">
        <f aca="false">IFERROR(VLOOKUP(A39,'Dados-Status-Invest'!$1:$1000,MATCH(M$1,'Dados-Status-Invest'!$2:$2,0),FALSE())/100,"")</f>
        <v>0.1004</v>
      </c>
      <c r="N39" s="10" t="n">
        <f aca="false">IFERROR(VLOOKUP(A39,'Dados-Status-Invest'!$1:$1000,MATCH(N$1,'Dados-Status-Invest'!$2:$2,0),FALSE())/100,"")</f>
        <v>0.1039</v>
      </c>
      <c r="O39" s="10" t="n">
        <f aca="false">IFERROR(VLOOKUP(A39,'Dados-Status-Invest'!$1:$1000,MATCH(O$1,'Dados-Status-Invest'!$2:$2,0),FALSE())/100,"")</f>
        <v>0.5182</v>
      </c>
      <c r="P39" s="10" t="n">
        <f aca="false">IFERROR(VLOOKUP(A39,'Dados-Status-Invest'!$1:$1000,MATCH(P$1,'Dados-Status-Invest'!$2:$2,0),FALSE())/100,"")</f>
        <v>0.1193</v>
      </c>
      <c r="Q39" s="10" t="n">
        <f aca="false">IFERROR(VLOOKUP(A39,'Dados-Status-Invest'!$1:$1000,MATCH(Q$1,'Dados-Status-Invest'!$2:$2,0),FALSE())/100,"")</f>
        <v>0.1325</v>
      </c>
      <c r="R39" s="12" t="n">
        <f aca="false">IFERROR(VLOOKUP(A39,'Dados-Status-Invest'!$1:$1000,MATCH(R$1,'Dados-Status-Invest'!$2:$2,0),FALSE()),"")</f>
        <v>9.11</v>
      </c>
      <c r="S39" s="12" t="n">
        <f aca="false">IFERROR(VLOOKUP(A39,'Dados-Status-Invest'!$1:$1000,MATCH(S$1,'Dados-Status-Invest'!$2:$2,0),FALSE()),"")</f>
        <v>1.65</v>
      </c>
      <c r="T39" s="12" t="n">
        <f aca="false">IFERROR(VLOOKUP(A39,'Dados-Status-Invest'!$1:$1000,MATCH(T$1,'Dados-Status-Invest'!$2:$2,0),FALSE()),"")</f>
        <v>9.19</v>
      </c>
      <c r="U39" s="12" t="n">
        <f aca="false">IFERROR(VLOOKUP(A39,'Dados-Status-Invest'!$1:$1000,MATCH(U$1,'Dados-Status-Invest'!$2:$2,0),FALSE()),"")</f>
        <v>2.4</v>
      </c>
      <c r="V39" s="12" t="n">
        <f aca="false">IFERROR(VLOOKUP(A39,'Dados-Status-Invest'!$1:$1000,MATCH(V$1,'Dados-Status-Invest'!$2:$2,0),FALSE()),"")</f>
        <v>-0.83</v>
      </c>
      <c r="W39" s="10" t="n">
        <f aca="false">IFERROR(VLOOKUP(A39,'Dados-Status-Invest'!$1:$1000,MATCH(W$1,'Dados-Status-Invest'!$2:$2,0),FALSE())/100,"")</f>
        <v>0.0778</v>
      </c>
      <c r="X39" s="10" t="n">
        <f aca="false">IFERROR(VLOOKUP(A39,'Dados-Status-Invest'!$1:$1000,MATCH(X$1,'Dados-Status-Invest'!$2:$2,0),FALSE())/100,"")</f>
        <v>0.0184</v>
      </c>
    </row>
    <row r="40" customFormat="false" ht="15.75" hidden="false" customHeight="false" outlineLevel="0" collapsed="false">
      <c r="A40" s="6" t="s">
        <v>67</v>
      </c>
      <c r="B40" s="7" t="str">
        <f aca="false">IFERROR(VLOOKUP(LEFT(A40,4),Setor!A:D,2,FALSE()),"")</f>
        <v>Consumo não Cíclico</v>
      </c>
      <c r="C40" s="8" t="n">
        <f aca="false">IFERROR(__xludf.dummyfunction("IFERROR(IFERROR(GOOGLEFINANCE(A46,""price""),VLOOKUP(A46,'Dados-Status-Invest'!A:B,2,FALSE)),"""")"),77)</f>
        <v>77</v>
      </c>
      <c r="D40" s="8" t="n">
        <f aca="false">IFERROR(VLOOKUP(A40,'Dados-Status-Invest'!$1:$1000,MATCH(D$1,'Dados-Status-Invest'!$2:$2,0),FALSE()),"")</f>
        <v>464777758</v>
      </c>
      <c r="E40" s="8" t="n">
        <f aca="false">IF(D40+H40&gt;0,D40+H40,"")</f>
        <v>445269097.49</v>
      </c>
      <c r="F40" s="8" t="n">
        <f aca="false">IFERROR(D40/VLOOKUP(A40,'Dados-Status-Invest'!$1:$1000,5,FALSE()),"")</f>
        <v>94084566.4</v>
      </c>
      <c r="G40" s="8" t="n">
        <f aca="false">IFERROR(D40/VLOOKUP(A40,'Dados-Status-Invest'!$1:$1000,6,FALSE()),"")</f>
        <v>143894042.7</v>
      </c>
      <c r="H40" s="8" t="n">
        <f aca="false">IFERROR(VLOOKUP(A40,'Dados-Status-Invest'!$1:$1000,12,FALSE())*J40,"")</f>
        <v>-19508660.51</v>
      </c>
      <c r="I40" s="8" t="n">
        <f aca="false">IFERROR(D40/VLOOKUP(A40,'Dados-Status-Invest'!$1:$1000,14,FALSE()),"")</f>
        <v>188169132.8</v>
      </c>
      <c r="J40" s="9" t="n">
        <f aca="false">IFERROR(D40/VLOOKUP(A40,'Dados-Status-Invest'!$1:$1000,10,FALSE()),"")</f>
        <v>21438088.47</v>
      </c>
      <c r="K40" s="10" t="n">
        <f aca="false">IFERROR(VLOOKUP(A40,'Dados-Status-Invest'!$1:$1000,3,FALSE())/100,"")</f>
        <v>0</v>
      </c>
      <c r="L40" s="11" t="n">
        <f aca="false">IFERROR(VLOOKUP(A40,'Dados-Status-Invest'!$1:$1000,MATCH(L$1,'Dados-Status-Invest'!$2:$2,0),FALSE())/100,"")</f>
        <v>0.2284</v>
      </c>
      <c r="M40" s="10" t="n">
        <f aca="false">IFERROR(VLOOKUP(A40,'Dados-Status-Invest'!$1:$1000,MATCH(M$1,'Dados-Status-Invest'!$2:$2,0),FALSE())/100,"")</f>
        <v>0.1495</v>
      </c>
      <c r="N40" s="10" t="n">
        <f aca="false">IFERROR(VLOOKUP(A40,'Dados-Status-Invest'!$1:$1000,MATCH(N$1,'Dados-Status-Invest'!$2:$2,0),FALSE())/100,"")</f>
        <v>0.1651</v>
      </c>
      <c r="O40" s="10" t="n">
        <f aca="false">IFERROR(VLOOKUP(A40,'Dados-Status-Invest'!$1:$1000,MATCH(O$1,'Dados-Status-Invest'!$2:$2,0),FALSE())/100,"")</f>
        <v>0.2172</v>
      </c>
      <c r="P40" s="10" t="n">
        <f aca="false">IFERROR(VLOOKUP(A40,'Dados-Status-Invest'!$1:$1000,MATCH(P$1,'Dados-Status-Invest'!$2:$2,0),FALSE())/100,"")</f>
        <v>0.114</v>
      </c>
      <c r="Q40" s="10" t="n">
        <f aca="false">IFERROR(VLOOKUP(A40,'Dados-Status-Invest'!$1:$1000,MATCH(Q$1,'Dados-Status-Invest'!$2:$2,0),FALSE())/100,"")</f>
        <v>0.1143</v>
      </c>
      <c r="R40" s="12" t="n">
        <f aca="false">IFERROR(VLOOKUP(A40,'Dados-Status-Invest'!$1:$1000,MATCH(R$1,'Dados-Status-Invest'!$2:$2,0),FALSE()),"")</f>
        <v>21.62</v>
      </c>
      <c r="S40" s="12" t="n">
        <f aca="false">IFERROR(VLOOKUP(A40,'Dados-Status-Invest'!$1:$1000,MATCH(S$1,'Dados-Status-Invest'!$2:$2,0),FALSE()),"")</f>
        <v>4.94</v>
      </c>
      <c r="T40" s="12" t="n">
        <f aca="false">IFERROR(VLOOKUP(A40,'Dados-Status-Invest'!$1:$1000,MATCH(T$1,'Dados-Status-Invest'!$2:$2,0),FALSE()),"")</f>
        <v>20.76</v>
      </c>
      <c r="U40" s="12" t="n">
        <f aca="false">IFERROR(VLOOKUP(A40,'Dados-Status-Invest'!$1:$1000,MATCH(U$1,'Dados-Status-Invest'!$2:$2,0),FALSE()),"")</f>
        <v>1.15</v>
      </c>
      <c r="V40" s="12" t="n">
        <f aca="false">IFERROR(VLOOKUP(A40,'Dados-Status-Invest'!$1:$1000,MATCH(V$1,'Dados-Status-Invest'!$2:$2,0),FALSE()),"")</f>
        <v>-0.91</v>
      </c>
      <c r="W40" s="10" t="n">
        <f aca="false">IFERROR(VLOOKUP(A40,'Dados-Status-Invest'!$1:$1000,MATCH(W$1,'Dados-Status-Invest'!$2:$2,0),FALSE())/100,"")</f>
        <v>0.109</v>
      </c>
      <c r="X40" s="10" t="n">
        <f aca="false">IFERROR(VLOOKUP(A40,'Dados-Status-Invest'!$1:$1000,MATCH(X$1,'Dados-Status-Invest'!$2:$2,0),FALSE())/100,"")</f>
        <v>0.3353</v>
      </c>
    </row>
    <row r="41" customFormat="false" ht="15.75" hidden="false" customHeight="false" outlineLevel="0" collapsed="false">
      <c r="A41" s="6" t="s">
        <v>68</v>
      </c>
      <c r="B41" s="7" t="str">
        <f aca="false">IFERROR(VLOOKUP(LEFT(A41,4),Setor!A:D,2,FALSE()),"")</f>
        <v>Financeiro</v>
      </c>
      <c r="C41" s="8" t="n">
        <f aca="false">IFERROR(__xludf.dummyfunction("IFERROR(IFERROR(GOOGLEFINANCE(A47,""price""),VLOOKUP(A47,'Dados-Status-Invest'!A:B,2,FALSE)),"""")"),40.91)</f>
        <v>40.91</v>
      </c>
      <c r="D41" s="8" t="n">
        <f aca="false">IFERROR(VLOOKUP(A41,'Dados-Status-Invest'!$1:$1000,MATCH(D$1,'Dados-Status-Invest'!$2:$2,0),FALSE()),"")</f>
        <v>1185838680</v>
      </c>
      <c r="E41" s="8" t="n">
        <f aca="false">IF(D41+H41&gt;0,D41+H41,"")</f>
        <v>1185838680</v>
      </c>
      <c r="F41" s="8" t="n">
        <f aca="false">IFERROR(D41/VLOOKUP(A41,'Dados-Status-Invest'!$1:$1000,5,FALSE()),"")</f>
        <v>2470497250</v>
      </c>
      <c r="G41" s="8" t="n">
        <f aca="false">IFERROR(D41/VLOOKUP(A41,'Dados-Status-Invest'!$1:$1000,6,FALSE()),"")</f>
        <v>23716773600</v>
      </c>
      <c r="H41" s="8" t="n">
        <f aca="false">IFERROR(VLOOKUP(A41,'Dados-Status-Invest'!$1:$1000,12,FALSE())*J41,"")</f>
        <v>0</v>
      </c>
      <c r="I41" s="8" t="n">
        <f aca="false">IFERROR(D41/VLOOKUP(A41,'Dados-Status-Invest'!$1:$1000,14,FALSE()),"")</f>
        <v>884954238.8</v>
      </c>
      <c r="J41" s="9" t="n">
        <f aca="false">IFERROR(D41/VLOOKUP(A41,'Dados-Status-Invest'!$1:$1000,10,FALSE()),"")</f>
        <v>520104684.2</v>
      </c>
      <c r="K41" s="10" t="n">
        <f aca="false">IFERROR(VLOOKUP(A41,'Dados-Status-Invest'!$1:$1000,3,FALSE())/100,"")</f>
        <v>0.065</v>
      </c>
      <c r="L41" s="11" t="n">
        <f aca="false">IFERROR(VLOOKUP(A41,'Dados-Status-Invest'!$1:$1000,MATCH(L$1,'Dados-Status-Invest'!$2:$2,0),FALSE())/100,"")</f>
        <v>0.1357</v>
      </c>
      <c r="M41" s="10" t="n">
        <f aca="false">IFERROR(VLOOKUP(A41,'Dados-Status-Invest'!$1:$1000,MATCH(M$1,'Dados-Status-Invest'!$2:$2,0),FALSE())/100,"")</f>
        <v>0.0156</v>
      </c>
      <c r="N41" s="10" t="n">
        <f aca="false">IFERROR(VLOOKUP(A41,'Dados-Status-Invest'!$1:$1000,MATCH(N$1,'Dados-Status-Invest'!$2:$2,0),FALSE())/100,"")</f>
        <v>0</v>
      </c>
      <c r="O41" s="10" t="n">
        <f aca="false">IFERROR(VLOOKUP(A41,'Dados-Status-Invest'!$1:$1000,MATCH(O$1,'Dados-Status-Invest'!$2:$2,0),FALSE())/100,"")</f>
        <v>0.4393</v>
      </c>
      <c r="P41" s="10" t="n">
        <f aca="false">IFERROR(VLOOKUP(A41,'Dados-Status-Invest'!$1:$1000,MATCH(P$1,'Dados-Status-Invest'!$2:$2,0),FALSE())/100,"")</f>
        <v>0.589</v>
      </c>
      <c r="Q41" s="10" t="n">
        <f aca="false">IFERROR(VLOOKUP(A41,'Dados-Status-Invest'!$1:$1000,MATCH(Q$1,'Dados-Status-Invest'!$2:$2,0),FALSE())/100,"")</f>
        <v>0.3831</v>
      </c>
      <c r="R41" s="12" t="n">
        <f aca="false">IFERROR(VLOOKUP(A41,'Dados-Status-Invest'!$1:$1000,MATCH(R$1,'Dados-Status-Invest'!$2:$2,0),FALSE()),"")</f>
        <v>3.51</v>
      </c>
      <c r="S41" s="12" t="n">
        <f aca="false">IFERROR(VLOOKUP(A41,'Dados-Status-Invest'!$1:$1000,MATCH(S$1,'Dados-Status-Invest'!$2:$2,0),FALSE()),"")</f>
        <v>0.48</v>
      </c>
      <c r="T41" s="12" t="n">
        <f aca="false">IFERROR(VLOOKUP(A41,'Dados-Status-Invest'!$1:$1000,MATCH(T$1,'Dados-Status-Invest'!$2:$2,0),FALSE()),"")</f>
        <v>2.28</v>
      </c>
      <c r="U41" s="12" t="n">
        <f aca="false">IFERROR(VLOOKUP(A41,'Dados-Status-Invest'!$1:$1000,MATCH(U$1,'Dados-Status-Invest'!$2:$2,0),FALSE()),"")</f>
        <v>0</v>
      </c>
      <c r="V41" s="12" t="n">
        <f aca="false">IFERROR(VLOOKUP(A41,'Dados-Status-Invest'!$1:$1000,MATCH(V$1,'Dados-Status-Invest'!$2:$2,0),FALSE()),"")</f>
        <v>0</v>
      </c>
      <c r="W41" s="10" t="n">
        <f aca="false">IFERROR(VLOOKUP(A41,'Dados-Status-Invest'!$1:$1000,MATCH(W$1,'Dados-Status-Invest'!$2:$2,0),FALSE())/100,"")</f>
        <v>-0.0812</v>
      </c>
      <c r="X41" s="10" t="n">
        <f aca="false">IFERROR(VLOOKUP(A41,'Dados-Status-Invest'!$1:$1000,MATCH(X$1,'Dados-Status-Invest'!$2:$2,0),FALSE())/100,"")</f>
        <v>0.013</v>
      </c>
    </row>
    <row r="42" customFormat="false" ht="15.75" hidden="false" customHeight="false" outlineLevel="0" collapsed="false">
      <c r="A42" s="6" t="s">
        <v>69</v>
      </c>
      <c r="B42" s="7" t="str">
        <f aca="false">IFERROR(VLOOKUP(LEFT(A42,4),Setor!A:D,2,FALSE()),"")</f>
        <v>Financeiro</v>
      </c>
      <c r="C42" s="8" t="n">
        <f aca="false">IFERROR(__xludf.dummyfunction("IFERROR(IFERROR(GOOGLEFINANCE(A48,""price""),VLOOKUP(A48,'Dados-Status-Invest'!A:B,2,FALSE)),"""")"),37.2)</f>
        <v>37.2</v>
      </c>
      <c r="D42" s="8" t="n">
        <f aca="false">IFERROR(VLOOKUP(A42,'Dados-Status-Invest'!$1:$1000,MATCH(D$1,'Dados-Status-Invest'!$2:$2,0),FALSE()),"")</f>
        <v>92753548937</v>
      </c>
      <c r="E42" s="8" t="n">
        <f aca="false">IF(D42+H42&gt;0,D42+H42,"")</f>
        <v>92753548937</v>
      </c>
      <c r="F42" s="8" t="n">
        <f aca="false">IFERROR(D42/VLOOKUP(A42,'Dados-Status-Invest'!$1:$1000,5,FALSE()),"")</f>
        <v>127059656079</v>
      </c>
      <c r="G42" s="8" t="n">
        <f aca="false">IFERROR(D42/VLOOKUP(A42,'Dados-Status-Invest'!$1:$1000,6,FALSE()),"")</f>
        <v>1855070978748</v>
      </c>
      <c r="H42" s="8" t="n">
        <f aca="false">IFERROR(VLOOKUP(A42,'Dados-Status-Invest'!$1:$1000,12,FALSE())*J42,"")</f>
        <v>0</v>
      </c>
      <c r="I42" s="8" t="n">
        <f aca="false">IFERROR(D42/VLOOKUP(A42,'Dados-Status-Invest'!$1:$1000,14,FALSE()),"")</f>
        <v>105401760156</v>
      </c>
      <c r="J42" s="9" t="n">
        <f aca="false">IFERROR(D42/VLOOKUP(A42,'Dados-Status-Invest'!$1:$1000,10,FALSE()),"")</f>
        <v>12653963020</v>
      </c>
      <c r="K42" s="10" t="n">
        <f aca="false">IFERROR(VLOOKUP(A42,'Dados-Status-Invest'!$1:$1000,3,FALSE())/100,"")</f>
        <v>0.0625</v>
      </c>
      <c r="L42" s="11" t="n">
        <f aca="false">IFERROR(VLOOKUP(A42,'Dados-Status-Invest'!$1:$1000,MATCH(L$1,'Dados-Status-Invest'!$2:$2,0),FALSE())/100,"")</f>
        <v>0.1057</v>
      </c>
      <c r="M42" s="10" t="n">
        <f aca="false">IFERROR(VLOOKUP(A42,'Dados-Status-Invest'!$1:$1000,MATCH(M$1,'Dados-Status-Invest'!$2:$2,0),FALSE())/100,"")</f>
        <v>0.0071</v>
      </c>
      <c r="N42" s="10" t="n">
        <f aca="false">IFERROR(VLOOKUP(A42,'Dados-Status-Invest'!$1:$1000,MATCH(N$1,'Dados-Status-Invest'!$2:$2,0),FALSE())/100,"")</f>
        <v>0</v>
      </c>
      <c r="O42" s="10" t="n">
        <f aca="false">IFERROR(VLOOKUP(A42,'Dados-Status-Invest'!$1:$1000,MATCH(O$1,'Dados-Status-Invest'!$2:$2,0),FALSE())/100,"")</f>
        <v>0.2846</v>
      </c>
      <c r="P42" s="10" t="n">
        <f aca="false">IFERROR(VLOOKUP(A42,'Dados-Status-Invest'!$1:$1000,MATCH(P$1,'Dados-Status-Invest'!$2:$2,0),FALSE())/100,"")</f>
        <v>0.1198</v>
      </c>
      <c r="Q42" s="10" t="n">
        <f aca="false">IFERROR(VLOOKUP(A42,'Dados-Status-Invest'!$1:$1000,MATCH(Q$1,'Dados-Status-Invest'!$2:$2,0),FALSE())/100,"")</f>
        <v>0.1278</v>
      </c>
      <c r="R42" s="12" t="n">
        <f aca="false">IFERROR(VLOOKUP(A42,'Dados-Status-Invest'!$1:$1000,MATCH(R$1,'Dados-Status-Invest'!$2:$2,0),FALSE()),"")</f>
        <v>6.87</v>
      </c>
      <c r="S42" s="12" t="n">
        <f aca="false">IFERROR(VLOOKUP(A42,'Dados-Status-Invest'!$1:$1000,MATCH(S$1,'Dados-Status-Invest'!$2:$2,0),FALSE()),"")</f>
        <v>0.73</v>
      </c>
      <c r="T42" s="12" t="n">
        <f aca="false">IFERROR(VLOOKUP(A42,'Dados-Status-Invest'!$1:$1000,MATCH(T$1,'Dados-Status-Invest'!$2:$2,0),FALSE()),"")</f>
        <v>7.34</v>
      </c>
      <c r="U42" s="12" t="n">
        <f aca="false">IFERROR(VLOOKUP(A42,'Dados-Status-Invest'!$1:$1000,MATCH(U$1,'Dados-Status-Invest'!$2:$2,0),FALSE()),"")</f>
        <v>13.92</v>
      </c>
      <c r="V42" s="12" t="n">
        <f aca="false">IFERROR(VLOOKUP(A42,'Dados-Status-Invest'!$1:$1000,MATCH(V$1,'Dados-Status-Invest'!$2:$2,0),FALSE()),"")</f>
        <v>0</v>
      </c>
      <c r="W42" s="10" t="n">
        <f aca="false">IFERROR(VLOOKUP(A42,'Dados-Status-Invest'!$1:$1000,MATCH(W$1,'Dados-Status-Invest'!$2:$2,0),FALSE())/100,"")</f>
        <v>-0.1156</v>
      </c>
      <c r="X42" s="10" t="n">
        <f aca="false">IFERROR(VLOOKUP(A42,'Dados-Status-Invest'!$1:$1000,MATCH(X$1,'Dados-Status-Invest'!$2:$2,0),FALSE())/100,"")</f>
        <v>-0.0339</v>
      </c>
    </row>
    <row r="43" customFormat="false" ht="15.75" hidden="false" customHeight="false" outlineLevel="0" collapsed="false">
      <c r="A43" s="6" t="s">
        <v>70</v>
      </c>
      <c r="B43" s="7" t="str">
        <f aca="false">IFERROR(VLOOKUP(LEFT(A43,4),Setor!A:D,2,FALSE()),"")</f>
        <v>Financeiro</v>
      </c>
      <c r="C43" s="8" t="n">
        <f aca="false">IFERROR(__xludf.dummyfunction("IFERROR(IFERROR(GOOGLEFINANCE(A49,""price""),VLOOKUP(A49,'Dados-Status-Invest'!A:B,2,FALSE)),"""")"),16.47)</f>
        <v>16.47</v>
      </c>
      <c r="D43" s="8" t="n">
        <f aca="false">IFERROR(VLOOKUP(A43,'Dados-Status-Invest'!$1:$1000,MATCH(D$1,'Dados-Status-Invest'!$2:$2,0),FALSE()),"")</f>
        <v>234282188269</v>
      </c>
      <c r="E43" s="8" t="n">
        <f aca="false">IF(D43+H43&gt;0,D43+H43,"")</f>
        <v>234282188269</v>
      </c>
      <c r="F43" s="8" t="n">
        <f aca="false">IFERROR(D43/VLOOKUP(A43,'Dados-Status-Invest'!$1:$1000,5,FALSE()),"")</f>
        <v>158298775858</v>
      </c>
      <c r="G43" s="8" t="n">
        <f aca="false">IFERROR(D43/VLOOKUP(A43,'Dados-Status-Invest'!$1:$1000,6,FALSE()),"")</f>
        <v>1561881255128</v>
      </c>
      <c r="H43" s="8" t="n">
        <f aca="false">IFERROR(VLOOKUP(A43,'Dados-Status-Invest'!$1:$1000,12,FALSE())*J43,"")</f>
        <v>0</v>
      </c>
      <c r="I43" s="8" t="n">
        <f aca="false">IFERROR(D43/VLOOKUP(A43,'Dados-Status-Invest'!$1:$1000,14,FALSE()),"")</f>
        <v>95236661898</v>
      </c>
      <c r="J43" s="9" t="n">
        <f aca="false">IFERROR(D43/VLOOKUP(A43,'Dados-Status-Invest'!$1:$1000,10,FALSE()),"")</f>
        <v>19605204039</v>
      </c>
      <c r="K43" s="10" t="n">
        <f aca="false">IFERROR(VLOOKUP(A43,'Dados-Status-Invest'!$1:$1000,3,FALSE())/100,"")</f>
        <v>0.0274</v>
      </c>
      <c r="L43" s="11" t="n">
        <f aca="false">IFERROR(VLOOKUP(A43,'Dados-Status-Invest'!$1:$1000,MATCH(L$1,'Dados-Status-Invest'!$2:$2,0),FALSE())/100,"")</f>
        <v>0.1339</v>
      </c>
      <c r="M43" s="10" t="n">
        <f aca="false">IFERROR(VLOOKUP(A43,'Dados-Status-Invest'!$1:$1000,MATCH(M$1,'Dados-Status-Invest'!$2:$2,0),FALSE())/100,"")</f>
        <v>0.0139</v>
      </c>
      <c r="N43" s="10" t="n">
        <f aca="false">IFERROR(VLOOKUP(A43,'Dados-Status-Invest'!$1:$1000,MATCH(N$1,'Dados-Status-Invest'!$2:$2,0),FALSE())/100,"")</f>
        <v>0</v>
      </c>
      <c r="O43" s="10" t="n">
        <f aca="false">IFERROR(VLOOKUP(A43,'Dados-Status-Invest'!$1:$1000,MATCH(O$1,'Dados-Status-Invest'!$2:$2,0),FALSE())/100,"")</f>
        <v>0.3657</v>
      </c>
      <c r="P43" s="10" t="n">
        <f aca="false">IFERROR(VLOOKUP(A43,'Dados-Status-Invest'!$1:$1000,MATCH(P$1,'Dados-Status-Invest'!$2:$2,0),FALSE())/100,"")</f>
        <v>0.206</v>
      </c>
      <c r="Q43" s="10" t="n">
        <f aca="false">IFERROR(VLOOKUP(A43,'Dados-Status-Invest'!$1:$1000,MATCH(Q$1,'Dados-Status-Invest'!$2:$2,0),FALSE())/100,"")</f>
        <v>0.2222</v>
      </c>
      <c r="R43" s="12" t="n">
        <f aca="false">IFERROR(VLOOKUP(A43,'Dados-Status-Invest'!$1:$1000,MATCH(R$1,'Dados-Status-Invest'!$2:$2,0),FALSE()),"")</f>
        <v>11.08</v>
      </c>
      <c r="S43" s="12" t="n">
        <f aca="false">IFERROR(VLOOKUP(A43,'Dados-Status-Invest'!$1:$1000,MATCH(S$1,'Dados-Status-Invest'!$2:$2,0),FALSE()),"")</f>
        <v>1.48</v>
      </c>
      <c r="T43" s="12" t="n">
        <f aca="false">IFERROR(VLOOKUP(A43,'Dados-Status-Invest'!$1:$1000,MATCH(T$1,'Dados-Status-Invest'!$2:$2,0),FALSE()),"")</f>
        <v>13.08</v>
      </c>
      <c r="U43" s="12" t="n">
        <f aca="false">IFERROR(VLOOKUP(A43,'Dados-Status-Invest'!$1:$1000,MATCH(U$1,'Dados-Status-Invest'!$2:$2,0),FALSE()),"")</f>
        <v>6.19</v>
      </c>
      <c r="V43" s="12" t="n">
        <f aca="false">IFERROR(VLOOKUP(A43,'Dados-Status-Invest'!$1:$1000,MATCH(V$1,'Dados-Status-Invest'!$2:$2,0),FALSE()),"")</f>
        <v>0</v>
      </c>
      <c r="W43" s="10" t="n">
        <f aca="false">IFERROR(VLOOKUP(A43,'Dados-Status-Invest'!$1:$1000,MATCH(W$1,'Dados-Status-Invest'!$2:$2,0),FALSE())/100,"")</f>
        <v>-0.03</v>
      </c>
      <c r="X43" s="10" t="n">
        <f aca="false">IFERROR(VLOOKUP(A43,'Dados-Status-Invest'!$1:$1000,MATCH(X$1,'Dados-Status-Invest'!$2:$2,0),FALSE())/100,"")</f>
        <v>-0.0254</v>
      </c>
    </row>
    <row r="44" customFormat="false" ht="15.75" hidden="false" customHeight="false" outlineLevel="0" collapsed="false">
      <c r="A44" s="6" t="s">
        <v>71</v>
      </c>
      <c r="B44" s="7" t="str">
        <f aca="false">IFERROR(VLOOKUP(LEFT(A44,4),Setor!A:D,2,FALSE()),"")</f>
        <v>Financeiro</v>
      </c>
      <c r="C44" s="8" t="n">
        <f aca="false">IFERROR(__xludf.dummyfunction("IFERROR(IFERROR(GOOGLEFINANCE(A50,""price""),VLOOKUP(A50,'Dados-Status-Invest'!A:B,2,FALSE)),"""")"),20.08)</f>
        <v>20.08</v>
      </c>
      <c r="D44" s="8" t="n">
        <f aca="false">IFERROR(VLOOKUP(A44,'Dados-Status-Invest'!$1:$1000,MATCH(D$1,'Dados-Status-Invest'!$2:$2,0),FALSE()),"")</f>
        <v>234282188269</v>
      </c>
      <c r="E44" s="8" t="n">
        <f aca="false">IF(D44+H44&gt;0,D44+H44,"")</f>
        <v>234282188269</v>
      </c>
      <c r="F44" s="8" t="n">
        <f aca="false">IFERROR(D44/VLOOKUP(A44,'Dados-Status-Invest'!$1:$1000,5,FALSE()),"")</f>
        <v>133114879698</v>
      </c>
      <c r="G44" s="8" t="n">
        <f aca="false">IFERROR(D44/VLOOKUP(A44,'Dados-Status-Invest'!$1:$1000,6,FALSE()),"")</f>
        <v>1301567712607</v>
      </c>
      <c r="H44" s="8" t="n">
        <f aca="false">IFERROR(VLOOKUP(A44,'Dados-Status-Invest'!$1:$1000,12,FALSE())*J44,"")</f>
        <v>0</v>
      </c>
      <c r="I44" s="8" t="n">
        <f aca="false">IFERROR(D44/VLOOKUP(A44,'Dados-Status-Invest'!$1:$1000,14,FALSE()),"")</f>
        <v>80233626120</v>
      </c>
      <c r="J44" s="9" t="n">
        <f aca="false">IFERROR(D44/VLOOKUP(A44,'Dados-Status-Invest'!$1:$1000,10,FALSE()),"")</f>
        <v>16557045107</v>
      </c>
      <c r="K44" s="10" t="n">
        <f aca="false">IFERROR(VLOOKUP(A44,'Dados-Status-Invest'!$1:$1000,3,FALSE())/100,"")</f>
        <v>0.0255</v>
      </c>
      <c r="L44" s="11" t="n">
        <f aca="false">IFERROR(VLOOKUP(A44,'Dados-Status-Invest'!$1:$1000,MATCH(L$1,'Dados-Status-Invest'!$2:$2,0),FALSE())/100,"")</f>
        <v>0.1339</v>
      </c>
      <c r="M44" s="10" t="n">
        <f aca="false">IFERROR(VLOOKUP(A44,'Dados-Status-Invest'!$1:$1000,MATCH(M$1,'Dados-Status-Invest'!$2:$2,0),FALSE())/100,"")</f>
        <v>0.0139</v>
      </c>
      <c r="N44" s="10" t="n">
        <f aca="false">IFERROR(VLOOKUP(A44,'Dados-Status-Invest'!$1:$1000,MATCH(N$1,'Dados-Status-Invest'!$2:$2,0),FALSE())/100,"")</f>
        <v>0</v>
      </c>
      <c r="O44" s="10" t="n">
        <f aca="false">IFERROR(VLOOKUP(A44,'Dados-Status-Invest'!$1:$1000,MATCH(O$1,'Dados-Status-Invest'!$2:$2,0),FALSE())/100,"")</f>
        <v>0.3657</v>
      </c>
      <c r="P44" s="10" t="n">
        <f aca="false">IFERROR(VLOOKUP(A44,'Dados-Status-Invest'!$1:$1000,MATCH(P$1,'Dados-Status-Invest'!$2:$2,0),FALSE())/100,"")</f>
        <v>0.206</v>
      </c>
      <c r="Q44" s="10" t="n">
        <f aca="false">IFERROR(VLOOKUP(A44,'Dados-Status-Invest'!$1:$1000,MATCH(Q$1,'Dados-Status-Invest'!$2:$2,0),FALSE())/100,"")</f>
        <v>0.2222</v>
      </c>
      <c r="R44" s="12" t="n">
        <f aca="false">IFERROR(VLOOKUP(A44,'Dados-Status-Invest'!$1:$1000,MATCH(R$1,'Dados-Status-Invest'!$2:$2,0),FALSE()),"")</f>
        <v>13.12</v>
      </c>
      <c r="S44" s="12" t="n">
        <f aca="false">IFERROR(VLOOKUP(A44,'Dados-Status-Invest'!$1:$1000,MATCH(S$1,'Dados-Status-Invest'!$2:$2,0),FALSE()),"")</f>
        <v>1.76</v>
      </c>
      <c r="T44" s="12" t="n">
        <f aca="false">IFERROR(VLOOKUP(A44,'Dados-Status-Invest'!$1:$1000,MATCH(T$1,'Dados-Status-Invest'!$2:$2,0),FALSE()),"")</f>
        <v>13.08</v>
      </c>
      <c r="U44" s="12" t="n">
        <f aca="false">IFERROR(VLOOKUP(A44,'Dados-Status-Invest'!$1:$1000,MATCH(U$1,'Dados-Status-Invest'!$2:$2,0),FALSE()),"")</f>
        <v>6.19</v>
      </c>
      <c r="V44" s="12" t="n">
        <f aca="false">IFERROR(VLOOKUP(A44,'Dados-Status-Invest'!$1:$1000,MATCH(V$1,'Dados-Status-Invest'!$2:$2,0),FALSE()),"")</f>
        <v>0</v>
      </c>
      <c r="W44" s="10" t="n">
        <f aca="false">IFERROR(VLOOKUP(A44,'Dados-Status-Invest'!$1:$1000,MATCH(W$1,'Dados-Status-Invest'!$2:$2,0),FALSE())/100,"")</f>
        <v>-0.03</v>
      </c>
      <c r="X44" s="10" t="n">
        <f aca="false">IFERROR(VLOOKUP(A44,'Dados-Status-Invest'!$1:$1000,MATCH(X$1,'Dados-Status-Invest'!$2:$2,0),FALSE())/100,"")</f>
        <v>-0.0254</v>
      </c>
    </row>
    <row r="45" customFormat="false" ht="15.75" hidden="false" customHeight="false" outlineLevel="0" collapsed="false">
      <c r="A45" s="6" t="s">
        <v>72</v>
      </c>
      <c r="B45" s="7" t="str">
        <f aca="false">IFERROR(VLOOKUP(LEFT(A45,4),Setor!A:D,2,FALSE()),"")</f>
        <v>Bens Industriais</v>
      </c>
      <c r="C45" s="8" t="n">
        <f aca="false">IFERROR(__xludf.dummyfunction("IFERROR(IFERROR(GOOGLEFINANCE(A51,""price""),VLOOKUP(A51,'Dados-Status-Invest'!A:B,2,FALSE)),"""")"),0)</f>
        <v>0</v>
      </c>
      <c r="D45" s="8" t="n">
        <f aca="false">IFERROR(VLOOKUP(A45,'Dados-Status-Invest'!$1:$1000,MATCH(D$1,'Dados-Status-Invest'!$2:$2,0),FALSE()),"")</f>
        <v>160451699192</v>
      </c>
      <c r="E45" s="8" t="n">
        <f aca="false">IF(D45+H45&gt;0,D45+H45,"")</f>
        <v>160728854223</v>
      </c>
      <c r="F45" s="8" t="n">
        <f aca="false">IFERROR(D45/VLOOKUP(A45,'Dados-Status-Invest'!$1:$1000,5,FALSE()),"")</f>
        <v>126717078.5</v>
      </c>
      <c r="G45" s="8" t="n">
        <f aca="false">IFERROR(D45/VLOOKUP(A45,'Dados-Status-Invest'!$1:$1000,6,FALSE()),"")</f>
        <v>912383141.1</v>
      </c>
      <c r="H45" s="8" t="n">
        <f aca="false">IFERROR(VLOOKUP(A45,'Dados-Status-Invest'!$1:$1000,12,FALSE())*J45,"")</f>
        <v>277155031</v>
      </c>
      <c r="I45" s="8" t="n">
        <f aca="false">IFERROR(D45/VLOOKUP(A45,'Dados-Status-Invest'!$1:$1000,14,FALSE()),"")</f>
        <v>1073902009</v>
      </c>
      <c r="J45" s="9" t="n">
        <f aca="false">IFERROR(D45/VLOOKUP(A45,'Dados-Status-Invest'!$1:$1000,10,FALSE()),"")</f>
        <v>36954004.14</v>
      </c>
      <c r="K45" s="10" t="n">
        <f aca="false">IFERROR(VLOOKUP(A45,'Dados-Status-Invest'!$1:$1000,3,FALSE())/100,"")</f>
        <v>0.0001</v>
      </c>
      <c r="L45" s="11" t="n">
        <f aca="false">IFERROR(VLOOKUP(A45,'Dados-Status-Invest'!$1:$1000,MATCH(L$1,'Dados-Status-Invest'!$2:$2,0),FALSE())/100,"")</f>
        <v>0.0847</v>
      </c>
      <c r="M45" s="10" t="n">
        <f aca="false">IFERROR(VLOOKUP(A45,'Dados-Status-Invest'!$1:$1000,MATCH(M$1,'Dados-Status-Invest'!$2:$2,0),FALSE())/100,"")</f>
        <v>0.0118</v>
      </c>
      <c r="N45" s="10" t="n">
        <f aca="false">IFERROR(VLOOKUP(A45,'Dados-Status-Invest'!$1:$1000,MATCH(N$1,'Dados-Status-Invest'!$2:$2,0),FALSE())/100,"")</f>
        <v>0.0661</v>
      </c>
      <c r="O45" s="10" t="n">
        <f aca="false">IFERROR(VLOOKUP(A45,'Dados-Status-Invest'!$1:$1000,MATCH(O$1,'Dados-Status-Invest'!$2:$2,0),FALSE())/100,"")</f>
        <v>0.1227</v>
      </c>
      <c r="P45" s="10" t="n">
        <f aca="false">IFERROR(VLOOKUP(A45,'Dados-Status-Invest'!$1:$1000,MATCH(P$1,'Dados-Status-Invest'!$2:$2,0),FALSE())/100,"")</f>
        <v>0.0344</v>
      </c>
      <c r="Q45" s="10" t="n">
        <f aca="false">IFERROR(VLOOKUP(A45,'Dados-Status-Invest'!$1:$1000,MATCH(Q$1,'Dados-Status-Invest'!$2:$2,0),FALSE())/100,"")</f>
        <v>0.01</v>
      </c>
      <c r="R45" s="12" t="n">
        <f aca="false">IFERROR(VLOOKUP(A45,'Dados-Status-Invest'!$1:$1000,MATCH(R$1,'Dados-Status-Invest'!$2:$2,0),FALSE()),"")</f>
        <v>14941.03</v>
      </c>
      <c r="S45" s="12" t="n">
        <f aca="false">IFERROR(VLOOKUP(A45,'Dados-Status-Invest'!$1:$1000,MATCH(S$1,'Dados-Status-Invest'!$2:$2,0),FALSE()),"")</f>
        <v>1266.22</v>
      </c>
      <c r="T45" s="12" t="n">
        <f aca="false">IFERROR(VLOOKUP(A45,'Dados-Status-Invest'!$1:$1000,MATCH(T$1,'Dados-Status-Invest'!$2:$2,0),FALSE()),"")</f>
        <v>4349.43</v>
      </c>
      <c r="U45" s="12" t="n">
        <f aca="false">IFERROR(VLOOKUP(A45,'Dados-Status-Invest'!$1:$1000,MATCH(U$1,'Dados-Status-Invest'!$2:$2,0),FALSE()),"")</f>
        <v>1.17</v>
      </c>
      <c r="V45" s="12" t="n">
        <f aca="false">IFERROR(VLOOKUP(A45,'Dados-Status-Invest'!$1:$1000,MATCH(V$1,'Dados-Status-Invest'!$2:$2,0),FALSE()),"")</f>
        <v>7.5</v>
      </c>
      <c r="W45" s="10" t="n">
        <f aca="false">IFERROR(VLOOKUP(A45,'Dados-Status-Invest'!$1:$1000,MATCH(W$1,'Dados-Status-Invest'!$2:$2,0),FALSE())/100,"")</f>
        <v>0.4538</v>
      </c>
      <c r="X45" s="10" t="n">
        <f aca="false">IFERROR(VLOOKUP(A45,'Dados-Status-Invest'!$1:$1000,MATCH(X$1,'Dados-Status-Invest'!$2:$2,0),FALSE())/100,"")</f>
        <v>0.2557</v>
      </c>
    </row>
    <row r="46" customFormat="false" ht="15.75" hidden="false" customHeight="false" outlineLevel="0" collapsed="false">
      <c r="A46" s="6" t="s">
        <v>73</v>
      </c>
      <c r="B46" s="7" t="str">
        <f aca="false">IFERROR(VLOOKUP(LEFT(A46,4),Setor!A:D,2,FALSE()),"")</f>
        <v>Financeiro</v>
      </c>
      <c r="C46" s="8" t="n">
        <f aca="false">IFERROR(__xludf.dummyfunction("IFERROR(IFERROR(GOOGLEFINANCE(A52,""price""),VLOOKUP(A52,'Dados-Status-Invest'!A:B,2,FALSE)),"""")"),0.7)</f>
        <v>0.7</v>
      </c>
      <c r="D46" s="8" t="n">
        <f aca="false">IFERROR(VLOOKUP(A46,'Dados-Status-Invest'!$1:$1000,MATCH(D$1,'Dados-Status-Invest'!$2:$2,0),FALSE()),"")</f>
        <v>182193831.7</v>
      </c>
      <c r="E46" s="8" t="n">
        <f aca="false">IF(D46+H46&gt;0,D46+H46,"")</f>
        <v>148184316.45</v>
      </c>
      <c r="F46" s="8" t="n">
        <f aca="false">IFERROR(D46/VLOOKUP(A46,'Dados-Status-Invest'!$1:$1000,5,FALSE()),"")</f>
        <v>53903500.5</v>
      </c>
      <c r="G46" s="8" t="n">
        <f aca="false">IFERROR(D46/VLOOKUP(A46,'Dados-Status-Invest'!$1:$1000,6,FALSE()),"")</f>
        <v>191782980.7</v>
      </c>
      <c r="H46" s="8" t="n">
        <f aca="false">IFERROR(VLOOKUP(A46,'Dados-Status-Invest'!$1:$1000,12,FALSE())*J46,"")</f>
        <v>-34009515.25</v>
      </c>
      <c r="I46" s="8" t="n">
        <f aca="false">IFERROR(D46/VLOOKUP(A46,'Dados-Status-Invest'!$1:$1000,14,FALSE()),"")</f>
        <v>102356085.2</v>
      </c>
      <c r="J46" s="9" t="n">
        <f aca="false">IFERROR(D46/VLOOKUP(A46,'Dados-Status-Invest'!$1:$1000,10,FALSE()),"")</f>
        <v>-121462554.5</v>
      </c>
      <c r="K46" s="10" t="n">
        <f aca="false">IFERROR(VLOOKUP(A46,'Dados-Status-Invest'!$1:$1000,3,FALSE())/100,"")</f>
        <v>0</v>
      </c>
      <c r="L46" s="11" t="n">
        <f aca="false">IFERROR(VLOOKUP(A46,'Dados-Status-Invest'!$1:$1000,MATCH(L$1,'Dados-Status-Invest'!$2:$2,0),FALSE())/100,"")</f>
        <v>-2.4234</v>
      </c>
      <c r="M46" s="10" t="n">
        <f aca="false">IFERROR(VLOOKUP(A46,'Dados-Status-Invest'!$1:$1000,MATCH(M$1,'Dados-Status-Invest'!$2:$2,0),FALSE())/100,"")</f>
        <v>-0.6806</v>
      </c>
      <c r="N46" s="10" t="n">
        <f aca="false">IFERROR(VLOOKUP(A46,'Dados-Status-Invest'!$1:$1000,MATCH(N$1,'Dados-Status-Invest'!$2:$2,0),FALSE())/100,"")</f>
        <v>-2.2344</v>
      </c>
      <c r="O46" s="10" t="n">
        <f aca="false">IFERROR(VLOOKUP(A46,'Dados-Status-Invest'!$1:$1000,MATCH(O$1,'Dados-Status-Invest'!$2:$2,0),FALSE())/100,"")</f>
        <v>0.6012</v>
      </c>
      <c r="P46" s="10" t="n">
        <f aca="false">IFERROR(VLOOKUP(A46,'Dados-Status-Invest'!$1:$1000,MATCH(P$1,'Dados-Status-Invest'!$2:$2,0),FALSE())/100,"")</f>
        <v>-1.1842</v>
      </c>
      <c r="Q46" s="10" t="n">
        <f aca="false">IFERROR(VLOOKUP(A46,'Dados-Status-Invest'!$1:$1000,MATCH(Q$1,'Dados-Status-Invest'!$2:$2,0),FALSE())/100,"")</f>
        <v>-1.2765</v>
      </c>
      <c r="R46" s="12" t="n">
        <f aca="false">IFERROR(VLOOKUP(A46,'Dados-Status-Invest'!$1:$1000,MATCH(R$1,'Dados-Status-Invest'!$2:$2,0),FALSE()),"")</f>
        <v>-1.39</v>
      </c>
      <c r="S46" s="12" t="n">
        <f aca="false">IFERROR(VLOOKUP(A46,'Dados-Status-Invest'!$1:$1000,MATCH(S$1,'Dados-Status-Invest'!$2:$2,0),FALSE()),"")</f>
        <v>3.38</v>
      </c>
      <c r="T46" s="12" t="n">
        <f aca="false">IFERROR(VLOOKUP(A46,'Dados-Status-Invest'!$1:$1000,MATCH(T$1,'Dados-Status-Invest'!$2:$2,0),FALSE()),"")</f>
        <v>-1.23</v>
      </c>
      <c r="U46" s="12" t="n">
        <f aca="false">IFERROR(VLOOKUP(A46,'Dados-Status-Invest'!$1:$1000,MATCH(U$1,'Dados-Status-Invest'!$2:$2,0),FALSE()),"")</f>
        <v>0.75</v>
      </c>
      <c r="V46" s="12" t="n">
        <f aca="false">IFERROR(VLOOKUP(A46,'Dados-Status-Invest'!$1:$1000,MATCH(V$1,'Dados-Status-Invest'!$2:$2,0),FALSE()),"")</f>
        <v>0.28</v>
      </c>
      <c r="W46" s="10" t="n">
        <f aca="false">IFERROR(VLOOKUP(A46,'Dados-Status-Invest'!$1:$1000,MATCH(W$1,'Dados-Status-Invest'!$2:$2,0),FALSE())/100,"")</f>
        <v>-0.0938</v>
      </c>
      <c r="X46" s="10" t="n">
        <f aca="false">IFERROR(VLOOKUP(A46,'Dados-Status-Invest'!$1:$1000,MATCH(X$1,'Dados-Status-Invest'!$2:$2,0),FALSE())/100,"")</f>
        <v>0</v>
      </c>
    </row>
    <row r="47" customFormat="false" ht="15.75" hidden="false" customHeight="false" outlineLevel="0" collapsed="false">
      <c r="A47" s="6" t="s">
        <v>74</v>
      </c>
      <c r="B47" s="7" t="str">
        <f aca="false">IFERROR(VLOOKUP(LEFT(A47,4),Setor!A:D,2,FALSE()),"")</f>
        <v>Financeiro</v>
      </c>
      <c r="C47" s="8" t="n">
        <f aca="false">IFERROR(__xludf.dummyfunction("IFERROR(IFERROR(GOOGLEFINANCE(A53,""price""),VLOOKUP(A53,'Dados-Status-Invest'!A:B,2,FALSE)),"""")"),25.59)</f>
        <v>25.59</v>
      </c>
      <c r="D47" s="8" t="n">
        <f aca="false">IFERROR(VLOOKUP(A47,'Dados-Status-Invest'!$1:$1000,MATCH(D$1,'Dados-Status-Invest'!$2:$2,0),FALSE()),"")</f>
        <v>47360000000</v>
      </c>
      <c r="E47" s="8" t="n">
        <f aca="false">IF(D47+H47&gt;0,D47+H47,"")</f>
        <v>47360000000</v>
      </c>
      <c r="F47" s="8" t="n">
        <f aca="false">IFERROR(D47/VLOOKUP(A47,'Dados-Status-Invest'!$1:$1000,5,FALSE()),"")</f>
        <v>7175757576</v>
      </c>
      <c r="G47" s="8" t="n">
        <f aca="false">IFERROR(D47/VLOOKUP(A47,'Dados-Status-Invest'!$1:$1000,6,FALSE()),"")</f>
        <v>10363238512</v>
      </c>
      <c r="H47" s="8" t="n">
        <f aca="false">IFERROR(VLOOKUP(A47,'Dados-Status-Invest'!$1:$1000,12,FALSE())*J47,"")</f>
        <v>0</v>
      </c>
      <c r="I47" s="8" t="str">
        <f aca="false">IFERROR(D47/VLOOKUP(A47,'Dados-Status-Invest'!$1:$1000,14,FALSE()),"")</f>
        <v/>
      </c>
      <c r="J47" s="9" t="n">
        <f aca="false">IFERROR(D47/VLOOKUP(A47,'Dados-Status-Invest'!$1:$1000,10,FALSE()),"")</f>
        <v>4923076923</v>
      </c>
      <c r="K47" s="10" t="n">
        <f aca="false">IFERROR(VLOOKUP(A47,'Dados-Status-Invest'!$1:$1000,3,FALSE())/100,"")</f>
        <v>0.0572</v>
      </c>
      <c r="L47" s="11" t="n">
        <f aca="false">IFERROR(VLOOKUP(A47,'Dados-Status-Invest'!$1:$1000,MATCH(L$1,'Dados-Status-Invest'!$2:$2,0),FALSE())/100,"")</f>
        <v>0.5506</v>
      </c>
      <c r="M47" s="10" t="n">
        <f aca="false">IFERROR(VLOOKUP(A47,'Dados-Status-Invest'!$1:$1000,MATCH(M$1,'Dados-Status-Invest'!$2:$2,0),FALSE())/100,"")</f>
        <v>0.3817</v>
      </c>
      <c r="N47" s="10" t="n">
        <f aca="false">IFERROR(VLOOKUP(A47,'Dados-Status-Invest'!$1:$1000,MATCH(N$1,'Dados-Status-Invest'!$2:$2,0),FALSE())/100,"")</f>
        <v>0</v>
      </c>
      <c r="O47" s="10" t="n">
        <f aca="false">IFERROR(VLOOKUP(A47,'Dados-Status-Invest'!$1:$1000,MATCH(O$1,'Dados-Status-Invest'!$2:$2,0),FALSE())/100,"")</f>
        <v>0</v>
      </c>
      <c r="P47" s="10" t="n">
        <f aca="false">IFERROR(VLOOKUP(A47,'Dados-Status-Invest'!$1:$1000,MATCH(P$1,'Dados-Status-Invest'!$2:$2,0),FALSE())/100,"")</f>
        <v>0</v>
      </c>
      <c r="Q47" s="10" t="n">
        <f aca="false">IFERROR(VLOOKUP(A47,'Dados-Status-Invest'!$1:$1000,MATCH(Q$1,'Dados-Status-Invest'!$2:$2,0),FALSE())/100,"")</f>
        <v>0</v>
      </c>
      <c r="R47" s="12" t="n">
        <f aca="false">IFERROR(VLOOKUP(A47,'Dados-Status-Invest'!$1:$1000,MATCH(R$1,'Dados-Status-Invest'!$2:$2,0),FALSE()),"")</f>
        <v>11.98</v>
      </c>
      <c r="S47" s="12" t="n">
        <f aca="false">IFERROR(VLOOKUP(A47,'Dados-Status-Invest'!$1:$1000,MATCH(S$1,'Dados-Status-Invest'!$2:$2,0),FALSE()),"")</f>
        <v>6.6</v>
      </c>
      <c r="T47" s="12" t="n">
        <f aca="false">IFERROR(VLOOKUP(A47,'Dados-Status-Invest'!$1:$1000,MATCH(T$1,'Dados-Status-Invest'!$2:$2,0),FALSE()),"")</f>
        <v>9.64</v>
      </c>
      <c r="U47" s="12" t="n">
        <f aca="false">IFERROR(VLOOKUP(A47,'Dados-Status-Invest'!$1:$1000,MATCH(U$1,'Dados-Status-Invest'!$2:$2,0),FALSE()),"")</f>
        <v>2.2</v>
      </c>
      <c r="V47" s="12" t="n">
        <f aca="false">IFERROR(VLOOKUP(A47,'Dados-Status-Invest'!$1:$1000,MATCH(V$1,'Dados-Status-Invest'!$2:$2,0),FALSE()),"")</f>
        <v>0</v>
      </c>
      <c r="W47" s="10" t="n">
        <f aca="false">IFERROR(VLOOKUP(A47,'Dados-Status-Invest'!$1:$1000,MATCH(W$1,'Dados-Status-Invest'!$2:$2,0),FALSE())/100,"")</f>
        <v>0</v>
      </c>
      <c r="X47" s="10" t="n">
        <f aca="false">IFERROR(VLOOKUP(A47,'Dados-Status-Invest'!$1:$1000,MATCH(X$1,'Dados-Status-Invest'!$2:$2,0),FALSE())/100,"")</f>
        <v>-0.0176</v>
      </c>
    </row>
    <row r="48" customFormat="false" ht="15.75" hidden="false" customHeight="false" outlineLevel="0" collapsed="false">
      <c r="A48" s="6" t="s">
        <v>75</v>
      </c>
      <c r="B48" s="7" t="str">
        <f aca="false">IFERROR(VLOOKUP(LEFT(A48,4),Setor!A:D,2,FALSE()),"")</f>
        <v>Bens Industriais</v>
      </c>
      <c r="C48" s="8" t="n">
        <f aca="false">IFERROR(__xludf.dummyfunction("IFERROR(IFERROR(GOOGLEFINANCE(A54,""price""),VLOOKUP(A54,'Dados-Status-Invest'!A:B,2,FALSE)),"""")"),11)</f>
        <v>11</v>
      </c>
      <c r="D48" s="8" t="n">
        <f aca="false">IFERROR(VLOOKUP(A48,'Dados-Status-Invest'!$1:$1000,MATCH(D$1,'Dados-Status-Invest'!$2:$2,0),FALSE()),"")</f>
        <v>20814273.92</v>
      </c>
      <c r="E48" s="8" t="n">
        <f aca="false">IF(D48+H48&gt;0,D48+H48,"")</f>
        <v>265233319.12</v>
      </c>
      <c r="F48" s="8" t="n">
        <f aca="false">IFERROR(D48/VLOOKUP(A48,'Dados-Status-Invest'!$1:$1000,5,FALSE()),"")</f>
        <v>-173452282.7</v>
      </c>
      <c r="G48" s="8" t="n">
        <f aca="false">IFERROR(D48/VLOOKUP(A48,'Dados-Status-Invest'!$1:$1000,6,FALSE()),"")</f>
        <v>693809130.7</v>
      </c>
      <c r="H48" s="8" t="n">
        <f aca="false">IFERROR(VLOOKUP(A48,'Dados-Status-Invest'!$1:$1000,12,FALSE())*J48,"")</f>
        <v>244419045.2</v>
      </c>
      <c r="I48" s="8" t="n">
        <f aca="false">IFERROR(D48/VLOOKUP(A48,'Dados-Status-Invest'!$1:$1000,14,FALSE()),"")</f>
        <v>17060880.26</v>
      </c>
      <c r="J48" s="9" t="n">
        <f aca="false">IFERROR(D48/VLOOKUP(A48,'Dados-Status-Invest'!$1:$1000,10,FALSE()),"")</f>
        <v>-59469354.06</v>
      </c>
      <c r="K48" s="10" t="n">
        <f aca="false">IFERROR(VLOOKUP(A48,'Dados-Status-Invest'!$1:$1000,3,FALSE())/100,"")</f>
        <v>0</v>
      </c>
      <c r="L48" s="11" t="n">
        <f aca="false">IFERROR(VLOOKUP(A48,'Dados-Status-Invest'!$1:$1000,MATCH(L$1,'Dados-Status-Invest'!$2:$2,0),FALSE())/100,"")</f>
        <v>-0.3527</v>
      </c>
      <c r="M48" s="10" t="n">
        <f aca="false">IFERROR(VLOOKUP(A48,'Dados-Status-Invest'!$1:$1000,MATCH(M$1,'Dados-Status-Invest'!$2:$2,0),FALSE())/100,"")</f>
        <v>-0.0881</v>
      </c>
      <c r="N48" s="10" t="n">
        <f aca="false">IFERROR(VLOOKUP(A48,'Dados-Status-Invest'!$1:$1000,MATCH(N$1,'Dados-Status-Invest'!$2:$2,0),FALSE())/100,"")</f>
        <v>-0.8953</v>
      </c>
      <c r="O48" s="10" t="n">
        <f aca="false">IFERROR(VLOOKUP(A48,'Dados-Status-Invest'!$1:$1000,MATCH(O$1,'Dados-Status-Invest'!$2:$2,0),FALSE())/100,"")</f>
        <v>-1.1902</v>
      </c>
      <c r="P48" s="10" t="n">
        <f aca="false">IFERROR(VLOOKUP(A48,'Dados-Status-Invest'!$1:$1000,MATCH(P$1,'Dados-Status-Invest'!$2:$2,0),FALSE())/100,"")</f>
        <v>-3.5349</v>
      </c>
      <c r="Q48" s="10" t="n">
        <f aca="false">IFERROR(VLOOKUP(A48,'Dados-Status-Invest'!$1:$1000,MATCH(Q$1,'Dados-Status-Invest'!$2:$2,0),FALSE())/100,"")</f>
        <v>-3.5</v>
      </c>
      <c r="R48" s="12" t="n">
        <f aca="false">IFERROR(VLOOKUP(A48,'Dados-Status-Invest'!$1:$1000,MATCH(R$1,'Dados-Status-Invest'!$2:$2,0),FALSE()),"")</f>
        <v>-0.35</v>
      </c>
      <c r="S48" s="12" t="n">
        <f aca="false">IFERROR(VLOOKUP(A48,'Dados-Status-Invest'!$1:$1000,MATCH(S$1,'Dados-Status-Invest'!$2:$2,0),FALSE()),"")</f>
        <v>-0.12</v>
      </c>
      <c r="T48" s="12" t="n">
        <f aca="false">IFERROR(VLOOKUP(A48,'Dados-Status-Invest'!$1:$1000,MATCH(T$1,'Dados-Status-Invest'!$2:$2,0),FALSE()),"")</f>
        <v>-4.46</v>
      </c>
      <c r="U48" s="12" t="n">
        <f aca="false">IFERROR(VLOOKUP(A48,'Dados-Status-Invest'!$1:$1000,MATCH(U$1,'Dados-Status-Invest'!$2:$2,0),FALSE()),"")</f>
        <v>0.52</v>
      </c>
      <c r="V48" s="12" t="n">
        <f aca="false">IFERROR(VLOOKUP(A48,'Dados-Status-Invest'!$1:$1000,MATCH(V$1,'Dados-Status-Invest'!$2:$2,0),FALSE()),"")</f>
        <v>-4.11</v>
      </c>
      <c r="W48" s="10" t="n">
        <f aca="false">IFERROR(VLOOKUP(A48,'Dados-Status-Invest'!$1:$1000,MATCH(W$1,'Dados-Status-Invest'!$2:$2,0),FALSE())/100,"")</f>
        <v>-0.4607</v>
      </c>
      <c r="X48" s="10" t="n">
        <f aca="false">IFERROR(VLOOKUP(A48,'Dados-Status-Invest'!$1:$1000,MATCH(X$1,'Dados-Status-Invest'!$2:$2,0),FALSE())/100,"")</f>
        <v>0</v>
      </c>
    </row>
    <row r="49" customFormat="false" ht="15.75" hidden="false" customHeight="false" outlineLevel="0" collapsed="false">
      <c r="A49" s="6" t="s">
        <v>76</v>
      </c>
      <c r="B49" s="7" t="str">
        <f aca="false">IFERROR(VLOOKUP(LEFT(A49,4),Setor!A:D,2,FALSE()),"")</f>
        <v>Bens Industriais</v>
      </c>
      <c r="C49" s="8" t="n">
        <f aca="false">IFERROR(__xludf.dummyfunction("IFERROR(IFERROR(GOOGLEFINANCE(A55,""price""),VLOOKUP(A55,'Dados-Status-Invest'!A:B,2,FALSE)),"""")"),9)</f>
        <v>9</v>
      </c>
      <c r="D49" s="8" t="n">
        <f aca="false">IFERROR(VLOOKUP(A49,'Dados-Status-Invest'!$1:$1000,MATCH(D$1,'Dados-Status-Invest'!$2:$2,0),FALSE()),"")</f>
        <v>20814273.92</v>
      </c>
      <c r="E49" s="8" t="n">
        <f aca="false">IF(D49+H49&gt;0,D49+H49,"")</f>
        <v>265233319.12</v>
      </c>
      <c r="F49" s="8" t="n">
        <f aca="false">IFERROR(D49/VLOOKUP(A49,'Dados-Status-Invest'!$1:$1000,5,FALSE()),"")</f>
        <v>-160109799.4</v>
      </c>
      <c r="G49" s="8" t="n">
        <f aca="false">IFERROR(D49/VLOOKUP(A49,'Dados-Status-Invest'!$1:$1000,6,FALSE()),"")</f>
        <v>693809130.7</v>
      </c>
      <c r="H49" s="8" t="n">
        <f aca="false">IFERROR(VLOOKUP(A49,'Dados-Status-Invest'!$1:$1000,12,FALSE())*J49,"")</f>
        <v>244419045.2</v>
      </c>
      <c r="I49" s="8" t="n">
        <f aca="false">IFERROR(D49/VLOOKUP(A49,'Dados-Status-Invest'!$1:$1000,14,FALSE()),"")</f>
        <v>16651419.14</v>
      </c>
      <c r="J49" s="9" t="n">
        <f aca="false">IFERROR(D49/VLOOKUP(A49,'Dados-Status-Invest'!$1:$1000,10,FALSE()),"")</f>
        <v>-59469354.06</v>
      </c>
      <c r="K49" s="10" t="n">
        <f aca="false">IFERROR(VLOOKUP(A49,'Dados-Status-Invest'!$1:$1000,3,FALSE())/100,"")</f>
        <v>0</v>
      </c>
      <c r="L49" s="11" t="n">
        <f aca="false">IFERROR(VLOOKUP(A49,'Dados-Status-Invest'!$1:$1000,MATCH(L$1,'Dados-Status-Invest'!$2:$2,0),FALSE())/100,"")</f>
        <v>-0.3527</v>
      </c>
      <c r="M49" s="10" t="n">
        <f aca="false">IFERROR(VLOOKUP(A49,'Dados-Status-Invest'!$1:$1000,MATCH(M$1,'Dados-Status-Invest'!$2:$2,0),FALSE())/100,"")</f>
        <v>-0.0881</v>
      </c>
      <c r="N49" s="10" t="n">
        <f aca="false">IFERROR(VLOOKUP(A49,'Dados-Status-Invest'!$1:$1000,MATCH(N$1,'Dados-Status-Invest'!$2:$2,0),FALSE())/100,"")</f>
        <v>-0.8953</v>
      </c>
      <c r="O49" s="10" t="n">
        <f aca="false">IFERROR(VLOOKUP(A49,'Dados-Status-Invest'!$1:$1000,MATCH(O$1,'Dados-Status-Invest'!$2:$2,0),FALSE())/100,"")</f>
        <v>-1.1902</v>
      </c>
      <c r="P49" s="10" t="n">
        <f aca="false">IFERROR(VLOOKUP(A49,'Dados-Status-Invest'!$1:$1000,MATCH(P$1,'Dados-Status-Invest'!$2:$2,0),FALSE())/100,"")</f>
        <v>-3.5349</v>
      </c>
      <c r="Q49" s="10" t="n">
        <f aca="false">IFERROR(VLOOKUP(A49,'Dados-Status-Invest'!$1:$1000,MATCH(Q$1,'Dados-Status-Invest'!$2:$2,0),FALSE())/100,"")</f>
        <v>-3.5</v>
      </c>
      <c r="R49" s="12" t="n">
        <f aca="false">IFERROR(VLOOKUP(A49,'Dados-Status-Invest'!$1:$1000,MATCH(R$1,'Dados-Status-Invest'!$2:$2,0),FALSE()),"")</f>
        <v>-0.36</v>
      </c>
      <c r="S49" s="12" t="n">
        <f aca="false">IFERROR(VLOOKUP(A49,'Dados-Status-Invest'!$1:$1000,MATCH(S$1,'Dados-Status-Invest'!$2:$2,0),FALSE()),"")</f>
        <v>-0.13</v>
      </c>
      <c r="T49" s="12" t="n">
        <f aca="false">IFERROR(VLOOKUP(A49,'Dados-Status-Invest'!$1:$1000,MATCH(T$1,'Dados-Status-Invest'!$2:$2,0),FALSE()),"")</f>
        <v>-4.46</v>
      </c>
      <c r="U49" s="12" t="n">
        <f aca="false">IFERROR(VLOOKUP(A49,'Dados-Status-Invest'!$1:$1000,MATCH(U$1,'Dados-Status-Invest'!$2:$2,0),FALSE()),"")</f>
        <v>0.52</v>
      </c>
      <c r="V49" s="12" t="n">
        <f aca="false">IFERROR(VLOOKUP(A49,'Dados-Status-Invest'!$1:$1000,MATCH(V$1,'Dados-Status-Invest'!$2:$2,0),FALSE()),"")</f>
        <v>-4.11</v>
      </c>
      <c r="W49" s="10" t="n">
        <f aca="false">IFERROR(VLOOKUP(A49,'Dados-Status-Invest'!$1:$1000,MATCH(W$1,'Dados-Status-Invest'!$2:$2,0),FALSE())/100,"")</f>
        <v>-0.4607</v>
      </c>
      <c r="X49" s="10" t="n">
        <f aca="false">IFERROR(VLOOKUP(A49,'Dados-Status-Invest'!$1:$1000,MATCH(X$1,'Dados-Status-Invest'!$2:$2,0),FALSE())/100,"")</f>
        <v>0</v>
      </c>
    </row>
    <row r="50" customFormat="false" ht="15.75" hidden="false" customHeight="false" outlineLevel="0" collapsed="false">
      <c r="A50" s="6" t="s">
        <v>77</v>
      </c>
      <c r="B50" s="7" t="str">
        <f aca="false">IFERROR(VLOOKUP(LEFT(A50,4),Setor!A:D,2,FALSE()),"")</f>
        <v>Consumo não Cíclico</v>
      </c>
      <c r="C50" s="8" t="n">
        <f aca="false">IFERROR(__xludf.dummyfunction("IFERROR(IFERROR(GOOGLEFINANCE(A56,""price""),VLOOKUP(A56,'Dados-Status-Invest'!A:B,2,FALSE)),"""")"),12.79)</f>
        <v>12.79</v>
      </c>
      <c r="D50" s="8" t="n">
        <f aca="false">IFERROR(VLOOKUP(A50,'Dados-Status-Invest'!$1:$1000,MATCH(D$1,'Dados-Status-Invest'!$2:$2,0),FALSE()),"")</f>
        <v>5199539721</v>
      </c>
      <c r="E50" s="8" t="n">
        <f aca="false">IF(D50+H50&gt;0,D50+H50,"")</f>
        <v>10568629651</v>
      </c>
      <c r="F50" s="8" t="n">
        <f aca="false">IFERROR(D50/VLOOKUP(A50,'Dados-Status-Invest'!$1:$1000,5,FALSE()),"")</f>
        <v>1013555501</v>
      </c>
      <c r="G50" s="8" t="n">
        <f aca="false">IFERROR(D50/VLOOKUP(A50,'Dados-Status-Invest'!$1:$1000,6,FALSE()),"")</f>
        <v>17929447314</v>
      </c>
      <c r="H50" s="8" t="n">
        <f aca="false">IFERROR(VLOOKUP(A50,'Dados-Status-Invest'!$1:$1000,12,FALSE())*J50,"")</f>
        <v>5369089930</v>
      </c>
      <c r="I50" s="8" t="n">
        <f aca="false">IFERROR(D50/VLOOKUP(A50,'Dados-Status-Invest'!$1:$1000,14,FALSE()),"")</f>
        <v>20798158885</v>
      </c>
      <c r="J50" s="9" t="n">
        <f aca="false">IFERROR(D50/VLOOKUP(A50,'Dados-Status-Invest'!$1:$1000,10,FALSE()),"")</f>
        <v>1883891203</v>
      </c>
      <c r="K50" s="10" t="n">
        <f aca="false">IFERROR(VLOOKUP(A50,'Dados-Status-Invest'!$1:$1000,3,FALSE())/100,"")</f>
        <v>0.1088</v>
      </c>
      <c r="L50" s="11" t="n">
        <f aca="false">IFERROR(VLOOKUP(A50,'Dados-Status-Invest'!$1:$1000,MATCH(L$1,'Dados-Status-Invest'!$2:$2,0),FALSE())/100,"")</f>
        <v>0.6761</v>
      </c>
      <c r="M50" s="10" t="n">
        <f aca="false">IFERROR(VLOOKUP(A50,'Dados-Status-Invest'!$1:$1000,MATCH(M$1,'Dados-Status-Invest'!$2:$2,0),FALSE())/100,"")</f>
        <v>0.0377</v>
      </c>
      <c r="N50" s="10" t="n">
        <f aca="false">IFERROR(VLOOKUP(A50,'Dados-Status-Invest'!$1:$1000,MATCH(N$1,'Dados-Status-Invest'!$2:$2,0),FALSE())/100,"")</f>
        <v>0.1426</v>
      </c>
      <c r="O50" s="10" t="n">
        <f aca="false">IFERROR(VLOOKUP(A50,'Dados-Status-Invest'!$1:$1000,MATCH(O$1,'Dados-Status-Invest'!$2:$2,0),FALSE())/100,"")</f>
        <v>0.1914</v>
      </c>
      <c r="P50" s="10" t="n">
        <f aca="false">IFERROR(VLOOKUP(A50,'Dados-Status-Invest'!$1:$1000,MATCH(P$1,'Dados-Status-Invest'!$2:$2,0),FALSE())/100,"")</f>
        <v>0.0897</v>
      </c>
      <c r="Q50" s="10" t="n">
        <f aca="false">IFERROR(VLOOKUP(A50,'Dados-Status-Invest'!$1:$1000,MATCH(Q$1,'Dados-Status-Invest'!$2:$2,0),FALSE())/100,"")</f>
        <v>0.0326</v>
      </c>
      <c r="R50" s="12" t="n">
        <f aca="false">IFERROR(VLOOKUP(A50,'Dados-Status-Invest'!$1:$1000,MATCH(R$1,'Dados-Status-Invest'!$2:$2,0),FALSE()),"")</f>
        <v>7.59</v>
      </c>
      <c r="S50" s="12" t="n">
        <f aca="false">IFERROR(VLOOKUP(A50,'Dados-Status-Invest'!$1:$1000,MATCH(S$1,'Dados-Status-Invest'!$2:$2,0),FALSE()),"")</f>
        <v>5.13</v>
      </c>
      <c r="T50" s="12" t="n">
        <f aca="false">IFERROR(VLOOKUP(A50,'Dados-Status-Invest'!$1:$1000,MATCH(T$1,'Dados-Status-Invest'!$2:$2,0),FALSE()),"")</f>
        <v>5.61</v>
      </c>
      <c r="U50" s="12" t="n">
        <f aca="false">IFERROR(VLOOKUP(A50,'Dados-Status-Invest'!$1:$1000,MATCH(U$1,'Dados-Status-Invest'!$2:$2,0),FALSE()),"")</f>
        <v>1.9</v>
      </c>
      <c r="V50" s="12" t="n">
        <f aca="false">IFERROR(VLOOKUP(A50,'Dados-Status-Invest'!$1:$1000,MATCH(V$1,'Dados-Status-Invest'!$2:$2,0),FALSE()),"")</f>
        <v>2.85</v>
      </c>
      <c r="W50" s="10" t="n">
        <f aca="false">IFERROR(VLOOKUP(A50,'Dados-Status-Invest'!$1:$1000,MATCH(W$1,'Dados-Status-Invest'!$2:$2,0),FALSE())/100,"")</f>
        <v>0.153</v>
      </c>
      <c r="X50" s="10" t="n">
        <f aca="false">IFERROR(VLOOKUP(A50,'Dados-Status-Invest'!$1:$1000,MATCH(X$1,'Dados-Status-Invest'!$2:$2,0),FALSE())/100,"")</f>
        <v>0</v>
      </c>
    </row>
    <row r="51" customFormat="false" ht="15.75" hidden="false" customHeight="false" outlineLevel="0" collapsed="false">
      <c r="A51" s="6" t="s">
        <v>78</v>
      </c>
      <c r="B51" s="7" t="str">
        <f aca="false">IFERROR(VLOOKUP(LEFT(A51,4),Setor!A:D,2,FALSE()),"")</f>
        <v>Financeiro</v>
      </c>
      <c r="C51" s="8" t="n">
        <f aca="false">IFERROR(__xludf.dummyfunction("IFERROR(IFERROR(GOOGLEFINANCE(A57,""price""),VLOOKUP(A57,'Dados-Status-Invest'!A:B,2,FALSE)),"""")"),5.03)</f>
        <v>5.03</v>
      </c>
      <c r="D51" s="8" t="n">
        <f aca="false">IFERROR(VLOOKUP(A51,'Dados-Status-Invest'!$1:$1000,MATCH(D$1,'Dados-Status-Invest'!$2:$2,0),FALSE()),"")</f>
        <v>1715886173</v>
      </c>
      <c r="E51" s="8" t="n">
        <f aca="false">IF(D51+H51&gt;0,D51+H51,"")</f>
        <v>1715886173</v>
      </c>
      <c r="F51" s="8" t="n">
        <f aca="false">IFERROR(D51/VLOOKUP(A51,'Dados-Status-Invest'!$1:$1000,5,FALSE()),"")</f>
        <v>1825410823</v>
      </c>
      <c r="G51" s="8" t="n">
        <f aca="false">IFERROR(D51/VLOOKUP(A51,'Dados-Status-Invest'!$1:$1000,6,FALSE()),"")</f>
        <v>34317723464</v>
      </c>
      <c r="H51" s="8" t="n">
        <f aca="false">IFERROR(VLOOKUP(A51,'Dados-Status-Invest'!$1:$1000,12,FALSE())*J51,"")</f>
        <v>0</v>
      </c>
      <c r="I51" s="8" t="n">
        <f aca="false">IFERROR(D51/VLOOKUP(A51,'Dados-Status-Invest'!$1:$1000,14,FALSE()),"")</f>
        <v>1505163310</v>
      </c>
      <c r="J51" s="9" t="n">
        <f aca="false">IFERROR(D51/VLOOKUP(A51,'Dados-Status-Invest'!$1:$1000,10,FALSE()),"")</f>
        <v>341809994.7</v>
      </c>
      <c r="K51" s="10" t="n">
        <f aca="false">IFERROR(VLOOKUP(A51,'Dados-Status-Invest'!$1:$1000,3,FALSE())/100,"")</f>
        <v>0.0417</v>
      </c>
      <c r="L51" s="11" t="n">
        <f aca="false">IFERROR(VLOOKUP(A51,'Dados-Status-Invest'!$1:$1000,MATCH(L$1,'Dados-Status-Invest'!$2:$2,0),FALSE())/100,"")</f>
        <v>0.1191</v>
      </c>
      <c r="M51" s="10" t="n">
        <f aca="false">IFERROR(VLOOKUP(A51,'Dados-Status-Invest'!$1:$1000,MATCH(M$1,'Dados-Status-Invest'!$2:$2,0),FALSE())/100,"")</f>
        <v>0.0065</v>
      </c>
      <c r="N51" s="10" t="n">
        <f aca="false">IFERROR(VLOOKUP(A51,'Dados-Status-Invest'!$1:$1000,MATCH(N$1,'Dados-Status-Invest'!$2:$2,0),FALSE())/100,"")</f>
        <v>0</v>
      </c>
      <c r="O51" s="10" t="n">
        <f aca="false">IFERROR(VLOOKUP(A51,'Dados-Status-Invest'!$1:$1000,MATCH(O$1,'Dados-Status-Invest'!$2:$2,0),FALSE())/100,"")</f>
        <v>0.5144</v>
      </c>
      <c r="P51" s="10" t="n">
        <f aca="false">IFERROR(VLOOKUP(A51,'Dados-Status-Invest'!$1:$1000,MATCH(P$1,'Dados-Status-Invest'!$2:$2,0),FALSE())/100,"")</f>
        <v>0.2272</v>
      </c>
      <c r="Q51" s="10" t="n">
        <f aca="false">IFERROR(VLOOKUP(A51,'Dados-Status-Invest'!$1:$1000,MATCH(Q$1,'Dados-Status-Invest'!$2:$2,0),FALSE())/100,"")</f>
        <v>0.1443</v>
      </c>
      <c r="R51" s="12" t="n">
        <f aca="false">IFERROR(VLOOKUP(A51,'Dados-Status-Invest'!$1:$1000,MATCH(R$1,'Dados-Status-Invest'!$2:$2,0),FALSE()),"")</f>
        <v>7.91</v>
      </c>
      <c r="S51" s="12" t="n">
        <f aca="false">IFERROR(VLOOKUP(A51,'Dados-Status-Invest'!$1:$1000,MATCH(S$1,'Dados-Status-Invest'!$2:$2,0),FALSE()),"")</f>
        <v>0.94</v>
      </c>
      <c r="T51" s="12" t="n">
        <f aca="false">IFERROR(VLOOKUP(A51,'Dados-Status-Invest'!$1:$1000,MATCH(T$1,'Dados-Status-Invest'!$2:$2,0),FALSE()),"")</f>
        <v>5.19</v>
      </c>
      <c r="U51" s="12" t="n">
        <f aca="false">IFERROR(VLOOKUP(A51,'Dados-Status-Invest'!$1:$1000,MATCH(U$1,'Dados-Status-Invest'!$2:$2,0),FALSE()),"")</f>
        <v>0</v>
      </c>
      <c r="V51" s="12" t="n">
        <f aca="false">IFERROR(VLOOKUP(A51,'Dados-Status-Invest'!$1:$1000,MATCH(V$1,'Dados-Status-Invest'!$2:$2,0),FALSE()),"")</f>
        <v>0</v>
      </c>
      <c r="W51" s="10" t="n">
        <f aca="false">IFERROR(VLOOKUP(A51,'Dados-Status-Invest'!$1:$1000,MATCH(W$1,'Dados-Status-Invest'!$2:$2,0),FALSE())/100,"")</f>
        <v>-0.0716</v>
      </c>
      <c r="X51" s="10" t="n">
        <f aca="false">IFERROR(VLOOKUP(A51,'Dados-Status-Invest'!$1:$1000,MATCH(X$1,'Dados-Status-Invest'!$2:$2,0),FALSE())/100,"")</f>
        <v>0.0723</v>
      </c>
    </row>
    <row r="52" customFormat="false" ht="15.75" hidden="false" customHeight="false" outlineLevel="0" collapsed="false">
      <c r="A52" s="6" t="s">
        <v>79</v>
      </c>
      <c r="B52" s="7" t="str">
        <f aca="false">IFERROR(VLOOKUP(LEFT(A52,4),Setor!A:D,2,FALSE()),"")</f>
        <v>Financeiro</v>
      </c>
      <c r="C52" s="8" t="n">
        <f aca="false">IFERROR(__xludf.dummyfunction("IFERROR(IFERROR(GOOGLEFINANCE(A58,""price""),VLOOKUP(A58,'Dados-Status-Invest'!A:B,2,FALSE)),"""")"),5.43)</f>
        <v>5.43</v>
      </c>
      <c r="D52" s="8" t="n">
        <f aca="false">IFERROR(VLOOKUP(A52,'Dados-Status-Invest'!$1:$1000,MATCH(D$1,'Dados-Status-Invest'!$2:$2,0),FALSE()),"")</f>
        <v>1715886173</v>
      </c>
      <c r="E52" s="8" t="n">
        <f aca="false">IF(D52+H52&gt;0,D52+H52,"")</f>
        <v>1715886173</v>
      </c>
      <c r="F52" s="8" t="n">
        <f aca="false">IFERROR(D52/VLOOKUP(A52,'Dados-Status-Invest'!$1:$1000,5,FALSE()),"")</f>
        <v>1588783494</v>
      </c>
      <c r="G52" s="8" t="n">
        <f aca="false">IFERROR(D52/VLOOKUP(A52,'Dados-Status-Invest'!$1:$1000,6,FALSE()),"")</f>
        <v>28598102887</v>
      </c>
      <c r="H52" s="8" t="n">
        <f aca="false">IFERROR(VLOOKUP(A52,'Dados-Status-Invest'!$1:$1000,12,FALSE())*J52,"")</f>
        <v>0</v>
      </c>
      <c r="I52" s="8" t="n">
        <f aca="false">IFERROR(D52/VLOOKUP(A52,'Dados-Status-Invest'!$1:$1000,14,FALSE()),"")</f>
        <v>1319912441</v>
      </c>
      <c r="J52" s="9" t="n">
        <f aca="false">IFERROR(D52/VLOOKUP(A52,'Dados-Status-Invest'!$1:$1000,10,FALSE()),"")</f>
        <v>298934873.4</v>
      </c>
      <c r="K52" s="10" t="n">
        <f aca="false">IFERROR(VLOOKUP(A52,'Dados-Status-Invest'!$1:$1000,3,FALSE())/100,"")</f>
        <v>0.0365</v>
      </c>
      <c r="L52" s="11" t="n">
        <f aca="false">IFERROR(VLOOKUP(A52,'Dados-Status-Invest'!$1:$1000,MATCH(L$1,'Dados-Status-Invest'!$2:$2,0),FALSE())/100,"")</f>
        <v>0.1191</v>
      </c>
      <c r="M52" s="10" t="n">
        <f aca="false">IFERROR(VLOOKUP(A52,'Dados-Status-Invest'!$1:$1000,MATCH(M$1,'Dados-Status-Invest'!$2:$2,0),FALSE())/100,"")</f>
        <v>0.0065</v>
      </c>
      <c r="N52" s="10" t="n">
        <f aca="false">IFERROR(VLOOKUP(A52,'Dados-Status-Invest'!$1:$1000,MATCH(N$1,'Dados-Status-Invest'!$2:$2,0),FALSE())/100,"")</f>
        <v>0</v>
      </c>
      <c r="O52" s="10" t="n">
        <f aca="false">IFERROR(VLOOKUP(A52,'Dados-Status-Invest'!$1:$1000,MATCH(O$1,'Dados-Status-Invest'!$2:$2,0),FALSE())/100,"")</f>
        <v>0.5144</v>
      </c>
      <c r="P52" s="10" t="n">
        <f aca="false">IFERROR(VLOOKUP(A52,'Dados-Status-Invest'!$1:$1000,MATCH(P$1,'Dados-Status-Invest'!$2:$2,0),FALSE())/100,"")</f>
        <v>0.2272</v>
      </c>
      <c r="Q52" s="10" t="n">
        <f aca="false">IFERROR(VLOOKUP(A52,'Dados-Status-Invest'!$1:$1000,MATCH(Q$1,'Dados-Status-Invest'!$2:$2,0),FALSE())/100,"")</f>
        <v>0.1443</v>
      </c>
      <c r="R52" s="12" t="n">
        <f aca="false">IFERROR(VLOOKUP(A52,'Dados-Status-Invest'!$1:$1000,MATCH(R$1,'Dados-Status-Invest'!$2:$2,0),FALSE()),"")</f>
        <v>9.04</v>
      </c>
      <c r="S52" s="12" t="n">
        <f aca="false">IFERROR(VLOOKUP(A52,'Dados-Status-Invest'!$1:$1000,MATCH(S$1,'Dados-Status-Invest'!$2:$2,0),FALSE()),"")</f>
        <v>1.08</v>
      </c>
      <c r="T52" s="12" t="n">
        <f aca="false">IFERROR(VLOOKUP(A52,'Dados-Status-Invest'!$1:$1000,MATCH(T$1,'Dados-Status-Invest'!$2:$2,0),FALSE()),"")</f>
        <v>5.19</v>
      </c>
      <c r="U52" s="12" t="n">
        <f aca="false">IFERROR(VLOOKUP(A52,'Dados-Status-Invest'!$1:$1000,MATCH(U$1,'Dados-Status-Invest'!$2:$2,0),FALSE()),"")</f>
        <v>0</v>
      </c>
      <c r="V52" s="12" t="n">
        <f aca="false">IFERROR(VLOOKUP(A52,'Dados-Status-Invest'!$1:$1000,MATCH(V$1,'Dados-Status-Invest'!$2:$2,0),FALSE()),"")</f>
        <v>0</v>
      </c>
      <c r="W52" s="10" t="n">
        <f aca="false">IFERROR(VLOOKUP(A52,'Dados-Status-Invest'!$1:$1000,MATCH(W$1,'Dados-Status-Invest'!$2:$2,0),FALSE())/100,"")</f>
        <v>-0.0716</v>
      </c>
      <c r="X52" s="10" t="n">
        <f aca="false">IFERROR(VLOOKUP(A52,'Dados-Status-Invest'!$1:$1000,MATCH(X$1,'Dados-Status-Invest'!$2:$2,0),FALSE())/100,"")</f>
        <v>0.0723</v>
      </c>
    </row>
    <row r="53" customFormat="false" ht="15.75" hidden="false" customHeight="false" outlineLevel="0" collapsed="false">
      <c r="A53" s="6" t="s">
        <v>80</v>
      </c>
      <c r="B53" s="7" t="str">
        <f aca="false">IFERROR(VLOOKUP(LEFT(A53,4),Setor!A:D,2,FALSE()),"")</f>
        <v>Financeiro</v>
      </c>
      <c r="C53" s="8" t="n">
        <f aca="false">IFERROR(__xludf.dummyfunction("IFERROR(IFERROR(GOOGLEFINANCE(A59,""price""),VLOOKUP(A59,'Dados-Status-Invest'!A:B,2,FALSE)),"""")"),0)</f>
        <v>0</v>
      </c>
      <c r="D53" s="8" t="n">
        <f aca="false">IFERROR(VLOOKUP(A53,'Dados-Status-Invest'!$1:$1000,MATCH(D$1,'Dados-Status-Invest'!$2:$2,0),FALSE()),"")</f>
        <v>0</v>
      </c>
      <c r="E53" s="8" t="str">
        <f aca="false">IF(D53+H53&gt;0,D53+H53,"")</f>
        <v/>
      </c>
      <c r="F53" s="8" t="str">
        <f aca="false">IFERROR(D53/VLOOKUP(A53,'Dados-Status-Invest'!$1:$1000,5,FALSE()),"")</f>
        <v/>
      </c>
      <c r="G53" s="8" t="str">
        <f aca="false">IFERROR(D53/VLOOKUP(A53,'Dados-Status-Invest'!$1:$1000,6,FALSE()),"")</f>
        <v/>
      </c>
      <c r="H53" s="8" t="n">
        <f aca="false">IFERROR(VLOOKUP(A53,'Dados-Status-Invest'!$1:$1000,12,FALSE())*J53,"")</f>
        <v>0</v>
      </c>
      <c r="I53" s="8" t="str">
        <f aca="false">IFERROR(D53/VLOOKUP(A53,'Dados-Status-Invest'!$1:$1000,14,FALSE()),"")</f>
        <v/>
      </c>
      <c r="J53" s="9" t="str">
        <f aca="false">IFERROR(D53/VLOOKUP(A53,'Dados-Status-Invest'!$1:$1000,10,FALSE()),"")</f>
        <v/>
      </c>
      <c r="K53" s="10" t="n">
        <f aca="false">IFERROR(VLOOKUP(A53,'Dados-Status-Invest'!$1:$1000,3,FALSE())/100,"")</f>
        <v>0</v>
      </c>
      <c r="L53" s="11" t="n">
        <f aca="false">IFERROR(VLOOKUP(A53,'Dados-Status-Invest'!$1:$1000,MATCH(L$1,'Dados-Status-Invest'!$2:$2,0),FALSE())/100,"")</f>
        <v>0.0471</v>
      </c>
      <c r="M53" s="10" t="n">
        <f aca="false">IFERROR(VLOOKUP(A53,'Dados-Status-Invest'!$1:$1000,MATCH(M$1,'Dados-Status-Invest'!$2:$2,0),FALSE())/100,"")</f>
        <v>0.0456</v>
      </c>
      <c r="N53" s="10" t="n">
        <f aca="false">IFERROR(VLOOKUP(A53,'Dados-Status-Invest'!$1:$1000,MATCH(N$1,'Dados-Status-Invest'!$2:$2,0),FALSE())/100,"")</f>
        <v>-0.0039</v>
      </c>
      <c r="O53" s="10" t="n">
        <f aca="false">IFERROR(VLOOKUP(A53,'Dados-Status-Invest'!$1:$1000,MATCH(O$1,'Dados-Status-Invest'!$2:$2,0),FALSE())/100,"")</f>
        <v>0</v>
      </c>
      <c r="P53" s="10" t="n">
        <f aca="false">IFERROR(VLOOKUP(A53,'Dados-Status-Invest'!$1:$1000,MATCH(P$1,'Dados-Status-Invest'!$2:$2,0),FALSE())/100,"")</f>
        <v>0</v>
      </c>
      <c r="Q53" s="10" t="n">
        <f aca="false">IFERROR(VLOOKUP(A53,'Dados-Status-Invest'!$1:$1000,MATCH(Q$1,'Dados-Status-Invest'!$2:$2,0),FALSE())/100,"")</f>
        <v>0</v>
      </c>
      <c r="R53" s="12" t="n">
        <f aca="false">IFERROR(VLOOKUP(A53,'Dados-Status-Invest'!$1:$1000,MATCH(R$1,'Dados-Status-Invest'!$2:$2,0),FALSE()),"")</f>
        <v>0</v>
      </c>
      <c r="S53" s="12" t="n">
        <f aca="false">IFERROR(VLOOKUP(A53,'Dados-Status-Invest'!$1:$1000,MATCH(S$1,'Dados-Status-Invest'!$2:$2,0),FALSE()),"")</f>
        <v>0</v>
      </c>
      <c r="T53" s="12" t="n">
        <f aca="false">IFERROR(VLOOKUP(A53,'Dados-Status-Invest'!$1:$1000,MATCH(T$1,'Dados-Status-Invest'!$2:$2,0),FALSE()),"")</f>
        <v>0</v>
      </c>
      <c r="U53" s="12" t="n">
        <f aca="false">IFERROR(VLOOKUP(A53,'Dados-Status-Invest'!$1:$1000,MATCH(U$1,'Dados-Status-Invest'!$2:$2,0),FALSE()),"")</f>
        <v>19.68</v>
      </c>
      <c r="V53" s="12" t="n">
        <f aca="false">IFERROR(VLOOKUP(A53,'Dados-Status-Invest'!$1:$1000,MATCH(V$1,'Dados-Status-Invest'!$2:$2,0),FALSE()),"")</f>
        <v>-14.51</v>
      </c>
      <c r="W53" s="10" t="n">
        <f aca="false">IFERROR(VLOOKUP(A53,'Dados-Status-Invest'!$1:$1000,MATCH(W$1,'Dados-Status-Invest'!$2:$2,0),FALSE())/100,"")</f>
        <v>0</v>
      </c>
      <c r="X53" s="10" t="n">
        <f aca="false">IFERROR(VLOOKUP(A53,'Dados-Status-Invest'!$1:$1000,MATCH(X$1,'Dados-Status-Invest'!$2:$2,0),FALSE())/100,"")</f>
        <v>-0.034</v>
      </c>
    </row>
    <row r="54" customFormat="false" ht="15.75" hidden="false" customHeight="false" outlineLevel="0" collapsed="false">
      <c r="A54" s="6" t="s">
        <v>81</v>
      </c>
      <c r="B54" s="7" t="str">
        <f aca="false">IFERROR(VLOOKUP(LEFT(A54,4),Setor!A:D,2,FALSE()),"")</f>
        <v>Financeiro</v>
      </c>
      <c r="C54" s="8" t="n">
        <f aca="false">IFERROR(__xludf.dummyfunction("IFERROR(IFERROR(GOOGLEFINANCE(A60,""price""),VLOOKUP(A60,'Dados-Status-Invest'!A:B,2,FALSE)),"""")"),0)</f>
        <v>0</v>
      </c>
      <c r="D54" s="8" t="n">
        <f aca="false">IFERROR(VLOOKUP(A54,'Dados-Status-Invest'!$1:$1000,MATCH(D$1,'Dados-Status-Invest'!$2:$2,0),FALSE()),"")</f>
        <v>0</v>
      </c>
      <c r="E54" s="8" t="str">
        <f aca="false">IF(D54+H54&gt;0,D54+H54,"")</f>
        <v/>
      </c>
      <c r="F54" s="8" t="str">
        <f aca="false">IFERROR(D54/VLOOKUP(A54,'Dados-Status-Invest'!$1:$1000,5,FALSE()),"")</f>
        <v/>
      </c>
      <c r="G54" s="8" t="str">
        <f aca="false">IFERROR(D54/VLOOKUP(A54,'Dados-Status-Invest'!$1:$1000,6,FALSE()),"")</f>
        <v/>
      </c>
      <c r="H54" s="8" t="n">
        <f aca="false">IFERROR(VLOOKUP(A54,'Dados-Status-Invest'!$1:$1000,12,FALSE())*J54,"")</f>
        <v>0</v>
      </c>
      <c r="I54" s="8" t="str">
        <f aca="false">IFERROR(D54/VLOOKUP(A54,'Dados-Status-Invest'!$1:$1000,14,FALSE()),"")</f>
        <v/>
      </c>
      <c r="J54" s="9" t="str">
        <f aca="false">IFERROR(D54/VLOOKUP(A54,'Dados-Status-Invest'!$1:$1000,10,FALSE()),"")</f>
        <v/>
      </c>
      <c r="K54" s="10" t="n">
        <f aca="false">IFERROR(VLOOKUP(A54,'Dados-Status-Invest'!$1:$1000,3,FALSE())/100,"")</f>
        <v>0</v>
      </c>
      <c r="L54" s="11" t="n">
        <f aca="false">IFERROR(VLOOKUP(A54,'Dados-Status-Invest'!$1:$1000,MATCH(L$1,'Dados-Status-Invest'!$2:$2,0),FALSE())/100,"")</f>
        <v>0.0471</v>
      </c>
      <c r="M54" s="10" t="n">
        <f aca="false">IFERROR(VLOOKUP(A54,'Dados-Status-Invest'!$1:$1000,MATCH(M$1,'Dados-Status-Invest'!$2:$2,0),FALSE())/100,"")</f>
        <v>0.0456</v>
      </c>
      <c r="N54" s="10" t="n">
        <f aca="false">IFERROR(VLOOKUP(A54,'Dados-Status-Invest'!$1:$1000,MATCH(N$1,'Dados-Status-Invest'!$2:$2,0),FALSE())/100,"")</f>
        <v>-0.0039</v>
      </c>
      <c r="O54" s="10" t="n">
        <f aca="false">IFERROR(VLOOKUP(A54,'Dados-Status-Invest'!$1:$1000,MATCH(O$1,'Dados-Status-Invest'!$2:$2,0),FALSE())/100,"")</f>
        <v>0</v>
      </c>
      <c r="P54" s="10" t="n">
        <f aca="false">IFERROR(VLOOKUP(A54,'Dados-Status-Invest'!$1:$1000,MATCH(P$1,'Dados-Status-Invest'!$2:$2,0),FALSE())/100,"")</f>
        <v>0</v>
      </c>
      <c r="Q54" s="10" t="n">
        <f aca="false">IFERROR(VLOOKUP(A54,'Dados-Status-Invest'!$1:$1000,MATCH(Q$1,'Dados-Status-Invest'!$2:$2,0),FALSE())/100,"")</f>
        <v>0</v>
      </c>
      <c r="R54" s="12" t="n">
        <f aca="false">IFERROR(VLOOKUP(A54,'Dados-Status-Invest'!$1:$1000,MATCH(R$1,'Dados-Status-Invest'!$2:$2,0),FALSE()),"")</f>
        <v>0</v>
      </c>
      <c r="S54" s="12" t="n">
        <f aca="false">IFERROR(VLOOKUP(A54,'Dados-Status-Invest'!$1:$1000,MATCH(S$1,'Dados-Status-Invest'!$2:$2,0),FALSE()),"")</f>
        <v>0</v>
      </c>
      <c r="T54" s="12" t="n">
        <f aca="false">IFERROR(VLOOKUP(A54,'Dados-Status-Invest'!$1:$1000,MATCH(T$1,'Dados-Status-Invest'!$2:$2,0),FALSE()),"")</f>
        <v>0</v>
      </c>
      <c r="U54" s="12" t="n">
        <f aca="false">IFERROR(VLOOKUP(A54,'Dados-Status-Invest'!$1:$1000,MATCH(U$1,'Dados-Status-Invest'!$2:$2,0),FALSE()),"")</f>
        <v>19.68</v>
      </c>
      <c r="V54" s="12" t="n">
        <f aca="false">IFERROR(VLOOKUP(A54,'Dados-Status-Invest'!$1:$1000,MATCH(V$1,'Dados-Status-Invest'!$2:$2,0),FALSE()),"")</f>
        <v>-14.51</v>
      </c>
      <c r="W54" s="10" t="n">
        <f aca="false">IFERROR(VLOOKUP(A54,'Dados-Status-Invest'!$1:$1000,MATCH(W$1,'Dados-Status-Invest'!$2:$2,0),FALSE())/100,"")</f>
        <v>0</v>
      </c>
      <c r="X54" s="10" t="n">
        <f aca="false">IFERROR(VLOOKUP(A54,'Dados-Status-Invest'!$1:$1000,MATCH(X$1,'Dados-Status-Invest'!$2:$2,0),FALSE())/100,"")</f>
        <v>-0.034</v>
      </c>
    </row>
    <row r="55" customFormat="false" ht="15.75" hidden="false" customHeight="false" outlineLevel="0" collapsed="false">
      <c r="A55" s="6" t="s">
        <v>82</v>
      </c>
      <c r="B55" s="7" t="str">
        <f aca="false">IFERROR(VLOOKUP(LEFT(A55,4),Setor!A:D,2,FALSE()),"")</f>
        <v>Financeiro</v>
      </c>
      <c r="C55" s="8" t="n">
        <f aca="false">IFERROR(__xludf.dummyfunction("IFERROR(IFERROR(GOOGLEFINANCE(A61,""price""),VLOOKUP(A61,'Dados-Status-Invest'!A:B,2,FALSE)),"""")"),29.46)</f>
        <v>29.46</v>
      </c>
      <c r="D55" s="8" t="n">
        <f aca="false">IFERROR(VLOOKUP(A55,'Dados-Status-Invest'!$1:$1000,MATCH(D$1,'Dados-Status-Invest'!$2:$2,0),FALSE()),"")</f>
        <v>465125288.7</v>
      </c>
      <c r="E55" s="8" t="n">
        <f aca="false">IF(D55+H55&gt;0,D55+H55,"")</f>
        <v>465125288.7</v>
      </c>
      <c r="F55" s="8" t="n">
        <f aca="false">IFERROR(D55/VLOOKUP(A55,'Dados-Status-Invest'!$1:$1000,5,FALSE()),"")</f>
        <v>430671563.6</v>
      </c>
      <c r="G55" s="8" t="n">
        <f aca="false">IFERROR(D55/VLOOKUP(A55,'Dados-Status-Invest'!$1:$1000,6,FALSE()),"")</f>
        <v>5814066109</v>
      </c>
      <c r="H55" s="8" t="n">
        <f aca="false">IFERROR(VLOOKUP(A55,'Dados-Status-Invest'!$1:$1000,12,FALSE())*J55,"")</f>
        <v>0</v>
      </c>
      <c r="I55" s="8" t="n">
        <f aca="false">IFERROR(D55/VLOOKUP(A55,'Dados-Status-Invest'!$1:$1000,14,FALSE()),"")</f>
        <v>534626768.6</v>
      </c>
      <c r="J55" s="9" t="n">
        <f aca="false">IFERROR(D55/VLOOKUP(A55,'Dados-Status-Invest'!$1:$1000,10,FALSE()),"")</f>
        <v>77520881.45</v>
      </c>
      <c r="K55" s="10" t="n">
        <f aca="false">IFERROR(VLOOKUP(A55,'Dados-Status-Invest'!$1:$1000,3,FALSE())/100,"")</f>
        <v>0.0276</v>
      </c>
      <c r="L55" s="11" t="n">
        <f aca="false">IFERROR(VLOOKUP(A55,'Dados-Status-Invest'!$1:$1000,MATCH(L$1,'Dados-Status-Invest'!$2:$2,0),FALSE())/100,"")</f>
        <v>0.121</v>
      </c>
      <c r="M55" s="10" t="n">
        <f aca="false">IFERROR(VLOOKUP(A55,'Dados-Status-Invest'!$1:$1000,MATCH(M$1,'Dados-Status-Invest'!$2:$2,0),FALSE())/100,"")</f>
        <v>0.0087</v>
      </c>
      <c r="N55" s="10" t="n">
        <f aca="false">IFERROR(VLOOKUP(A55,'Dados-Status-Invest'!$1:$1000,MATCH(N$1,'Dados-Status-Invest'!$2:$2,0),FALSE())/100,"")</f>
        <v>0</v>
      </c>
      <c r="O55" s="10" t="n">
        <f aca="false">IFERROR(VLOOKUP(A55,'Dados-Status-Invest'!$1:$1000,MATCH(O$1,'Dados-Status-Invest'!$2:$2,0),FALSE())/100,"")</f>
        <v>0.7394</v>
      </c>
      <c r="P55" s="10" t="n">
        <f aca="false">IFERROR(VLOOKUP(A55,'Dados-Status-Invest'!$1:$1000,MATCH(P$1,'Dados-Status-Invest'!$2:$2,0),FALSE())/100,"")</f>
        <v>0.1455</v>
      </c>
      <c r="Q55" s="10" t="n">
        <f aca="false">IFERROR(VLOOKUP(A55,'Dados-Status-Invest'!$1:$1000,MATCH(Q$1,'Dados-Status-Invest'!$2:$2,0),FALSE())/100,"")</f>
        <v>0.0982</v>
      </c>
      <c r="R55" s="12" t="n">
        <f aca="false">IFERROR(VLOOKUP(A55,'Dados-Status-Invest'!$1:$1000,MATCH(R$1,'Dados-Status-Invest'!$2:$2,0),FALSE()),"")</f>
        <v>8.9</v>
      </c>
      <c r="S55" s="12" t="n">
        <f aca="false">IFERROR(VLOOKUP(A55,'Dados-Status-Invest'!$1:$1000,MATCH(S$1,'Dados-Status-Invest'!$2:$2,0),FALSE()),"")</f>
        <v>1.08</v>
      </c>
      <c r="T55" s="12" t="n">
        <f aca="false">IFERROR(VLOOKUP(A55,'Dados-Status-Invest'!$1:$1000,MATCH(T$1,'Dados-Status-Invest'!$2:$2,0),FALSE()),"")</f>
        <v>5.09</v>
      </c>
      <c r="U55" s="12" t="n">
        <f aca="false">IFERROR(VLOOKUP(A55,'Dados-Status-Invest'!$1:$1000,MATCH(U$1,'Dados-Status-Invest'!$2:$2,0),FALSE()),"")</f>
        <v>0.77</v>
      </c>
      <c r="V55" s="12" t="n">
        <f aca="false">IFERROR(VLOOKUP(A55,'Dados-Status-Invest'!$1:$1000,MATCH(V$1,'Dados-Status-Invest'!$2:$2,0),FALSE()),"")</f>
        <v>0</v>
      </c>
      <c r="W55" s="10" t="n">
        <f aca="false">IFERROR(VLOOKUP(A55,'Dados-Status-Invest'!$1:$1000,MATCH(W$1,'Dados-Status-Invest'!$2:$2,0),FALSE())/100,"")</f>
        <v>0.0074</v>
      </c>
      <c r="X55" s="10" t="n">
        <f aca="false">IFERROR(VLOOKUP(A55,'Dados-Status-Invest'!$1:$1000,MATCH(X$1,'Dados-Status-Invest'!$2:$2,0),FALSE())/100,"")</f>
        <v>0.1488</v>
      </c>
    </row>
    <row r="56" customFormat="false" ht="15.75" hidden="false" customHeight="false" outlineLevel="0" collapsed="false">
      <c r="A56" s="6" t="s">
        <v>83</v>
      </c>
      <c r="B56" s="7" t="str">
        <f aca="false">IFERROR(VLOOKUP(LEFT(A56,4),Setor!A:D,2,FALSE()),"")</f>
        <v>Financeiro</v>
      </c>
      <c r="C56" s="8" t="n">
        <f aca="false">IFERROR(__xludf.dummyfunction("IFERROR(IFERROR(GOOGLEFINANCE(A62,""price""),VLOOKUP(A62,'Dados-Status-Invest'!A:B,2,FALSE)),"""")"),22.24)</f>
        <v>22.24</v>
      </c>
      <c r="D56" s="8" t="n">
        <f aca="false">IFERROR(VLOOKUP(A56,'Dados-Status-Invest'!$1:$1000,MATCH(D$1,'Dados-Status-Invest'!$2:$2,0),FALSE()),"")</f>
        <v>465125288.7</v>
      </c>
      <c r="E56" s="8" t="n">
        <f aca="false">IF(D56+H56&gt;0,D56+H56,"")</f>
        <v>465125288.7</v>
      </c>
      <c r="F56" s="8" t="n">
        <f aca="false">IFERROR(D56/VLOOKUP(A56,'Dados-Status-Invest'!$1:$1000,5,FALSE()),"")</f>
        <v>620167051.6</v>
      </c>
      <c r="G56" s="8" t="n">
        <f aca="false">IFERROR(D56/VLOOKUP(A56,'Dados-Status-Invest'!$1:$1000,6,FALSE()),"")</f>
        <v>9302505774</v>
      </c>
      <c r="H56" s="8" t="n">
        <f aca="false">IFERROR(VLOOKUP(A56,'Dados-Status-Invest'!$1:$1000,12,FALSE())*J56,"")</f>
        <v>0</v>
      </c>
      <c r="I56" s="8" t="n">
        <f aca="false">IFERROR(D56/VLOOKUP(A56,'Dados-Status-Invest'!$1:$1000,14,FALSE()),"")</f>
        <v>762500473.3</v>
      </c>
      <c r="J56" s="9" t="n">
        <f aca="false">IFERROR(D56/VLOOKUP(A56,'Dados-Status-Invest'!$1:$1000,10,FALSE()),"")</f>
        <v>111008422.1</v>
      </c>
      <c r="K56" s="10" t="n">
        <f aca="false">IFERROR(VLOOKUP(A56,'Dados-Status-Invest'!$1:$1000,3,FALSE())/100,"")</f>
        <v>0.0436</v>
      </c>
      <c r="L56" s="11" t="n">
        <f aca="false">IFERROR(VLOOKUP(A56,'Dados-Status-Invest'!$1:$1000,MATCH(L$1,'Dados-Status-Invest'!$2:$2,0),FALSE())/100,"")</f>
        <v>0.121</v>
      </c>
      <c r="M56" s="10" t="n">
        <f aca="false">IFERROR(VLOOKUP(A56,'Dados-Status-Invest'!$1:$1000,MATCH(M$1,'Dados-Status-Invest'!$2:$2,0),FALSE())/100,"")</f>
        <v>0.0087</v>
      </c>
      <c r="N56" s="10" t="n">
        <f aca="false">IFERROR(VLOOKUP(A56,'Dados-Status-Invest'!$1:$1000,MATCH(N$1,'Dados-Status-Invest'!$2:$2,0),FALSE())/100,"")</f>
        <v>0</v>
      </c>
      <c r="O56" s="10" t="n">
        <f aca="false">IFERROR(VLOOKUP(A56,'Dados-Status-Invest'!$1:$1000,MATCH(O$1,'Dados-Status-Invest'!$2:$2,0),FALSE())/100,"")</f>
        <v>0.7394</v>
      </c>
      <c r="P56" s="10" t="n">
        <f aca="false">IFERROR(VLOOKUP(A56,'Dados-Status-Invest'!$1:$1000,MATCH(P$1,'Dados-Status-Invest'!$2:$2,0),FALSE())/100,"")</f>
        <v>0.1455</v>
      </c>
      <c r="Q56" s="10" t="n">
        <f aca="false">IFERROR(VLOOKUP(A56,'Dados-Status-Invest'!$1:$1000,MATCH(Q$1,'Dados-Status-Invest'!$2:$2,0),FALSE())/100,"")</f>
        <v>0.0982</v>
      </c>
      <c r="R56" s="12" t="n">
        <f aca="false">IFERROR(VLOOKUP(A56,'Dados-Status-Invest'!$1:$1000,MATCH(R$1,'Dados-Status-Invest'!$2:$2,0),FALSE()),"")</f>
        <v>6.2</v>
      </c>
      <c r="S56" s="12" t="n">
        <f aca="false">IFERROR(VLOOKUP(A56,'Dados-Status-Invest'!$1:$1000,MATCH(S$1,'Dados-Status-Invest'!$2:$2,0),FALSE()),"")</f>
        <v>0.75</v>
      </c>
      <c r="T56" s="12" t="n">
        <f aca="false">IFERROR(VLOOKUP(A56,'Dados-Status-Invest'!$1:$1000,MATCH(T$1,'Dados-Status-Invest'!$2:$2,0),FALSE()),"")</f>
        <v>5.09</v>
      </c>
      <c r="U56" s="12" t="n">
        <f aca="false">IFERROR(VLOOKUP(A56,'Dados-Status-Invest'!$1:$1000,MATCH(U$1,'Dados-Status-Invest'!$2:$2,0),FALSE()),"")</f>
        <v>0.77</v>
      </c>
      <c r="V56" s="12" t="n">
        <f aca="false">IFERROR(VLOOKUP(A56,'Dados-Status-Invest'!$1:$1000,MATCH(V$1,'Dados-Status-Invest'!$2:$2,0),FALSE()),"")</f>
        <v>0</v>
      </c>
      <c r="W56" s="10" t="n">
        <f aca="false">IFERROR(VLOOKUP(A56,'Dados-Status-Invest'!$1:$1000,MATCH(W$1,'Dados-Status-Invest'!$2:$2,0),FALSE())/100,"")</f>
        <v>0.0074</v>
      </c>
      <c r="X56" s="10" t="n">
        <f aca="false">IFERROR(VLOOKUP(A56,'Dados-Status-Invest'!$1:$1000,MATCH(X$1,'Dados-Status-Invest'!$2:$2,0),FALSE())/100,"")</f>
        <v>0.1488</v>
      </c>
    </row>
    <row r="57" customFormat="false" ht="15.75" hidden="false" customHeight="false" outlineLevel="0" collapsed="false">
      <c r="A57" s="6" t="s">
        <v>84</v>
      </c>
      <c r="B57" s="7" t="str">
        <f aca="false">IFERROR(VLOOKUP(LEFT(A57,4),Setor!A:D,2,FALSE()),"")</f>
        <v>Financeiro</v>
      </c>
      <c r="C57" s="8" t="n">
        <f aca="false">IFERROR(__xludf.dummyfunction("IFERROR(IFERROR(GOOGLEFINANCE(A63,""price""),VLOOKUP(A63,'Dados-Status-Invest'!A:B,2,FALSE)),"""")"),14.18)</f>
        <v>14.18</v>
      </c>
      <c r="D57" s="8" t="n">
        <f aca="false">IFERROR(VLOOKUP(A57,'Dados-Status-Invest'!$1:$1000,MATCH(D$1,'Dados-Status-Invest'!$2:$2,0),FALSE()),"")</f>
        <v>56370148122</v>
      </c>
      <c r="E57" s="8" t="n">
        <f aca="false">IF(D57+H57&gt;0,D57+H57,"")</f>
        <v>56370148122</v>
      </c>
      <c r="F57" s="8" t="n">
        <f aca="false">IFERROR(D57/VLOOKUP(A57,'Dados-Status-Invest'!$1:$1000,5,FALSE()),"")</f>
        <v>3222993032</v>
      </c>
      <c r="G57" s="8" t="n">
        <f aca="false">IFERROR(D57/VLOOKUP(A57,'Dados-Status-Invest'!$1:$1000,6,FALSE()),"")</f>
        <v>21112415027</v>
      </c>
      <c r="H57" s="8" t="n">
        <f aca="false">IFERROR(VLOOKUP(A57,'Dados-Status-Invest'!$1:$1000,12,FALSE())*J57,"")</f>
        <v>0</v>
      </c>
      <c r="I57" s="8" t="n">
        <f aca="false">IFERROR(D57/VLOOKUP(A57,'Dados-Status-Invest'!$1:$1000,14,FALSE()),"")</f>
        <v>1081130574</v>
      </c>
      <c r="J57" s="9" t="n">
        <f aca="false">IFERROR(D57/VLOOKUP(A57,'Dados-Status-Invest'!$1:$1000,10,FALSE()),"")</f>
        <v>-62653686.32</v>
      </c>
      <c r="K57" s="10" t="n">
        <f aca="false">IFERROR(VLOOKUP(A57,'Dados-Status-Invest'!$1:$1000,3,FALSE())/100,"")</f>
        <v>0.0006</v>
      </c>
      <c r="L57" s="11" t="n">
        <f aca="false">IFERROR(VLOOKUP(A57,'Dados-Status-Invest'!$1:$1000,MATCH(L$1,'Dados-Status-Invest'!$2:$2,0),FALSE())/100,"")</f>
        <v>0.0054</v>
      </c>
      <c r="M57" s="10" t="n">
        <f aca="false">IFERROR(VLOOKUP(A57,'Dados-Status-Invest'!$1:$1000,MATCH(M$1,'Dados-Status-Invest'!$2:$2,0),FALSE())/100,"")</f>
        <v>0.0008</v>
      </c>
      <c r="N57" s="10" t="n">
        <f aca="false">IFERROR(VLOOKUP(A57,'Dados-Status-Invest'!$1:$1000,MATCH(N$1,'Dados-Status-Invest'!$2:$2,0),FALSE())/100,"")</f>
        <v>0</v>
      </c>
      <c r="O57" s="10" t="n">
        <f aca="false">IFERROR(VLOOKUP(A57,'Dados-Status-Invest'!$1:$1000,MATCH(O$1,'Dados-Status-Invest'!$2:$2,0),FALSE())/100,"")</f>
        <v>0.6024</v>
      </c>
      <c r="P57" s="10" t="n">
        <f aca="false">IFERROR(VLOOKUP(A57,'Dados-Status-Invest'!$1:$1000,MATCH(P$1,'Dados-Status-Invest'!$2:$2,0),FALSE())/100,"")</f>
        <v>-0.0579</v>
      </c>
      <c r="Q57" s="10" t="n">
        <f aca="false">IFERROR(VLOOKUP(A57,'Dados-Status-Invest'!$1:$1000,MATCH(Q$1,'Dados-Status-Invest'!$2:$2,0),FALSE())/100,"")</f>
        <v>0.0161</v>
      </c>
      <c r="R57" s="12" t="n">
        <f aca="false">IFERROR(VLOOKUP(A57,'Dados-Status-Invest'!$1:$1000,MATCH(R$1,'Dados-Status-Invest'!$2:$2,0),FALSE()),"")</f>
        <v>3229.7</v>
      </c>
      <c r="S57" s="12" t="n">
        <f aca="false">IFERROR(VLOOKUP(A57,'Dados-Status-Invest'!$1:$1000,MATCH(S$1,'Dados-Status-Invest'!$2:$2,0),FALSE()),"")</f>
        <v>17.49</v>
      </c>
      <c r="T57" s="12" t="n">
        <f aca="false">IFERROR(VLOOKUP(A57,'Dados-Status-Invest'!$1:$1000,MATCH(T$1,'Dados-Status-Invest'!$2:$2,0),FALSE()),"")</f>
        <v>-894.98</v>
      </c>
      <c r="U57" s="12" t="n">
        <f aca="false">IFERROR(VLOOKUP(A57,'Dados-Status-Invest'!$1:$1000,MATCH(U$1,'Dados-Status-Invest'!$2:$2,0),FALSE()),"")</f>
        <v>0.78</v>
      </c>
      <c r="V57" s="12" t="n">
        <f aca="false">IFERROR(VLOOKUP(A57,'Dados-Status-Invest'!$1:$1000,MATCH(V$1,'Dados-Status-Invest'!$2:$2,0),FALSE()),"")</f>
        <v>0</v>
      </c>
      <c r="W57" s="10" t="n">
        <f aca="false">IFERROR(VLOOKUP(A57,'Dados-Status-Invest'!$1:$1000,MATCH(W$1,'Dados-Status-Invest'!$2:$2,0),FALSE())/100,"")</f>
        <v>0.1414</v>
      </c>
      <c r="X57" s="10" t="n">
        <f aca="false">IFERROR(VLOOKUP(A57,'Dados-Status-Invest'!$1:$1000,MATCH(X$1,'Dados-Status-Invest'!$2:$2,0),FALSE())/100,"")</f>
        <v>0</v>
      </c>
    </row>
    <row r="58" customFormat="false" ht="15.75" hidden="false" customHeight="false" outlineLevel="0" collapsed="false">
      <c r="A58" s="6" t="s">
        <v>85</v>
      </c>
      <c r="B58" s="7" t="str">
        <f aca="false">IFERROR(VLOOKUP(LEFT(A58,4),Setor!A:D,2,FALSE()),"")</f>
        <v>Financeiro</v>
      </c>
      <c r="C58" s="8" t="n">
        <f aca="false">IFERROR(__xludf.dummyfunction("IFERROR(IFERROR(GOOGLEFINANCE(A64,""price""),VLOOKUP(A64,'Dados-Status-Invest'!A:B,2,FALSE)),"""")"),4.71)</f>
        <v>4.71</v>
      </c>
      <c r="D58" s="8" t="n">
        <f aca="false">IFERROR(VLOOKUP(A58,'Dados-Status-Invest'!$1:$1000,MATCH(D$1,'Dados-Status-Invest'!$2:$2,0),FALSE()),"")</f>
        <v>56370148122</v>
      </c>
      <c r="E58" s="8" t="n">
        <f aca="false">IF(D58+H58&gt;0,D58+H58,"")</f>
        <v>56370148122</v>
      </c>
      <c r="F58" s="8" t="n">
        <f aca="false">IFERROR(D58/VLOOKUP(A58,'Dados-Status-Invest'!$1:$1000,5,FALSE()),"")</f>
        <v>3279240728</v>
      </c>
      <c r="G58" s="8" t="n">
        <f aca="false">IFERROR(D58/VLOOKUP(A58,'Dados-Status-Invest'!$1:$1000,6,FALSE()),"")</f>
        <v>21433516396</v>
      </c>
      <c r="H58" s="8" t="n">
        <f aca="false">IFERROR(VLOOKUP(A58,'Dados-Status-Invest'!$1:$1000,12,FALSE())*J58,"")</f>
        <v>0</v>
      </c>
      <c r="I58" s="8" t="n">
        <f aca="false">IFERROR(D58/VLOOKUP(A58,'Dados-Status-Invest'!$1:$1000,14,FALSE()),"")</f>
        <v>1099905329</v>
      </c>
      <c r="J58" s="9" t="n">
        <f aca="false">IFERROR(D58/VLOOKUP(A58,'Dados-Status-Invest'!$1:$1000,10,FALSE()),"")</f>
        <v>-63736853.67</v>
      </c>
      <c r="K58" s="10" t="n">
        <f aca="false">IFERROR(VLOOKUP(A58,'Dados-Status-Invest'!$1:$1000,3,FALSE())/100,"")</f>
        <v>0.0006</v>
      </c>
      <c r="L58" s="11" t="n">
        <f aca="false">IFERROR(VLOOKUP(A58,'Dados-Status-Invest'!$1:$1000,MATCH(L$1,'Dados-Status-Invest'!$2:$2,0),FALSE())/100,"")</f>
        <v>0.0054</v>
      </c>
      <c r="M58" s="10" t="n">
        <f aca="false">IFERROR(VLOOKUP(A58,'Dados-Status-Invest'!$1:$1000,MATCH(M$1,'Dados-Status-Invest'!$2:$2,0),FALSE())/100,"")</f>
        <v>0.0008</v>
      </c>
      <c r="N58" s="10" t="n">
        <f aca="false">IFERROR(VLOOKUP(A58,'Dados-Status-Invest'!$1:$1000,MATCH(N$1,'Dados-Status-Invest'!$2:$2,0),FALSE())/100,"")</f>
        <v>0</v>
      </c>
      <c r="O58" s="10" t="n">
        <f aca="false">IFERROR(VLOOKUP(A58,'Dados-Status-Invest'!$1:$1000,MATCH(O$1,'Dados-Status-Invest'!$2:$2,0),FALSE())/100,"")</f>
        <v>0.6024</v>
      </c>
      <c r="P58" s="10" t="n">
        <f aca="false">IFERROR(VLOOKUP(A58,'Dados-Status-Invest'!$1:$1000,MATCH(P$1,'Dados-Status-Invest'!$2:$2,0),FALSE())/100,"")</f>
        <v>-0.0579</v>
      </c>
      <c r="Q58" s="10" t="n">
        <f aca="false">IFERROR(VLOOKUP(A58,'Dados-Status-Invest'!$1:$1000,MATCH(Q$1,'Dados-Status-Invest'!$2:$2,0),FALSE())/100,"")</f>
        <v>0.0161</v>
      </c>
      <c r="R58" s="12" t="n">
        <f aca="false">IFERROR(VLOOKUP(A58,'Dados-Status-Invest'!$1:$1000,MATCH(R$1,'Dados-Status-Invest'!$2:$2,0),FALSE()),"")</f>
        <v>3174.8</v>
      </c>
      <c r="S58" s="12" t="n">
        <f aca="false">IFERROR(VLOOKUP(A58,'Dados-Status-Invest'!$1:$1000,MATCH(S$1,'Dados-Status-Invest'!$2:$2,0),FALSE()),"")</f>
        <v>17.19</v>
      </c>
      <c r="T58" s="12" t="n">
        <f aca="false">IFERROR(VLOOKUP(A58,'Dados-Status-Invest'!$1:$1000,MATCH(T$1,'Dados-Status-Invest'!$2:$2,0),FALSE()),"")</f>
        <v>-894.98</v>
      </c>
      <c r="U58" s="12" t="n">
        <f aca="false">IFERROR(VLOOKUP(A58,'Dados-Status-Invest'!$1:$1000,MATCH(U$1,'Dados-Status-Invest'!$2:$2,0),FALSE()),"")</f>
        <v>0.78</v>
      </c>
      <c r="V58" s="12" t="n">
        <f aca="false">IFERROR(VLOOKUP(A58,'Dados-Status-Invest'!$1:$1000,MATCH(V$1,'Dados-Status-Invest'!$2:$2,0),FALSE()),"")</f>
        <v>0</v>
      </c>
      <c r="W58" s="10" t="n">
        <f aca="false">IFERROR(VLOOKUP(A58,'Dados-Status-Invest'!$1:$1000,MATCH(W$1,'Dados-Status-Invest'!$2:$2,0),FALSE())/100,"")</f>
        <v>0.1414</v>
      </c>
      <c r="X58" s="10" t="n">
        <f aca="false">IFERROR(VLOOKUP(A58,'Dados-Status-Invest'!$1:$1000,MATCH(X$1,'Dados-Status-Invest'!$2:$2,0),FALSE())/100,"")</f>
        <v>0</v>
      </c>
    </row>
    <row r="59" customFormat="false" ht="15.75" hidden="false" customHeight="false" outlineLevel="0" collapsed="false">
      <c r="A59" s="6" t="s">
        <v>86</v>
      </c>
      <c r="B59" s="7" t="str">
        <f aca="false">IFERROR(VLOOKUP(LEFT(A59,4),Setor!A:D,2,FALSE()),"")</f>
        <v>Financeiro</v>
      </c>
      <c r="C59" s="8" t="n">
        <f aca="false">IFERROR(__xludf.dummyfunction("IFERROR(IFERROR(GOOGLEFINANCE(A65,""price""),VLOOKUP(A65,'Dados-Status-Invest'!A:B,2,FALSE)),"""")"),4.81)</f>
        <v>4.81</v>
      </c>
      <c r="D59" s="8" t="n">
        <f aca="false">IFERROR(VLOOKUP(A59,'Dados-Status-Invest'!$1:$1000,MATCH(D$1,'Dados-Status-Invest'!$2:$2,0),FALSE()),"")</f>
        <v>56370148122</v>
      </c>
      <c r="E59" s="8" t="n">
        <f aca="false">IF(D59+H59&gt;0,D59+H59,"")</f>
        <v>56370148122</v>
      </c>
      <c r="F59" s="8" t="n">
        <f aca="false">IFERROR(D59/VLOOKUP(A59,'Dados-Status-Invest'!$1:$1000,5,FALSE()),"")</f>
        <v>3219311715</v>
      </c>
      <c r="G59" s="8" t="n">
        <f aca="false">IFERROR(D59/VLOOKUP(A59,'Dados-Status-Invest'!$1:$1000,6,FALSE()),"")</f>
        <v>21033637359</v>
      </c>
      <c r="H59" s="8" t="n">
        <f aca="false">IFERROR(VLOOKUP(A59,'Dados-Status-Invest'!$1:$1000,12,FALSE())*J59,"")</f>
        <v>0</v>
      </c>
      <c r="I59" s="8" t="n">
        <f aca="false">IFERROR(D59/VLOOKUP(A59,'Dados-Status-Invest'!$1:$1000,14,FALSE()),"")</f>
        <v>1079887895</v>
      </c>
      <c r="J59" s="9" t="n">
        <f aca="false">IFERROR(D59/VLOOKUP(A59,'Dados-Status-Invest'!$1:$1000,10,FALSE()),"")</f>
        <v>-62577873.14</v>
      </c>
      <c r="K59" s="10" t="n">
        <f aca="false">IFERROR(VLOOKUP(A59,'Dados-Status-Invest'!$1:$1000,3,FALSE())/100,"")</f>
        <v>0.0006</v>
      </c>
      <c r="L59" s="11" t="n">
        <f aca="false">IFERROR(VLOOKUP(A59,'Dados-Status-Invest'!$1:$1000,MATCH(L$1,'Dados-Status-Invest'!$2:$2,0),FALSE())/100,"")</f>
        <v>0.0054</v>
      </c>
      <c r="M59" s="10" t="n">
        <f aca="false">IFERROR(VLOOKUP(A59,'Dados-Status-Invest'!$1:$1000,MATCH(M$1,'Dados-Status-Invest'!$2:$2,0),FALSE())/100,"")</f>
        <v>0.0008</v>
      </c>
      <c r="N59" s="10" t="n">
        <f aca="false">IFERROR(VLOOKUP(A59,'Dados-Status-Invest'!$1:$1000,MATCH(N$1,'Dados-Status-Invest'!$2:$2,0),FALSE())/100,"")</f>
        <v>0</v>
      </c>
      <c r="O59" s="10" t="n">
        <f aca="false">IFERROR(VLOOKUP(A59,'Dados-Status-Invest'!$1:$1000,MATCH(O$1,'Dados-Status-Invest'!$2:$2,0),FALSE())/100,"")</f>
        <v>0.6024</v>
      </c>
      <c r="P59" s="10" t="n">
        <f aca="false">IFERROR(VLOOKUP(A59,'Dados-Status-Invest'!$1:$1000,MATCH(P$1,'Dados-Status-Invest'!$2:$2,0),FALSE())/100,"")</f>
        <v>-0.0579</v>
      </c>
      <c r="Q59" s="10" t="n">
        <f aca="false">IFERROR(VLOOKUP(A59,'Dados-Status-Invest'!$1:$1000,MATCH(Q$1,'Dados-Status-Invest'!$2:$2,0),FALSE())/100,"")</f>
        <v>0.0161</v>
      </c>
      <c r="R59" s="12" t="n">
        <f aca="false">IFERROR(VLOOKUP(A59,'Dados-Status-Invest'!$1:$1000,MATCH(R$1,'Dados-Status-Invest'!$2:$2,0),FALSE()),"")</f>
        <v>3233.62</v>
      </c>
      <c r="S59" s="12" t="n">
        <f aca="false">IFERROR(VLOOKUP(A59,'Dados-Status-Invest'!$1:$1000,MATCH(S$1,'Dados-Status-Invest'!$2:$2,0),FALSE()),"")</f>
        <v>17.51</v>
      </c>
      <c r="T59" s="12" t="n">
        <f aca="false">IFERROR(VLOOKUP(A59,'Dados-Status-Invest'!$1:$1000,MATCH(T$1,'Dados-Status-Invest'!$2:$2,0),FALSE()),"")</f>
        <v>-894.98</v>
      </c>
      <c r="U59" s="12" t="n">
        <f aca="false">IFERROR(VLOOKUP(A59,'Dados-Status-Invest'!$1:$1000,MATCH(U$1,'Dados-Status-Invest'!$2:$2,0),FALSE()),"")</f>
        <v>0.78</v>
      </c>
      <c r="V59" s="12" t="n">
        <f aca="false">IFERROR(VLOOKUP(A59,'Dados-Status-Invest'!$1:$1000,MATCH(V$1,'Dados-Status-Invest'!$2:$2,0),FALSE()),"")</f>
        <v>0</v>
      </c>
      <c r="W59" s="10" t="n">
        <f aca="false">IFERROR(VLOOKUP(A59,'Dados-Status-Invest'!$1:$1000,MATCH(W$1,'Dados-Status-Invest'!$2:$2,0),FALSE())/100,"")</f>
        <v>0.1414</v>
      </c>
      <c r="X59" s="10" t="n">
        <f aca="false">IFERROR(VLOOKUP(A59,'Dados-Status-Invest'!$1:$1000,MATCH(X$1,'Dados-Status-Invest'!$2:$2,0),FALSE())/100,"")</f>
        <v>0</v>
      </c>
    </row>
    <row r="60" customFormat="false" ht="15.75" hidden="false" customHeight="false" outlineLevel="0" collapsed="false">
      <c r="A60" s="6" t="s">
        <v>87</v>
      </c>
      <c r="B60" s="7" t="str">
        <f aca="false">IFERROR(VLOOKUP(LEFT(A60,4),Setor!A:D,2,FALSE()),"")</f>
        <v>Saúde</v>
      </c>
      <c r="C60" s="8" t="n">
        <f aca="false">IFERROR(__xludf.dummyfunction("IFERROR(IFERROR(GOOGLEFINANCE(A66,""price""),VLOOKUP(A66,'Dados-Status-Invest'!A:B,2,FALSE)),"""")"),11.01)</f>
        <v>11.01</v>
      </c>
      <c r="D60" s="8" t="n">
        <f aca="false">IFERROR(VLOOKUP(A60,'Dados-Status-Invest'!$1:$1000,MATCH(D$1,'Dados-Status-Invest'!$2:$2,0),FALSE()),"")</f>
        <v>1046893256</v>
      </c>
      <c r="E60" s="8" t="n">
        <f aca="false">IF(D60+H60&gt;0,D60+H60,"")</f>
        <v>1141270945.18</v>
      </c>
      <c r="F60" s="8" t="n">
        <f aca="false">IFERROR(D60/VLOOKUP(A60,'Dados-Status-Invest'!$1:$1000,5,FALSE()),"")</f>
        <v>172186390.8</v>
      </c>
      <c r="G60" s="8" t="n">
        <f aca="false">IFERROR(D60/VLOOKUP(A60,'Dados-Status-Invest'!$1:$1000,6,FALSE()),"")</f>
        <v>420439058.6</v>
      </c>
      <c r="H60" s="8" t="n">
        <f aca="false">IFERROR(VLOOKUP(A60,'Dados-Status-Invest'!$1:$1000,12,FALSE())*J60,"")</f>
        <v>94377689.18</v>
      </c>
      <c r="I60" s="8" t="n">
        <f aca="false">IFERROR(D60/VLOOKUP(A60,'Dados-Status-Invest'!$1:$1000,14,FALSE()),"")</f>
        <v>63027890.18</v>
      </c>
      <c r="J60" s="9" t="n">
        <f aca="false">IFERROR(D60/VLOOKUP(A60,'Dados-Status-Invest'!$1:$1000,10,FALSE()),"")</f>
        <v>-58257832.83</v>
      </c>
      <c r="K60" s="10" t="n">
        <f aca="false">IFERROR(VLOOKUP(A60,'Dados-Status-Invest'!$1:$1000,3,FALSE())/100,"")</f>
        <v>0</v>
      </c>
      <c r="L60" s="11" t="n">
        <f aca="false">IFERROR(VLOOKUP(A60,'Dados-Status-Invest'!$1:$1000,MATCH(L$1,'Dados-Status-Invest'!$2:$2,0),FALSE())/100,"")</f>
        <v>-0.4104</v>
      </c>
      <c r="M60" s="10" t="n">
        <f aca="false">IFERROR(VLOOKUP(A60,'Dados-Status-Invest'!$1:$1000,MATCH(M$1,'Dados-Status-Invest'!$2:$2,0),FALSE())/100,"")</f>
        <v>-0.1679</v>
      </c>
      <c r="N60" s="10" t="n">
        <f aca="false">IFERROR(VLOOKUP(A60,'Dados-Status-Invest'!$1:$1000,MATCH(N$1,'Dados-Status-Invest'!$2:$2,0),FALSE())/100,"")</f>
        <v>-0.1628</v>
      </c>
      <c r="O60" s="10" t="n">
        <f aca="false">IFERROR(VLOOKUP(A60,'Dados-Status-Invest'!$1:$1000,MATCH(O$1,'Dados-Status-Invest'!$2:$2,0),FALSE())/100,"")</f>
        <v>0.2166</v>
      </c>
      <c r="P60" s="10" t="n">
        <f aca="false">IFERROR(VLOOKUP(A60,'Dados-Status-Invest'!$1:$1000,MATCH(P$1,'Dados-Status-Invest'!$2:$2,0),FALSE())/100,"")</f>
        <v>-0.9241</v>
      </c>
      <c r="Q60" s="10" t="n">
        <f aca="false">IFERROR(VLOOKUP(A60,'Dados-Status-Invest'!$1:$1000,MATCH(Q$1,'Dados-Status-Invest'!$2:$2,0),FALSE())/100,"")</f>
        <v>-1.1213</v>
      </c>
      <c r="R60" s="12" t="n">
        <f aca="false">IFERROR(VLOOKUP(A60,'Dados-Status-Invest'!$1:$1000,MATCH(R$1,'Dados-Status-Invest'!$2:$2,0),FALSE()),"")</f>
        <v>-14.81</v>
      </c>
      <c r="S60" s="12" t="n">
        <f aca="false">IFERROR(VLOOKUP(A60,'Dados-Status-Invest'!$1:$1000,MATCH(S$1,'Dados-Status-Invest'!$2:$2,0),FALSE()),"")</f>
        <v>6.08</v>
      </c>
      <c r="T60" s="12" t="n">
        <f aca="false">IFERROR(VLOOKUP(A60,'Dados-Status-Invest'!$1:$1000,MATCH(T$1,'Dados-Status-Invest'!$2:$2,0),FALSE()),"")</f>
        <v>-19.59</v>
      </c>
      <c r="U60" s="12" t="n">
        <f aca="false">IFERROR(VLOOKUP(A60,'Dados-Status-Invest'!$1:$1000,MATCH(U$1,'Dados-Status-Invest'!$2:$2,0),FALSE()),"")</f>
        <v>3.56</v>
      </c>
      <c r="V60" s="12" t="n">
        <f aca="false">IFERROR(VLOOKUP(A60,'Dados-Status-Invest'!$1:$1000,MATCH(V$1,'Dados-Status-Invest'!$2:$2,0),FALSE()),"")</f>
        <v>-1.62</v>
      </c>
      <c r="W60" s="10" t="n">
        <f aca="false">IFERROR(VLOOKUP(A60,'Dados-Status-Invest'!$1:$1000,MATCH(W$1,'Dados-Status-Invest'!$2:$2,0),FALSE())/100,"")</f>
        <v>0</v>
      </c>
      <c r="X60" s="10" t="n">
        <f aca="false">IFERROR(VLOOKUP(A60,'Dados-Status-Invest'!$1:$1000,MATCH(X$1,'Dados-Status-Invest'!$2:$2,0),FALSE())/100,"")</f>
        <v>0</v>
      </c>
    </row>
    <row r="61" customFormat="false" ht="15.75" hidden="false" customHeight="false" outlineLevel="0" collapsed="false">
      <c r="A61" s="6" t="s">
        <v>88</v>
      </c>
      <c r="B61" s="7" t="str">
        <f aca="false">IFERROR(VLOOKUP(LEFT(A61,4),Setor!A:D,2,FALSE()),"")</f>
        <v>Consumo Cíclico</v>
      </c>
      <c r="C61" s="8" t="n">
        <f aca="false">IFERROR(__xludf.dummyfunction("IFERROR(IFERROR(GOOGLEFINANCE(A67,""price""),VLOOKUP(A67,'Dados-Status-Invest'!A:B,2,FALSE)),"""")"),7.78)</f>
        <v>7.78</v>
      </c>
      <c r="D61" s="8" t="n">
        <f aca="false">IFERROR(VLOOKUP(A61,'Dados-Status-Invest'!$1:$1000,MATCH(D$1,'Dados-Status-Invest'!$2:$2,0),FALSE()),"")</f>
        <v>3309772473</v>
      </c>
      <c r="E61" s="8" t="n">
        <f aca="false">IF(D61+H61&gt;0,D61+H61,"")</f>
        <v>3521034545.7</v>
      </c>
      <c r="F61" s="8" t="n">
        <f aca="false">IFERROR(D61/VLOOKUP(A61,'Dados-Status-Invest'!$1:$1000,5,FALSE()),"")</f>
        <v>1671602259</v>
      </c>
      <c r="G61" s="8" t="n">
        <f aca="false">IFERROR(D61/VLOOKUP(A61,'Dados-Status-Invest'!$1:$1000,6,FALSE()),"")</f>
        <v>3677524970</v>
      </c>
      <c r="H61" s="8" t="n">
        <f aca="false">IFERROR(VLOOKUP(A61,'Dados-Status-Invest'!$1:$1000,12,FALSE())*J61,"")</f>
        <v>211262072.7</v>
      </c>
      <c r="I61" s="8" t="n">
        <f aca="false">IFERROR(D61/VLOOKUP(A61,'Dados-Status-Invest'!$1:$1000,14,FALSE()),"")</f>
        <v>2149202905</v>
      </c>
      <c r="J61" s="9" t="n">
        <f aca="false">IFERROR(D61/VLOOKUP(A61,'Dados-Status-Invest'!$1:$1000,10,FALSE()),"")</f>
        <v>-440129318.2</v>
      </c>
      <c r="K61" s="10" t="n">
        <f aca="false">IFERROR(VLOOKUP(A61,'Dados-Status-Invest'!$1:$1000,3,FALSE())/100,"")</f>
        <v>0</v>
      </c>
      <c r="L61" s="11" t="n">
        <f aca="false">IFERROR(VLOOKUP(A61,'Dados-Status-Invest'!$1:$1000,MATCH(L$1,'Dados-Status-Invest'!$2:$2,0),FALSE())/100,"")</f>
        <v>-0.329</v>
      </c>
      <c r="M61" s="10" t="n">
        <f aca="false">IFERROR(VLOOKUP(A61,'Dados-Status-Invest'!$1:$1000,MATCH(M$1,'Dados-Status-Invest'!$2:$2,0),FALSE())/100,"")</f>
        <v>-0.1501</v>
      </c>
      <c r="N61" s="10" t="n">
        <f aca="false">IFERROR(VLOOKUP(A61,'Dados-Status-Invest'!$1:$1000,MATCH(N$1,'Dados-Status-Invest'!$2:$2,0),FALSE())/100,"")</f>
        <v>-0.1986</v>
      </c>
      <c r="O61" s="10" t="n">
        <f aca="false">IFERROR(VLOOKUP(A61,'Dados-Status-Invest'!$1:$1000,MATCH(O$1,'Dados-Status-Invest'!$2:$2,0),FALSE())/100,"")</f>
        <v>0.5901</v>
      </c>
      <c r="P61" s="10" t="n">
        <f aca="false">IFERROR(VLOOKUP(A61,'Dados-Status-Invest'!$1:$1000,MATCH(P$1,'Dados-Status-Invest'!$2:$2,0),FALSE())/100,"")</f>
        <v>-0.2055</v>
      </c>
      <c r="Q61" s="10" t="n">
        <f aca="false">IFERROR(VLOOKUP(A61,'Dados-Status-Invest'!$1:$1000,MATCH(Q$1,'Dados-Status-Invest'!$2:$2,0),FALSE())/100,"")</f>
        <v>-0.2567</v>
      </c>
      <c r="R61" s="12" t="n">
        <f aca="false">IFERROR(VLOOKUP(A61,'Dados-Status-Invest'!$1:$1000,MATCH(R$1,'Dados-Status-Invest'!$2:$2,0),FALSE()),"")</f>
        <v>-6.02</v>
      </c>
      <c r="S61" s="12" t="n">
        <f aca="false">IFERROR(VLOOKUP(A61,'Dados-Status-Invest'!$1:$1000,MATCH(S$1,'Dados-Status-Invest'!$2:$2,0),FALSE()),"")</f>
        <v>1.98</v>
      </c>
      <c r="T61" s="12" t="n">
        <f aca="false">IFERROR(VLOOKUP(A61,'Dados-Status-Invest'!$1:$1000,MATCH(T$1,'Dados-Status-Invest'!$2:$2,0),FALSE()),"")</f>
        <v>-7.96</v>
      </c>
      <c r="U61" s="12" t="n">
        <f aca="false">IFERROR(VLOOKUP(A61,'Dados-Status-Invest'!$1:$1000,MATCH(U$1,'Dados-Status-Invest'!$2:$2,0),FALSE()),"")</f>
        <v>1.8</v>
      </c>
      <c r="V61" s="12" t="n">
        <f aca="false">IFERROR(VLOOKUP(A61,'Dados-Status-Invest'!$1:$1000,MATCH(V$1,'Dados-Status-Invest'!$2:$2,0),FALSE()),"")</f>
        <v>-0.48</v>
      </c>
      <c r="W61" s="10" t="n">
        <f aca="false">IFERROR(VLOOKUP(A61,'Dados-Status-Invest'!$1:$1000,MATCH(W$1,'Dados-Status-Invest'!$2:$2,0),FALSE())/100,"")</f>
        <v>0.187</v>
      </c>
      <c r="X61" s="10" t="n">
        <f aca="false">IFERROR(VLOOKUP(A61,'Dados-Status-Invest'!$1:$1000,MATCH(X$1,'Dados-Status-Invest'!$2:$2,0),FALSE())/100,"")</f>
        <v>0</v>
      </c>
    </row>
    <row r="62" customFormat="false" ht="15.75" hidden="false" customHeight="false" outlineLevel="0" collapsed="false">
      <c r="A62" s="6" t="s">
        <v>89</v>
      </c>
      <c r="B62" s="7" t="s">
        <v>90</v>
      </c>
      <c r="C62" s="8" t="n">
        <f aca="false">IFERROR(__xludf.dummyfunction("IFERROR(IFERROR(GOOGLEFINANCE(A68,""price""),VLOOKUP(A68,'Dados-Status-Invest'!A:B,2,FALSE)),"""")"),23.14)</f>
        <v>23.14</v>
      </c>
      <c r="D62" s="8" t="n">
        <f aca="false">IFERROR(VLOOKUP(A62,'Dados-Status-Invest'!$1:$1000,MATCH(D$1,'Dados-Status-Invest'!$2:$2,0),FALSE()),"")</f>
        <v>8521212103</v>
      </c>
      <c r="E62" s="8" t="n">
        <f aca="false">IF(D62+H62&gt;0,D62+H62,"")</f>
        <v>9076943327.1</v>
      </c>
      <c r="F62" s="8" t="n">
        <f aca="false">IFERROR(D62/VLOOKUP(A62,'Dados-Status-Invest'!$1:$1000,5,FALSE()),"")</f>
        <v>305858295.1</v>
      </c>
      <c r="G62" s="8" t="n">
        <f aca="false">IFERROR(D62/VLOOKUP(A62,'Dados-Status-Invest'!$1:$1000,6,FALSE()),"")</f>
        <v>1427338711</v>
      </c>
      <c r="H62" s="8" t="n">
        <f aca="false">IFERROR(VLOOKUP(A62,'Dados-Status-Invest'!$1:$1000,12,FALSE())*J62,"")</f>
        <v>555731224.1</v>
      </c>
      <c r="I62" s="8" t="n">
        <f aca="false">IFERROR(D62/VLOOKUP(A62,'Dados-Status-Invest'!$1:$1000,14,FALSE()),"")</f>
        <v>544486396.3</v>
      </c>
      <c r="J62" s="9" t="n">
        <f aca="false">IFERROR(D62/VLOOKUP(A62,'Dados-Status-Invest'!$1:$1000,10,FALSE()),"")</f>
        <v>190972929.2</v>
      </c>
      <c r="K62" s="10" t="n">
        <f aca="false">IFERROR(VLOOKUP(A62,'Dados-Status-Invest'!$1:$1000,3,FALSE())/100,"")</f>
        <v>0</v>
      </c>
      <c r="L62" s="11" t="n">
        <f aca="false">IFERROR(VLOOKUP(A62,'Dados-Status-Invest'!$1:$1000,MATCH(L$1,'Dados-Status-Invest'!$2:$2,0),FALSE())/100,"")</f>
        <v>0.3838</v>
      </c>
      <c r="M62" s="10" t="n">
        <f aca="false">IFERROR(VLOOKUP(A62,'Dados-Status-Invest'!$1:$1000,MATCH(M$1,'Dados-Status-Invest'!$2:$2,0),FALSE())/100,"")</f>
        <v>0.0823</v>
      </c>
      <c r="N62" s="10" t="n">
        <f aca="false">IFERROR(VLOOKUP(A62,'Dados-Status-Invest'!$1:$1000,MATCH(N$1,'Dados-Status-Invest'!$2:$2,0),FALSE())/100,"")</f>
        <v>0.1326</v>
      </c>
      <c r="O62" s="10" t="n">
        <f aca="false">IFERROR(VLOOKUP(A62,'Dados-Status-Invest'!$1:$1000,MATCH(O$1,'Dados-Status-Invest'!$2:$2,0),FALSE())/100,"")</f>
        <v>0.4975</v>
      </c>
      <c r="P62" s="10" t="n">
        <f aca="false">IFERROR(VLOOKUP(A62,'Dados-Status-Invest'!$1:$1000,MATCH(P$1,'Dados-Status-Invest'!$2:$2,0),FALSE())/100,"")</f>
        <v>0.3508</v>
      </c>
      <c r="Q62" s="10" t="n">
        <f aca="false">IFERROR(VLOOKUP(A62,'Dados-Status-Invest'!$1:$1000,MATCH(Q$1,'Dados-Status-Invest'!$2:$2,0),FALSE())/100,"")</f>
        <v>0.2157</v>
      </c>
      <c r="R62" s="12" t="n">
        <f aca="false">IFERROR(VLOOKUP(A62,'Dados-Status-Invest'!$1:$1000,MATCH(R$1,'Dados-Status-Invest'!$2:$2,0),FALSE()),"")</f>
        <v>72.58</v>
      </c>
      <c r="S62" s="12" t="n">
        <f aca="false">IFERROR(VLOOKUP(A62,'Dados-Status-Invest'!$1:$1000,MATCH(S$1,'Dados-Status-Invest'!$2:$2,0),FALSE()),"")</f>
        <v>27.86</v>
      </c>
      <c r="T62" s="12" t="n">
        <f aca="false">IFERROR(VLOOKUP(A62,'Dados-Status-Invest'!$1:$1000,MATCH(T$1,'Dados-Status-Invest'!$2:$2,0),FALSE()),"")</f>
        <v>47.47</v>
      </c>
      <c r="U62" s="12" t="n">
        <f aca="false">IFERROR(VLOOKUP(A62,'Dados-Status-Invest'!$1:$1000,MATCH(U$1,'Dados-Status-Invest'!$2:$2,0),FALSE()),"")</f>
        <v>2.04</v>
      </c>
      <c r="V62" s="12" t="n">
        <f aca="false">IFERROR(VLOOKUP(A62,'Dados-Status-Invest'!$1:$1000,MATCH(V$1,'Dados-Status-Invest'!$2:$2,0),FALSE()),"")</f>
        <v>2.91</v>
      </c>
      <c r="W62" s="10" t="n">
        <f aca="false">IFERROR(VLOOKUP(A62,'Dados-Status-Invest'!$1:$1000,MATCH(W$1,'Dados-Status-Invest'!$2:$2,0),FALSE())/100,"")</f>
        <v>0</v>
      </c>
      <c r="X62" s="10" t="n">
        <f aca="false">IFERROR(VLOOKUP(A62,'Dados-Status-Invest'!$1:$1000,MATCH(X$1,'Dados-Status-Invest'!$2:$2,0),FALSE())/100,"")</f>
        <v>0</v>
      </c>
    </row>
    <row r="63" customFormat="false" ht="15.75" hidden="false" customHeight="false" outlineLevel="0" collapsed="false">
      <c r="A63" s="6" t="s">
        <v>91</v>
      </c>
      <c r="B63" s="7" t="str">
        <f aca="false">IFERROR(VLOOKUP(LEFT(A63,4),Setor!A:D,2,FALSE()),"")</f>
        <v>Financeiro</v>
      </c>
      <c r="C63" s="8" t="n">
        <f aca="false">IFERROR(__xludf.dummyfunction("IFERROR(IFERROR(GOOGLEFINANCE(A69,""price""),VLOOKUP(A69,'Dados-Status-Invest'!A:B,2,FALSE)),"""")"),14.55)</f>
        <v>14.55</v>
      </c>
      <c r="D63" s="8" t="n">
        <f aca="false">IFERROR(VLOOKUP(A63,'Dados-Status-Invest'!$1:$1000,MATCH(D$1,'Dados-Status-Invest'!$2:$2,0),FALSE()),"")</f>
        <v>1066213613</v>
      </c>
      <c r="E63" s="8" t="n">
        <f aca="false">IF(D63+H63&gt;0,D63+H63,"")</f>
        <v>1066213613</v>
      </c>
      <c r="F63" s="8" t="n">
        <f aca="false">IFERROR(D63/VLOOKUP(A63,'Dados-Status-Invest'!$1:$1000,5,FALSE()),"")</f>
        <v>1005861899</v>
      </c>
      <c r="G63" s="8" t="n">
        <f aca="false">IFERROR(D63/VLOOKUP(A63,'Dados-Status-Invest'!$1:$1000,6,FALSE()),"")</f>
        <v>10662136127</v>
      </c>
      <c r="H63" s="8" t="n">
        <f aca="false">IFERROR(VLOOKUP(A63,'Dados-Status-Invest'!$1:$1000,12,FALSE())*J63,"")</f>
        <v>0</v>
      </c>
      <c r="I63" s="8" t="n">
        <f aca="false">IFERROR(D63/VLOOKUP(A63,'Dados-Status-Invest'!$1:$1000,14,FALSE()),"")</f>
        <v>2090614927</v>
      </c>
      <c r="J63" s="9" t="n">
        <f aca="false">IFERROR(D63/VLOOKUP(A63,'Dados-Status-Invest'!$1:$1000,10,FALSE()),"")</f>
        <v>238526535.3</v>
      </c>
      <c r="K63" s="10" t="n">
        <f aca="false">IFERROR(VLOOKUP(A63,'Dados-Status-Invest'!$1:$1000,3,FALSE())/100,"")</f>
        <v>0.037</v>
      </c>
      <c r="L63" s="11" t="n">
        <f aca="false">IFERROR(VLOOKUP(A63,'Dados-Status-Invest'!$1:$1000,MATCH(L$1,'Dados-Status-Invest'!$2:$2,0),FALSE())/100,"")</f>
        <v>0.1495</v>
      </c>
      <c r="M63" s="10" t="n">
        <f aca="false">IFERROR(VLOOKUP(A63,'Dados-Status-Invest'!$1:$1000,MATCH(M$1,'Dados-Status-Invest'!$2:$2,0),FALSE())/100,"")</f>
        <v>0.0145</v>
      </c>
      <c r="N63" s="10" t="n">
        <f aca="false">IFERROR(VLOOKUP(A63,'Dados-Status-Invest'!$1:$1000,MATCH(N$1,'Dados-Status-Invest'!$2:$2,0),FALSE())/100,"")</f>
        <v>0</v>
      </c>
      <c r="O63" s="10" t="n">
        <f aca="false">IFERROR(VLOOKUP(A63,'Dados-Status-Invest'!$1:$1000,MATCH(O$1,'Dados-Status-Invest'!$2:$2,0),FALSE())/100,"")</f>
        <v>0.7583</v>
      </c>
      <c r="P63" s="10" t="n">
        <f aca="false">IFERROR(VLOOKUP(A63,'Dados-Status-Invest'!$1:$1000,MATCH(P$1,'Dados-Status-Invest'!$2:$2,0),FALSE())/100,"")</f>
        <v>0.1145</v>
      </c>
      <c r="Q63" s="10" t="n">
        <f aca="false">IFERROR(VLOOKUP(A63,'Dados-Status-Invest'!$1:$1000,MATCH(Q$1,'Dados-Status-Invest'!$2:$2,0),FALSE())/100,"")</f>
        <v>0.0723</v>
      </c>
      <c r="R63" s="12" t="n">
        <f aca="false">IFERROR(VLOOKUP(A63,'Dados-Status-Invest'!$1:$1000,MATCH(R$1,'Dados-Status-Invest'!$2:$2,0),FALSE()),"")</f>
        <v>7.09</v>
      </c>
      <c r="S63" s="12" t="n">
        <f aca="false">IFERROR(VLOOKUP(A63,'Dados-Status-Invest'!$1:$1000,MATCH(S$1,'Dados-Status-Invest'!$2:$2,0),FALSE()),"")</f>
        <v>1.06</v>
      </c>
      <c r="T63" s="12" t="n">
        <f aca="false">IFERROR(VLOOKUP(A63,'Dados-Status-Invest'!$1:$1000,MATCH(T$1,'Dados-Status-Invest'!$2:$2,0),FALSE()),"")</f>
        <v>4.33</v>
      </c>
      <c r="U63" s="12" t="n">
        <f aca="false">IFERROR(VLOOKUP(A63,'Dados-Status-Invest'!$1:$1000,MATCH(U$1,'Dados-Status-Invest'!$2:$2,0),FALSE()),"")</f>
        <v>1.73</v>
      </c>
      <c r="V63" s="12" t="n">
        <f aca="false">IFERROR(VLOOKUP(A63,'Dados-Status-Invest'!$1:$1000,MATCH(V$1,'Dados-Status-Invest'!$2:$2,0),FALSE()),"")</f>
        <v>0</v>
      </c>
      <c r="W63" s="10" t="n">
        <f aca="false">IFERROR(VLOOKUP(A63,'Dados-Status-Invest'!$1:$1000,MATCH(W$1,'Dados-Status-Invest'!$2:$2,0),FALSE())/100,"")</f>
        <v>-0.0942</v>
      </c>
      <c r="X63" s="10" t="n">
        <f aca="false">IFERROR(VLOOKUP(A63,'Dados-Status-Invest'!$1:$1000,MATCH(X$1,'Dados-Status-Invest'!$2:$2,0),FALSE())/100,"")</f>
        <v>0.1208</v>
      </c>
    </row>
    <row r="64" customFormat="false" ht="15.75" hidden="false" customHeight="false" outlineLevel="0" collapsed="false">
      <c r="A64" s="6" t="s">
        <v>92</v>
      </c>
      <c r="B64" s="7" t="str">
        <f aca="false">IFERROR(VLOOKUP(LEFT(A64,4),Setor!A:D,2,FALSE()),"")</f>
        <v>Financeiro</v>
      </c>
      <c r="C64" s="8" t="n">
        <f aca="false">IFERROR(__xludf.dummyfunction("IFERROR(IFERROR(GOOGLEFINANCE(A70,""price""),VLOOKUP(A70,'Dados-Status-Invest'!A:B,2,FALSE)),"""")"),10.32)</f>
        <v>10.32</v>
      </c>
      <c r="D64" s="8" t="n">
        <f aca="false">IFERROR(VLOOKUP(A64,'Dados-Status-Invest'!$1:$1000,MATCH(D$1,'Dados-Status-Invest'!$2:$2,0),FALSE()),"")</f>
        <v>1066213613</v>
      </c>
      <c r="E64" s="8" t="n">
        <f aca="false">IF(D64+H64&gt;0,D64+H64,"")</f>
        <v>1066213613</v>
      </c>
      <c r="F64" s="8" t="n">
        <f aca="false">IFERROR(D64/VLOOKUP(A64,'Dados-Status-Invest'!$1:$1000,5,FALSE()),"")</f>
        <v>1099189291</v>
      </c>
      <c r="G64" s="8" t="n">
        <f aca="false">IFERROR(D64/VLOOKUP(A64,'Dados-Status-Invest'!$1:$1000,6,FALSE()),"")</f>
        <v>11846817919</v>
      </c>
      <c r="H64" s="8" t="n">
        <f aca="false">IFERROR(VLOOKUP(A64,'Dados-Status-Invest'!$1:$1000,12,FALSE())*J64,"")</f>
        <v>0</v>
      </c>
      <c r="I64" s="8" t="n">
        <f aca="false">IFERROR(D64/VLOOKUP(A64,'Dados-Status-Invest'!$1:$1000,14,FALSE()),"")</f>
        <v>2268539601</v>
      </c>
      <c r="J64" s="9" t="n">
        <f aca="false">IFERROR(D64/VLOOKUP(A64,'Dados-Status-Invest'!$1:$1000,10,FALSE()),"")</f>
        <v>260052100.7</v>
      </c>
      <c r="K64" s="10" t="n">
        <f aca="false">IFERROR(VLOOKUP(A64,'Dados-Status-Invest'!$1:$1000,3,FALSE())/100,"")</f>
        <v>0.0443</v>
      </c>
      <c r="L64" s="11" t="n">
        <f aca="false">IFERROR(VLOOKUP(A64,'Dados-Status-Invest'!$1:$1000,MATCH(L$1,'Dados-Status-Invest'!$2:$2,0),FALSE())/100,"")</f>
        <v>0.1495</v>
      </c>
      <c r="M64" s="10" t="n">
        <f aca="false">IFERROR(VLOOKUP(A64,'Dados-Status-Invest'!$1:$1000,MATCH(M$1,'Dados-Status-Invest'!$2:$2,0),FALSE())/100,"")</f>
        <v>0.0145</v>
      </c>
      <c r="N64" s="10" t="n">
        <f aca="false">IFERROR(VLOOKUP(A64,'Dados-Status-Invest'!$1:$1000,MATCH(N$1,'Dados-Status-Invest'!$2:$2,0),FALSE())/100,"")</f>
        <v>0</v>
      </c>
      <c r="O64" s="10" t="n">
        <f aca="false">IFERROR(VLOOKUP(A64,'Dados-Status-Invest'!$1:$1000,MATCH(O$1,'Dados-Status-Invest'!$2:$2,0),FALSE())/100,"")</f>
        <v>0.7583</v>
      </c>
      <c r="P64" s="10" t="n">
        <f aca="false">IFERROR(VLOOKUP(A64,'Dados-Status-Invest'!$1:$1000,MATCH(P$1,'Dados-Status-Invest'!$2:$2,0),FALSE())/100,"")</f>
        <v>0.1145</v>
      </c>
      <c r="Q64" s="10" t="n">
        <f aca="false">IFERROR(VLOOKUP(A64,'Dados-Status-Invest'!$1:$1000,MATCH(Q$1,'Dados-Status-Invest'!$2:$2,0),FALSE())/100,"")</f>
        <v>0.0723</v>
      </c>
      <c r="R64" s="12" t="n">
        <f aca="false">IFERROR(VLOOKUP(A64,'Dados-Status-Invest'!$1:$1000,MATCH(R$1,'Dados-Status-Invest'!$2:$2,0),FALSE()),"")</f>
        <v>6.5</v>
      </c>
      <c r="S64" s="12" t="n">
        <f aca="false">IFERROR(VLOOKUP(A64,'Dados-Status-Invest'!$1:$1000,MATCH(S$1,'Dados-Status-Invest'!$2:$2,0),FALSE()),"")</f>
        <v>0.97</v>
      </c>
      <c r="T64" s="12" t="n">
        <f aca="false">IFERROR(VLOOKUP(A64,'Dados-Status-Invest'!$1:$1000,MATCH(T$1,'Dados-Status-Invest'!$2:$2,0),FALSE()),"")</f>
        <v>4.33</v>
      </c>
      <c r="U64" s="12" t="n">
        <f aca="false">IFERROR(VLOOKUP(A64,'Dados-Status-Invest'!$1:$1000,MATCH(U$1,'Dados-Status-Invest'!$2:$2,0),FALSE()),"")</f>
        <v>1.73</v>
      </c>
      <c r="V64" s="12" t="n">
        <f aca="false">IFERROR(VLOOKUP(A64,'Dados-Status-Invest'!$1:$1000,MATCH(V$1,'Dados-Status-Invest'!$2:$2,0),FALSE()),"")</f>
        <v>0</v>
      </c>
      <c r="W64" s="10" t="n">
        <f aca="false">IFERROR(VLOOKUP(A64,'Dados-Status-Invest'!$1:$1000,MATCH(W$1,'Dados-Status-Invest'!$2:$2,0),FALSE())/100,"")</f>
        <v>-0.0942</v>
      </c>
      <c r="X64" s="10" t="n">
        <f aca="false">IFERROR(VLOOKUP(A64,'Dados-Status-Invest'!$1:$1000,MATCH(X$1,'Dados-Status-Invest'!$2:$2,0),FALSE())/100,"")</f>
        <v>0.1208</v>
      </c>
    </row>
    <row r="65" customFormat="false" ht="15.75" hidden="false" customHeight="false" outlineLevel="0" collapsed="false">
      <c r="A65" s="6" t="s">
        <v>93</v>
      </c>
      <c r="B65" s="7" t="str">
        <f aca="false">IFERROR(VLOOKUP(LEFT(A65,4),Setor!A:D,2,FALSE()),"")</f>
        <v>Financeiro</v>
      </c>
      <c r="C65" s="8" t="n">
        <f aca="false">IFERROR(__xludf.dummyfunction("IFERROR(IFERROR(GOOGLEFINANCE(A71,""price""),VLOOKUP(A71,'Dados-Status-Invest'!A:B,2,FALSE)),"""")"),2.72)</f>
        <v>2.72</v>
      </c>
      <c r="D65" s="8" t="n">
        <f aca="false">IFERROR(VLOOKUP(A65,'Dados-Status-Invest'!$1:$1000,MATCH(D$1,'Dados-Status-Invest'!$2:$2,0),FALSE()),"")</f>
        <v>2805347897</v>
      </c>
      <c r="E65" s="8" t="n">
        <f aca="false">IF(D65+H65&gt;0,D65+H65,"")</f>
        <v>2805347897</v>
      </c>
      <c r="F65" s="8" t="n">
        <f aca="false">IFERROR(D65/VLOOKUP(A65,'Dados-Status-Invest'!$1:$1000,5,FALSE()),"")</f>
        <v>4007639853</v>
      </c>
      <c r="G65" s="8" t="n">
        <f aca="false">IFERROR(D65/VLOOKUP(A65,'Dados-Status-Invest'!$1:$1000,6,FALSE()),"")</f>
        <v>28053478969</v>
      </c>
      <c r="H65" s="8" t="n">
        <f aca="false">IFERROR(VLOOKUP(A65,'Dados-Status-Invest'!$1:$1000,12,FALSE())*J65,"")</f>
        <v>0</v>
      </c>
      <c r="I65" s="8" t="n">
        <f aca="false">IFERROR(D65/VLOOKUP(A65,'Dados-Status-Invest'!$1:$1000,14,FALSE()),"")</f>
        <v>4125511613</v>
      </c>
      <c r="J65" s="9" t="n">
        <f aca="false">IFERROR(D65/VLOOKUP(A65,'Dados-Status-Invest'!$1:$1000,10,FALSE()),"")</f>
        <v>356914490.7</v>
      </c>
      <c r="K65" s="10" t="n">
        <f aca="false">IFERROR(VLOOKUP(A65,'Dados-Status-Invest'!$1:$1000,3,FALSE())/100,"")</f>
        <v>0.0371</v>
      </c>
      <c r="L65" s="11" t="n">
        <f aca="false">IFERROR(VLOOKUP(A65,'Dados-Status-Invest'!$1:$1000,MATCH(L$1,'Dados-Status-Invest'!$2:$2,0),FALSE())/100,"")</f>
        <v>0.076</v>
      </c>
      <c r="M65" s="10" t="n">
        <f aca="false">IFERROR(VLOOKUP(A65,'Dados-Status-Invest'!$1:$1000,MATCH(M$1,'Dados-Status-Invest'!$2:$2,0),FALSE())/100,"")</f>
        <v>0.0106</v>
      </c>
      <c r="N65" s="10" t="n">
        <f aca="false">IFERROR(VLOOKUP(A65,'Dados-Status-Invest'!$1:$1000,MATCH(N$1,'Dados-Status-Invest'!$2:$2,0),FALSE())/100,"")</f>
        <v>0</v>
      </c>
      <c r="O65" s="10" t="n">
        <f aca="false">IFERROR(VLOOKUP(A65,'Dados-Status-Invest'!$1:$1000,MATCH(O$1,'Dados-Status-Invest'!$2:$2,0),FALSE())/100,"")</f>
        <v>0.7301</v>
      </c>
      <c r="P65" s="10" t="n">
        <f aca="false">IFERROR(VLOOKUP(A65,'Dados-Status-Invest'!$1:$1000,MATCH(P$1,'Dados-Status-Invest'!$2:$2,0),FALSE())/100,"")</f>
        <v>0.0863</v>
      </c>
      <c r="Q65" s="10" t="n">
        <f aca="false">IFERROR(VLOOKUP(A65,'Dados-Status-Invest'!$1:$1000,MATCH(Q$1,'Dados-Status-Invest'!$2:$2,0),FALSE())/100,"")</f>
        <v>0.0738</v>
      </c>
      <c r="R65" s="12" t="n">
        <f aca="false">IFERROR(VLOOKUP(A65,'Dados-Status-Invest'!$1:$1000,MATCH(R$1,'Dados-Status-Invest'!$2:$2,0),FALSE()),"")</f>
        <v>9.2</v>
      </c>
      <c r="S65" s="12" t="n">
        <f aca="false">IFERROR(VLOOKUP(A65,'Dados-Status-Invest'!$1:$1000,MATCH(S$1,'Dados-Status-Invest'!$2:$2,0),FALSE()),"")</f>
        <v>0.7</v>
      </c>
      <c r="T65" s="12" t="n">
        <f aca="false">IFERROR(VLOOKUP(A65,'Dados-Status-Invest'!$1:$1000,MATCH(T$1,'Dados-Status-Invest'!$2:$2,0),FALSE()),"")</f>
        <v>7.84</v>
      </c>
      <c r="U65" s="12" t="n">
        <f aca="false">IFERROR(VLOOKUP(A65,'Dados-Status-Invest'!$1:$1000,MATCH(U$1,'Dados-Status-Invest'!$2:$2,0),FALSE()),"")</f>
        <v>0</v>
      </c>
      <c r="V65" s="12" t="n">
        <f aca="false">IFERROR(VLOOKUP(A65,'Dados-Status-Invest'!$1:$1000,MATCH(V$1,'Dados-Status-Invest'!$2:$2,0),FALSE()),"")</f>
        <v>0</v>
      </c>
      <c r="W65" s="10" t="n">
        <f aca="false">IFERROR(VLOOKUP(A65,'Dados-Status-Invest'!$1:$1000,MATCH(W$1,'Dados-Status-Invest'!$2:$2,0),FALSE())/100,"")</f>
        <v>0.1198</v>
      </c>
      <c r="X65" s="10" t="n">
        <f aca="false">IFERROR(VLOOKUP(A65,'Dados-Status-Invest'!$1:$1000,MATCH(X$1,'Dados-Status-Invest'!$2:$2,0),FALSE())/100,"")</f>
        <v>0.0839</v>
      </c>
    </row>
    <row r="66" customFormat="false" ht="15.75" hidden="false" customHeight="false" outlineLevel="0" collapsed="false">
      <c r="A66" s="6" t="s">
        <v>94</v>
      </c>
      <c r="B66" s="7" t="str">
        <f aca="false">IFERROR(VLOOKUP(LEFT(A66,4),Setor!A:D,2,FALSE()),"")</f>
        <v>Financeiro</v>
      </c>
      <c r="C66" s="8" t="n">
        <f aca="false">IFERROR(__xludf.dummyfunction("IFERROR(IFERROR(GOOGLEFINANCE(A72,""price""),VLOOKUP(A72,'Dados-Status-Invest'!A:B,2,FALSE)),"""")"),19.91)</f>
        <v>19.91</v>
      </c>
      <c r="D66" s="8" t="n">
        <f aca="false">IFERROR(VLOOKUP(A66,'Dados-Status-Invest'!$1:$1000,MATCH(D$1,'Dados-Status-Invest'!$2:$2,0),FALSE()),"")</f>
        <v>109701342.6</v>
      </c>
      <c r="E66" s="8" t="n">
        <f aca="false">IF(D66+H66&gt;0,D66+H66,"")</f>
        <v>109701342.6</v>
      </c>
      <c r="F66" s="8" t="n">
        <f aca="false">IFERROR(D66/VLOOKUP(A66,'Dados-Status-Invest'!$1:$1000,5,FALSE()),"")</f>
        <v>123259935.5</v>
      </c>
      <c r="G66" s="8" t="n">
        <f aca="false">IFERROR(D66/VLOOKUP(A66,'Dados-Status-Invest'!$1:$1000,6,FALSE()),"")</f>
        <v>199456986.5</v>
      </c>
      <c r="H66" s="8" t="n">
        <f aca="false">IFERROR(VLOOKUP(A66,'Dados-Status-Invest'!$1:$1000,12,FALSE())*J66,"")</f>
        <v>0</v>
      </c>
      <c r="I66" s="8" t="n">
        <f aca="false">IFERROR(D66/VLOOKUP(A66,'Dados-Status-Invest'!$1:$1000,14,FALSE()),"")</f>
        <v>10629975.06</v>
      </c>
      <c r="J66" s="9" t="n">
        <f aca="false">IFERROR(D66/VLOOKUP(A66,'Dados-Status-Invest'!$1:$1000,10,FALSE()),"")</f>
        <v>3601488.595</v>
      </c>
      <c r="K66" s="10" t="n">
        <f aca="false">IFERROR(VLOOKUP(A66,'Dados-Status-Invest'!$1:$1000,3,FALSE())/100,"")</f>
        <v>0</v>
      </c>
      <c r="L66" s="11" t="n">
        <f aca="false">IFERROR(VLOOKUP(A66,'Dados-Status-Invest'!$1:$1000,MATCH(L$1,'Dados-Status-Invest'!$2:$2,0),FALSE())/100,"")</f>
        <v>0.0168</v>
      </c>
      <c r="M66" s="10" t="n">
        <f aca="false">IFERROR(VLOOKUP(A66,'Dados-Status-Invest'!$1:$1000,MATCH(M$1,'Dados-Status-Invest'!$2:$2,0),FALSE())/100,"")</f>
        <v>0.0103</v>
      </c>
      <c r="N66" s="10" t="n">
        <f aca="false">IFERROR(VLOOKUP(A66,'Dados-Status-Invest'!$1:$1000,MATCH(N$1,'Dados-Status-Invest'!$2:$2,0),FALSE())/100,"")</f>
        <v>0</v>
      </c>
      <c r="O66" s="10" t="n">
        <f aca="false">IFERROR(VLOOKUP(A66,'Dados-Status-Invest'!$1:$1000,MATCH(O$1,'Dados-Status-Invest'!$2:$2,0),FALSE())/100,"")</f>
        <v>0.8213</v>
      </c>
      <c r="P66" s="10" t="n">
        <f aca="false">IFERROR(VLOOKUP(A66,'Dados-Status-Invest'!$1:$1000,MATCH(P$1,'Dados-Status-Invest'!$2:$2,0),FALSE())/100,"")</f>
        <v>0.3389</v>
      </c>
      <c r="Q66" s="10" t="n">
        <f aca="false">IFERROR(VLOOKUP(A66,'Dados-Status-Invest'!$1:$1000,MATCH(Q$1,'Dados-Status-Invest'!$2:$2,0),FALSE())/100,"")</f>
        <v>0.195</v>
      </c>
      <c r="R66" s="12" t="n">
        <f aca="false">IFERROR(VLOOKUP(A66,'Dados-Status-Invest'!$1:$1000,MATCH(R$1,'Dados-Status-Invest'!$2:$2,0),FALSE()),"")</f>
        <v>52.95</v>
      </c>
      <c r="S66" s="12" t="n">
        <f aca="false">IFERROR(VLOOKUP(A66,'Dados-Status-Invest'!$1:$1000,MATCH(S$1,'Dados-Status-Invest'!$2:$2,0),FALSE()),"")</f>
        <v>0.89</v>
      </c>
      <c r="T66" s="12" t="n">
        <f aca="false">IFERROR(VLOOKUP(A66,'Dados-Status-Invest'!$1:$1000,MATCH(T$1,'Dados-Status-Invest'!$2:$2,0),FALSE()),"")</f>
        <v>30.11</v>
      </c>
      <c r="U66" s="12" t="n">
        <f aca="false">IFERROR(VLOOKUP(A66,'Dados-Status-Invest'!$1:$1000,MATCH(U$1,'Dados-Status-Invest'!$2:$2,0),FALSE()),"")</f>
        <v>2.25</v>
      </c>
      <c r="V66" s="12" t="n">
        <f aca="false">IFERROR(VLOOKUP(A66,'Dados-Status-Invest'!$1:$1000,MATCH(V$1,'Dados-Status-Invest'!$2:$2,0),FALSE()),"")</f>
        <v>0</v>
      </c>
      <c r="W66" s="10" t="n">
        <f aca="false">IFERROR(VLOOKUP(A66,'Dados-Status-Invest'!$1:$1000,MATCH(W$1,'Dados-Status-Invest'!$2:$2,0),FALSE())/100,"")</f>
        <v>-0.0179</v>
      </c>
      <c r="X66" s="10" t="n">
        <f aca="false">IFERROR(VLOOKUP(A66,'Dados-Status-Invest'!$1:$1000,MATCH(X$1,'Dados-Status-Invest'!$2:$2,0),FALSE())/100,"")</f>
        <v>-0.0957</v>
      </c>
    </row>
    <row r="67" customFormat="false" ht="15.75" hidden="false" customHeight="false" outlineLevel="0" collapsed="false">
      <c r="A67" s="6" t="s">
        <v>95</v>
      </c>
      <c r="B67" s="7" t="str">
        <f aca="false">IFERROR(VLOOKUP(LEFT(A67,4),Setor!A:D,2,FALSE()),"")</f>
        <v>Financeiro</v>
      </c>
      <c r="C67" s="8" t="n">
        <f aca="false">IFERROR(__xludf.dummyfunction("IFERROR(IFERROR(GOOGLEFINANCE(A73,""price""),VLOOKUP(A73,'Dados-Status-Invest'!A:B,2,FALSE)),"""")"),14.64)</f>
        <v>14.64</v>
      </c>
      <c r="D67" s="8" t="n">
        <f aca="false">IFERROR(VLOOKUP(A67,'Dados-Status-Invest'!$1:$1000,MATCH(D$1,'Dados-Status-Invest'!$2:$2,0),FALSE()),"")</f>
        <v>109701342.6</v>
      </c>
      <c r="E67" s="8" t="n">
        <f aca="false">IF(D67+H67&gt;0,D67+H67,"")</f>
        <v>109701342.6</v>
      </c>
      <c r="F67" s="8" t="n">
        <f aca="false">IFERROR(D67/VLOOKUP(A67,'Dados-Status-Invest'!$1:$1000,5,FALSE()),"")</f>
        <v>133782125.1</v>
      </c>
      <c r="G67" s="8" t="n">
        <f aca="false">IFERROR(D67/VLOOKUP(A67,'Dados-Status-Invest'!$1:$1000,6,FALSE()),"")</f>
        <v>219402685.2</v>
      </c>
      <c r="H67" s="8" t="n">
        <f aca="false">IFERROR(VLOOKUP(A67,'Dados-Status-Invest'!$1:$1000,12,FALSE())*J67,"")</f>
        <v>0</v>
      </c>
      <c r="I67" s="8" t="n">
        <f aca="false">IFERROR(D67/VLOOKUP(A67,'Dados-Status-Invest'!$1:$1000,14,FALSE()),"")</f>
        <v>11523250.27</v>
      </c>
      <c r="J67" s="9" t="n">
        <f aca="false">IFERROR(D67/VLOOKUP(A67,'Dados-Status-Invest'!$1:$1000,10,FALSE()),"")</f>
        <v>3906742.97</v>
      </c>
      <c r="K67" s="10" t="n">
        <f aca="false">IFERROR(VLOOKUP(A67,'Dados-Status-Invest'!$1:$1000,3,FALSE())/100,"")</f>
        <v>0.066</v>
      </c>
      <c r="L67" s="11" t="n">
        <f aca="false">IFERROR(VLOOKUP(A67,'Dados-Status-Invest'!$1:$1000,MATCH(L$1,'Dados-Status-Invest'!$2:$2,0),FALSE())/100,"")</f>
        <v>0.0168</v>
      </c>
      <c r="M67" s="10" t="n">
        <f aca="false">IFERROR(VLOOKUP(A67,'Dados-Status-Invest'!$1:$1000,MATCH(M$1,'Dados-Status-Invest'!$2:$2,0),FALSE())/100,"")</f>
        <v>0.0103</v>
      </c>
      <c r="N67" s="10" t="n">
        <f aca="false">IFERROR(VLOOKUP(A67,'Dados-Status-Invest'!$1:$1000,MATCH(N$1,'Dados-Status-Invest'!$2:$2,0),FALSE())/100,"")</f>
        <v>0</v>
      </c>
      <c r="O67" s="10" t="n">
        <f aca="false">IFERROR(VLOOKUP(A67,'Dados-Status-Invest'!$1:$1000,MATCH(O$1,'Dados-Status-Invest'!$2:$2,0),FALSE())/100,"")</f>
        <v>0.8213</v>
      </c>
      <c r="P67" s="10" t="n">
        <f aca="false">IFERROR(VLOOKUP(A67,'Dados-Status-Invest'!$1:$1000,MATCH(P$1,'Dados-Status-Invest'!$2:$2,0),FALSE())/100,"")</f>
        <v>0.3389</v>
      </c>
      <c r="Q67" s="10" t="n">
        <f aca="false">IFERROR(VLOOKUP(A67,'Dados-Status-Invest'!$1:$1000,MATCH(Q$1,'Dados-Status-Invest'!$2:$2,0),FALSE())/100,"")</f>
        <v>0.195</v>
      </c>
      <c r="R67" s="12" t="n">
        <f aca="false">IFERROR(VLOOKUP(A67,'Dados-Status-Invest'!$1:$1000,MATCH(R$1,'Dados-Status-Invest'!$2:$2,0),FALSE()),"")</f>
        <v>48.8</v>
      </c>
      <c r="S67" s="12" t="n">
        <f aca="false">IFERROR(VLOOKUP(A67,'Dados-Status-Invest'!$1:$1000,MATCH(S$1,'Dados-Status-Invest'!$2:$2,0),FALSE()),"")</f>
        <v>0.82</v>
      </c>
      <c r="T67" s="12" t="n">
        <f aca="false">IFERROR(VLOOKUP(A67,'Dados-Status-Invest'!$1:$1000,MATCH(T$1,'Dados-Status-Invest'!$2:$2,0),FALSE()),"")</f>
        <v>30.11</v>
      </c>
      <c r="U67" s="12" t="n">
        <f aca="false">IFERROR(VLOOKUP(A67,'Dados-Status-Invest'!$1:$1000,MATCH(U$1,'Dados-Status-Invest'!$2:$2,0),FALSE()),"")</f>
        <v>2.25</v>
      </c>
      <c r="V67" s="12" t="n">
        <f aca="false">IFERROR(VLOOKUP(A67,'Dados-Status-Invest'!$1:$1000,MATCH(V$1,'Dados-Status-Invest'!$2:$2,0),FALSE()),"")</f>
        <v>0</v>
      </c>
      <c r="W67" s="10" t="n">
        <f aca="false">IFERROR(VLOOKUP(A67,'Dados-Status-Invest'!$1:$1000,MATCH(W$1,'Dados-Status-Invest'!$2:$2,0),FALSE())/100,"")</f>
        <v>-0.0179</v>
      </c>
      <c r="X67" s="10" t="n">
        <f aca="false">IFERROR(VLOOKUP(A67,'Dados-Status-Invest'!$1:$1000,MATCH(X$1,'Dados-Status-Invest'!$2:$2,0),FALSE())/100,"")</f>
        <v>-0.0957</v>
      </c>
    </row>
    <row r="68" customFormat="false" ht="15.75" hidden="false" customHeight="false" outlineLevel="0" collapsed="false">
      <c r="A68" s="6" t="s">
        <v>96</v>
      </c>
      <c r="B68" s="7" t="str">
        <f aca="false">IFERROR(VLOOKUP(LEFT(A68,4),Setor!A:D,2,FALSE()),"")</f>
        <v>Consumo Cíclico</v>
      </c>
      <c r="C68" s="8" t="n">
        <f aca="false">IFERROR(__xludf.dummyfunction("IFERROR(IFERROR(GOOGLEFINANCE(A74,""price""),VLOOKUP(A74,'Dados-Status-Invest'!A:B,2,FALSE)),"""")"),250)</f>
        <v>250</v>
      </c>
      <c r="D68" s="8" t="n">
        <f aca="false">IFERROR(VLOOKUP(A68,'Dados-Status-Invest'!$1:$1000,MATCH(D$1,'Dados-Status-Invest'!$2:$2,0),FALSE()),"")</f>
        <v>108230500</v>
      </c>
      <c r="E68" s="8" t="str">
        <f aca="false">IF(D68+H68&gt;0,D68+H68,"")</f>
        <v/>
      </c>
      <c r="F68" s="8" t="n">
        <f aca="false">IFERROR(D68/VLOOKUP(A68,'Dados-Status-Invest'!$1:$1000,5,FALSE()),"")</f>
        <v>189878070.2</v>
      </c>
      <c r="G68" s="8" t="n">
        <f aca="false">IFERROR(D68/VLOOKUP(A68,'Dados-Status-Invest'!$1:$1000,6,FALSE()),"")</f>
        <v>216461000</v>
      </c>
      <c r="H68" s="8" t="n">
        <f aca="false">IFERROR(VLOOKUP(A68,'Dados-Status-Invest'!$1:$1000,12,FALSE())*J68,"")</f>
        <v>-146726812</v>
      </c>
      <c r="I68" s="8" t="n">
        <f aca="false">IFERROR(D68/VLOOKUP(A68,'Dados-Status-Invest'!$1:$1000,14,FALSE()),"")</f>
        <v>22881712.47</v>
      </c>
      <c r="J68" s="9" t="n">
        <f aca="false">IFERROR(D68/VLOOKUP(A68,'Dados-Status-Invest'!$1:$1000,10,FALSE()),"")</f>
        <v>1900114.115</v>
      </c>
      <c r="K68" s="10" t="n">
        <f aca="false">IFERROR(VLOOKUP(A68,'Dados-Status-Invest'!$1:$1000,3,FALSE())/100,"")</f>
        <v>0.0339</v>
      </c>
      <c r="L68" s="11" t="n">
        <f aca="false">IFERROR(VLOOKUP(A68,'Dados-Status-Invest'!$1:$1000,MATCH(L$1,'Dados-Status-Invest'!$2:$2,0),FALSE())/100,"")</f>
        <v>0.0174</v>
      </c>
      <c r="M68" s="10" t="n">
        <f aca="false">IFERROR(VLOOKUP(A68,'Dados-Status-Invest'!$1:$1000,MATCH(M$1,'Dados-Status-Invest'!$2:$2,0),FALSE())/100,"")</f>
        <v>0.0154</v>
      </c>
      <c r="N68" s="10" t="n">
        <f aca="false">IFERROR(VLOOKUP(A68,'Dados-Status-Invest'!$1:$1000,MATCH(N$1,'Dados-Status-Invest'!$2:$2,0),FALSE())/100,"")</f>
        <v>0.0011</v>
      </c>
      <c r="O68" s="10" t="n">
        <f aca="false">IFERROR(VLOOKUP(A68,'Dados-Status-Invest'!$1:$1000,MATCH(O$1,'Dados-Status-Invest'!$2:$2,0),FALSE())/100,"")</f>
        <v>0.3257</v>
      </c>
      <c r="P68" s="10" t="n">
        <f aca="false">IFERROR(VLOOKUP(A68,'Dados-Status-Invest'!$1:$1000,MATCH(P$1,'Dados-Status-Invest'!$2:$2,0),FALSE())/100,"")</f>
        <v>0.0831</v>
      </c>
      <c r="Q68" s="10" t="n">
        <f aca="false">IFERROR(VLOOKUP(A68,'Dados-Status-Invest'!$1:$1000,MATCH(Q$1,'Dados-Status-Invest'!$2:$2,0),FALSE())/100,"")</f>
        <v>0.1453</v>
      </c>
      <c r="R68" s="12" t="n">
        <f aca="false">IFERROR(VLOOKUP(A68,'Dados-Status-Invest'!$1:$1000,MATCH(R$1,'Dados-Status-Invest'!$2:$2,0),FALSE()),"")</f>
        <v>32.59</v>
      </c>
      <c r="S68" s="12" t="n">
        <f aca="false">IFERROR(VLOOKUP(A68,'Dados-Status-Invest'!$1:$1000,MATCH(S$1,'Dados-Status-Invest'!$2:$2,0),FALSE()),"")</f>
        <v>0.57</v>
      </c>
      <c r="T68" s="12" t="n">
        <f aca="false">IFERROR(VLOOKUP(A68,'Dados-Status-Invest'!$1:$1000,MATCH(T$1,'Dados-Status-Invest'!$2:$2,0),FALSE()),"")</f>
        <v>-19.32</v>
      </c>
      <c r="U68" s="12" t="n">
        <f aca="false">IFERROR(VLOOKUP(A68,'Dados-Status-Invest'!$1:$1000,MATCH(U$1,'Dados-Status-Invest'!$2:$2,0),FALSE()),"")</f>
        <v>31.35</v>
      </c>
      <c r="V68" s="12" t="n">
        <f aca="false">IFERROR(VLOOKUP(A68,'Dados-Status-Invest'!$1:$1000,MATCH(V$1,'Dados-Status-Invest'!$2:$2,0),FALSE()),"")</f>
        <v>-77.22</v>
      </c>
      <c r="W68" s="10" t="n">
        <f aca="false">IFERROR(VLOOKUP(A68,'Dados-Status-Invest'!$1:$1000,MATCH(W$1,'Dados-Status-Invest'!$2:$2,0),FALSE())/100,"")</f>
        <v>0.0112</v>
      </c>
      <c r="X68" s="10" t="n">
        <f aca="false">IFERROR(VLOOKUP(A68,'Dados-Status-Invest'!$1:$1000,MATCH(X$1,'Dados-Status-Invest'!$2:$2,0),FALSE())/100,"")</f>
        <v>-0.2041</v>
      </c>
    </row>
    <row r="69" customFormat="false" ht="15.75" hidden="false" customHeight="false" outlineLevel="0" collapsed="false">
      <c r="A69" s="6" t="s">
        <v>97</v>
      </c>
      <c r="B69" s="7" t="s">
        <v>98</v>
      </c>
      <c r="C69" s="8" t="n">
        <f aca="false">IFERROR(__xludf.dummyfunction("IFERROR(IFERROR(GOOGLEFINANCE(A75,""price""),VLOOKUP(A75,'Dados-Status-Invest'!A:B,2,FALSE)),"""")"),13.6)</f>
        <v>13.6</v>
      </c>
      <c r="D69" s="8" t="n">
        <f aca="false">IFERROR(VLOOKUP(A69,'Dados-Status-Invest'!$1:$1000,MATCH(D$1,'Dados-Status-Invest'!$2:$2,0),FALSE()),"")</f>
        <v>2076363661</v>
      </c>
      <c r="E69" s="8" t="n">
        <f aca="false">IF(D69+H69&gt;0,D69+H69,"")</f>
        <v>910643994</v>
      </c>
      <c r="F69" s="8" t="n">
        <f aca="false">IFERROR(D69/VLOOKUP(A69,'Dados-Status-Invest'!$1:$1000,5,FALSE()),"")</f>
        <v>1038181831</v>
      </c>
      <c r="G69" s="8" t="n">
        <f aca="false">IFERROR(D69/VLOOKUP(A69,'Dados-Status-Invest'!$1:$1000,6,FALSE()),"")</f>
        <v>1526737986</v>
      </c>
      <c r="H69" s="8" t="n">
        <f aca="false">IFERROR(VLOOKUP(A69,'Dados-Status-Invest'!$1:$1000,12,FALSE())*J69,"")</f>
        <v>-1165719667</v>
      </c>
      <c r="I69" s="8" t="n">
        <f aca="false">IFERROR(D69/VLOOKUP(A69,'Dados-Status-Invest'!$1:$1000,14,FALSE()),"")</f>
        <v>207221922.3</v>
      </c>
      <c r="J69" s="9" t="n">
        <f aca="false">IFERROR(D69/VLOOKUP(A69,'Dados-Status-Invest'!$1:$1000,10,FALSE()),"")</f>
        <v>79462826.69</v>
      </c>
      <c r="K69" s="10" t="n">
        <f aca="false">IFERROR(VLOOKUP(A69,'Dados-Status-Invest'!$1:$1000,3,FALSE())/100,"")</f>
        <v>0</v>
      </c>
      <c r="L69" s="11" t="n">
        <f aca="false">IFERROR(VLOOKUP(A69,'Dados-Status-Invest'!$1:$1000,MATCH(L$1,'Dados-Status-Invest'!$2:$2,0),FALSE())/100,"")</f>
        <v>0.0545</v>
      </c>
      <c r="M69" s="10" t="n">
        <f aca="false">IFERROR(VLOOKUP(A69,'Dados-Status-Invest'!$1:$1000,MATCH(M$1,'Dados-Status-Invest'!$2:$2,0),FALSE())/100,"")</f>
        <v>0.0371</v>
      </c>
      <c r="N69" s="10" t="n">
        <f aca="false">IFERROR(VLOOKUP(A69,'Dados-Status-Invest'!$1:$1000,MATCH(N$1,'Dados-Status-Invest'!$2:$2,0),FALSE())/100,"")</f>
        <v>0.0476</v>
      </c>
      <c r="O69" s="10" t="n">
        <f aca="false">IFERROR(VLOOKUP(A69,'Dados-Status-Invest'!$1:$1000,MATCH(O$1,'Dados-Status-Invest'!$2:$2,0),FALSE())/100,"")</f>
        <v>0.5687</v>
      </c>
      <c r="P69" s="10" t="n">
        <f aca="false">IFERROR(VLOOKUP(A69,'Dados-Status-Invest'!$1:$1000,MATCH(P$1,'Dados-Status-Invest'!$2:$2,0),FALSE())/100,"")</f>
        <v>0.3834</v>
      </c>
      <c r="Q69" s="10" t="n">
        <f aca="false">IFERROR(VLOOKUP(A69,'Dados-Status-Invest'!$1:$1000,MATCH(Q$1,'Dados-Status-Invest'!$2:$2,0),FALSE())/100,"")</f>
        <v>0.2727</v>
      </c>
      <c r="R69" s="12" t="n">
        <f aca="false">IFERROR(VLOOKUP(A69,'Dados-Status-Invest'!$1:$1000,MATCH(R$1,'Dados-Status-Invest'!$2:$2,0),FALSE()),"")</f>
        <v>36.73</v>
      </c>
      <c r="S69" s="12" t="n">
        <f aca="false">IFERROR(VLOOKUP(A69,'Dados-Status-Invest'!$1:$1000,MATCH(S$1,'Dados-Status-Invest'!$2:$2,0),FALSE()),"")</f>
        <v>2</v>
      </c>
      <c r="T69" s="12" t="n">
        <f aca="false">IFERROR(VLOOKUP(A69,'Dados-Status-Invest'!$1:$1000,MATCH(T$1,'Dados-Status-Invest'!$2:$2,0),FALSE()),"")</f>
        <v>11.33</v>
      </c>
      <c r="U69" s="12" t="n">
        <f aca="false">IFERROR(VLOOKUP(A69,'Dados-Status-Invest'!$1:$1000,MATCH(U$1,'Dados-Status-Invest'!$2:$2,0),FALSE()),"")</f>
        <v>2.62</v>
      </c>
      <c r="V69" s="12" t="n">
        <f aca="false">IFERROR(VLOOKUP(A69,'Dados-Status-Invest'!$1:$1000,MATCH(V$1,'Dados-Status-Invest'!$2:$2,0),FALSE()),"")</f>
        <v>-14.67</v>
      </c>
      <c r="W69" s="10" t="n">
        <f aca="false">IFERROR(VLOOKUP(A69,'Dados-Status-Invest'!$1:$1000,MATCH(W$1,'Dados-Status-Invest'!$2:$2,0),FALSE())/100,"")</f>
        <v>0</v>
      </c>
      <c r="X69" s="10" t="n">
        <f aca="false">IFERROR(VLOOKUP(A69,'Dados-Status-Invest'!$1:$1000,MATCH(X$1,'Dados-Status-Invest'!$2:$2,0),FALSE())/100,"")</f>
        <v>0</v>
      </c>
    </row>
    <row r="70" customFormat="false" ht="15.75" hidden="false" customHeight="false" outlineLevel="0" collapsed="false">
      <c r="A70" s="6" t="s">
        <v>99</v>
      </c>
      <c r="B70" s="7" t="str">
        <f aca="false">IFERROR(VLOOKUP(LEFT(A70,4),Setor!A:D,2,FALSE()),"")</f>
        <v>Financeiro</v>
      </c>
      <c r="C70" s="8" t="n">
        <f aca="false">IFERROR(__xludf.dummyfunction("IFERROR(IFERROR(GOOGLEFINANCE(A76,""price""),VLOOKUP(A76,'Dados-Status-Invest'!A:B,2,FALSE)),"""")"),67)</f>
        <v>67</v>
      </c>
      <c r="D70" s="8" t="n">
        <f aca="false">IFERROR(VLOOKUP(A70,'Dados-Status-Invest'!$1:$1000,MATCH(D$1,'Dados-Status-Invest'!$2:$2,0),FALSE()),"")</f>
        <v>5812799527</v>
      </c>
      <c r="E70" s="8" t="n">
        <f aca="false">IF(D70+H70&gt;0,D70+H70,"")</f>
        <v>5812799527</v>
      </c>
      <c r="F70" s="8" t="n">
        <f aca="false">IFERROR(D70/VLOOKUP(A70,'Dados-Status-Invest'!$1:$1000,5,FALSE()),"")</f>
        <v>6531235424</v>
      </c>
      <c r="G70" s="8" t="n">
        <f aca="false">IFERROR(D70/VLOOKUP(A70,'Dados-Status-Invest'!$1:$1000,6,FALSE()),"")</f>
        <v>64586661413</v>
      </c>
      <c r="H70" s="8" t="n">
        <f aca="false">IFERROR(VLOOKUP(A70,'Dados-Status-Invest'!$1:$1000,12,FALSE())*J70,"")</f>
        <v>0</v>
      </c>
      <c r="I70" s="8" t="n">
        <f aca="false">IFERROR(D70/VLOOKUP(A70,'Dados-Status-Invest'!$1:$1000,14,FALSE()),"")</f>
        <v>3750193243</v>
      </c>
      <c r="J70" s="9" t="n">
        <f aca="false">IFERROR(D70/VLOOKUP(A70,'Dados-Status-Invest'!$1:$1000,10,FALSE()),"")</f>
        <v>1761454402</v>
      </c>
      <c r="K70" s="10" t="n">
        <f aca="false">IFERROR(VLOOKUP(A70,'Dados-Status-Invest'!$1:$1000,3,FALSE())/100,"")</f>
        <v>0.0417</v>
      </c>
      <c r="L70" s="11" t="n">
        <f aca="false">IFERROR(VLOOKUP(A70,'Dados-Status-Invest'!$1:$1000,MATCH(L$1,'Dados-Status-Invest'!$2:$2,0),FALSE())/100,"")</f>
        <v>0.1634</v>
      </c>
      <c r="M70" s="10" t="n">
        <f aca="false">IFERROR(VLOOKUP(A70,'Dados-Status-Invest'!$1:$1000,MATCH(M$1,'Dados-Status-Invest'!$2:$2,0),FALSE())/100,"")</f>
        <v>0.0173</v>
      </c>
      <c r="N70" s="10" t="n">
        <f aca="false">IFERROR(VLOOKUP(A70,'Dados-Status-Invest'!$1:$1000,MATCH(N$1,'Dados-Status-Invest'!$2:$2,0),FALSE())/100,"")</f>
        <v>0</v>
      </c>
      <c r="O70" s="10" t="n">
        <f aca="false">IFERROR(VLOOKUP(A70,'Dados-Status-Invest'!$1:$1000,MATCH(O$1,'Dados-Status-Invest'!$2:$2,0),FALSE())/100,"")</f>
        <v>0.6603</v>
      </c>
      <c r="P70" s="10" t="n">
        <f aca="false">IFERROR(VLOOKUP(A70,'Dados-Status-Invest'!$1:$1000,MATCH(P$1,'Dados-Status-Invest'!$2:$2,0),FALSE())/100,"")</f>
        <v>0.4713</v>
      </c>
      <c r="Q70" s="10" t="n">
        <f aca="false">IFERROR(VLOOKUP(A70,'Dados-Status-Invest'!$1:$1000,MATCH(Q$1,'Dados-Status-Invest'!$2:$2,0),FALSE())/100,"")</f>
        <v>0.2857</v>
      </c>
      <c r="R70" s="12" t="n">
        <f aca="false">IFERROR(VLOOKUP(A70,'Dados-Status-Invest'!$1:$1000,MATCH(R$1,'Dados-Status-Invest'!$2:$2,0),FALSE()),"")</f>
        <v>5.44</v>
      </c>
      <c r="S70" s="12" t="n">
        <f aca="false">IFERROR(VLOOKUP(A70,'Dados-Status-Invest'!$1:$1000,MATCH(S$1,'Dados-Status-Invest'!$2:$2,0),FALSE()),"")</f>
        <v>0.89</v>
      </c>
      <c r="T70" s="12" t="n">
        <f aca="false">IFERROR(VLOOKUP(A70,'Dados-Status-Invest'!$1:$1000,MATCH(T$1,'Dados-Status-Invest'!$2:$2,0),FALSE()),"")</f>
        <v>3.3</v>
      </c>
      <c r="U70" s="12" t="n">
        <f aca="false">IFERROR(VLOOKUP(A70,'Dados-Status-Invest'!$1:$1000,MATCH(U$1,'Dados-Status-Invest'!$2:$2,0),FALSE()),"")</f>
        <v>1.31</v>
      </c>
      <c r="V70" s="12" t="n">
        <f aca="false">IFERROR(VLOOKUP(A70,'Dados-Status-Invest'!$1:$1000,MATCH(V$1,'Dados-Status-Invest'!$2:$2,0),FALSE()),"")</f>
        <v>0</v>
      </c>
      <c r="W70" s="10" t="n">
        <f aca="false">IFERROR(VLOOKUP(A70,'Dados-Status-Invest'!$1:$1000,MATCH(W$1,'Dados-Status-Invest'!$2:$2,0),FALSE())/100,"")</f>
        <v>-0.0948</v>
      </c>
      <c r="X70" s="10" t="n">
        <f aca="false">IFERROR(VLOOKUP(A70,'Dados-Status-Invest'!$1:$1000,MATCH(X$1,'Dados-Status-Invest'!$2:$2,0),FALSE())/100,"")</f>
        <v>0.2723</v>
      </c>
    </row>
    <row r="71" customFormat="false" ht="15.75" hidden="false" customHeight="false" outlineLevel="0" collapsed="false">
      <c r="A71" s="6" t="s">
        <v>100</v>
      </c>
      <c r="B71" s="7" t="str">
        <f aca="false">IFERROR(VLOOKUP(LEFT(A71,4),Setor!A:D,2,FALSE()),"")</f>
        <v>Financeiro</v>
      </c>
      <c r="C71" s="8" t="n">
        <f aca="false">IFERROR(__xludf.dummyfunction("IFERROR(IFERROR(GOOGLEFINANCE(A77,""price""),VLOOKUP(A77,'Dados-Status-Invest'!A:B,2,FALSE)),"""")"),7.46)</f>
        <v>7.46</v>
      </c>
      <c r="D71" s="8" t="n">
        <f aca="false">IFERROR(VLOOKUP(A71,'Dados-Status-Invest'!$1:$1000,MATCH(D$1,'Dados-Status-Invest'!$2:$2,0),FALSE()),"")</f>
        <v>6088963507</v>
      </c>
      <c r="E71" s="8" t="n">
        <f aca="false">IF(D71+H71&gt;0,D71+H71,"")</f>
        <v>6087465054.064</v>
      </c>
      <c r="F71" s="8" t="n">
        <f aca="false">IFERROR(D71/VLOOKUP(A71,'Dados-Status-Invest'!$1:$1000,5,FALSE()),"")</f>
        <v>1812202.307</v>
      </c>
      <c r="G71" s="8" t="n">
        <f aca="false">IFERROR(D71/VLOOKUP(A71,'Dados-Status-Invest'!$1:$1000,6,FALSE()),"")</f>
        <v>2420481.598</v>
      </c>
      <c r="H71" s="8" t="n">
        <f aca="false">IFERROR(VLOOKUP(A71,'Dados-Status-Invest'!$1:$1000,12,FALSE())*J71,"")</f>
        <v>-1498452.936</v>
      </c>
      <c r="I71" s="8" t="n">
        <f aca="false">IFERROR(D71/VLOOKUP(A71,'Dados-Status-Invest'!$1:$1000,14,FALSE()),"")</f>
        <v>629025155.7</v>
      </c>
      <c r="J71" s="9" t="n">
        <f aca="false">IFERROR(D71/VLOOKUP(A71,'Dados-Status-Invest'!$1:$1000,10,FALSE()),"")</f>
        <v>74922646.82</v>
      </c>
      <c r="K71" s="10" t="n">
        <f aca="false">IFERROR(VLOOKUP(A71,'Dados-Status-Invest'!$1:$1000,3,FALSE())/100,"")</f>
        <v>0.0066</v>
      </c>
      <c r="L71" s="11" t="n">
        <f aca="false">IFERROR(VLOOKUP(A71,'Dados-Status-Invest'!$1:$1000,MATCH(L$1,'Dados-Status-Invest'!$2:$2,0),FALSE())/100,"")</f>
        <v>25.7114</v>
      </c>
      <c r="M71" s="10" t="n">
        <f aca="false">IFERROR(VLOOKUP(A71,'Dados-Status-Invest'!$1:$1000,MATCH(M$1,'Dados-Status-Invest'!$2:$2,0),FALSE())/100,"")</f>
        <v>19.25</v>
      </c>
      <c r="N71" s="10" t="n">
        <f aca="false">IFERROR(VLOOKUP(A71,'Dados-Status-Invest'!$1:$1000,MATCH(N$1,'Dados-Status-Invest'!$2:$2,0),FALSE())/100,"")</f>
        <v>30.3317</v>
      </c>
      <c r="O71" s="10" t="n">
        <f aca="false">IFERROR(VLOOKUP(A71,'Dados-Status-Invest'!$1:$1000,MATCH(O$1,'Dados-Status-Invest'!$2:$2,0),FALSE())/100,"")</f>
        <v>0.4497</v>
      </c>
      <c r="P71" s="10" t="n">
        <f aca="false">IFERROR(VLOOKUP(A71,'Dados-Status-Invest'!$1:$1000,MATCH(P$1,'Dados-Status-Invest'!$2:$2,0),FALSE())/100,"")</f>
        <v>0.1191</v>
      </c>
      <c r="Q71" s="10" t="n">
        <f aca="false">IFERROR(VLOOKUP(A71,'Dados-Status-Invest'!$1:$1000,MATCH(Q$1,'Dados-Status-Invest'!$2:$2,0),FALSE())/100,"")</f>
        <v>0.0741</v>
      </c>
      <c r="R71" s="12" t="n">
        <f aca="false">IFERROR(VLOOKUP(A71,'Dados-Status-Invest'!$1:$1000,MATCH(R$1,'Dados-Status-Invest'!$2:$2,0),FALSE()),"")</f>
        <v>130.68</v>
      </c>
      <c r="S71" s="12" t="n">
        <f aca="false">IFERROR(VLOOKUP(A71,'Dados-Status-Invest'!$1:$1000,MATCH(S$1,'Dados-Status-Invest'!$2:$2,0),FALSE()),"")</f>
        <v>3359.98</v>
      </c>
      <c r="T71" s="12" t="n">
        <f aca="false">IFERROR(VLOOKUP(A71,'Dados-Status-Invest'!$1:$1000,MATCH(T$1,'Dados-Status-Invest'!$2:$2,0),FALSE()),"")</f>
        <v>81.12</v>
      </c>
      <c r="U71" s="12" t="n">
        <f aca="false">IFERROR(VLOOKUP(A71,'Dados-Status-Invest'!$1:$1000,MATCH(U$1,'Dados-Status-Invest'!$2:$2,0),FALSE()),"")</f>
        <v>7.46</v>
      </c>
      <c r="V71" s="12" t="n">
        <f aca="false">IFERROR(VLOOKUP(A71,'Dados-Status-Invest'!$1:$1000,MATCH(V$1,'Dados-Status-Invest'!$2:$2,0),FALSE()),"")</f>
        <v>-0.02</v>
      </c>
      <c r="W71" s="10" t="n">
        <f aca="false">IFERROR(VLOOKUP(A71,'Dados-Status-Invest'!$1:$1000,MATCH(W$1,'Dados-Status-Invest'!$2:$2,0),FALSE())/100,"")</f>
        <v>0</v>
      </c>
      <c r="X71" s="10" t="n">
        <f aca="false">IFERROR(VLOOKUP(A71,'Dados-Status-Invest'!$1:$1000,MATCH(X$1,'Dados-Status-Invest'!$2:$2,0),FALSE())/100,"")</f>
        <v>0</v>
      </c>
    </row>
    <row r="72" customFormat="false" ht="15.75" hidden="false" customHeight="false" outlineLevel="0" collapsed="false">
      <c r="A72" s="6" t="s">
        <v>101</v>
      </c>
      <c r="B72" s="7" t="str">
        <f aca="false">IFERROR(VLOOKUP(LEFT(A72,4),Setor!A:D,2,FALSE()),"")</f>
        <v>Consumo não Cíclico</v>
      </c>
      <c r="C72" s="8" t="n">
        <f aca="false">IFERROR(__xludf.dummyfunction("IFERROR(IFERROR(GOOGLEFINANCE(A78,""price""),VLOOKUP(A78,'Dados-Status-Invest'!A:B,2,FALSE)),"""")"),0)</f>
        <v>0</v>
      </c>
      <c r="D72" s="8" t="n">
        <f aca="false">IFERROR(VLOOKUP(A72,'Dados-Status-Invest'!$1:$1000,MATCH(D$1,'Dados-Status-Invest'!$2:$2,0),FALSE()),"")</f>
        <v>321983490.4</v>
      </c>
      <c r="E72" s="8" t="n">
        <f aca="false">IF(D72+H72&gt;0,D72+H72,"")</f>
        <v>321983490.4</v>
      </c>
      <c r="F72" s="8" t="str">
        <f aca="false">IFERROR(D72/VLOOKUP(A72,'Dados-Status-Invest'!$1:$1000,5,FALSE()),"")</f>
        <v/>
      </c>
      <c r="G72" s="8" t="str">
        <f aca="false">IFERROR(D72/VLOOKUP(A72,'Dados-Status-Invest'!$1:$1000,6,FALSE()),"")</f>
        <v/>
      </c>
      <c r="H72" s="8" t="n">
        <f aca="false">IFERROR(VLOOKUP(A72,'Dados-Status-Invest'!$1:$1000,12,FALSE())*J72,"")</f>
        <v>0</v>
      </c>
      <c r="I72" s="8" t="str">
        <f aca="false">IFERROR(D72/VLOOKUP(A72,'Dados-Status-Invest'!$1:$1000,14,FALSE()),"")</f>
        <v/>
      </c>
      <c r="J72" s="9" t="str">
        <f aca="false">IFERROR(D72/VLOOKUP(A72,'Dados-Status-Invest'!$1:$1000,10,FALSE()),"")</f>
        <v/>
      </c>
      <c r="K72" s="10" t="n">
        <f aca="false">IFERROR(VLOOKUP(A72,'Dados-Status-Invest'!$1:$1000,3,FALSE())/100,"")</f>
        <v>0</v>
      </c>
      <c r="L72" s="11" t="n">
        <f aca="false">IFERROR(VLOOKUP(A72,'Dados-Status-Invest'!$1:$1000,MATCH(L$1,'Dados-Status-Invest'!$2:$2,0),FALSE())/100,"")</f>
        <v>-0.0477</v>
      </c>
      <c r="M72" s="10" t="n">
        <f aca="false">IFERROR(VLOOKUP(A72,'Dados-Status-Invest'!$1:$1000,MATCH(M$1,'Dados-Status-Invest'!$2:$2,0),FALSE())/100,"")</f>
        <v>-0.02</v>
      </c>
      <c r="N72" s="10" t="n">
        <f aca="false">IFERROR(VLOOKUP(A72,'Dados-Status-Invest'!$1:$1000,MATCH(N$1,'Dados-Status-Invest'!$2:$2,0),FALSE())/100,"")</f>
        <v>3.1946</v>
      </c>
      <c r="O72" s="10" t="n">
        <f aca="false">IFERROR(VLOOKUP(A72,'Dados-Status-Invest'!$1:$1000,MATCH(O$1,'Dados-Status-Invest'!$2:$2,0),FALSE())/100,"")</f>
        <v>0.3484</v>
      </c>
      <c r="P72" s="10" t="n">
        <f aca="false">IFERROR(VLOOKUP(A72,'Dados-Status-Invest'!$1:$1000,MATCH(P$1,'Dados-Status-Invest'!$2:$2,0),FALSE())/100,"")</f>
        <v>0.0649</v>
      </c>
      <c r="Q72" s="10" t="n">
        <f aca="false">IFERROR(VLOOKUP(A72,'Dados-Status-Invest'!$1:$1000,MATCH(Q$1,'Dados-Status-Invest'!$2:$2,0),FALSE())/100,"")</f>
        <v>-0.0116</v>
      </c>
      <c r="R72" s="12" t="n">
        <f aca="false">IFERROR(VLOOKUP(A72,'Dados-Status-Invest'!$1:$1000,MATCH(R$1,'Dados-Status-Invest'!$2:$2,0),FALSE()),"")</f>
        <v>0</v>
      </c>
      <c r="S72" s="12" t="n">
        <f aca="false">IFERROR(VLOOKUP(A72,'Dados-Status-Invest'!$1:$1000,MATCH(S$1,'Dados-Status-Invest'!$2:$2,0),FALSE()),"")</f>
        <v>0</v>
      </c>
      <c r="T72" s="12" t="n">
        <f aca="false">IFERROR(VLOOKUP(A72,'Dados-Status-Invest'!$1:$1000,MATCH(T$1,'Dados-Status-Invest'!$2:$2,0),FALSE()),"")</f>
        <v>8.39</v>
      </c>
      <c r="U72" s="12" t="n">
        <f aca="false">IFERROR(VLOOKUP(A72,'Dados-Status-Invest'!$1:$1000,MATCH(U$1,'Dados-Status-Invest'!$2:$2,0),FALSE()),"")</f>
        <v>0.53</v>
      </c>
      <c r="V72" s="12" t="n">
        <f aca="false">IFERROR(VLOOKUP(A72,'Dados-Status-Invest'!$1:$1000,MATCH(V$1,'Dados-Status-Invest'!$2:$2,0),FALSE()),"")</f>
        <v>3.92</v>
      </c>
      <c r="W72" s="10" t="n">
        <f aca="false">IFERROR(VLOOKUP(A72,'Dados-Status-Invest'!$1:$1000,MATCH(W$1,'Dados-Status-Invest'!$2:$2,0),FALSE())/100,"")</f>
        <v>0.011</v>
      </c>
      <c r="X72" s="10" t="n">
        <f aca="false">IFERROR(VLOOKUP(A72,'Dados-Status-Invest'!$1:$1000,MATCH(X$1,'Dados-Status-Invest'!$2:$2,0),FALSE())/100,"")</f>
        <v>0</v>
      </c>
    </row>
    <row r="73" customFormat="false" ht="15.75" hidden="false" customHeight="false" outlineLevel="0" collapsed="false">
      <c r="A73" s="6" t="s">
        <v>102</v>
      </c>
      <c r="B73" s="7" t="str">
        <f aca="false">IFERROR(VLOOKUP(LEFT(A73,4),Setor!A:D,2,FALSE()),"")</f>
        <v>Consumo não Cíclico</v>
      </c>
      <c r="C73" s="8" t="n">
        <f aca="false">IFERROR(__xludf.dummyfunction("IFERROR(IFERROR(GOOGLEFINANCE(A79,""price""),VLOOKUP(A79,'Dados-Status-Invest'!A:B,2,FALSE)),"""")"),1.4)</f>
        <v>1.4</v>
      </c>
      <c r="D73" s="8" t="n">
        <f aca="false">IFERROR(VLOOKUP(A73,'Dados-Status-Invest'!$1:$1000,MATCH(D$1,'Dados-Status-Invest'!$2:$2,0),FALSE()),"")</f>
        <v>321983490.4</v>
      </c>
      <c r="E73" s="8" t="n">
        <f aca="false">IF(D73+H73&gt;0,D73+H73,"")</f>
        <v>456400453.4</v>
      </c>
      <c r="F73" s="8" t="n">
        <f aca="false">IFERROR(D73/VLOOKUP(A73,'Dados-Status-Invest'!$1:$1000,5,FALSE()),"")</f>
        <v>-128793396.2</v>
      </c>
      <c r="G73" s="8" t="n">
        <f aca="false">IFERROR(D73/VLOOKUP(A73,'Dados-Status-Invest'!$1:$1000,6,FALSE()),"")</f>
        <v>306650943.3</v>
      </c>
      <c r="H73" s="8" t="n">
        <f aca="false">IFERROR(VLOOKUP(A73,'Dados-Status-Invest'!$1:$1000,12,FALSE())*J73,"")</f>
        <v>134416963</v>
      </c>
      <c r="I73" s="8" t="n">
        <f aca="false">IFERROR(D73/VLOOKUP(A73,'Dados-Status-Invest'!$1:$1000,14,FALSE()),"")</f>
        <v>527841787.6</v>
      </c>
      <c r="J73" s="9" t="n">
        <f aca="false">IFERROR(D73/VLOOKUP(A73,'Dados-Status-Invest'!$1:$1000,10,FALSE()),"")</f>
        <v>34290041.58</v>
      </c>
      <c r="K73" s="10" t="n">
        <f aca="false">IFERROR(VLOOKUP(A73,'Dados-Status-Invest'!$1:$1000,3,FALSE())/100,"")</f>
        <v>0</v>
      </c>
      <c r="L73" s="11" t="n">
        <f aca="false">IFERROR(VLOOKUP(A73,'Dados-Status-Invest'!$1:$1000,MATCH(L$1,'Dados-Status-Invest'!$2:$2,0),FALSE())/100,"")</f>
        <v>-0.0477</v>
      </c>
      <c r="M73" s="10" t="n">
        <f aca="false">IFERROR(VLOOKUP(A73,'Dados-Status-Invest'!$1:$1000,MATCH(M$1,'Dados-Status-Invest'!$2:$2,0),FALSE())/100,"")</f>
        <v>-0.02</v>
      </c>
      <c r="N73" s="10" t="n">
        <f aca="false">IFERROR(VLOOKUP(A73,'Dados-Status-Invest'!$1:$1000,MATCH(N$1,'Dados-Status-Invest'!$2:$2,0),FALSE())/100,"")</f>
        <v>3.1946</v>
      </c>
      <c r="O73" s="10" t="n">
        <f aca="false">IFERROR(VLOOKUP(A73,'Dados-Status-Invest'!$1:$1000,MATCH(O$1,'Dados-Status-Invest'!$2:$2,0),FALSE())/100,"")</f>
        <v>0.3484</v>
      </c>
      <c r="P73" s="10" t="n">
        <f aca="false">IFERROR(VLOOKUP(A73,'Dados-Status-Invest'!$1:$1000,MATCH(P$1,'Dados-Status-Invest'!$2:$2,0),FALSE())/100,"")</f>
        <v>0.0649</v>
      </c>
      <c r="Q73" s="10" t="n">
        <f aca="false">IFERROR(VLOOKUP(A73,'Dados-Status-Invest'!$1:$1000,MATCH(Q$1,'Dados-Status-Invest'!$2:$2,0),FALSE())/100,"")</f>
        <v>-0.0116</v>
      </c>
      <c r="R73" s="12" t="n">
        <f aca="false">IFERROR(VLOOKUP(A73,'Dados-Status-Invest'!$1:$1000,MATCH(R$1,'Dados-Status-Invest'!$2:$2,0),FALSE()),"")</f>
        <v>-52.36</v>
      </c>
      <c r="S73" s="12" t="n">
        <f aca="false">IFERROR(VLOOKUP(A73,'Dados-Status-Invest'!$1:$1000,MATCH(S$1,'Dados-Status-Invest'!$2:$2,0),FALSE()),"")</f>
        <v>-2.5</v>
      </c>
      <c r="T73" s="12" t="n">
        <f aca="false">IFERROR(VLOOKUP(A73,'Dados-Status-Invest'!$1:$1000,MATCH(T$1,'Dados-Status-Invest'!$2:$2,0),FALSE()),"")</f>
        <v>8.39</v>
      </c>
      <c r="U73" s="12" t="n">
        <f aca="false">IFERROR(VLOOKUP(A73,'Dados-Status-Invest'!$1:$1000,MATCH(U$1,'Dados-Status-Invest'!$2:$2,0),FALSE()),"")</f>
        <v>0.53</v>
      </c>
      <c r="V73" s="12" t="n">
        <f aca="false">IFERROR(VLOOKUP(A73,'Dados-Status-Invest'!$1:$1000,MATCH(V$1,'Dados-Status-Invest'!$2:$2,0),FALSE()),"")</f>
        <v>3.92</v>
      </c>
      <c r="W73" s="10" t="n">
        <f aca="false">IFERROR(VLOOKUP(A73,'Dados-Status-Invest'!$1:$1000,MATCH(W$1,'Dados-Status-Invest'!$2:$2,0),FALSE())/100,"")</f>
        <v>0.011</v>
      </c>
      <c r="X73" s="10" t="n">
        <f aca="false">IFERROR(VLOOKUP(A73,'Dados-Status-Invest'!$1:$1000,MATCH(X$1,'Dados-Status-Invest'!$2:$2,0),FALSE())/100,"")</f>
        <v>0</v>
      </c>
    </row>
    <row r="74" customFormat="false" ht="15.75" hidden="false" customHeight="false" outlineLevel="0" collapsed="false">
      <c r="A74" s="6" t="s">
        <v>103</v>
      </c>
      <c r="B74" s="7" t="str">
        <f aca="false">IFERROR(VLOOKUP(LEFT(A74,4),Setor!A:D,2,FALSE()),"")</f>
        <v>Financeiro</v>
      </c>
      <c r="C74" s="8" t="n">
        <f aca="false">IFERROR(__xludf.dummyfunction("IFERROR(IFERROR(GOOGLEFINANCE(A80,""price""),VLOOKUP(A80,'Dados-Status-Invest'!A:B,2,FALSE)),"""")"),24.04)</f>
        <v>24.04</v>
      </c>
      <c r="D74" s="8" t="n">
        <f aca="false">IFERROR(VLOOKUP(A74,'Dados-Status-Invest'!$1:$1000,MATCH(D$1,'Dados-Status-Invest'!$2:$2,0),FALSE()),"")</f>
        <v>115927114917</v>
      </c>
      <c r="E74" s="8" t="n">
        <f aca="false">IF(D74+H74&gt;0,D74+H74,"")</f>
        <v>115927114917</v>
      </c>
      <c r="F74" s="8" t="n">
        <f aca="false">IFERROR(D74/VLOOKUP(A74,'Dados-Status-Invest'!$1:$1000,5,FALSE()),"")</f>
        <v>30427064283</v>
      </c>
      <c r="G74" s="8" t="n">
        <f aca="false">IFERROR(D74/VLOOKUP(A74,'Dados-Status-Invest'!$1:$1000,6,FALSE()),"")</f>
        <v>305071355044</v>
      </c>
      <c r="H74" s="8" t="n">
        <f aca="false">IFERROR(VLOOKUP(A74,'Dados-Status-Invest'!$1:$1000,12,FALSE())*J74,"")</f>
        <v>0</v>
      </c>
      <c r="I74" s="8" t="n">
        <f aca="false">IFERROR(D74/VLOOKUP(A74,'Dados-Status-Invest'!$1:$1000,14,FALSE()),"")</f>
        <v>13069573271</v>
      </c>
      <c r="J74" s="9" t="n">
        <f aca="false">IFERROR(D74/VLOOKUP(A74,'Dados-Status-Invest'!$1:$1000,10,FALSE()),"")</f>
        <v>4650104890</v>
      </c>
      <c r="K74" s="10" t="n">
        <f aca="false">IFERROR(VLOOKUP(A74,'Dados-Status-Invest'!$1:$1000,3,FALSE())/100,"")</f>
        <v>0.01</v>
      </c>
      <c r="L74" s="11" t="n">
        <f aca="false">IFERROR(VLOOKUP(A74,'Dados-Status-Invest'!$1:$1000,MATCH(L$1,'Dados-Status-Invest'!$2:$2,0),FALSE())/100,"")</f>
        <v>0.1598</v>
      </c>
      <c r="M74" s="10" t="n">
        <f aca="false">IFERROR(VLOOKUP(A74,'Dados-Status-Invest'!$1:$1000,MATCH(M$1,'Dados-Status-Invest'!$2:$2,0),FALSE())/100,"")</f>
        <v>0.0161</v>
      </c>
      <c r="N74" s="10" t="n">
        <f aca="false">IFERROR(VLOOKUP(A74,'Dados-Status-Invest'!$1:$1000,MATCH(N$1,'Dados-Status-Invest'!$2:$2,0),FALSE())/100,"")</f>
        <v>0</v>
      </c>
      <c r="O74" s="10" t="n">
        <f aca="false">IFERROR(VLOOKUP(A74,'Dados-Status-Invest'!$1:$1000,MATCH(O$1,'Dados-Status-Invest'!$2:$2,0),FALSE())/100,"")</f>
        <v>0.188</v>
      </c>
      <c r="P74" s="10" t="n">
        <f aca="false">IFERROR(VLOOKUP(A74,'Dados-Status-Invest'!$1:$1000,MATCH(P$1,'Dados-Status-Invest'!$2:$2,0),FALSE())/100,"")</f>
        <v>0.356</v>
      </c>
      <c r="Q74" s="10" t="n">
        <f aca="false">IFERROR(VLOOKUP(A74,'Dados-Status-Invest'!$1:$1000,MATCH(Q$1,'Dados-Status-Invest'!$2:$2,0),FALSE())/100,"")</f>
        <v>0.3723</v>
      </c>
      <c r="R74" s="12" t="n">
        <f aca="false">IFERROR(VLOOKUP(A74,'Dados-Status-Invest'!$1:$1000,MATCH(R$1,'Dados-Status-Invest'!$2:$2,0),FALSE()),"")</f>
        <v>23.84</v>
      </c>
      <c r="S74" s="12" t="n">
        <f aca="false">IFERROR(VLOOKUP(A74,'Dados-Status-Invest'!$1:$1000,MATCH(S$1,'Dados-Status-Invest'!$2:$2,0),FALSE()),"")</f>
        <v>3.81</v>
      </c>
      <c r="T74" s="12" t="n">
        <f aca="false">IFERROR(VLOOKUP(A74,'Dados-Status-Invest'!$1:$1000,MATCH(T$1,'Dados-Status-Invest'!$2:$2,0),FALSE()),"")</f>
        <v>24.94</v>
      </c>
      <c r="U74" s="12" t="n">
        <f aca="false">IFERROR(VLOOKUP(A74,'Dados-Status-Invest'!$1:$1000,MATCH(U$1,'Dados-Status-Invest'!$2:$2,0),FALSE()),"")</f>
        <v>1.09</v>
      </c>
      <c r="V74" s="12" t="n">
        <f aca="false">IFERROR(VLOOKUP(A74,'Dados-Status-Invest'!$1:$1000,MATCH(V$1,'Dados-Status-Invest'!$2:$2,0),FALSE()),"")</f>
        <v>0</v>
      </c>
      <c r="W74" s="10" t="n">
        <f aca="false">IFERROR(VLOOKUP(A74,'Dados-Status-Invest'!$1:$1000,MATCH(W$1,'Dados-Status-Invest'!$2:$2,0),FALSE())/100,"")</f>
        <v>0.0249</v>
      </c>
      <c r="X74" s="10" t="n">
        <f aca="false">IFERROR(VLOOKUP(A74,'Dados-Status-Invest'!$1:$1000,MATCH(X$1,'Dados-Status-Invest'!$2:$2,0),FALSE())/100,"")</f>
        <v>0.4161</v>
      </c>
    </row>
    <row r="75" customFormat="false" ht="15.75" hidden="false" customHeight="false" outlineLevel="0" collapsed="false">
      <c r="A75" s="6" t="s">
        <v>104</v>
      </c>
      <c r="B75" s="7" t="str">
        <f aca="false">IFERROR(VLOOKUP(LEFT(A75,4),Setor!A:D,2,FALSE()),"")</f>
        <v>Financeiro</v>
      </c>
      <c r="C75" s="8" t="n">
        <f aca="false">IFERROR(__xludf.dummyfunction("IFERROR(IFERROR(GOOGLEFINANCE(A81,""price""),VLOOKUP(A81,'Dados-Status-Invest'!A:B,2,FALSE)),"""")"),13.29)</f>
        <v>13.29</v>
      </c>
      <c r="D75" s="8" t="n">
        <f aca="false">IFERROR(VLOOKUP(A75,'Dados-Status-Invest'!$1:$1000,MATCH(D$1,'Dados-Status-Invest'!$2:$2,0),FALSE()),"")</f>
        <v>115927114917</v>
      </c>
      <c r="E75" s="8" t="n">
        <f aca="false">IF(D75+H75&gt;0,D75+H75,"")</f>
        <v>115927114917</v>
      </c>
      <c r="F75" s="8" t="n">
        <f aca="false">IFERROR(D75/VLOOKUP(A75,'Dados-Status-Invest'!$1:$1000,5,FALSE()),"")</f>
        <v>16973223267</v>
      </c>
      <c r="G75" s="8" t="n">
        <f aca="false">IFERROR(D75/VLOOKUP(A75,'Dados-Status-Invest'!$1:$1000,6,FALSE()),"")</f>
        <v>168010311474</v>
      </c>
      <c r="H75" s="8" t="n">
        <f aca="false">IFERROR(VLOOKUP(A75,'Dados-Status-Invest'!$1:$1000,12,FALSE())*J75,"")</f>
        <v>0</v>
      </c>
      <c r="I75" s="8" t="n">
        <f aca="false">IFERROR(D75/VLOOKUP(A75,'Dados-Status-Invest'!$1:$1000,14,FALSE()),"")</f>
        <v>7291013517</v>
      </c>
      <c r="J75" s="9" t="n">
        <f aca="false">IFERROR(D75/VLOOKUP(A75,'Dados-Status-Invest'!$1:$1000,10,FALSE()),"")</f>
        <v>2595770598</v>
      </c>
      <c r="K75" s="10" t="n">
        <f aca="false">IFERROR(VLOOKUP(A75,'Dados-Status-Invest'!$1:$1000,3,FALSE())/100,"")</f>
        <v>0.0056</v>
      </c>
      <c r="L75" s="11" t="n">
        <f aca="false">IFERROR(VLOOKUP(A75,'Dados-Status-Invest'!$1:$1000,MATCH(L$1,'Dados-Status-Invest'!$2:$2,0),FALSE())/100,"")</f>
        <v>0.1598</v>
      </c>
      <c r="M75" s="10" t="n">
        <f aca="false">IFERROR(VLOOKUP(A75,'Dados-Status-Invest'!$1:$1000,MATCH(M$1,'Dados-Status-Invest'!$2:$2,0),FALSE())/100,"")</f>
        <v>0.0161</v>
      </c>
      <c r="N75" s="10" t="n">
        <f aca="false">IFERROR(VLOOKUP(A75,'Dados-Status-Invest'!$1:$1000,MATCH(N$1,'Dados-Status-Invest'!$2:$2,0),FALSE())/100,"")</f>
        <v>0</v>
      </c>
      <c r="O75" s="10" t="n">
        <f aca="false">IFERROR(VLOOKUP(A75,'Dados-Status-Invest'!$1:$1000,MATCH(O$1,'Dados-Status-Invest'!$2:$2,0),FALSE())/100,"")</f>
        <v>0.188</v>
      </c>
      <c r="P75" s="10" t="n">
        <f aca="false">IFERROR(VLOOKUP(A75,'Dados-Status-Invest'!$1:$1000,MATCH(P$1,'Dados-Status-Invest'!$2:$2,0),FALSE())/100,"")</f>
        <v>0.356</v>
      </c>
      <c r="Q75" s="10" t="n">
        <f aca="false">IFERROR(VLOOKUP(A75,'Dados-Status-Invest'!$1:$1000,MATCH(Q$1,'Dados-Status-Invest'!$2:$2,0),FALSE())/100,"")</f>
        <v>0.3723</v>
      </c>
      <c r="R75" s="12" t="n">
        <f aca="false">IFERROR(VLOOKUP(A75,'Dados-Status-Invest'!$1:$1000,MATCH(R$1,'Dados-Status-Invest'!$2:$2,0),FALSE()),"")</f>
        <v>42.7</v>
      </c>
      <c r="S75" s="12" t="n">
        <f aca="false">IFERROR(VLOOKUP(A75,'Dados-Status-Invest'!$1:$1000,MATCH(S$1,'Dados-Status-Invest'!$2:$2,0),FALSE()),"")</f>
        <v>6.83</v>
      </c>
      <c r="T75" s="12" t="n">
        <f aca="false">IFERROR(VLOOKUP(A75,'Dados-Status-Invest'!$1:$1000,MATCH(T$1,'Dados-Status-Invest'!$2:$2,0),FALSE()),"")</f>
        <v>24.94</v>
      </c>
      <c r="U75" s="12" t="n">
        <f aca="false">IFERROR(VLOOKUP(A75,'Dados-Status-Invest'!$1:$1000,MATCH(U$1,'Dados-Status-Invest'!$2:$2,0),FALSE()),"")</f>
        <v>1.09</v>
      </c>
      <c r="V75" s="12" t="n">
        <f aca="false">IFERROR(VLOOKUP(A75,'Dados-Status-Invest'!$1:$1000,MATCH(V$1,'Dados-Status-Invest'!$2:$2,0),FALSE()),"")</f>
        <v>0</v>
      </c>
      <c r="W75" s="10" t="n">
        <f aca="false">IFERROR(VLOOKUP(A75,'Dados-Status-Invest'!$1:$1000,MATCH(W$1,'Dados-Status-Invest'!$2:$2,0),FALSE())/100,"")</f>
        <v>0.0249</v>
      </c>
      <c r="X75" s="10" t="n">
        <f aca="false">IFERROR(VLOOKUP(A75,'Dados-Status-Invest'!$1:$1000,MATCH(X$1,'Dados-Status-Invest'!$2:$2,0),FALSE())/100,"")</f>
        <v>0.4161</v>
      </c>
    </row>
    <row r="76" customFormat="false" ht="15.75" hidden="false" customHeight="false" outlineLevel="0" collapsed="false">
      <c r="A76" s="6" t="s">
        <v>105</v>
      </c>
      <c r="B76" s="7" t="str">
        <f aca="false">IFERROR(VLOOKUP(LEFT(A76,4),Setor!A:D,2,FALSE()),"")</f>
        <v>Financeiro</v>
      </c>
      <c r="C76" s="8" t="n">
        <f aca="false">IFERROR(__xludf.dummyfunction("IFERROR(IFERROR(GOOGLEFINANCE(A82,""price""),VLOOKUP(A82,'Dados-Status-Invest'!A:B,2,FALSE)),"""")"),5.12)</f>
        <v>5.12</v>
      </c>
      <c r="D76" s="8" t="n">
        <f aca="false">IFERROR(VLOOKUP(A76,'Dados-Status-Invest'!$1:$1000,MATCH(D$1,'Dados-Status-Invest'!$2:$2,0),FALSE()),"")</f>
        <v>115927114917</v>
      </c>
      <c r="E76" s="8" t="n">
        <f aca="false">IF(D76+H76&gt;0,D76+H76,"")</f>
        <v>115927114917</v>
      </c>
      <c r="F76" s="8" t="n">
        <f aca="false">IFERROR(D76/VLOOKUP(A76,'Dados-Status-Invest'!$1:$1000,5,FALSE()),"")</f>
        <v>42309166028</v>
      </c>
      <c r="G76" s="8" t="n">
        <f aca="false">IFERROR(D76/VLOOKUP(A76,'Dados-Status-Invest'!$1:$1000,6,FALSE()),"")</f>
        <v>414025410417</v>
      </c>
      <c r="H76" s="8" t="n">
        <f aca="false">IFERROR(VLOOKUP(A76,'Dados-Status-Invest'!$1:$1000,12,FALSE())*J76,"")</f>
        <v>0</v>
      </c>
      <c r="I76" s="8" t="n">
        <f aca="false">IFERROR(D76/VLOOKUP(A76,'Dados-Status-Invest'!$1:$1000,14,FALSE()),"")</f>
        <v>18141958516</v>
      </c>
      <c r="J76" s="9" t="n">
        <f aca="false">IFERROR(D76/VLOOKUP(A76,'Dados-Status-Invest'!$1:$1000,10,FALSE()),"")</f>
        <v>6454739138</v>
      </c>
      <c r="K76" s="10" t="n">
        <f aca="false">IFERROR(VLOOKUP(A76,'Dados-Status-Invest'!$1:$1000,3,FALSE())/100,"")</f>
        <v>0.0139</v>
      </c>
      <c r="L76" s="11" t="n">
        <f aca="false">IFERROR(VLOOKUP(A76,'Dados-Status-Invest'!$1:$1000,MATCH(L$1,'Dados-Status-Invest'!$2:$2,0),FALSE())/100,"")</f>
        <v>0.1598</v>
      </c>
      <c r="M76" s="10" t="n">
        <f aca="false">IFERROR(VLOOKUP(A76,'Dados-Status-Invest'!$1:$1000,MATCH(M$1,'Dados-Status-Invest'!$2:$2,0),FALSE())/100,"")</f>
        <v>0.0161</v>
      </c>
      <c r="N76" s="10" t="n">
        <f aca="false">IFERROR(VLOOKUP(A76,'Dados-Status-Invest'!$1:$1000,MATCH(N$1,'Dados-Status-Invest'!$2:$2,0),FALSE())/100,"")</f>
        <v>0</v>
      </c>
      <c r="O76" s="10" t="n">
        <f aca="false">IFERROR(VLOOKUP(A76,'Dados-Status-Invest'!$1:$1000,MATCH(O$1,'Dados-Status-Invest'!$2:$2,0),FALSE())/100,"")</f>
        <v>0.188</v>
      </c>
      <c r="P76" s="10" t="n">
        <f aca="false">IFERROR(VLOOKUP(A76,'Dados-Status-Invest'!$1:$1000,MATCH(P$1,'Dados-Status-Invest'!$2:$2,0),FALSE())/100,"")</f>
        <v>0.356</v>
      </c>
      <c r="Q76" s="10" t="n">
        <f aca="false">IFERROR(VLOOKUP(A76,'Dados-Status-Invest'!$1:$1000,MATCH(Q$1,'Dados-Status-Invest'!$2:$2,0),FALSE())/100,"")</f>
        <v>0.3723</v>
      </c>
      <c r="R76" s="12" t="n">
        <f aca="false">IFERROR(VLOOKUP(A76,'Dados-Status-Invest'!$1:$1000,MATCH(R$1,'Dados-Status-Invest'!$2:$2,0),FALSE()),"")</f>
        <v>17.17</v>
      </c>
      <c r="S76" s="12" t="n">
        <f aca="false">IFERROR(VLOOKUP(A76,'Dados-Status-Invest'!$1:$1000,MATCH(S$1,'Dados-Status-Invest'!$2:$2,0),FALSE()),"")</f>
        <v>2.74</v>
      </c>
      <c r="T76" s="12" t="n">
        <f aca="false">IFERROR(VLOOKUP(A76,'Dados-Status-Invest'!$1:$1000,MATCH(T$1,'Dados-Status-Invest'!$2:$2,0),FALSE()),"")</f>
        <v>24.94</v>
      </c>
      <c r="U76" s="12" t="n">
        <f aca="false">IFERROR(VLOOKUP(A76,'Dados-Status-Invest'!$1:$1000,MATCH(U$1,'Dados-Status-Invest'!$2:$2,0),FALSE()),"")</f>
        <v>1.09</v>
      </c>
      <c r="V76" s="12" t="n">
        <f aca="false">IFERROR(VLOOKUP(A76,'Dados-Status-Invest'!$1:$1000,MATCH(V$1,'Dados-Status-Invest'!$2:$2,0),FALSE()),"")</f>
        <v>0</v>
      </c>
      <c r="W76" s="10" t="n">
        <f aca="false">IFERROR(VLOOKUP(A76,'Dados-Status-Invest'!$1:$1000,MATCH(W$1,'Dados-Status-Invest'!$2:$2,0),FALSE())/100,"")</f>
        <v>0.0249</v>
      </c>
      <c r="X76" s="10" t="n">
        <f aca="false">IFERROR(VLOOKUP(A76,'Dados-Status-Invest'!$1:$1000,MATCH(X$1,'Dados-Status-Invest'!$2:$2,0),FALSE())/100,"")</f>
        <v>0.4161</v>
      </c>
    </row>
    <row r="77" customFormat="false" ht="15.75" hidden="false" customHeight="false" outlineLevel="0" collapsed="false">
      <c r="A77" s="6" t="s">
        <v>106</v>
      </c>
      <c r="B77" s="7" t="str">
        <f aca="false">IFERROR(VLOOKUP(LEFT(A77,4),Setor!A:D,2,FALSE()),"")</f>
        <v>Financeiro</v>
      </c>
      <c r="C77" s="8" t="n">
        <f aca="false">IFERROR(__xludf.dummyfunction("IFERROR(IFERROR(GOOGLEFINANCE(A83,""price""),VLOOKUP(A83,'Dados-Status-Invest'!A:B,2,FALSE)),"""")"),8.06)</f>
        <v>8.06</v>
      </c>
      <c r="D77" s="8" t="n">
        <f aca="false">IFERROR(VLOOKUP(A77,'Dados-Status-Invest'!$1:$1000,MATCH(D$1,'Dados-Status-Invest'!$2:$2,0),FALSE()),"")</f>
        <v>29053903077</v>
      </c>
      <c r="E77" s="8" t="n">
        <f aca="false">IF(D77+H77&gt;0,D77+H77,"")</f>
        <v>29053903077</v>
      </c>
      <c r="F77" s="8" t="n">
        <f aca="false">IFERROR(D77/VLOOKUP(A77,'Dados-Status-Invest'!$1:$1000,5,FALSE()),"")</f>
        <v>5430636089</v>
      </c>
      <c r="G77" s="8" t="n">
        <f aca="false">IFERROR(D77/VLOOKUP(A77,'Dados-Status-Invest'!$1:$1000,6,FALSE()),"")</f>
        <v>39262031186</v>
      </c>
      <c r="H77" s="8" t="n">
        <f aca="false">IFERROR(VLOOKUP(A77,'Dados-Status-Invest'!$1:$1000,12,FALSE())*J77,"")</f>
        <v>0</v>
      </c>
      <c r="I77" s="8" t="n">
        <f aca="false">IFERROR(D77/VLOOKUP(A77,'Dados-Status-Invest'!$1:$1000,14,FALSE()),"")</f>
        <v>9107806607</v>
      </c>
      <c r="J77" s="9" t="n">
        <f aca="false">IFERROR(D77/VLOOKUP(A77,'Dados-Status-Invest'!$1:$1000,10,FALSE()),"")</f>
        <v>974963190.5</v>
      </c>
      <c r="K77" s="10" t="n">
        <f aca="false">IFERROR(VLOOKUP(A77,'Dados-Status-Invest'!$1:$1000,3,FALSE())/100,"")</f>
        <v>0.0088</v>
      </c>
      <c r="L77" s="11" t="n">
        <f aca="false">IFERROR(VLOOKUP(A77,'Dados-Status-Invest'!$1:$1000,MATCH(L$1,'Dados-Status-Invest'!$2:$2,0),FALSE())/100,"")</f>
        <v>0.1243</v>
      </c>
      <c r="M77" s="10" t="n">
        <f aca="false">IFERROR(VLOOKUP(A77,'Dados-Status-Invest'!$1:$1000,MATCH(M$1,'Dados-Status-Invest'!$2:$2,0),FALSE())/100,"")</f>
        <v>0.0172</v>
      </c>
      <c r="N77" s="10" t="n">
        <f aca="false">IFERROR(VLOOKUP(A77,'Dados-Status-Invest'!$1:$1000,MATCH(N$1,'Dados-Status-Invest'!$2:$2,0),FALSE())/100,"")</f>
        <v>0</v>
      </c>
      <c r="O77" s="10" t="n">
        <f aca="false">IFERROR(VLOOKUP(A77,'Dados-Status-Invest'!$1:$1000,MATCH(O$1,'Dados-Status-Invest'!$2:$2,0),FALSE())/100,"")</f>
        <v>0.6822</v>
      </c>
      <c r="P77" s="10" t="n">
        <f aca="false">IFERROR(VLOOKUP(A77,'Dados-Status-Invest'!$1:$1000,MATCH(P$1,'Dados-Status-Invest'!$2:$2,0),FALSE())/100,"")</f>
        <v>0.1069</v>
      </c>
      <c r="Q77" s="10" t="n">
        <f aca="false">IFERROR(VLOOKUP(A77,'Dados-Status-Invest'!$1:$1000,MATCH(Q$1,'Dados-Status-Invest'!$2:$2,0),FALSE())/100,"")</f>
        <v>0.0741</v>
      </c>
      <c r="R77" s="12" t="n">
        <f aca="false">IFERROR(VLOOKUP(A77,'Dados-Status-Invest'!$1:$1000,MATCH(R$1,'Dados-Status-Invest'!$2:$2,0),FALSE()),"")</f>
        <v>43.02</v>
      </c>
      <c r="S77" s="12" t="n">
        <f aca="false">IFERROR(VLOOKUP(A77,'Dados-Status-Invest'!$1:$1000,MATCH(S$1,'Dados-Status-Invest'!$2:$2,0),FALSE()),"")</f>
        <v>5.35</v>
      </c>
      <c r="T77" s="12" t="n">
        <f aca="false">IFERROR(VLOOKUP(A77,'Dados-Status-Invest'!$1:$1000,MATCH(T$1,'Dados-Status-Invest'!$2:$2,0),FALSE()),"")</f>
        <v>29.8</v>
      </c>
      <c r="U77" s="12" t="n">
        <f aca="false">IFERROR(VLOOKUP(A77,'Dados-Status-Invest'!$1:$1000,MATCH(U$1,'Dados-Status-Invest'!$2:$2,0),FALSE()),"")</f>
        <v>0.7</v>
      </c>
      <c r="V77" s="12" t="n">
        <f aca="false">IFERROR(VLOOKUP(A77,'Dados-Status-Invest'!$1:$1000,MATCH(V$1,'Dados-Status-Invest'!$2:$2,0),FALSE()),"")</f>
        <v>0</v>
      </c>
      <c r="W77" s="10" t="n">
        <f aca="false">IFERROR(VLOOKUP(A77,'Dados-Status-Invest'!$1:$1000,MATCH(W$1,'Dados-Status-Invest'!$2:$2,0),FALSE())/100,"")</f>
        <v>0.0482</v>
      </c>
      <c r="X77" s="10" t="n">
        <f aca="false">IFERROR(VLOOKUP(A77,'Dados-Status-Invest'!$1:$1000,MATCH(X$1,'Dados-Status-Invest'!$2:$2,0),FALSE())/100,"")</f>
        <v>0.3424</v>
      </c>
    </row>
    <row r="78" customFormat="false" ht="15.75" hidden="false" customHeight="false" outlineLevel="0" collapsed="false">
      <c r="A78" s="6" t="s">
        <v>107</v>
      </c>
      <c r="B78" s="7" t="str">
        <f aca="false">IFERROR(VLOOKUP(LEFT(A78,4),Setor!A:D,2,FALSE()),"")</f>
        <v>Financeiro</v>
      </c>
      <c r="C78" s="8" t="n">
        <f aca="false">IFERROR(__xludf.dummyfunction("IFERROR(IFERROR(GOOGLEFINANCE(A84,""price""),VLOOKUP(A84,'Dados-Status-Invest'!A:B,2,FALSE)),"""")"),0)</f>
        <v>0</v>
      </c>
      <c r="D78" s="8" t="n">
        <f aca="false">IFERROR(VLOOKUP(A78,'Dados-Status-Invest'!$1:$1000,MATCH(D$1,'Dados-Status-Invest'!$2:$2,0),FALSE()),"")</f>
        <v>1733606633</v>
      </c>
      <c r="E78" s="8" t="n">
        <f aca="false">IF(D78+H78&gt;0,D78+H78,"")</f>
        <v>1733606633</v>
      </c>
      <c r="F78" s="8" t="n">
        <f aca="false">IFERROR(D78/VLOOKUP(A78,'Dados-Status-Invest'!$1:$1000,5,FALSE()),"")</f>
        <v>1543645.605</v>
      </c>
      <c r="G78" s="8" t="n">
        <f aca="false">IFERROR(D78/VLOOKUP(A78,'Dados-Status-Invest'!$1:$1000,6,FALSE()),"")</f>
        <v>11941906.96</v>
      </c>
      <c r="H78" s="8" t="n">
        <f aca="false">IFERROR(VLOOKUP(A78,'Dados-Status-Invest'!$1:$1000,12,FALSE())*J78,"")</f>
        <v>0</v>
      </c>
      <c r="I78" s="8" t="n">
        <f aca="false">IFERROR(D78/VLOOKUP(A78,'Dados-Status-Invest'!$1:$1000,14,FALSE()),"")</f>
        <v>1171355833</v>
      </c>
      <c r="J78" s="9" t="n">
        <f aca="false">IFERROR(D78/VLOOKUP(A78,'Dados-Status-Invest'!$1:$1000,10,FALSE()),"")</f>
        <v>377692077</v>
      </c>
      <c r="K78" s="10" t="n">
        <f aca="false">IFERROR(VLOOKUP(A78,'Dados-Status-Invest'!$1:$1000,3,FALSE())/100,"")</f>
        <v>0.0489</v>
      </c>
      <c r="L78" s="11" t="n">
        <f aca="false">IFERROR(VLOOKUP(A78,'Dados-Status-Invest'!$1:$1000,MATCH(L$1,'Dados-Status-Invest'!$2:$2,0),FALSE())/100,"")</f>
        <v>120.8368</v>
      </c>
      <c r="M78" s="10" t="n">
        <f aca="false">IFERROR(VLOOKUP(A78,'Dados-Status-Invest'!$1:$1000,MATCH(M$1,'Dados-Status-Invest'!$2:$2,0),FALSE())/100,"")</f>
        <v>15.6194</v>
      </c>
      <c r="N78" s="10" t="n">
        <f aca="false">IFERROR(VLOOKUP(A78,'Dados-Status-Invest'!$1:$1000,MATCH(N$1,'Dados-Status-Invest'!$2:$2,0),FALSE())/100,"")</f>
        <v>0</v>
      </c>
      <c r="O78" s="10" t="n">
        <f aca="false">IFERROR(VLOOKUP(A78,'Dados-Status-Invest'!$1:$1000,MATCH(O$1,'Dados-Status-Invest'!$2:$2,0),FALSE())/100,"")</f>
        <v>0.8126</v>
      </c>
      <c r="P78" s="10" t="n">
        <f aca="false">IFERROR(VLOOKUP(A78,'Dados-Status-Invest'!$1:$1000,MATCH(P$1,'Dados-Status-Invest'!$2:$2,0),FALSE())/100,"")</f>
        <v>0.3225</v>
      </c>
      <c r="Q78" s="10" t="n">
        <f aca="false">IFERROR(VLOOKUP(A78,'Dados-Status-Invest'!$1:$1000,MATCH(Q$1,'Dados-Status-Invest'!$2:$2,0),FALSE())/100,"")</f>
        <v>0.1593</v>
      </c>
      <c r="R78" s="12" t="n">
        <f aca="false">IFERROR(VLOOKUP(A78,'Dados-Status-Invest'!$1:$1000,MATCH(R$1,'Dados-Status-Invest'!$2:$2,0),FALSE()),"")</f>
        <v>9.29</v>
      </c>
      <c r="S78" s="12" t="n">
        <f aca="false">IFERROR(VLOOKUP(A78,'Dados-Status-Invest'!$1:$1000,MATCH(S$1,'Dados-Status-Invest'!$2:$2,0),FALSE()),"")</f>
        <v>1123.06</v>
      </c>
      <c r="T78" s="12" t="n">
        <f aca="false">IFERROR(VLOOKUP(A78,'Dados-Status-Invest'!$1:$1000,MATCH(T$1,'Dados-Status-Invest'!$2:$2,0),FALSE()),"")</f>
        <v>4.59</v>
      </c>
      <c r="U78" s="12" t="n">
        <f aca="false">IFERROR(VLOOKUP(A78,'Dados-Status-Invest'!$1:$1000,MATCH(U$1,'Dados-Status-Invest'!$2:$2,0),FALSE()),"")</f>
        <v>0</v>
      </c>
      <c r="V78" s="12" t="n">
        <f aca="false">IFERROR(VLOOKUP(A78,'Dados-Status-Invest'!$1:$1000,MATCH(V$1,'Dados-Status-Invest'!$2:$2,0),FALSE()),"")</f>
        <v>0</v>
      </c>
      <c r="W78" s="10" t="n">
        <f aca="false">IFERROR(VLOOKUP(A78,'Dados-Status-Invest'!$1:$1000,MATCH(W$1,'Dados-Status-Invest'!$2:$2,0),FALSE())/100,"")</f>
        <v>0.0312</v>
      </c>
      <c r="X78" s="10" t="n">
        <f aca="false">IFERROR(VLOOKUP(A78,'Dados-Status-Invest'!$1:$1000,MATCH(X$1,'Dados-Status-Invest'!$2:$2,0),FALSE())/100,"")</f>
        <v>0.034</v>
      </c>
    </row>
    <row r="79" customFormat="false" ht="15.75" hidden="false" customHeight="false" outlineLevel="0" collapsed="false">
      <c r="A79" s="6" t="s">
        <v>108</v>
      </c>
      <c r="B79" s="7" t="s">
        <v>109</v>
      </c>
      <c r="C79" s="8" t="n">
        <f aca="false">IFERROR(__xludf.dummyfunction("IFERROR(IFERROR(GOOGLEFINANCE(A85,""price""),VLOOKUP(A85,'Dados-Status-Invest'!A:B,2,FALSE)),"""")"),44.05)</f>
        <v>44.05</v>
      </c>
      <c r="D79" s="8" t="n">
        <f aca="false">IFERROR(VLOOKUP(A79,'Dados-Status-Invest'!$1:$1000,MATCH(D$1,'Dados-Status-Invest'!$2:$2,0),FALSE()),"")</f>
        <v>1533769021</v>
      </c>
      <c r="E79" s="8" t="n">
        <f aca="false">IF(D79+H79&gt;0,D79+H79,"")</f>
        <v>1533769021</v>
      </c>
      <c r="F79" s="8" t="n">
        <f aca="false">IFERROR(D79/VLOOKUP(A79,'Dados-Status-Invest'!$1:$1000,5,FALSE()),"")</f>
        <v>2323892456</v>
      </c>
      <c r="G79" s="8" t="n">
        <f aca="false">IFERROR(D79/VLOOKUP(A79,'Dados-Status-Invest'!$1:$1000,6,FALSE()),"")</f>
        <v>17041878011</v>
      </c>
      <c r="H79" s="8" t="n">
        <f aca="false">IFERROR(VLOOKUP(A79,'Dados-Status-Invest'!$1:$1000,12,FALSE())*J79,"")</f>
        <v>0</v>
      </c>
      <c r="I79" s="8" t="n">
        <f aca="false">IFERROR(D79/VLOOKUP(A79,'Dados-Status-Invest'!$1:$1000,14,FALSE()),"")</f>
        <v>3932741079</v>
      </c>
      <c r="J79" s="9" t="n">
        <f aca="false">IFERROR(D79/VLOOKUP(A79,'Dados-Status-Invest'!$1:$1000,10,FALSE()),"")</f>
        <v>852093900.6</v>
      </c>
      <c r="K79" s="10" t="n">
        <f aca="false">IFERROR(VLOOKUP(A79,'Dados-Status-Invest'!$1:$1000,3,FALSE())/100,"")</f>
        <v>0</v>
      </c>
      <c r="L79" s="11" t="n">
        <f aca="false">IFERROR(VLOOKUP(A79,'Dados-Status-Invest'!$1:$1000,MATCH(L$1,'Dados-Status-Invest'!$2:$2,0),FALSE())/100,"")</f>
        <v>0.0946</v>
      </c>
      <c r="M79" s="10" t="n">
        <f aca="false">IFERROR(VLOOKUP(A79,'Dados-Status-Invest'!$1:$1000,MATCH(M$1,'Dados-Status-Invest'!$2:$2,0),FALSE())/100,"")</f>
        <v>0.0135</v>
      </c>
      <c r="N79" s="10" t="n">
        <f aca="false">IFERROR(VLOOKUP(A79,'Dados-Status-Invest'!$1:$1000,MATCH(N$1,'Dados-Status-Invest'!$2:$2,0),FALSE())/100,"")</f>
        <v>0</v>
      </c>
      <c r="O79" s="10" t="n">
        <f aca="false">IFERROR(VLOOKUP(A79,'Dados-Status-Invest'!$1:$1000,MATCH(O$1,'Dados-Status-Invest'!$2:$2,0),FALSE())/100,"")</f>
        <v>0.5156</v>
      </c>
      <c r="P79" s="10" t="n">
        <f aca="false">IFERROR(VLOOKUP(A79,'Dados-Status-Invest'!$1:$1000,MATCH(P$1,'Dados-Status-Invest'!$2:$2,0),FALSE())/100,"")</f>
        <v>0.2177</v>
      </c>
      <c r="Q79" s="10" t="n">
        <f aca="false">IFERROR(VLOOKUP(A79,'Dados-Status-Invest'!$1:$1000,MATCH(Q$1,'Dados-Status-Invest'!$2:$2,0),FALSE())/100,"")</f>
        <v>0.0561</v>
      </c>
      <c r="R79" s="12" t="n">
        <f aca="false">IFERROR(VLOOKUP(A79,'Dados-Status-Invest'!$1:$1000,MATCH(R$1,'Dados-Status-Invest'!$2:$2,0),FALSE()),"")</f>
        <v>6.98</v>
      </c>
      <c r="S79" s="12" t="n">
        <f aca="false">IFERROR(VLOOKUP(A79,'Dados-Status-Invest'!$1:$1000,MATCH(S$1,'Dados-Status-Invest'!$2:$2,0),FALSE()),"")</f>
        <v>0.66</v>
      </c>
      <c r="T79" s="12" t="n">
        <f aca="false">IFERROR(VLOOKUP(A79,'Dados-Status-Invest'!$1:$1000,MATCH(T$1,'Dados-Status-Invest'!$2:$2,0),FALSE()),"")</f>
        <v>1.8</v>
      </c>
      <c r="U79" s="12" t="n">
        <f aca="false">IFERROR(VLOOKUP(A79,'Dados-Status-Invest'!$1:$1000,MATCH(U$1,'Dados-Status-Invest'!$2:$2,0),FALSE()),"")</f>
        <v>0</v>
      </c>
      <c r="V79" s="12" t="n">
        <f aca="false">IFERROR(VLOOKUP(A79,'Dados-Status-Invest'!$1:$1000,MATCH(V$1,'Dados-Status-Invest'!$2:$2,0),FALSE()),"")</f>
        <v>0</v>
      </c>
      <c r="W79" s="10" t="n">
        <f aca="false">IFERROR(VLOOKUP(A79,'Dados-Status-Invest'!$1:$1000,MATCH(W$1,'Dados-Status-Invest'!$2:$2,0),FALSE())/100,"")</f>
        <v>0.1499</v>
      </c>
      <c r="X79" s="10" t="n">
        <f aca="false">IFERROR(VLOOKUP(A79,'Dados-Status-Invest'!$1:$1000,MATCH(X$1,'Dados-Status-Invest'!$2:$2,0),FALSE())/100,"")</f>
        <v>-0.2479</v>
      </c>
    </row>
    <row r="80" customFormat="false" ht="15.75" hidden="false" customHeight="false" outlineLevel="0" collapsed="false">
      <c r="A80" s="6" t="s">
        <v>110</v>
      </c>
      <c r="B80" s="7" t="s">
        <v>90</v>
      </c>
      <c r="C80" s="8" t="n">
        <f aca="false">IFERROR(__xludf.dummyfunction("IFERROR(IFERROR(GOOGLEFINANCE(A86,""price""),VLOOKUP(A86,'Dados-Status-Invest'!A:B,2,FALSE)),"""")"),0.62)</f>
        <v>0.62</v>
      </c>
      <c r="D80" s="8" t="n">
        <f aca="false">IFERROR(VLOOKUP(A80,'Dados-Status-Invest'!$1:$1000,MATCH(D$1,'Dados-Status-Invest'!$2:$2,0),FALSE()),"")</f>
        <v>70110298.74</v>
      </c>
      <c r="E80" s="8" t="n">
        <f aca="false">IF(D80+H80&gt;0,D80+H80,"")</f>
        <v>144602491.15</v>
      </c>
      <c r="F80" s="8" t="n">
        <f aca="false">IFERROR(D80/VLOOKUP(A80,'Dados-Status-Invest'!$1:$1000,5,FALSE()),"")</f>
        <v>-292126244.8</v>
      </c>
      <c r="G80" s="8" t="n">
        <f aca="false">IFERROR(D80/VLOOKUP(A80,'Dados-Status-Invest'!$1:$1000,6,FALSE()),"")</f>
        <v>70818483.58</v>
      </c>
      <c r="H80" s="8" t="n">
        <f aca="false">IFERROR(VLOOKUP(A80,'Dados-Status-Invest'!$1:$1000,12,FALSE())*J80,"")</f>
        <v>74492192.41</v>
      </c>
      <c r="I80" s="8" t="n">
        <f aca="false">IFERROR(D80/VLOOKUP(A80,'Dados-Status-Invest'!$1:$1000,14,FALSE()),"")</f>
        <v>8467427.384</v>
      </c>
      <c r="J80" s="9" t="n">
        <f aca="false">IFERROR(D80/VLOOKUP(A80,'Dados-Status-Invest'!$1:$1000,10,FALSE()),"")</f>
        <v>87637873.43</v>
      </c>
      <c r="K80" s="10" t="n">
        <f aca="false">IFERROR(VLOOKUP(A80,'Dados-Status-Invest'!$1:$1000,3,FALSE())/100,"")</f>
        <v>0</v>
      </c>
      <c r="L80" s="11" t="n">
        <f aca="false">IFERROR(VLOOKUP(A80,'Dados-Status-Invest'!$1:$1000,MATCH(L$1,'Dados-Status-Invest'!$2:$2,0),FALSE())/100,"")</f>
        <v>-4.025</v>
      </c>
      <c r="M80" s="10" t="n">
        <f aca="false">IFERROR(VLOOKUP(A80,'Dados-Status-Invest'!$1:$1000,MATCH(M$1,'Dados-Status-Invest'!$2:$2,0),FALSE())/100,"")</f>
        <v>16.6902</v>
      </c>
      <c r="N80" s="10" t="n">
        <f aca="false">IFERROR(VLOOKUP(A80,'Dados-Status-Invest'!$1:$1000,MATCH(N$1,'Dados-Status-Invest'!$2:$2,0),FALSE())/100,"")</f>
        <v>-0.3675</v>
      </c>
      <c r="O80" s="10" t="n">
        <f aca="false">IFERROR(VLOOKUP(A80,'Dados-Status-Invest'!$1:$1000,MATCH(O$1,'Dados-Status-Invest'!$2:$2,0),FALSE())/100,"")</f>
        <v>0.9802</v>
      </c>
      <c r="P80" s="10" t="n">
        <f aca="false">IFERROR(VLOOKUP(A80,'Dados-Status-Invest'!$1:$1000,MATCH(P$1,'Dados-Status-Invest'!$2:$2,0),FALSE())/100,"")</f>
        <v>10.2999</v>
      </c>
      <c r="Q80" s="10" t="n">
        <f aca="false">IFERROR(VLOOKUP(A80,'Dados-Status-Invest'!$1:$1000,MATCH(Q$1,'Dados-Status-Invest'!$2:$2,0),FALSE())/100,"")</f>
        <v>138.9667</v>
      </c>
      <c r="R80" s="12" t="n">
        <f aca="false">IFERROR(VLOOKUP(A80,'Dados-Status-Invest'!$1:$1000,MATCH(R$1,'Dados-Status-Invest'!$2:$2,0),FALSE()),"")</f>
        <v>0.06</v>
      </c>
      <c r="S80" s="12" t="n">
        <f aca="false">IFERROR(VLOOKUP(A80,'Dados-Status-Invest'!$1:$1000,MATCH(S$1,'Dados-Status-Invest'!$2:$2,0),FALSE()),"")</f>
        <v>-0.24</v>
      </c>
      <c r="T80" s="12" t="n">
        <f aca="false">IFERROR(VLOOKUP(A80,'Dados-Status-Invest'!$1:$1000,MATCH(T$1,'Dados-Status-Invest'!$2:$2,0),FALSE()),"")</f>
        <v>1.66</v>
      </c>
      <c r="U80" s="12" t="n">
        <f aca="false">IFERROR(VLOOKUP(A80,'Dados-Status-Invest'!$1:$1000,MATCH(U$1,'Dados-Status-Invest'!$2:$2,0),FALSE()),"")</f>
        <v>0.06</v>
      </c>
      <c r="V80" s="12" t="n">
        <f aca="false">IFERROR(VLOOKUP(A80,'Dados-Status-Invest'!$1:$1000,MATCH(V$1,'Dados-Status-Invest'!$2:$2,0),FALSE()),"")</f>
        <v>0.85</v>
      </c>
      <c r="W80" s="10" t="n">
        <f aca="false">IFERROR(VLOOKUP(A80,'Dados-Status-Invest'!$1:$1000,MATCH(W$1,'Dados-Status-Invest'!$2:$2,0),FALSE())/100,"")</f>
        <v>-0.6885</v>
      </c>
      <c r="X80" s="10" t="n">
        <f aca="false">IFERROR(VLOOKUP(A80,'Dados-Status-Invest'!$1:$1000,MATCH(X$1,'Dados-Status-Invest'!$2:$2,0),FALSE())/100,"")</f>
        <v>0</v>
      </c>
    </row>
    <row r="81" customFormat="false" ht="15.75" hidden="false" customHeight="false" outlineLevel="0" collapsed="false">
      <c r="A81" s="6" t="s">
        <v>111</v>
      </c>
      <c r="B81" s="7" t="str">
        <f aca="false">IFERROR(VLOOKUP(LEFT(A81,4),Setor!A:D,2,FALSE()),"")</f>
        <v>Materiais Básicos</v>
      </c>
      <c r="C81" s="8" t="n">
        <f aca="false">IFERROR(__xludf.dummyfunction("IFERROR(IFERROR(GOOGLEFINANCE(A87,""price""),VLOOKUP(A87,'Dados-Status-Invest'!A:B,2,FALSE)),"""")"),25.22)</f>
        <v>25.22</v>
      </c>
      <c r="D81" s="8" t="n">
        <f aca="false">IFERROR(VLOOKUP(A81,'Dados-Status-Invest'!$1:$1000,MATCH(D$1,'Dados-Status-Invest'!$2:$2,0),FALSE()),"")</f>
        <v>24422778629</v>
      </c>
      <c r="E81" s="8" t="n">
        <f aca="false">IF(D81+H81&gt;0,D81+H81,"")</f>
        <v>23037089061</v>
      </c>
      <c r="F81" s="8" t="n">
        <f aca="false">IFERROR(D81/VLOOKUP(A81,'Dados-Status-Invest'!$1:$1000,5,FALSE()),"")</f>
        <v>13568210350</v>
      </c>
      <c r="G81" s="8" t="n">
        <f aca="false">IFERROR(D81/VLOOKUP(A81,'Dados-Status-Invest'!$1:$1000,6,FALSE()),"")</f>
        <v>14891938189</v>
      </c>
      <c r="H81" s="8" t="n">
        <f aca="false">IFERROR(VLOOKUP(A81,'Dados-Status-Invest'!$1:$1000,12,FALSE())*J81,"")</f>
        <v>-1385689568</v>
      </c>
      <c r="I81" s="8" t="str">
        <f aca="false">IFERROR(D81/VLOOKUP(A81,'Dados-Status-Invest'!$1:$1000,14,FALSE()),"")</f>
        <v/>
      </c>
      <c r="J81" s="9" t="n">
        <f aca="false">IFERROR(D81/VLOOKUP(A81,'Dados-Status-Invest'!$1:$1000,10,FALSE()),"")</f>
        <v>3464223919</v>
      </c>
      <c r="K81" s="10" t="n">
        <f aca="false">IFERROR(VLOOKUP(A81,'Dados-Status-Invest'!$1:$1000,3,FALSE())/100,"")</f>
        <v>0.0786</v>
      </c>
      <c r="L81" s="11" t="n">
        <f aca="false">IFERROR(VLOOKUP(A81,'Dados-Status-Invest'!$1:$1000,MATCH(L$1,'Dados-Status-Invest'!$2:$2,0),FALSE())/100,"")</f>
        <v>0.256</v>
      </c>
      <c r="M81" s="10" t="n">
        <f aca="false">IFERROR(VLOOKUP(A81,'Dados-Status-Invest'!$1:$1000,MATCH(M$1,'Dados-Status-Invest'!$2:$2,0),FALSE())/100,"")</f>
        <v>0.233</v>
      </c>
      <c r="N81" s="10" t="n">
        <f aca="false">IFERROR(VLOOKUP(A81,'Dados-Status-Invest'!$1:$1000,MATCH(N$1,'Dados-Status-Invest'!$2:$2,0),FALSE())/100,"")</f>
        <v>0.2554</v>
      </c>
      <c r="O81" s="10" t="n">
        <f aca="false">IFERROR(VLOOKUP(A81,'Dados-Status-Invest'!$1:$1000,MATCH(O$1,'Dados-Status-Invest'!$2:$2,0),FALSE())/100,"")</f>
        <v>0</v>
      </c>
      <c r="P81" s="10" t="n">
        <f aca="false">IFERROR(VLOOKUP(A81,'Dados-Status-Invest'!$1:$1000,MATCH(P$1,'Dados-Status-Invest'!$2:$2,0),FALSE())/100,"")</f>
        <v>0</v>
      </c>
      <c r="Q81" s="10" t="n">
        <f aca="false">IFERROR(VLOOKUP(A81,'Dados-Status-Invest'!$1:$1000,MATCH(Q$1,'Dados-Status-Invest'!$2:$2,0),FALSE())/100,"")</f>
        <v>0</v>
      </c>
      <c r="R81" s="12" t="n">
        <f aca="false">IFERROR(VLOOKUP(A81,'Dados-Status-Invest'!$1:$1000,MATCH(R$1,'Dados-Status-Invest'!$2:$2,0),FALSE()),"")</f>
        <v>7.04</v>
      </c>
      <c r="S81" s="12" t="n">
        <f aca="false">IFERROR(VLOOKUP(A81,'Dados-Status-Invest'!$1:$1000,MATCH(S$1,'Dados-Status-Invest'!$2:$2,0),FALSE()),"")</f>
        <v>1.8</v>
      </c>
      <c r="T81" s="12" t="n">
        <f aca="false">IFERROR(VLOOKUP(A81,'Dados-Status-Invest'!$1:$1000,MATCH(T$1,'Dados-Status-Invest'!$2:$2,0),FALSE()),"")</f>
        <v>7.46</v>
      </c>
      <c r="U81" s="12" t="n">
        <f aca="false">IFERROR(VLOOKUP(A81,'Dados-Status-Invest'!$1:$1000,MATCH(U$1,'Dados-Status-Invest'!$2:$2,0),FALSE()),"")</f>
        <v>1.09</v>
      </c>
      <c r="V81" s="12" t="n">
        <f aca="false">IFERROR(VLOOKUP(A81,'Dados-Status-Invest'!$1:$1000,MATCH(V$1,'Dados-Status-Invest'!$2:$2,0),FALSE()),"")</f>
        <v>-0.4</v>
      </c>
      <c r="W81" s="10" t="n">
        <f aca="false">IFERROR(VLOOKUP(A81,'Dados-Status-Invest'!$1:$1000,MATCH(W$1,'Dados-Status-Invest'!$2:$2,0),FALSE())/100,"")</f>
        <v>0</v>
      </c>
      <c r="X81" s="10" t="n">
        <f aca="false">IFERROR(VLOOKUP(A81,'Dados-Status-Invest'!$1:$1000,MATCH(X$1,'Dados-Status-Invest'!$2:$2,0),FALSE())/100,"")</f>
        <v>0</v>
      </c>
    </row>
    <row r="82" customFormat="false" ht="15.75" hidden="false" customHeight="false" outlineLevel="0" collapsed="false">
      <c r="A82" s="6" t="s">
        <v>112</v>
      </c>
      <c r="B82" s="7" t="str">
        <f aca="false">IFERROR(VLOOKUP(LEFT(A82,4),Setor!A:D,2,FALSE()),"")</f>
        <v>Materiais Básicos</v>
      </c>
      <c r="C82" s="8" t="n">
        <f aca="false">IFERROR(__xludf.dummyfunction("IFERROR(IFERROR(GOOGLEFINANCE(A88,""price""),VLOOKUP(A88,'Dados-Status-Invest'!A:B,2,FALSE)),"""")"),27.74)</f>
        <v>27.74</v>
      </c>
      <c r="D82" s="8" t="n">
        <f aca="false">IFERROR(VLOOKUP(A82,'Dados-Status-Invest'!$1:$1000,MATCH(D$1,'Dados-Status-Invest'!$2:$2,0),FALSE()),"")</f>
        <v>24422778629</v>
      </c>
      <c r="E82" s="8" t="n">
        <f aca="false">IF(D82+H82&gt;0,D82+H82,"")</f>
        <v>23244357465</v>
      </c>
      <c r="F82" s="8" t="n">
        <f aca="false">IFERROR(D82/VLOOKUP(A82,'Dados-Status-Invest'!$1:$1000,5,FALSE()),"")</f>
        <v>11520178599</v>
      </c>
      <c r="G82" s="8" t="n">
        <f aca="false">IFERROR(D82/VLOOKUP(A82,'Dados-Status-Invest'!$1:$1000,6,FALSE()),"")</f>
        <v>12654289445</v>
      </c>
      <c r="H82" s="8" t="n">
        <f aca="false">IFERROR(VLOOKUP(A82,'Dados-Status-Invest'!$1:$1000,12,FALSE())*J82,"")</f>
        <v>-1178421164</v>
      </c>
      <c r="I82" s="8" t="str">
        <f aca="false">IFERROR(D82/VLOOKUP(A82,'Dados-Status-Invest'!$1:$1000,14,FALSE()),"")</f>
        <v/>
      </c>
      <c r="J82" s="9" t="n">
        <f aca="false">IFERROR(D82/VLOOKUP(A82,'Dados-Status-Invest'!$1:$1000,10,FALSE()),"")</f>
        <v>2946052911</v>
      </c>
      <c r="K82" s="10" t="n">
        <f aca="false">IFERROR(VLOOKUP(A82,'Dados-Status-Invest'!$1:$1000,3,FALSE())/100,"")</f>
        <v>0.0736</v>
      </c>
      <c r="L82" s="11" t="n">
        <f aca="false">IFERROR(VLOOKUP(A82,'Dados-Status-Invest'!$1:$1000,MATCH(L$1,'Dados-Status-Invest'!$2:$2,0),FALSE())/100,"")</f>
        <v>0.256</v>
      </c>
      <c r="M82" s="10" t="n">
        <f aca="false">IFERROR(VLOOKUP(A82,'Dados-Status-Invest'!$1:$1000,MATCH(M$1,'Dados-Status-Invest'!$2:$2,0),FALSE())/100,"")</f>
        <v>0.233</v>
      </c>
      <c r="N82" s="10" t="n">
        <f aca="false">IFERROR(VLOOKUP(A82,'Dados-Status-Invest'!$1:$1000,MATCH(N$1,'Dados-Status-Invest'!$2:$2,0),FALSE())/100,"")</f>
        <v>0.2554</v>
      </c>
      <c r="O82" s="10" t="n">
        <f aca="false">IFERROR(VLOOKUP(A82,'Dados-Status-Invest'!$1:$1000,MATCH(O$1,'Dados-Status-Invest'!$2:$2,0),FALSE())/100,"")</f>
        <v>0</v>
      </c>
      <c r="P82" s="10" t="n">
        <f aca="false">IFERROR(VLOOKUP(A82,'Dados-Status-Invest'!$1:$1000,MATCH(P$1,'Dados-Status-Invest'!$2:$2,0),FALSE())/100,"")</f>
        <v>0</v>
      </c>
      <c r="Q82" s="10" t="n">
        <f aca="false">IFERROR(VLOOKUP(A82,'Dados-Status-Invest'!$1:$1000,MATCH(Q$1,'Dados-Status-Invest'!$2:$2,0),FALSE())/100,"")</f>
        <v>0</v>
      </c>
      <c r="R82" s="12" t="n">
        <f aca="false">IFERROR(VLOOKUP(A82,'Dados-Status-Invest'!$1:$1000,MATCH(R$1,'Dados-Status-Invest'!$2:$2,0),FALSE()),"")</f>
        <v>8.27</v>
      </c>
      <c r="S82" s="12" t="n">
        <f aca="false">IFERROR(VLOOKUP(A82,'Dados-Status-Invest'!$1:$1000,MATCH(S$1,'Dados-Status-Invest'!$2:$2,0),FALSE()),"")</f>
        <v>2.12</v>
      </c>
      <c r="T82" s="12" t="n">
        <f aca="false">IFERROR(VLOOKUP(A82,'Dados-Status-Invest'!$1:$1000,MATCH(T$1,'Dados-Status-Invest'!$2:$2,0),FALSE()),"")</f>
        <v>7.46</v>
      </c>
      <c r="U82" s="12" t="n">
        <f aca="false">IFERROR(VLOOKUP(A82,'Dados-Status-Invest'!$1:$1000,MATCH(U$1,'Dados-Status-Invest'!$2:$2,0),FALSE()),"")</f>
        <v>1.09</v>
      </c>
      <c r="V82" s="12" t="n">
        <f aca="false">IFERROR(VLOOKUP(A82,'Dados-Status-Invest'!$1:$1000,MATCH(V$1,'Dados-Status-Invest'!$2:$2,0),FALSE()),"")</f>
        <v>-0.4</v>
      </c>
      <c r="W82" s="10" t="n">
        <f aca="false">IFERROR(VLOOKUP(A82,'Dados-Status-Invest'!$1:$1000,MATCH(W$1,'Dados-Status-Invest'!$2:$2,0),FALSE())/100,"")</f>
        <v>0</v>
      </c>
      <c r="X82" s="10" t="n">
        <f aca="false">IFERROR(VLOOKUP(A82,'Dados-Status-Invest'!$1:$1000,MATCH(X$1,'Dados-Status-Invest'!$2:$2,0),FALSE())/100,"")</f>
        <v>0</v>
      </c>
    </row>
    <row r="83" customFormat="false" ht="15.75" hidden="false" customHeight="false" outlineLevel="0" collapsed="false">
      <c r="A83" s="6" t="s">
        <v>113</v>
      </c>
      <c r="B83" s="7" t="s">
        <v>109</v>
      </c>
      <c r="C83" s="8" t="n">
        <f aca="false">IFERROR(__xludf.dummyfunction("IFERROR(IFERROR(GOOGLEFINANCE(A89,""price""),VLOOKUP(A89,'Dados-Status-Invest'!A:B,2,FALSE)),"""")"),15.15)</f>
        <v>15.15</v>
      </c>
      <c r="D83" s="8" t="n">
        <f aca="false">IFERROR(VLOOKUP(A83,'Dados-Status-Invest'!$1:$1000,MATCH(D$1,'Dados-Status-Invest'!$2:$2,0),FALSE()),"")</f>
        <v>6991693224</v>
      </c>
      <c r="E83" s="8" t="n">
        <f aca="false">IF(D83+H83&gt;0,D83+H83,"")</f>
        <v>6991693224</v>
      </c>
      <c r="F83" s="8" t="str">
        <f aca="false">IFERROR(D83/VLOOKUP(A83,'Dados-Status-Invest'!$1:$1000,5,FALSE()),"")</f>
        <v/>
      </c>
      <c r="G83" s="8" t="str">
        <f aca="false">IFERROR(D83/VLOOKUP(A83,'Dados-Status-Invest'!$1:$1000,6,FALSE()),"")</f>
        <v/>
      </c>
      <c r="H83" s="8" t="n">
        <f aca="false">IFERROR(VLOOKUP(A83,'Dados-Status-Invest'!$1:$1000,12,FALSE())*J83,"")</f>
        <v>0</v>
      </c>
      <c r="I83" s="8" t="str">
        <f aca="false">IFERROR(D83/VLOOKUP(A83,'Dados-Status-Invest'!$1:$1000,14,FALSE()),"")</f>
        <v/>
      </c>
      <c r="J83" s="9" t="str">
        <f aca="false">IFERROR(D83/VLOOKUP(A83,'Dados-Status-Invest'!$1:$1000,10,FALSE()),"")</f>
        <v/>
      </c>
      <c r="K83" s="10" t="n">
        <f aca="false">IFERROR(VLOOKUP(A83,'Dados-Status-Invest'!$1:$1000,3,FALSE())/100,"")</f>
        <v>0</v>
      </c>
      <c r="L83" s="11" t="n">
        <f aca="false">IFERROR(VLOOKUP(A83,'Dados-Status-Invest'!$1:$1000,MATCH(L$1,'Dados-Status-Invest'!$2:$2,0),FALSE())/100,"")</f>
        <v>0</v>
      </c>
      <c r="M83" s="10" t="n">
        <f aca="false">IFERROR(VLOOKUP(A83,'Dados-Status-Invest'!$1:$1000,MATCH(M$1,'Dados-Status-Invest'!$2:$2,0),FALSE())/100,"")</f>
        <v>0</v>
      </c>
      <c r="N83" s="10" t="n">
        <f aca="false">IFERROR(VLOOKUP(A83,'Dados-Status-Invest'!$1:$1000,MATCH(N$1,'Dados-Status-Invest'!$2:$2,0),FALSE())/100,"")</f>
        <v>0</v>
      </c>
      <c r="O83" s="10" t="n">
        <f aca="false">IFERROR(VLOOKUP(A83,'Dados-Status-Invest'!$1:$1000,MATCH(O$1,'Dados-Status-Invest'!$2:$2,0),FALSE())/100,"")</f>
        <v>0</v>
      </c>
      <c r="P83" s="10" t="n">
        <f aca="false">IFERROR(VLOOKUP(A83,'Dados-Status-Invest'!$1:$1000,MATCH(P$1,'Dados-Status-Invest'!$2:$2,0),FALSE())/100,"")</f>
        <v>0</v>
      </c>
      <c r="Q83" s="10" t="n">
        <f aca="false">IFERROR(VLOOKUP(A83,'Dados-Status-Invest'!$1:$1000,MATCH(Q$1,'Dados-Status-Invest'!$2:$2,0),FALSE())/100,"")</f>
        <v>0</v>
      </c>
      <c r="R83" s="12" t="n">
        <f aca="false">IFERROR(VLOOKUP(A83,'Dados-Status-Invest'!$1:$1000,MATCH(R$1,'Dados-Status-Invest'!$2:$2,0),FALSE()),"")</f>
        <v>0</v>
      </c>
      <c r="S83" s="12" t="n">
        <f aca="false">IFERROR(VLOOKUP(A83,'Dados-Status-Invest'!$1:$1000,MATCH(S$1,'Dados-Status-Invest'!$2:$2,0),FALSE()),"")</f>
        <v>0</v>
      </c>
      <c r="T83" s="12" t="n">
        <f aca="false">IFERROR(VLOOKUP(A83,'Dados-Status-Invest'!$1:$1000,MATCH(T$1,'Dados-Status-Invest'!$2:$2,0),FALSE()),"")</f>
        <v>0</v>
      </c>
      <c r="U83" s="12" t="n">
        <f aca="false">IFERROR(VLOOKUP(A83,'Dados-Status-Invest'!$1:$1000,MATCH(U$1,'Dados-Status-Invest'!$2:$2,0),FALSE()),"")</f>
        <v>0</v>
      </c>
      <c r="V83" s="12" t="n">
        <f aca="false">IFERROR(VLOOKUP(A83,'Dados-Status-Invest'!$1:$1000,MATCH(V$1,'Dados-Status-Invest'!$2:$2,0),FALSE()),"")</f>
        <v>0</v>
      </c>
      <c r="W83" s="10" t="n">
        <f aca="false">IFERROR(VLOOKUP(A83,'Dados-Status-Invest'!$1:$1000,MATCH(W$1,'Dados-Status-Invest'!$2:$2,0),FALSE())/100,"")</f>
        <v>0</v>
      </c>
      <c r="X83" s="10" t="n">
        <f aca="false">IFERROR(VLOOKUP(A83,'Dados-Status-Invest'!$1:$1000,MATCH(X$1,'Dados-Status-Invest'!$2:$2,0),FALSE())/100,"")</f>
        <v>0</v>
      </c>
    </row>
    <row r="84" customFormat="false" ht="15.75" hidden="false" customHeight="false" outlineLevel="0" collapsed="false">
      <c r="A84" s="6" t="s">
        <v>114</v>
      </c>
      <c r="B84" s="7" t="str">
        <f aca="false">IFERROR(VLOOKUP(LEFT(A84,4),Setor!A:D,2,FALSE()),"")</f>
        <v>Petróleo, Gás e Biocombustíveis</v>
      </c>
      <c r="C84" s="8" t="n">
        <f aca="false">IFERROR(__xludf.dummyfunction("IFERROR(IFERROR(GOOGLEFINANCE(A90,""price""),VLOOKUP(A90,'Dados-Status-Invest'!A:B,2,FALSE)),"""")"),19.6)</f>
        <v>19.6</v>
      </c>
      <c r="D84" s="8" t="n">
        <f aca="false">IFERROR(VLOOKUP(A84,'Dados-Status-Invest'!$1:$1000,MATCH(D$1,'Dados-Status-Invest'!$2:$2,0),FALSE()),"")</f>
        <v>30825900000</v>
      </c>
      <c r="E84" s="8" t="n">
        <f aca="false">IF(D84+H84&gt;0,D84+H84,"")</f>
        <v>36763473034</v>
      </c>
      <c r="F84" s="8" t="n">
        <f aca="false">IFERROR(D84/VLOOKUP(A84,'Dados-Status-Invest'!$1:$1000,5,FALSE()),"")</f>
        <v>12737975207</v>
      </c>
      <c r="G84" s="8" t="n">
        <f aca="false">IFERROR(D84/VLOOKUP(A84,'Dados-Status-Invest'!$1:$1000,6,FALSE()),"")</f>
        <v>29358000000</v>
      </c>
      <c r="H84" s="8" t="n">
        <f aca="false">IFERROR(VLOOKUP(A84,'Dados-Status-Invest'!$1:$1000,12,FALSE())*J84,"")</f>
        <v>5937573034</v>
      </c>
      <c r="I84" s="8" t="n">
        <f aca="false">IFERROR(D84/VLOOKUP(A84,'Dados-Status-Invest'!$1:$1000,14,FALSE()),"")</f>
        <v>85627500000</v>
      </c>
      <c r="J84" s="9" t="n">
        <f aca="false">IFERROR(D84/VLOOKUP(A84,'Dados-Status-Invest'!$1:$1000,10,FALSE()),"")</f>
        <v>4947977528</v>
      </c>
      <c r="K84" s="10" t="n">
        <f aca="false">IFERROR(VLOOKUP(A84,'Dados-Status-Invest'!$1:$1000,3,FALSE())/100,"")</f>
        <v>0.0946</v>
      </c>
      <c r="L84" s="11" t="n">
        <f aca="false">IFERROR(VLOOKUP(A84,'Dados-Status-Invest'!$1:$1000,MATCH(L$1,'Dados-Status-Invest'!$2:$2,0),FALSE())/100,"")</f>
        <v>0.3278</v>
      </c>
      <c r="M84" s="10" t="n">
        <f aca="false">IFERROR(VLOOKUP(A84,'Dados-Status-Invest'!$1:$1000,MATCH(M$1,'Dados-Status-Invest'!$2:$2,0),FALSE())/100,"")</f>
        <v>0.1423</v>
      </c>
      <c r="N84" s="10" t="n">
        <f aca="false">IFERROR(VLOOKUP(A84,'Dados-Status-Invest'!$1:$1000,MATCH(N$1,'Dados-Status-Invest'!$2:$2,0),FALSE())/100,"")</f>
        <v>0.1739</v>
      </c>
      <c r="O84" s="10" t="n">
        <f aca="false">IFERROR(VLOOKUP(A84,'Dados-Status-Invest'!$1:$1000,MATCH(O$1,'Dados-Status-Invest'!$2:$2,0),FALSE())/100,"")</f>
        <v>0.0623</v>
      </c>
      <c r="P84" s="10" t="n">
        <f aca="false">IFERROR(VLOOKUP(A84,'Dados-Status-Invest'!$1:$1000,MATCH(P$1,'Dados-Status-Invest'!$2:$2,0),FALSE())/100,"")</f>
        <v>0.0572</v>
      </c>
      <c r="Q84" s="10" t="n">
        <f aca="false">IFERROR(VLOOKUP(A84,'Dados-Status-Invest'!$1:$1000,MATCH(Q$1,'Dados-Status-Invest'!$2:$2,0),FALSE())/100,"")</f>
        <v>0.0482</v>
      </c>
      <c r="R84" s="12" t="n">
        <f aca="false">IFERROR(VLOOKUP(A84,'Dados-Status-Invest'!$1:$1000,MATCH(R$1,'Dados-Status-Invest'!$2:$2,0),FALSE()),"")</f>
        <v>7.4</v>
      </c>
      <c r="S84" s="12" t="n">
        <f aca="false">IFERROR(VLOOKUP(A84,'Dados-Status-Invest'!$1:$1000,MATCH(S$1,'Dados-Status-Invest'!$2:$2,0),FALSE()),"")</f>
        <v>2.42</v>
      </c>
      <c r="T84" s="12" t="n">
        <f aca="false">IFERROR(VLOOKUP(A84,'Dados-Status-Invest'!$1:$1000,MATCH(T$1,'Dados-Status-Invest'!$2:$2,0),FALSE()),"")</f>
        <v>7.44</v>
      </c>
      <c r="U84" s="12" t="n">
        <f aca="false">IFERROR(VLOOKUP(A84,'Dados-Status-Invest'!$1:$1000,MATCH(U$1,'Dados-Status-Invest'!$2:$2,0),FALSE()),"")</f>
        <v>3.13</v>
      </c>
      <c r="V84" s="12" t="n">
        <f aca="false">IFERROR(VLOOKUP(A84,'Dados-Status-Invest'!$1:$1000,MATCH(V$1,'Dados-Status-Invest'!$2:$2,0),FALSE()),"")</f>
        <v>1.2</v>
      </c>
      <c r="W84" s="10" t="n">
        <f aca="false">IFERROR(VLOOKUP(A84,'Dados-Status-Invest'!$1:$1000,MATCH(W$1,'Dados-Status-Invest'!$2:$2,0),FALSE())/100,"")</f>
        <v>-0.0348</v>
      </c>
      <c r="X84" s="10" t="n">
        <f aca="false">IFERROR(VLOOKUP(A84,'Dados-Status-Invest'!$1:$1000,MATCH(X$1,'Dados-Status-Invest'!$2:$2,0),FALSE())/100,"")</f>
        <v>0</v>
      </c>
    </row>
    <row r="85" customFormat="false" ht="15.75" hidden="false" customHeight="false" outlineLevel="0" collapsed="false">
      <c r="A85" s="6" t="s">
        <v>115</v>
      </c>
      <c r="B85" s="7" t="str">
        <f aca="false">IFERROR(VLOOKUP(LEFT(A85,4),Setor!A:D,2,FALSE()),"")</f>
        <v>Consumo não Cíclico</v>
      </c>
      <c r="C85" s="8" t="n">
        <f aca="false">IFERROR(__xludf.dummyfunction("IFERROR(IFERROR(GOOGLEFINANCE(A91,""price""),VLOOKUP(A91,'Dados-Status-Invest'!A:B,2,FALSE)),"""")"),14.24)</f>
        <v>14.24</v>
      </c>
      <c r="D85" s="8" t="n">
        <f aca="false">IFERROR(VLOOKUP(A85,'Dados-Status-Invest'!$1:$1000,MATCH(D$1,'Dados-Status-Invest'!$2:$2,0),FALSE()),"")</f>
        <v>22107397024</v>
      </c>
      <c r="E85" s="8" t="n">
        <f aca="false">IF(D85+H85&gt;0,D85+H85,"")</f>
        <v>37176639909</v>
      </c>
      <c r="F85" s="8" t="n">
        <f aca="false">IFERROR(D85/VLOOKUP(A85,'Dados-Status-Invest'!$1:$1000,5,FALSE()),"")</f>
        <v>8311051513</v>
      </c>
      <c r="G85" s="8" t="n">
        <f aca="false">IFERROR(D85/VLOOKUP(A85,'Dados-Status-Invest'!$1:$1000,6,FALSE()),"")</f>
        <v>51412551218</v>
      </c>
      <c r="H85" s="8" t="n">
        <f aca="false">IFERROR(VLOOKUP(A85,'Dados-Status-Invest'!$1:$1000,12,FALSE())*J85,"")</f>
        <v>15069242885</v>
      </c>
      <c r="I85" s="8" t="n">
        <f aca="false">IFERROR(D85/VLOOKUP(A85,'Dados-Status-Invest'!$1:$1000,14,FALSE()),"")</f>
        <v>40939624118</v>
      </c>
      <c r="J85" s="9" t="n">
        <f aca="false">IFERROR(D85/VLOOKUP(A85,'Dados-Status-Invest'!$1:$1000,10,FALSE()),"")</f>
        <v>2920395908</v>
      </c>
      <c r="K85" s="10" t="n">
        <f aca="false">IFERROR(VLOOKUP(A85,'Dados-Status-Invest'!$1:$1000,3,FALSE())/100,"")</f>
        <v>0</v>
      </c>
      <c r="L85" s="11" t="n">
        <f aca="false">IFERROR(VLOOKUP(A85,'Dados-Status-Invest'!$1:$1000,MATCH(L$1,'Dados-Status-Invest'!$2:$2,0),FALSE())/100,"")</f>
        <v>0.1752</v>
      </c>
      <c r="M85" s="10" t="n">
        <f aca="false">IFERROR(VLOOKUP(A85,'Dados-Status-Invest'!$1:$1000,MATCH(M$1,'Dados-Status-Invest'!$2:$2,0),FALSE())/100,"")</f>
        <v>0.0283</v>
      </c>
      <c r="N85" s="10" t="n">
        <f aca="false">IFERROR(VLOOKUP(A85,'Dados-Status-Invest'!$1:$1000,MATCH(N$1,'Dados-Status-Invest'!$2:$2,0),FALSE())/100,"")</f>
        <v>0.0831</v>
      </c>
      <c r="O85" s="10" t="n">
        <f aca="false">IFERROR(VLOOKUP(A85,'Dados-Status-Invest'!$1:$1000,MATCH(O$1,'Dados-Status-Invest'!$2:$2,0),FALSE())/100,"")</f>
        <v>0.229</v>
      </c>
      <c r="P85" s="10" t="n">
        <f aca="false">IFERROR(VLOOKUP(A85,'Dados-Status-Invest'!$1:$1000,MATCH(P$1,'Dados-Status-Invest'!$2:$2,0),FALSE())/100,"")</f>
        <v>0.071</v>
      </c>
      <c r="Q85" s="10" t="n">
        <f aca="false">IFERROR(VLOOKUP(A85,'Dados-Status-Invest'!$1:$1000,MATCH(Q$1,'Dados-Status-Invest'!$2:$2,0),FALSE())/100,"")</f>
        <v>0.0354</v>
      </c>
      <c r="R85" s="12" t="n">
        <f aca="false">IFERROR(VLOOKUP(A85,'Dados-Status-Invest'!$1:$1000,MATCH(R$1,'Dados-Status-Invest'!$2:$2,0),FALSE()),"")</f>
        <v>15.19</v>
      </c>
      <c r="S85" s="12" t="n">
        <f aca="false">IFERROR(VLOOKUP(A85,'Dados-Status-Invest'!$1:$1000,MATCH(S$1,'Dados-Status-Invest'!$2:$2,0),FALSE()),"")</f>
        <v>2.66</v>
      </c>
      <c r="T85" s="12" t="n">
        <f aca="false">IFERROR(VLOOKUP(A85,'Dados-Status-Invest'!$1:$1000,MATCH(T$1,'Dados-Status-Invest'!$2:$2,0),FALSE()),"")</f>
        <v>12.73</v>
      </c>
      <c r="U85" s="12" t="n">
        <f aca="false">IFERROR(VLOOKUP(A85,'Dados-Status-Invest'!$1:$1000,MATCH(U$1,'Dados-Status-Invest'!$2:$2,0),FALSE()),"")</f>
        <v>1.51</v>
      </c>
      <c r="V85" s="12" t="n">
        <f aca="false">IFERROR(VLOOKUP(A85,'Dados-Status-Invest'!$1:$1000,MATCH(V$1,'Dados-Status-Invest'!$2:$2,0),FALSE()),"")</f>
        <v>5.16</v>
      </c>
      <c r="W85" s="10" t="n">
        <f aca="false">IFERROR(VLOOKUP(A85,'Dados-Status-Invest'!$1:$1000,MATCH(W$1,'Dados-Status-Invest'!$2:$2,0),FALSE())/100,"")</f>
        <v>0.0416</v>
      </c>
      <c r="X85" s="10" t="n">
        <f aca="false">IFERROR(VLOOKUP(A85,'Dados-Status-Invest'!$1:$1000,MATCH(X$1,'Dados-Status-Invest'!$2:$2,0),FALSE())/100,"")</f>
        <v>-0.1499</v>
      </c>
    </row>
    <row r="86" customFormat="false" ht="15.75" hidden="false" customHeight="false" outlineLevel="0" collapsed="false">
      <c r="A86" s="6" t="s">
        <v>116</v>
      </c>
      <c r="B86" s="7" t="str">
        <f aca="false">IFERROR(VLOOKUP(LEFT(A86,4),Setor!A:D,2,FALSE()),"")</f>
        <v>Financeiro</v>
      </c>
      <c r="C86" s="8" t="n">
        <f aca="false">IFERROR(__xludf.dummyfunction("IFERROR(IFERROR(GOOGLEFINANCE(A92,""price""),VLOOKUP(A92,'Dados-Status-Invest'!A:B,2,FALSE)),"""")"),7.71)</f>
        <v>7.71</v>
      </c>
      <c r="D86" s="8" t="n">
        <f aca="false">IFERROR(VLOOKUP(A86,'Dados-Status-Invest'!$1:$1000,MATCH(D$1,'Dados-Status-Invest'!$2:$2,0),FALSE()),"")</f>
        <v>851658559.9</v>
      </c>
      <c r="E86" s="8" t="str">
        <f aca="false">IF(D86+H86&gt;0,D86+H86,"")</f>
        <v/>
      </c>
      <c r="F86" s="8" t="n">
        <f aca="false">IFERROR(D86/VLOOKUP(A86,'Dados-Status-Invest'!$1:$1000,5,FALSE()),"")</f>
        <v>1577145481</v>
      </c>
      <c r="G86" s="8" t="n">
        <f aca="false">IFERROR(D86/VLOOKUP(A86,'Dados-Status-Invest'!$1:$1000,6,FALSE()),"")</f>
        <v>3871175272</v>
      </c>
      <c r="H86" s="8" t="n">
        <f aca="false">IFERROR(VLOOKUP(A86,'Dados-Status-Invest'!$1:$1000,12,FALSE())*J86,"")</f>
        <v>-2016538982</v>
      </c>
      <c r="I86" s="8" t="n">
        <f aca="false">IFERROR(D86/VLOOKUP(A86,'Dados-Status-Invest'!$1:$1000,14,FALSE()),"")</f>
        <v>24989981.22</v>
      </c>
      <c r="J86" s="9" t="n">
        <f aca="false">IFERROR(D86/VLOOKUP(A86,'Dados-Status-Invest'!$1:$1000,10,FALSE()),"")</f>
        <v>69296872.24</v>
      </c>
      <c r="K86" s="10" t="n">
        <f aca="false">IFERROR(VLOOKUP(A86,'Dados-Status-Invest'!$1:$1000,3,FALSE())/100,"")</f>
        <v>0.04</v>
      </c>
      <c r="L86" s="11" t="n">
        <f aca="false">IFERROR(VLOOKUP(A86,'Dados-Status-Invest'!$1:$1000,MATCH(L$1,'Dados-Status-Invest'!$2:$2,0),FALSE())/100,"")</f>
        <v>0.0272</v>
      </c>
      <c r="M86" s="10" t="n">
        <f aca="false">IFERROR(VLOOKUP(A86,'Dados-Status-Invest'!$1:$1000,MATCH(M$1,'Dados-Status-Invest'!$2:$2,0),FALSE())/100,"")</f>
        <v>0.0111</v>
      </c>
      <c r="N86" s="10" t="n">
        <f aca="false">IFERROR(VLOOKUP(A86,'Dados-Status-Invest'!$1:$1000,MATCH(N$1,'Dados-Status-Invest'!$2:$2,0),FALSE())/100,"")</f>
        <v>0.0212</v>
      </c>
      <c r="O86" s="10" t="n">
        <f aca="false">IFERROR(VLOOKUP(A86,'Dados-Status-Invest'!$1:$1000,MATCH(O$1,'Dados-Status-Invest'!$2:$2,0),FALSE())/100,"")</f>
        <v>-4.314</v>
      </c>
      <c r="P86" s="10" t="n">
        <f aca="false">IFERROR(VLOOKUP(A86,'Dados-Status-Invest'!$1:$1000,MATCH(P$1,'Dados-Status-Invest'!$2:$2,0),FALSE())/100,"")</f>
        <v>2.7743</v>
      </c>
      <c r="Q86" s="10" t="n">
        <f aca="false">IFERROR(VLOOKUP(A86,'Dados-Status-Invest'!$1:$1000,MATCH(Q$1,'Dados-Status-Invest'!$2:$2,0),FALSE())/100,"")</f>
        <v>1.7209</v>
      </c>
      <c r="R86" s="12" t="n">
        <f aca="false">IFERROR(VLOOKUP(A86,'Dados-Status-Invest'!$1:$1000,MATCH(R$1,'Dados-Status-Invest'!$2:$2,0),FALSE()),"")</f>
        <v>19.81</v>
      </c>
      <c r="S86" s="12" t="n">
        <f aca="false">IFERROR(VLOOKUP(A86,'Dados-Status-Invest'!$1:$1000,MATCH(S$1,'Dados-Status-Invest'!$2:$2,0),FALSE()),"")</f>
        <v>0.54</v>
      </c>
      <c r="T86" s="12" t="n">
        <f aca="false">IFERROR(VLOOKUP(A86,'Dados-Status-Invest'!$1:$1000,MATCH(T$1,'Dados-Status-Invest'!$2:$2,0),FALSE()),"")</f>
        <v>-13.47</v>
      </c>
      <c r="U86" s="12" t="n">
        <f aca="false">IFERROR(VLOOKUP(A86,'Dados-Status-Invest'!$1:$1000,MATCH(U$1,'Dados-Status-Invest'!$2:$2,0),FALSE()),"")</f>
        <v>3.4</v>
      </c>
      <c r="V86" s="12" t="n">
        <f aca="false">IFERROR(VLOOKUP(A86,'Dados-Status-Invest'!$1:$1000,MATCH(V$1,'Dados-Status-Invest'!$2:$2,0),FALSE()),"")</f>
        <v>-29.1</v>
      </c>
      <c r="W86" s="10" t="n">
        <f aca="false">IFERROR(VLOOKUP(A86,'Dados-Status-Invest'!$1:$1000,MATCH(W$1,'Dados-Status-Invest'!$2:$2,0),FALSE())/100,"")</f>
        <v>-0.0153</v>
      </c>
      <c r="X86" s="10" t="n">
        <f aca="false">IFERROR(VLOOKUP(A86,'Dados-Status-Invest'!$1:$1000,MATCH(X$1,'Dados-Status-Invest'!$2:$2,0),FALSE())/100,"")</f>
        <v>-0.0725</v>
      </c>
    </row>
    <row r="87" customFormat="false" ht="15.75" hidden="false" customHeight="false" outlineLevel="0" collapsed="false">
      <c r="A87" s="6" t="s">
        <v>117</v>
      </c>
      <c r="B87" s="7" t="str">
        <f aca="false">IFERROR(VLOOKUP(LEFT(A87,4),Setor!A:D,2,FALSE()),"")</f>
        <v>Financeiro</v>
      </c>
      <c r="C87" s="8" t="n">
        <f aca="false">IFERROR(__xludf.dummyfunction("IFERROR(IFERROR(GOOGLEFINANCE(A93,""price""),VLOOKUP(A93,'Dados-Status-Invest'!A:B,2,FALSE)),"""")"),6.95)</f>
        <v>6.95</v>
      </c>
      <c r="D87" s="8" t="n">
        <f aca="false">IFERROR(VLOOKUP(A87,'Dados-Status-Invest'!$1:$1000,MATCH(D$1,'Dados-Status-Invest'!$2:$2,0),FALSE()),"")</f>
        <v>851658559.9</v>
      </c>
      <c r="E87" s="8" t="str">
        <f aca="false">IF(D87+H87&gt;0,D87+H87,"")</f>
        <v/>
      </c>
      <c r="F87" s="8" t="n">
        <f aca="false">IFERROR(D87/VLOOKUP(A87,'Dados-Status-Invest'!$1:$1000,5,FALSE()),"")</f>
        <v>2129146400</v>
      </c>
      <c r="G87" s="8" t="n">
        <f aca="false">IFERROR(D87/VLOOKUP(A87,'Dados-Status-Invest'!$1:$1000,6,FALSE()),"")</f>
        <v>5322865999</v>
      </c>
      <c r="H87" s="8" t="n">
        <f aca="false">IFERROR(VLOOKUP(A87,'Dados-Status-Invest'!$1:$1000,12,FALSE())*J87,"")</f>
        <v>-2750639744</v>
      </c>
      <c r="I87" s="8" t="n">
        <f aca="false">IFERROR(D87/VLOOKUP(A87,'Dados-Status-Invest'!$1:$1000,14,FALSE()),"")</f>
        <v>34052721.31</v>
      </c>
      <c r="J87" s="9" t="n">
        <f aca="false">IFERROR(D87/VLOOKUP(A87,'Dados-Status-Invest'!$1:$1000,10,FALSE()),"")</f>
        <v>94523702.54</v>
      </c>
      <c r="K87" s="10" t="n">
        <f aca="false">IFERROR(VLOOKUP(A87,'Dados-Status-Invest'!$1:$1000,3,FALSE())/100,"")</f>
        <v>0</v>
      </c>
      <c r="L87" s="11" t="n">
        <f aca="false">IFERROR(VLOOKUP(A87,'Dados-Status-Invest'!$1:$1000,MATCH(L$1,'Dados-Status-Invest'!$2:$2,0),FALSE())/100,"")</f>
        <v>0.0272</v>
      </c>
      <c r="M87" s="10" t="n">
        <f aca="false">IFERROR(VLOOKUP(A87,'Dados-Status-Invest'!$1:$1000,MATCH(M$1,'Dados-Status-Invest'!$2:$2,0),FALSE())/100,"")</f>
        <v>0.0111</v>
      </c>
      <c r="N87" s="10" t="n">
        <f aca="false">IFERROR(VLOOKUP(A87,'Dados-Status-Invest'!$1:$1000,MATCH(N$1,'Dados-Status-Invest'!$2:$2,0),FALSE())/100,"")</f>
        <v>0.0212</v>
      </c>
      <c r="O87" s="10" t="n">
        <f aca="false">IFERROR(VLOOKUP(A87,'Dados-Status-Invest'!$1:$1000,MATCH(O$1,'Dados-Status-Invest'!$2:$2,0),FALSE())/100,"")</f>
        <v>-4.314</v>
      </c>
      <c r="P87" s="10" t="n">
        <f aca="false">IFERROR(VLOOKUP(A87,'Dados-Status-Invest'!$1:$1000,MATCH(P$1,'Dados-Status-Invest'!$2:$2,0),FALSE())/100,"")</f>
        <v>2.7743</v>
      </c>
      <c r="Q87" s="10" t="n">
        <f aca="false">IFERROR(VLOOKUP(A87,'Dados-Status-Invest'!$1:$1000,MATCH(Q$1,'Dados-Status-Invest'!$2:$2,0),FALSE())/100,"")</f>
        <v>1.7209</v>
      </c>
      <c r="R87" s="12" t="n">
        <f aca="false">IFERROR(VLOOKUP(A87,'Dados-Status-Invest'!$1:$1000,MATCH(R$1,'Dados-Status-Invest'!$2:$2,0),FALSE()),"")</f>
        <v>14.53</v>
      </c>
      <c r="S87" s="12" t="n">
        <f aca="false">IFERROR(VLOOKUP(A87,'Dados-Status-Invest'!$1:$1000,MATCH(S$1,'Dados-Status-Invest'!$2:$2,0),FALSE()),"")</f>
        <v>0.4</v>
      </c>
      <c r="T87" s="12" t="n">
        <f aca="false">IFERROR(VLOOKUP(A87,'Dados-Status-Invest'!$1:$1000,MATCH(T$1,'Dados-Status-Invest'!$2:$2,0),FALSE()),"")</f>
        <v>-13.47</v>
      </c>
      <c r="U87" s="12" t="n">
        <f aca="false">IFERROR(VLOOKUP(A87,'Dados-Status-Invest'!$1:$1000,MATCH(U$1,'Dados-Status-Invest'!$2:$2,0),FALSE()),"")</f>
        <v>3.4</v>
      </c>
      <c r="V87" s="12" t="n">
        <f aca="false">IFERROR(VLOOKUP(A87,'Dados-Status-Invest'!$1:$1000,MATCH(V$1,'Dados-Status-Invest'!$2:$2,0),FALSE()),"")</f>
        <v>-29.1</v>
      </c>
      <c r="W87" s="10" t="n">
        <f aca="false">IFERROR(VLOOKUP(A87,'Dados-Status-Invest'!$1:$1000,MATCH(W$1,'Dados-Status-Invest'!$2:$2,0),FALSE())/100,"")</f>
        <v>-0.0153</v>
      </c>
      <c r="X87" s="10" t="n">
        <f aca="false">IFERROR(VLOOKUP(A87,'Dados-Status-Invest'!$1:$1000,MATCH(X$1,'Dados-Status-Invest'!$2:$2,0),FALSE())/100,"")</f>
        <v>-0.0725</v>
      </c>
    </row>
    <row r="88" customFormat="false" ht="15.75" hidden="false" customHeight="false" outlineLevel="0" collapsed="false">
      <c r="A88" s="6" t="s">
        <v>118</v>
      </c>
      <c r="B88" s="7" t="str">
        <f aca="false">IFERROR(VLOOKUP(LEFT(A88,4),Setor!A:D,2,FALSE()),"")</f>
        <v>Financeiro</v>
      </c>
      <c r="C88" s="8" t="n">
        <f aca="false">IFERROR(__xludf.dummyfunction("IFERROR(IFERROR(GOOGLEFINANCE(A94,""price""),VLOOKUP(A94,'Dados-Status-Invest'!A:B,2,FALSE)),"""")"),6.9)</f>
        <v>6.9</v>
      </c>
      <c r="D88" s="8" t="n">
        <f aca="false">IFERROR(VLOOKUP(A88,'Dados-Status-Invest'!$1:$1000,MATCH(D$1,'Dados-Status-Invest'!$2:$2,0),FALSE()),"")</f>
        <v>851658559.9</v>
      </c>
      <c r="E88" s="8" t="str">
        <f aca="false">IF(D88+H88&gt;0,D88+H88,"")</f>
        <v/>
      </c>
      <c r="F88" s="8" t="n">
        <f aca="false">IFERROR(D88/VLOOKUP(A88,'Dados-Status-Invest'!$1:$1000,5,FALSE()),"")</f>
        <v>1637804923</v>
      </c>
      <c r="G88" s="8" t="n">
        <f aca="false">IFERROR(D88/VLOOKUP(A88,'Dados-Status-Invest'!$1:$1000,6,FALSE()),"")</f>
        <v>4055516952</v>
      </c>
      <c r="H88" s="8" t="n">
        <f aca="false">IFERROR(VLOOKUP(A88,'Dados-Status-Invest'!$1:$1000,12,FALSE())*J88,"")</f>
        <v>-2080878597</v>
      </c>
      <c r="I88" s="8" t="n">
        <f aca="false">IFERROR(D88/VLOOKUP(A88,'Dados-Status-Invest'!$1:$1000,14,FALSE()),"")</f>
        <v>25784394.79</v>
      </c>
      <c r="J88" s="9" t="n">
        <f aca="false">IFERROR(D88/VLOOKUP(A88,'Dados-Status-Invest'!$1:$1000,10,FALSE()),"")</f>
        <v>71507855.57</v>
      </c>
      <c r="K88" s="10" t="n">
        <f aca="false">IFERROR(VLOOKUP(A88,'Dados-Status-Invest'!$1:$1000,3,FALSE())/100,"")</f>
        <v>0</v>
      </c>
      <c r="L88" s="11" t="n">
        <f aca="false">IFERROR(VLOOKUP(A88,'Dados-Status-Invest'!$1:$1000,MATCH(L$1,'Dados-Status-Invest'!$2:$2,0),FALSE())/100,"")</f>
        <v>0.0272</v>
      </c>
      <c r="M88" s="10" t="n">
        <f aca="false">IFERROR(VLOOKUP(A88,'Dados-Status-Invest'!$1:$1000,MATCH(M$1,'Dados-Status-Invest'!$2:$2,0),FALSE())/100,"")</f>
        <v>0.0111</v>
      </c>
      <c r="N88" s="10" t="n">
        <f aca="false">IFERROR(VLOOKUP(A88,'Dados-Status-Invest'!$1:$1000,MATCH(N$1,'Dados-Status-Invest'!$2:$2,0),FALSE())/100,"")</f>
        <v>0.0212</v>
      </c>
      <c r="O88" s="10" t="n">
        <f aca="false">IFERROR(VLOOKUP(A88,'Dados-Status-Invest'!$1:$1000,MATCH(O$1,'Dados-Status-Invest'!$2:$2,0),FALSE())/100,"")</f>
        <v>-4.314</v>
      </c>
      <c r="P88" s="10" t="n">
        <f aca="false">IFERROR(VLOOKUP(A88,'Dados-Status-Invest'!$1:$1000,MATCH(P$1,'Dados-Status-Invest'!$2:$2,0),FALSE())/100,"")</f>
        <v>2.7743</v>
      </c>
      <c r="Q88" s="10" t="n">
        <f aca="false">IFERROR(VLOOKUP(A88,'Dados-Status-Invest'!$1:$1000,MATCH(Q$1,'Dados-Status-Invest'!$2:$2,0),FALSE())/100,"")</f>
        <v>1.7209</v>
      </c>
      <c r="R88" s="12" t="n">
        <f aca="false">IFERROR(VLOOKUP(A88,'Dados-Status-Invest'!$1:$1000,MATCH(R$1,'Dados-Status-Invest'!$2:$2,0),FALSE()),"")</f>
        <v>19.2</v>
      </c>
      <c r="S88" s="12" t="n">
        <f aca="false">IFERROR(VLOOKUP(A88,'Dados-Status-Invest'!$1:$1000,MATCH(S$1,'Dados-Status-Invest'!$2:$2,0),FALSE()),"")</f>
        <v>0.52</v>
      </c>
      <c r="T88" s="12" t="n">
        <f aca="false">IFERROR(VLOOKUP(A88,'Dados-Status-Invest'!$1:$1000,MATCH(T$1,'Dados-Status-Invest'!$2:$2,0),FALSE()),"")</f>
        <v>-13.47</v>
      </c>
      <c r="U88" s="12" t="n">
        <f aca="false">IFERROR(VLOOKUP(A88,'Dados-Status-Invest'!$1:$1000,MATCH(U$1,'Dados-Status-Invest'!$2:$2,0),FALSE()),"")</f>
        <v>3.4</v>
      </c>
      <c r="V88" s="12" t="n">
        <f aca="false">IFERROR(VLOOKUP(A88,'Dados-Status-Invest'!$1:$1000,MATCH(V$1,'Dados-Status-Invest'!$2:$2,0),FALSE()),"")</f>
        <v>-29.1</v>
      </c>
      <c r="W88" s="10" t="n">
        <f aca="false">IFERROR(VLOOKUP(A88,'Dados-Status-Invest'!$1:$1000,MATCH(W$1,'Dados-Status-Invest'!$2:$2,0),FALSE())/100,"")</f>
        <v>-0.0153</v>
      </c>
      <c r="X88" s="10" t="n">
        <f aca="false">IFERROR(VLOOKUP(A88,'Dados-Status-Invest'!$1:$1000,MATCH(X$1,'Dados-Status-Invest'!$2:$2,0),FALSE())/100,"")</f>
        <v>-0.0725</v>
      </c>
    </row>
    <row r="89" customFormat="false" ht="15.75" hidden="false" customHeight="false" outlineLevel="0" collapsed="false">
      <c r="A89" s="6" t="s">
        <v>119</v>
      </c>
      <c r="B89" s="7" t="str">
        <f aca="false">IFERROR(VLOOKUP(LEFT(A89,4),Setor!A:D,2,FALSE()),"")</f>
        <v>Financeiro</v>
      </c>
      <c r="C89" s="8" t="n">
        <f aca="false">IFERROR(__xludf.dummyfunction("IFERROR(IFERROR(GOOGLEFINANCE(A95,""price""),VLOOKUP(A95,'Dados-Status-Invest'!A:B,2,FALSE)),"""")"),9.81)</f>
        <v>9.81</v>
      </c>
      <c r="D89" s="8" t="n">
        <f aca="false">IFERROR(VLOOKUP(A89,'Dados-Status-Invest'!$1:$1000,MATCH(D$1,'Dados-Status-Invest'!$2:$2,0),FALSE()),"")</f>
        <v>851658559.9</v>
      </c>
      <c r="E89" s="8" t="str">
        <f aca="false">IF(D89+H89&gt;0,D89+H89,"")</f>
        <v/>
      </c>
      <c r="F89" s="8" t="n">
        <f aca="false">IFERROR(D89/VLOOKUP(A89,'Dados-Status-Invest'!$1:$1000,5,FALSE()),"")</f>
        <v>1330716500</v>
      </c>
      <c r="G89" s="8" t="n">
        <f aca="false">IFERROR(D89/VLOOKUP(A89,'Dados-Status-Invest'!$1:$1000,6,FALSE()),"")</f>
        <v>3275609846</v>
      </c>
      <c r="H89" s="8" t="n">
        <f aca="false">IFERROR(VLOOKUP(A89,'Dados-Status-Invest'!$1:$1000,12,FALSE())*J89,"")</f>
        <v>-1697483842</v>
      </c>
      <c r="I89" s="8" t="n">
        <f aca="false">IFERROR(D89/VLOOKUP(A89,'Dados-Status-Invest'!$1:$1000,14,FALSE()),"")</f>
        <v>21033799.95</v>
      </c>
      <c r="J89" s="9" t="n">
        <f aca="false">IFERROR(D89/VLOOKUP(A89,'Dados-Status-Invest'!$1:$1000,10,FALSE()),"")</f>
        <v>58332778.07</v>
      </c>
      <c r="K89" s="10" t="n">
        <f aca="false">IFERROR(VLOOKUP(A89,'Dados-Status-Invest'!$1:$1000,3,FALSE())/100,"")</f>
        <v>0.0281</v>
      </c>
      <c r="L89" s="11" t="n">
        <f aca="false">IFERROR(VLOOKUP(A89,'Dados-Status-Invest'!$1:$1000,MATCH(L$1,'Dados-Status-Invest'!$2:$2,0),FALSE())/100,"")</f>
        <v>0.0272</v>
      </c>
      <c r="M89" s="10" t="n">
        <f aca="false">IFERROR(VLOOKUP(A89,'Dados-Status-Invest'!$1:$1000,MATCH(M$1,'Dados-Status-Invest'!$2:$2,0),FALSE())/100,"")</f>
        <v>0.0111</v>
      </c>
      <c r="N89" s="10" t="n">
        <f aca="false">IFERROR(VLOOKUP(A89,'Dados-Status-Invest'!$1:$1000,MATCH(N$1,'Dados-Status-Invest'!$2:$2,0),FALSE())/100,"")</f>
        <v>0.0212</v>
      </c>
      <c r="O89" s="10" t="n">
        <f aca="false">IFERROR(VLOOKUP(A89,'Dados-Status-Invest'!$1:$1000,MATCH(O$1,'Dados-Status-Invest'!$2:$2,0),FALSE())/100,"")</f>
        <v>-4.314</v>
      </c>
      <c r="P89" s="10" t="n">
        <f aca="false">IFERROR(VLOOKUP(A89,'Dados-Status-Invest'!$1:$1000,MATCH(P$1,'Dados-Status-Invest'!$2:$2,0),FALSE())/100,"")</f>
        <v>2.7743</v>
      </c>
      <c r="Q89" s="10" t="n">
        <f aca="false">IFERROR(VLOOKUP(A89,'Dados-Status-Invest'!$1:$1000,MATCH(Q$1,'Dados-Status-Invest'!$2:$2,0),FALSE())/100,"")</f>
        <v>1.7209</v>
      </c>
      <c r="R89" s="12" t="n">
        <f aca="false">IFERROR(VLOOKUP(A89,'Dados-Status-Invest'!$1:$1000,MATCH(R$1,'Dados-Status-Invest'!$2:$2,0),FALSE()),"")</f>
        <v>23.53</v>
      </c>
      <c r="S89" s="12" t="n">
        <f aca="false">IFERROR(VLOOKUP(A89,'Dados-Status-Invest'!$1:$1000,MATCH(S$1,'Dados-Status-Invest'!$2:$2,0),FALSE()),"")</f>
        <v>0.64</v>
      </c>
      <c r="T89" s="12" t="n">
        <f aca="false">IFERROR(VLOOKUP(A89,'Dados-Status-Invest'!$1:$1000,MATCH(T$1,'Dados-Status-Invest'!$2:$2,0),FALSE()),"")</f>
        <v>-13.47</v>
      </c>
      <c r="U89" s="12" t="n">
        <f aca="false">IFERROR(VLOOKUP(A89,'Dados-Status-Invest'!$1:$1000,MATCH(U$1,'Dados-Status-Invest'!$2:$2,0),FALSE()),"")</f>
        <v>3.4</v>
      </c>
      <c r="V89" s="12" t="n">
        <f aca="false">IFERROR(VLOOKUP(A89,'Dados-Status-Invest'!$1:$1000,MATCH(V$1,'Dados-Status-Invest'!$2:$2,0),FALSE()),"")</f>
        <v>-29.1</v>
      </c>
      <c r="W89" s="10" t="n">
        <f aca="false">IFERROR(VLOOKUP(A89,'Dados-Status-Invest'!$1:$1000,MATCH(W$1,'Dados-Status-Invest'!$2:$2,0),FALSE())/100,"")</f>
        <v>-0.0153</v>
      </c>
      <c r="X89" s="10" t="n">
        <f aca="false">IFERROR(VLOOKUP(A89,'Dados-Status-Invest'!$1:$1000,MATCH(X$1,'Dados-Status-Invest'!$2:$2,0),FALSE())/100,"")</f>
        <v>-0.0725</v>
      </c>
    </row>
    <row r="90" customFormat="false" ht="15.75" hidden="false" customHeight="false" outlineLevel="0" collapsed="false">
      <c r="A90" s="6" t="s">
        <v>120</v>
      </c>
      <c r="B90" s="7" t="str">
        <f aca="false">IFERROR(VLOOKUP(LEFT(A90,4),Setor!A:D,2,FALSE()),"")</f>
        <v>Financeiro</v>
      </c>
      <c r="C90" s="8" t="n">
        <f aca="false">IFERROR(__xludf.dummyfunction("IFERROR(IFERROR(GOOGLEFINANCE(A96,""price""),VLOOKUP(A96,'Dados-Status-Invest'!A:B,2,FALSE)),"""")"),8.5)</f>
        <v>8.5</v>
      </c>
      <c r="D90" s="8" t="n">
        <f aca="false">IFERROR(VLOOKUP(A90,'Dados-Status-Invest'!$1:$1000,MATCH(D$1,'Dados-Status-Invest'!$2:$2,0),FALSE()),"")</f>
        <v>851658559.9</v>
      </c>
      <c r="E90" s="8" t="str">
        <f aca="false">IF(D90+H90&gt;0,D90+H90,"")</f>
        <v/>
      </c>
      <c r="F90" s="8" t="n">
        <f aca="false">IFERROR(D90/VLOOKUP(A90,'Dados-Status-Invest'!$1:$1000,5,FALSE()),"")</f>
        <v>967793818</v>
      </c>
      <c r="G90" s="8" t="n">
        <f aca="false">IFERROR(D90/VLOOKUP(A90,'Dados-Status-Invest'!$1:$1000,6,FALSE()),"")</f>
        <v>2365718222</v>
      </c>
      <c r="H90" s="8" t="n">
        <f aca="false">IFERROR(VLOOKUP(A90,'Dados-Status-Invest'!$1:$1000,12,FALSE())*J90,"")</f>
        <v>-1229938665</v>
      </c>
      <c r="I90" s="8" t="n">
        <f aca="false">IFERROR(D90/VLOOKUP(A90,'Dados-Status-Invest'!$1:$1000,14,FALSE()),"")</f>
        <v>15235394.63</v>
      </c>
      <c r="J90" s="9" t="n">
        <f aca="false">IFERROR(D90/VLOOKUP(A90,'Dados-Status-Invest'!$1:$1000,10,FALSE()),"")</f>
        <v>42265933.49</v>
      </c>
      <c r="K90" s="10" t="n">
        <f aca="false">IFERROR(VLOOKUP(A90,'Dados-Status-Invest'!$1:$1000,3,FALSE())/100,"")</f>
        <v>0.0488</v>
      </c>
      <c r="L90" s="11" t="n">
        <f aca="false">IFERROR(VLOOKUP(A90,'Dados-Status-Invest'!$1:$1000,MATCH(L$1,'Dados-Status-Invest'!$2:$2,0),FALSE())/100,"")</f>
        <v>0.0272</v>
      </c>
      <c r="M90" s="10" t="n">
        <f aca="false">IFERROR(VLOOKUP(A90,'Dados-Status-Invest'!$1:$1000,MATCH(M$1,'Dados-Status-Invest'!$2:$2,0),FALSE())/100,"")</f>
        <v>0.0111</v>
      </c>
      <c r="N90" s="10" t="n">
        <f aca="false">IFERROR(VLOOKUP(A90,'Dados-Status-Invest'!$1:$1000,MATCH(N$1,'Dados-Status-Invest'!$2:$2,0),FALSE())/100,"")</f>
        <v>0.0212</v>
      </c>
      <c r="O90" s="10" t="n">
        <f aca="false">IFERROR(VLOOKUP(A90,'Dados-Status-Invest'!$1:$1000,MATCH(O$1,'Dados-Status-Invest'!$2:$2,0),FALSE())/100,"")</f>
        <v>-4.314</v>
      </c>
      <c r="P90" s="10" t="n">
        <f aca="false">IFERROR(VLOOKUP(A90,'Dados-Status-Invest'!$1:$1000,MATCH(P$1,'Dados-Status-Invest'!$2:$2,0),FALSE())/100,"")</f>
        <v>2.7743</v>
      </c>
      <c r="Q90" s="10" t="n">
        <f aca="false">IFERROR(VLOOKUP(A90,'Dados-Status-Invest'!$1:$1000,MATCH(Q$1,'Dados-Status-Invest'!$2:$2,0),FALSE())/100,"")</f>
        <v>1.7209</v>
      </c>
      <c r="R90" s="12" t="n">
        <f aca="false">IFERROR(VLOOKUP(A90,'Dados-Status-Invest'!$1:$1000,MATCH(R$1,'Dados-Status-Invest'!$2:$2,0),FALSE()),"")</f>
        <v>32.49</v>
      </c>
      <c r="S90" s="12" t="n">
        <f aca="false">IFERROR(VLOOKUP(A90,'Dados-Status-Invest'!$1:$1000,MATCH(S$1,'Dados-Status-Invest'!$2:$2,0),FALSE()),"")</f>
        <v>0.88</v>
      </c>
      <c r="T90" s="12" t="n">
        <f aca="false">IFERROR(VLOOKUP(A90,'Dados-Status-Invest'!$1:$1000,MATCH(T$1,'Dados-Status-Invest'!$2:$2,0),FALSE()),"")</f>
        <v>-13.47</v>
      </c>
      <c r="U90" s="12" t="n">
        <f aca="false">IFERROR(VLOOKUP(A90,'Dados-Status-Invest'!$1:$1000,MATCH(U$1,'Dados-Status-Invest'!$2:$2,0),FALSE()),"")</f>
        <v>3.4</v>
      </c>
      <c r="V90" s="12" t="n">
        <f aca="false">IFERROR(VLOOKUP(A90,'Dados-Status-Invest'!$1:$1000,MATCH(V$1,'Dados-Status-Invest'!$2:$2,0),FALSE()),"")</f>
        <v>-29.1</v>
      </c>
      <c r="W90" s="10" t="n">
        <f aca="false">IFERROR(VLOOKUP(A90,'Dados-Status-Invest'!$1:$1000,MATCH(W$1,'Dados-Status-Invest'!$2:$2,0),FALSE())/100,"")</f>
        <v>-0.0153</v>
      </c>
      <c r="X90" s="10" t="n">
        <f aca="false">IFERROR(VLOOKUP(A90,'Dados-Status-Invest'!$1:$1000,MATCH(X$1,'Dados-Status-Invest'!$2:$2,0),FALSE())/100,"")</f>
        <v>-0.0725</v>
      </c>
    </row>
    <row r="91" customFormat="false" ht="15.75" hidden="false" customHeight="false" outlineLevel="0" collapsed="false">
      <c r="A91" s="6" t="s">
        <v>121</v>
      </c>
      <c r="B91" s="7" t="str">
        <f aca="false">IFERROR(VLOOKUP(LEFT(A91,4),Setor!A:D,2,FALSE()),"")</f>
        <v>Financeiro</v>
      </c>
      <c r="C91" s="8" t="n">
        <f aca="false">IFERROR(__xludf.dummyfunction("IFERROR(IFERROR(GOOGLEFINANCE(A97,""price""),VLOOKUP(A97,'Dados-Status-Invest'!A:B,2,FALSE)),"""")"),0)</f>
        <v>0</v>
      </c>
      <c r="D91" s="8" t="n">
        <f aca="false">IFERROR(VLOOKUP(A91,'Dados-Status-Invest'!$1:$1000,MATCH(D$1,'Dados-Status-Invest'!$2:$2,0),FALSE()),"")</f>
        <v>851658559.9</v>
      </c>
      <c r="E91" s="8" t="str">
        <f aca="false">IF(D91+H91&gt;0,D91+H91,"")</f>
        <v/>
      </c>
      <c r="F91" s="8" t="n">
        <f aca="false">IFERROR(D91/VLOOKUP(A91,'Dados-Status-Invest'!$1:$1000,5,FALSE()),"")</f>
        <v>2661433000</v>
      </c>
      <c r="G91" s="8" t="n">
        <f aca="false">IFERROR(D91/VLOOKUP(A91,'Dados-Status-Invest'!$1:$1000,6,FALSE()),"")</f>
        <v>6551219691</v>
      </c>
      <c r="H91" s="8" t="n">
        <f aca="false">IFERROR(VLOOKUP(A91,'Dados-Status-Invest'!$1:$1000,12,FALSE())*J91,"")</f>
        <v>-3394967684</v>
      </c>
      <c r="I91" s="8" t="n">
        <f aca="false">IFERROR(D91/VLOOKUP(A91,'Dados-Status-Invest'!$1:$1000,14,FALSE()),"")</f>
        <v>42057212.83</v>
      </c>
      <c r="J91" s="9" t="n">
        <f aca="false">IFERROR(D91/VLOOKUP(A91,'Dados-Status-Invest'!$1:$1000,10,FALSE()),"")</f>
        <v>116665556.1</v>
      </c>
      <c r="K91" s="10" t="n">
        <f aca="false">IFERROR(VLOOKUP(A91,'Dados-Status-Invest'!$1:$1000,3,FALSE())/100,"")</f>
        <v>0.0786</v>
      </c>
      <c r="L91" s="11" t="n">
        <f aca="false">IFERROR(VLOOKUP(A91,'Dados-Status-Invest'!$1:$1000,MATCH(L$1,'Dados-Status-Invest'!$2:$2,0),FALSE())/100,"")</f>
        <v>0.0272</v>
      </c>
      <c r="M91" s="10" t="n">
        <f aca="false">IFERROR(VLOOKUP(A91,'Dados-Status-Invest'!$1:$1000,MATCH(M$1,'Dados-Status-Invest'!$2:$2,0),FALSE())/100,"")</f>
        <v>0.0111</v>
      </c>
      <c r="N91" s="10" t="n">
        <f aca="false">IFERROR(VLOOKUP(A91,'Dados-Status-Invest'!$1:$1000,MATCH(N$1,'Dados-Status-Invest'!$2:$2,0),FALSE())/100,"")</f>
        <v>0.0212</v>
      </c>
      <c r="O91" s="10" t="n">
        <f aca="false">IFERROR(VLOOKUP(A91,'Dados-Status-Invest'!$1:$1000,MATCH(O$1,'Dados-Status-Invest'!$2:$2,0),FALSE())/100,"")</f>
        <v>-4.314</v>
      </c>
      <c r="P91" s="10" t="n">
        <f aca="false">IFERROR(VLOOKUP(A91,'Dados-Status-Invest'!$1:$1000,MATCH(P$1,'Dados-Status-Invest'!$2:$2,0),FALSE())/100,"")</f>
        <v>2.7743</v>
      </c>
      <c r="Q91" s="10" t="n">
        <f aca="false">IFERROR(VLOOKUP(A91,'Dados-Status-Invest'!$1:$1000,MATCH(Q$1,'Dados-Status-Invest'!$2:$2,0),FALSE())/100,"")</f>
        <v>1.7209</v>
      </c>
      <c r="R91" s="12" t="n">
        <f aca="false">IFERROR(VLOOKUP(A91,'Dados-Status-Invest'!$1:$1000,MATCH(R$1,'Dados-Status-Invest'!$2:$2,0),FALSE()),"")</f>
        <v>11.77</v>
      </c>
      <c r="S91" s="12" t="n">
        <f aca="false">IFERROR(VLOOKUP(A91,'Dados-Status-Invest'!$1:$1000,MATCH(S$1,'Dados-Status-Invest'!$2:$2,0),FALSE()),"")</f>
        <v>0.32</v>
      </c>
      <c r="T91" s="12" t="n">
        <f aca="false">IFERROR(VLOOKUP(A91,'Dados-Status-Invest'!$1:$1000,MATCH(T$1,'Dados-Status-Invest'!$2:$2,0),FALSE()),"")</f>
        <v>-13.47</v>
      </c>
      <c r="U91" s="12" t="n">
        <f aca="false">IFERROR(VLOOKUP(A91,'Dados-Status-Invest'!$1:$1000,MATCH(U$1,'Dados-Status-Invest'!$2:$2,0),FALSE()),"")</f>
        <v>3.4</v>
      </c>
      <c r="V91" s="12" t="n">
        <f aca="false">IFERROR(VLOOKUP(A91,'Dados-Status-Invest'!$1:$1000,MATCH(V$1,'Dados-Status-Invest'!$2:$2,0),FALSE()),"")</f>
        <v>-29.1</v>
      </c>
      <c r="W91" s="10" t="n">
        <f aca="false">IFERROR(VLOOKUP(A91,'Dados-Status-Invest'!$1:$1000,MATCH(W$1,'Dados-Status-Invest'!$2:$2,0),FALSE())/100,"")</f>
        <v>-0.0153</v>
      </c>
      <c r="X91" s="10" t="n">
        <f aca="false">IFERROR(VLOOKUP(A91,'Dados-Status-Invest'!$1:$1000,MATCH(X$1,'Dados-Status-Invest'!$2:$2,0),FALSE())/100,"")</f>
        <v>-0.0725</v>
      </c>
    </row>
    <row r="92" customFormat="false" ht="15.75" hidden="false" customHeight="false" outlineLevel="0" collapsed="false">
      <c r="A92" s="6" t="s">
        <v>122</v>
      </c>
      <c r="B92" s="7" t="str">
        <f aca="false">IFERROR(VLOOKUP(LEFT(A92,4),Setor!A:D,2,FALSE()),"")</f>
        <v>Financeiro</v>
      </c>
      <c r="C92" s="8" t="n">
        <f aca="false">IFERROR(__xludf.dummyfunction("IFERROR(IFERROR(GOOGLEFINANCE(A98,""price""),VLOOKUP(A98,'Dados-Status-Invest'!A:B,2,FALSE)),"""")"),8.8)</f>
        <v>8.8</v>
      </c>
      <c r="D92" s="8" t="n">
        <f aca="false">IFERROR(VLOOKUP(A92,'Dados-Status-Invest'!$1:$1000,MATCH(D$1,'Dados-Status-Invest'!$2:$2,0),FALSE()),"")</f>
        <v>851658559.9</v>
      </c>
      <c r="E92" s="8" t="str">
        <f aca="false">IF(D92+H92&gt;0,D92+H92,"")</f>
        <v/>
      </c>
      <c r="F92" s="8" t="n">
        <f aca="false">IFERROR(D92/VLOOKUP(A92,'Dados-Status-Invest'!$1:$1000,5,FALSE()),"")</f>
        <v>1468376827</v>
      </c>
      <c r="G92" s="8" t="n">
        <f aca="false">IFERROR(D92/VLOOKUP(A92,'Dados-Status-Invest'!$1:$1000,6,FALSE()),"")</f>
        <v>3548577333</v>
      </c>
      <c r="H92" s="8" t="n">
        <f aca="false">IFERROR(VLOOKUP(A92,'Dados-Status-Invest'!$1:$1000,12,FALSE())*J92,"")</f>
        <v>-1880369051</v>
      </c>
      <c r="I92" s="8" t="n">
        <f aca="false">IFERROR(D92/VLOOKUP(A92,'Dados-Status-Invest'!$1:$1000,14,FALSE()),"")</f>
        <v>23294818.38</v>
      </c>
      <c r="J92" s="9" t="n">
        <f aca="false">IFERROR(D92/VLOOKUP(A92,'Dados-Status-Invest'!$1:$1000,10,FALSE()),"")</f>
        <v>64617493.16</v>
      </c>
      <c r="K92" s="10" t="n">
        <f aca="false">IFERROR(VLOOKUP(A92,'Dados-Status-Invest'!$1:$1000,3,FALSE())/100,"")</f>
        <v>0.0311</v>
      </c>
      <c r="L92" s="11" t="n">
        <f aca="false">IFERROR(VLOOKUP(A92,'Dados-Status-Invest'!$1:$1000,MATCH(L$1,'Dados-Status-Invest'!$2:$2,0),FALSE())/100,"")</f>
        <v>0.0272</v>
      </c>
      <c r="M92" s="10" t="n">
        <f aca="false">IFERROR(VLOOKUP(A92,'Dados-Status-Invest'!$1:$1000,MATCH(M$1,'Dados-Status-Invest'!$2:$2,0),FALSE())/100,"")</f>
        <v>0.0111</v>
      </c>
      <c r="N92" s="10" t="n">
        <f aca="false">IFERROR(VLOOKUP(A92,'Dados-Status-Invest'!$1:$1000,MATCH(N$1,'Dados-Status-Invest'!$2:$2,0),FALSE())/100,"")</f>
        <v>0.0212</v>
      </c>
      <c r="O92" s="10" t="n">
        <f aca="false">IFERROR(VLOOKUP(A92,'Dados-Status-Invest'!$1:$1000,MATCH(O$1,'Dados-Status-Invest'!$2:$2,0),FALSE())/100,"")</f>
        <v>-4.314</v>
      </c>
      <c r="P92" s="10" t="n">
        <f aca="false">IFERROR(VLOOKUP(A92,'Dados-Status-Invest'!$1:$1000,MATCH(P$1,'Dados-Status-Invest'!$2:$2,0),FALSE())/100,"")</f>
        <v>2.7743</v>
      </c>
      <c r="Q92" s="10" t="n">
        <f aca="false">IFERROR(VLOOKUP(A92,'Dados-Status-Invest'!$1:$1000,MATCH(Q$1,'Dados-Status-Invest'!$2:$2,0),FALSE())/100,"")</f>
        <v>1.7209</v>
      </c>
      <c r="R92" s="12" t="n">
        <f aca="false">IFERROR(VLOOKUP(A92,'Dados-Status-Invest'!$1:$1000,MATCH(R$1,'Dados-Status-Invest'!$2:$2,0),FALSE()),"")</f>
        <v>21.24</v>
      </c>
      <c r="S92" s="12" t="n">
        <f aca="false">IFERROR(VLOOKUP(A92,'Dados-Status-Invest'!$1:$1000,MATCH(S$1,'Dados-Status-Invest'!$2:$2,0),FALSE()),"")</f>
        <v>0.58</v>
      </c>
      <c r="T92" s="12" t="n">
        <f aca="false">IFERROR(VLOOKUP(A92,'Dados-Status-Invest'!$1:$1000,MATCH(T$1,'Dados-Status-Invest'!$2:$2,0),FALSE()),"")</f>
        <v>-13.47</v>
      </c>
      <c r="U92" s="12" t="n">
        <f aca="false">IFERROR(VLOOKUP(A92,'Dados-Status-Invest'!$1:$1000,MATCH(U$1,'Dados-Status-Invest'!$2:$2,0),FALSE()),"")</f>
        <v>3.4</v>
      </c>
      <c r="V92" s="12" t="n">
        <f aca="false">IFERROR(VLOOKUP(A92,'Dados-Status-Invest'!$1:$1000,MATCH(V$1,'Dados-Status-Invest'!$2:$2,0),FALSE()),"")</f>
        <v>-29.1</v>
      </c>
      <c r="W92" s="10" t="n">
        <f aca="false">IFERROR(VLOOKUP(A92,'Dados-Status-Invest'!$1:$1000,MATCH(W$1,'Dados-Status-Invest'!$2:$2,0),FALSE())/100,"")</f>
        <v>-0.0153</v>
      </c>
      <c r="X92" s="10" t="n">
        <f aca="false">IFERROR(VLOOKUP(A92,'Dados-Status-Invest'!$1:$1000,MATCH(X$1,'Dados-Status-Invest'!$2:$2,0),FALSE())/100,"")</f>
        <v>-0.0725</v>
      </c>
    </row>
    <row r="93" customFormat="false" ht="15.75" hidden="false" customHeight="false" outlineLevel="0" collapsed="false">
      <c r="A93" s="6" t="s">
        <v>123</v>
      </c>
      <c r="B93" s="7" t="str">
        <f aca="false">IFERROR(VLOOKUP(LEFT(A93,4),Setor!A:D,2,FALSE()),"")</f>
        <v>Financeiro</v>
      </c>
      <c r="C93" s="8" t="n">
        <f aca="false">IFERROR(__xludf.dummyfunction("IFERROR(IFERROR(GOOGLEFINANCE(A99,""price""),VLOOKUP(A99,'Dados-Status-Invest'!A:B,2,FALSE)),"""")"),6.22)</f>
        <v>6.22</v>
      </c>
      <c r="D93" s="8" t="n">
        <f aca="false">IFERROR(VLOOKUP(A93,'Dados-Status-Invest'!$1:$1000,MATCH(D$1,'Dados-Status-Invest'!$2:$2,0),FALSE()),"")</f>
        <v>836840003</v>
      </c>
      <c r="E93" s="8" t="n">
        <f aca="false">IF(D93+H93&gt;0,D93+H93,"")</f>
        <v>836840003</v>
      </c>
      <c r="F93" s="8" t="n">
        <f aca="false">IFERROR(D93/VLOOKUP(A93,'Dados-Status-Invest'!$1:$1000,5,FALSE()),"")</f>
        <v>1468140356</v>
      </c>
      <c r="G93" s="8" t="n">
        <f aca="false">IFERROR(D93/VLOOKUP(A93,'Dados-Status-Invest'!$1:$1000,6,FALSE()),"")</f>
        <v>16736800060</v>
      </c>
      <c r="H93" s="8" t="n">
        <f aca="false">IFERROR(VLOOKUP(A93,'Dados-Status-Invest'!$1:$1000,12,FALSE())*J93,"")</f>
        <v>0</v>
      </c>
      <c r="I93" s="8" t="n">
        <f aca="false">IFERROR(D93/VLOOKUP(A93,'Dados-Status-Invest'!$1:$1000,14,FALSE()),"")</f>
        <v>638809162.6</v>
      </c>
      <c r="J93" s="9" t="n">
        <f aca="false">IFERROR(D93/VLOOKUP(A93,'Dados-Status-Invest'!$1:$1000,10,FALSE()),"")</f>
        <v>114635616.8</v>
      </c>
      <c r="K93" s="10" t="n">
        <f aca="false">IFERROR(VLOOKUP(A93,'Dados-Status-Invest'!$1:$1000,3,FALSE())/100,"")</f>
        <v>0.0005</v>
      </c>
      <c r="L93" s="11" t="n">
        <f aca="false">IFERROR(VLOOKUP(A93,'Dados-Status-Invest'!$1:$1000,MATCH(L$1,'Dados-Status-Invest'!$2:$2,0),FALSE())/100,"")</f>
        <v>0.0518</v>
      </c>
      <c r="M93" s="10" t="n">
        <f aca="false">IFERROR(VLOOKUP(A93,'Dados-Status-Invest'!$1:$1000,MATCH(M$1,'Dados-Status-Invest'!$2:$2,0),FALSE())/100,"")</f>
        <v>0.0047</v>
      </c>
      <c r="N93" s="10" t="n">
        <f aca="false">IFERROR(VLOOKUP(A93,'Dados-Status-Invest'!$1:$1000,MATCH(N$1,'Dados-Status-Invest'!$2:$2,0),FALSE())/100,"")</f>
        <v>0</v>
      </c>
      <c r="O93" s="10" t="n">
        <f aca="false">IFERROR(VLOOKUP(A93,'Dados-Status-Invest'!$1:$1000,MATCH(O$1,'Dados-Status-Invest'!$2:$2,0),FALSE())/100,"")</f>
        <v>0.1966</v>
      </c>
      <c r="P93" s="10" t="n">
        <f aca="false">IFERROR(VLOOKUP(A93,'Dados-Status-Invest'!$1:$1000,MATCH(P$1,'Dados-Status-Invest'!$2:$2,0),FALSE())/100,"")</f>
        <v>0.1792</v>
      </c>
      <c r="Q93" s="10" t="n">
        <f aca="false">IFERROR(VLOOKUP(A93,'Dados-Status-Invest'!$1:$1000,MATCH(Q$1,'Dados-Status-Invest'!$2:$2,0),FALSE())/100,"")</f>
        <v>0.1183</v>
      </c>
      <c r="R93" s="12" t="n">
        <f aca="false">IFERROR(VLOOKUP(A93,'Dados-Status-Invest'!$1:$1000,MATCH(R$1,'Dados-Status-Invest'!$2:$2,0),FALSE()),"")</f>
        <v>11.07</v>
      </c>
      <c r="S93" s="12" t="n">
        <f aca="false">IFERROR(VLOOKUP(A93,'Dados-Status-Invest'!$1:$1000,MATCH(S$1,'Dados-Status-Invest'!$2:$2,0),FALSE()),"")</f>
        <v>0.57</v>
      </c>
      <c r="T93" s="12" t="n">
        <f aca="false">IFERROR(VLOOKUP(A93,'Dados-Status-Invest'!$1:$1000,MATCH(T$1,'Dados-Status-Invest'!$2:$2,0),FALSE()),"")</f>
        <v>6.9</v>
      </c>
      <c r="U93" s="12" t="n">
        <f aca="false">IFERROR(VLOOKUP(A93,'Dados-Status-Invest'!$1:$1000,MATCH(U$1,'Dados-Status-Invest'!$2:$2,0),FALSE()),"")</f>
        <v>1.28</v>
      </c>
      <c r="V93" s="12" t="n">
        <f aca="false">IFERROR(VLOOKUP(A93,'Dados-Status-Invest'!$1:$1000,MATCH(V$1,'Dados-Status-Invest'!$2:$2,0),FALSE()),"")</f>
        <v>0</v>
      </c>
      <c r="W93" s="10" t="n">
        <f aca="false">IFERROR(VLOOKUP(A93,'Dados-Status-Invest'!$1:$1000,MATCH(W$1,'Dados-Status-Invest'!$2:$2,0),FALSE())/100,"")</f>
        <v>-0.1449</v>
      </c>
      <c r="X93" s="10" t="n">
        <f aca="false">IFERROR(VLOOKUP(A93,'Dados-Status-Invest'!$1:$1000,MATCH(X$1,'Dados-Status-Invest'!$2:$2,0),FALSE())/100,"")</f>
        <v>-0.0244</v>
      </c>
    </row>
    <row r="94" customFormat="false" ht="15.75" hidden="false" customHeight="false" outlineLevel="0" collapsed="false">
      <c r="A94" s="6" t="s">
        <v>124</v>
      </c>
      <c r="B94" s="7" t="str">
        <f aca="false">IFERROR(VLOOKUP(LEFT(A94,4),Setor!A:D,2,FALSE()),"")</f>
        <v>Financeiro</v>
      </c>
      <c r="C94" s="8" t="n">
        <f aca="false">IFERROR(__xludf.dummyfunction("IFERROR(IFERROR(GOOGLEFINANCE(A100,""price""),VLOOKUP(A100,'Dados-Status-Invest'!A:B,2,FALSE)),"""")"),7.1)</f>
        <v>7.1</v>
      </c>
      <c r="D94" s="8" t="n">
        <f aca="false">IFERROR(VLOOKUP(A94,'Dados-Status-Invest'!$1:$1000,MATCH(D$1,'Dados-Status-Invest'!$2:$2,0),FALSE()),"")</f>
        <v>836840003</v>
      </c>
      <c r="E94" s="8" t="n">
        <f aca="false">IF(D94+H94&gt;0,D94+H94,"")</f>
        <v>836840003</v>
      </c>
      <c r="F94" s="8" t="n">
        <f aca="false">IFERROR(D94/VLOOKUP(A94,'Dados-Status-Invest'!$1:$1000,5,FALSE()),"")</f>
        <v>1707836741</v>
      </c>
      <c r="G94" s="8" t="n">
        <f aca="false">IFERROR(D94/VLOOKUP(A94,'Dados-Status-Invest'!$1:$1000,6,FALSE()),"")</f>
        <v>20921000075</v>
      </c>
      <c r="H94" s="8" t="n">
        <f aca="false">IFERROR(VLOOKUP(A94,'Dados-Status-Invest'!$1:$1000,12,FALSE())*J94,"")</f>
        <v>0</v>
      </c>
      <c r="I94" s="8" t="n">
        <f aca="false">IFERROR(D94/VLOOKUP(A94,'Dados-Status-Invest'!$1:$1000,14,FALSE()),"")</f>
        <v>740566374.3</v>
      </c>
      <c r="J94" s="9" t="n">
        <f aca="false">IFERROR(D94/VLOOKUP(A94,'Dados-Status-Invest'!$1:$1000,10,FALSE()),"")</f>
        <v>133254777.5</v>
      </c>
      <c r="K94" s="10" t="n">
        <f aca="false">IFERROR(VLOOKUP(A94,'Dados-Status-Invest'!$1:$1000,3,FALSE())/100,"")</f>
        <v>0.0673</v>
      </c>
      <c r="L94" s="11" t="n">
        <f aca="false">IFERROR(VLOOKUP(A94,'Dados-Status-Invest'!$1:$1000,MATCH(L$1,'Dados-Status-Invest'!$2:$2,0),FALSE())/100,"")</f>
        <v>0.0518</v>
      </c>
      <c r="M94" s="10" t="n">
        <f aca="false">IFERROR(VLOOKUP(A94,'Dados-Status-Invest'!$1:$1000,MATCH(M$1,'Dados-Status-Invest'!$2:$2,0),FALSE())/100,"")</f>
        <v>0.0047</v>
      </c>
      <c r="N94" s="10" t="n">
        <f aca="false">IFERROR(VLOOKUP(A94,'Dados-Status-Invest'!$1:$1000,MATCH(N$1,'Dados-Status-Invest'!$2:$2,0),FALSE())/100,"")</f>
        <v>0</v>
      </c>
      <c r="O94" s="10" t="n">
        <f aca="false">IFERROR(VLOOKUP(A94,'Dados-Status-Invest'!$1:$1000,MATCH(O$1,'Dados-Status-Invest'!$2:$2,0),FALSE())/100,"")</f>
        <v>0.1966</v>
      </c>
      <c r="P94" s="10" t="n">
        <f aca="false">IFERROR(VLOOKUP(A94,'Dados-Status-Invest'!$1:$1000,MATCH(P$1,'Dados-Status-Invest'!$2:$2,0),FALSE())/100,"")</f>
        <v>0.1792</v>
      </c>
      <c r="Q94" s="10" t="n">
        <f aca="false">IFERROR(VLOOKUP(A94,'Dados-Status-Invest'!$1:$1000,MATCH(Q$1,'Dados-Status-Invest'!$2:$2,0),FALSE())/100,"")</f>
        <v>0.1183</v>
      </c>
      <c r="R94" s="12" t="n">
        <f aca="false">IFERROR(VLOOKUP(A94,'Dados-Status-Invest'!$1:$1000,MATCH(R$1,'Dados-Status-Invest'!$2:$2,0),FALSE()),"")</f>
        <v>9.52</v>
      </c>
      <c r="S94" s="12" t="n">
        <f aca="false">IFERROR(VLOOKUP(A94,'Dados-Status-Invest'!$1:$1000,MATCH(S$1,'Dados-Status-Invest'!$2:$2,0),FALSE()),"")</f>
        <v>0.49</v>
      </c>
      <c r="T94" s="12" t="n">
        <f aca="false">IFERROR(VLOOKUP(A94,'Dados-Status-Invest'!$1:$1000,MATCH(T$1,'Dados-Status-Invest'!$2:$2,0),FALSE()),"")</f>
        <v>6.9</v>
      </c>
      <c r="U94" s="12" t="n">
        <f aca="false">IFERROR(VLOOKUP(A94,'Dados-Status-Invest'!$1:$1000,MATCH(U$1,'Dados-Status-Invest'!$2:$2,0),FALSE()),"")</f>
        <v>1.28</v>
      </c>
      <c r="V94" s="12" t="n">
        <f aca="false">IFERROR(VLOOKUP(A94,'Dados-Status-Invest'!$1:$1000,MATCH(V$1,'Dados-Status-Invest'!$2:$2,0),FALSE()),"")</f>
        <v>0</v>
      </c>
      <c r="W94" s="10" t="n">
        <f aca="false">IFERROR(VLOOKUP(A94,'Dados-Status-Invest'!$1:$1000,MATCH(W$1,'Dados-Status-Invest'!$2:$2,0),FALSE())/100,"")</f>
        <v>-0.1449</v>
      </c>
      <c r="X94" s="10" t="n">
        <f aca="false">IFERROR(VLOOKUP(A94,'Dados-Status-Invest'!$1:$1000,MATCH(X$1,'Dados-Status-Invest'!$2:$2,0),FALSE())/100,"")</f>
        <v>-0.0244</v>
      </c>
    </row>
    <row r="95" customFormat="false" ht="15.75" hidden="false" customHeight="false" outlineLevel="0" collapsed="false">
      <c r="A95" s="6" t="s">
        <v>125</v>
      </c>
      <c r="B95" s="7" t="str">
        <f aca="false">IFERROR(VLOOKUP(LEFT(A95,4),Setor!A:D,2,FALSE()),"")</f>
        <v>Materiais Básicos</v>
      </c>
      <c r="C95" s="8" t="n">
        <f aca="false">IFERROR(__xludf.dummyfunction("IFERROR(IFERROR(GOOGLEFINANCE(A101,""price""),VLOOKUP(A101,'Dados-Status-Invest'!A:B,2,FALSE)),"""")"),41.6)</f>
        <v>41.6</v>
      </c>
      <c r="D95" s="8" t="n">
        <f aca="false">IFERROR(VLOOKUP(A95,'Dados-Status-Invest'!$1:$1000,MATCH(D$1,'Dados-Status-Invest'!$2:$2,0),FALSE()),"")</f>
        <v>46235081489</v>
      </c>
      <c r="E95" s="8" t="n">
        <f aca="false">IF(D95+H95&gt;0,D95+H95,"")</f>
        <v>72454145681</v>
      </c>
      <c r="F95" s="8" t="n">
        <f aca="false">IFERROR(D95/VLOOKUP(A95,'Dados-Status-Invest'!$1:$1000,5,FALSE()),"")</f>
        <v>437252520.2</v>
      </c>
      <c r="G95" s="8" t="n">
        <f aca="false">IFERROR(D95/VLOOKUP(A95,'Dados-Status-Invest'!$1:$1000,6,FALSE()),"")</f>
        <v>96323086436</v>
      </c>
      <c r="H95" s="8" t="n">
        <f aca="false">IFERROR(VLOOKUP(A95,'Dados-Status-Invest'!$1:$1000,12,FALSE())*J95,"")</f>
        <v>26219064192</v>
      </c>
      <c r="I95" s="8" t="n">
        <f aca="false">IFERROR(D95/VLOOKUP(A95,'Dados-Status-Invest'!$1:$1000,14,FALSE()),"")</f>
        <v>70053153772</v>
      </c>
      <c r="J95" s="9" t="n">
        <f aca="false">IFERROR(D95/VLOOKUP(A95,'Dados-Status-Invest'!$1:$1000,10,FALSE()),"")</f>
        <v>6394893705</v>
      </c>
      <c r="K95" s="10" t="n">
        <f aca="false">IFERROR(VLOOKUP(A95,'Dados-Status-Invest'!$1:$1000,3,FALSE())/100,"")</f>
        <v>0</v>
      </c>
      <c r="L95" s="11" t="n">
        <f aca="false">IFERROR(VLOOKUP(A95,'Dados-Status-Invest'!$1:$1000,MATCH(L$1,'Dados-Status-Invest'!$2:$2,0),FALSE())/100,"")</f>
        <v>-1.2749</v>
      </c>
      <c r="M95" s="10" t="n">
        <f aca="false">IFERROR(VLOOKUP(A95,'Dados-Status-Invest'!$1:$1000,MATCH(M$1,'Dados-Status-Invest'!$2:$2,0),FALSE())/100,"")</f>
        <v>-0.0058</v>
      </c>
      <c r="N95" s="10" t="n">
        <f aca="false">IFERROR(VLOOKUP(A95,'Dados-Status-Invest'!$1:$1000,MATCH(N$1,'Dados-Status-Invest'!$2:$2,0),FALSE())/100,"")</f>
        <v>0.1545</v>
      </c>
      <c r="O95" s="10" t="n">
        <f aca="false">IFERROR(VLOOKUP(A95,'Dados-Status-Invest'!$1:$1000,MATCH(O$1,'Dados-Status-Invest'!$2:$2,0),FALSE())/100,"")</f>
        <v>0.2518</v>
      </c>
      <c r="P95" s="10" t="n">
        <f aca="false">IFERROR(VLOOKUP(A95,'Dados-Status-Invest'!$1:$1000,MATCH(P$1,'Dados-Status-Invest'!$2:$2,0),FALSE())/100,"")</f>
        <v>0.0917</v>
      </c>
      <c r="Q95" s="10" t="n">
        <f aca="false">IFERROR(VLOOKUP(A95,'Dados-Status-Invest'!$1:$1000,MATCH(Q$1,'Dados-Status-Invest'!$2:$2,0),FALSE())/100,"")</f>
        <v>-0.008</v>
      </c>
      <c r="R95" s="12" t="n">
        <f aca="false">IFERROR(VLOOKUP(A95,'Dados-Status-Invest'!$1:$1000,MATCH(R$1,'Dados-Status-Invest'!$2:$2,0),FALSE()),"")</f>
        <v>-82.93</v>
      </c>
      <c r="S95" s="12" t="n">
        <f aca="false">IFERROR(VLOOKUP(A95,'Dados-Status-Invest'!$1:$1000,MATCH(S$1,'Dados-Status-Invest'!$2:$2,0),FALSE()),"")</f>
        <v>105.74</v>
      </c>
      <c r="T95" s="12" t="n">
        <f aca="false">IFERROR(VLOOKUP(A95,'Dados-Status-Invest'!$1:$1000,MATCH(T$1,'Dados-Status-Invest'!$2:$2,0),FALSE()),"")</f>
        <v>11.44</v>
      </c>
      <c r="U95" s="12" t="n">
        <f aca="false">IFERROR(VLOOKUP(A95,'Dados-Status-Invest'!$1:$1000,MATCH(U$1,'Dados-Status-Invest'!$2:$2,0),FALSE()),"")</f>
        <v>1.19</v>
      </c>
      <c r="V95" s="12" t="n">
        <f aca="false">IFERROR(VLOOKUP(A95,'Dados-Status-Invest'!$1:$1000,MATCH(V$1,'Dados-Status-Invest'!$2:$2,0),FALSE()),"")</f>
        <v>4.1</v>
      </c>
      <c r="W95" s="10" t="n">
        <f aca="false">IFERROR(VLOOKUP(A95,'Dados-Status-Invest'!$1:$1000,MATCH(W$1,'Dados-Status-Invest'!$2:$2,0),FALSE())/100,"")</f>
        <v>0.0454</v>
      </c>
      <c r="X95" s="10" t="n">
        <f aca="false">IFERROR(VLOOKUP(A95,'Dados-Status-Invest'!$1:$1000,MATCH(X$1,'Dados-Status-Invest'!$2:$2,0),FALSE())/100,"")</f>
        <v>0</v>
      </c>
    </row>
    <row r="96" customFormat="false" ht="15.75" hidden="false" customHeight="false" outlineLevel="0" collapsed="false">
      <c r="A96" s="6" t="s">
        <v>126</v>
      </c>
      <c r="B96" s="7" t="str">
        <f aca="false">IFERROR(VLOOKUP(LEFT(A96,4),Setor!A:D,2,FALSE()),"")</f>
        <v>Materiais Básicos</v>
      </c>
      <c r="C96" s="8" t="n">
        <f aca="false">IFERROR(__xludf.dummyfunction("IFERROR(IFERROR(GOOGLEFINANCE(A102,""price""),VLOOKUP(A102,'Dados-Status-Invest'!A:B,2,FALSE)),"""")"),43.64)</f>
        <v>43.64</v>
      </c>
      <c r="D96" s="8" t="n">
        <f aca="false">IFERROR(VLOOKUP(A96,'Dados-Status-Invest'!$1:$1000,MATCH(D$1,'Dados-Status-Invest'!$2:$2,0),FALSE()),"")</f>
        <v>46235081489</v>
      </c>
      <c r="E96" s="8" t="n">
        <f aca="false">IF(D96+H96&gt;0,D96+H96,"")</f>
        <v>71714091450</v>
      </c>
      <c r="F96" s="8" t="n">
        <f aca="false">IFERROR(D96/VLOOKUP(A96,'Dados-Status-Invest'!$1:$1000,5,FALSE()),"")</f>
        <v>424837650.4</v>
      </c>
      <c r="G96" s="8" t="n">
        <f aca="false">IFERROR(D96/VLOOKUP(A96,'Dados-Status-Invest'!$1:$1000,6,FALSE()),"")</f>
        <v>92470162979</v>
      </c>
      <c r="H96" s="8" t="n">
        <f aca="false">IFERROR(VLOOKUP(A96,'Dados-Status-Invest'!$1:$1000,12,FALSE())*J96,"")</f>
        <v>25479009961</v>
      </c>
      <c r="I96" s="8" t="n">
        <f aca="false">IFERROR(D96/VLOOKUP(A96,'Dados-Status-Invest'!$1:$1000,14,FALSE()),"")</f>
        <v>67992766896</v>
      </c>
      <c r="J96" s="9" t="n">
        <f aca="false">IFERROR(D96/VLOOKUP(A96,'Dados-Status-Invest'!$1:$1000,10,FALSE()),"")</f>
        <v>6214392673</v>
      </c>
      <c r="K96" s="10" t="n">
        <f aca="false">IFERROR(VLOOKUP(A96,'Dados-Status-Invest'!$1:$1000,3,FALSE())/100,"")</f>
        <v>0</v>
      </c>
      <c r="L96" s="11" t="n">
        <f aca="false">IFERROR(VLOOKUP(A96,'Dados-Status-Invest'!$1:$1000,MATCH(L$1,'Dados-Status-Invest'!$2:$2,0),FALSE())/100,"")</f>
        <v>-1.2749</v>
      </c>
      <c r="M96" s="10" t="n">
        <f aca="false">IFERROR(VLOOKUP(A96,'Dados-Status-Invest'!$1:$1000,MATCH(M$1,'Dados-Status-Invest'!$2:$2,0),FALSE())/100,"")</f>
        <v>-0.0058</v>
      </c>
      <c r="N96" s="10" t="n">
        <f aca="false">IFERROR(VLOOKUP(A96,'Dados-Status-Invest'!$1:$1000,MATCH(N$1,'Dados-Status-Invest'!$2:$2,0),FALSE())/100,"")</f>
        <v>0.1545</v>
      </c>
      <c r="O96" s="10" t="n">
        <f aca="false">IFERROR(VLOOKUP(A96,'Dados-Status-Invest'!$1:$1000,MATCH(O$1,'Dados-Status-Invest'!$2:$2,0),FALSE())/100,"")</f>
        <v>0.2518</v>
      </c>
      <c r="P96" s="10" t="n">
        <f aca="false">IFERROR(VLOOKUP(A96,'Dados-Status-Invest'!$1:$1000,MATCH(P$1,'Dados-Status-Invest'!$2:$2,0),FALSE())/100,"")</f>
        <v>0.0917</v>
      </c>
      <c r="Q96" s="10" t="n">
        <f aca="false">IFERROR(VLOOKUP(A96,'Dados-Status-Invest'!$1:$1000,MATCH(Q$1,'Dados-Status-Invest'!$2:$2,0),FALSE())/100,"")</f>
        <v>-0.008</v>
      </c>
      <c r="R96" s="12" t="n">
        <f aca="false">IFERROR(VLOOKUP(A96,'Dados-Status-Invest'!$1:$1000,MATCH(R$1,'Dados-Status-Invest'!$2:$2,0),FALSE()),"")</f>
        <v>-85.36</v>
      </c>
      <c r="S96" s="12" t="n">
        <f aca="false">IFERROR(VLOOKUP(A96,'Dados-Status-Invest'!$1:$1000,MATCH(S$1,'Dados-Status-Invest'!$2:$2,0),FALSE()),"")</f>
        <v>108.83</v>
      </c>
      <c r="T96" s="12" t="n">
        <f aca="false">IFERROR(VLOOKUP(A96,'Dados-Status-Invest'!$1:$1000,MATCH(T$1,'Dados-Status-Invest'!$2:$2,0),FALSE()),"")</f>
        <v>11.44</v>
      </c>
      <c r="U96" s="12" t="n">
        <f aca="false">IFERROR(VLOOKUP(A96,'Dados-Status-Invest'!$1:$1000,MATCH(U$1,'Dados-Status-Invest'!$2:$2,0),FALSE()),"")</f>
        <v>1.19</v>
      </c>
      <c r="V96" s="12" t="n">
        <f aca="false">IFERROR(VLOOKUP(A96,'Dados-Status-Invest'!$1:$1000,MATCH(V$1,'Dados-Status-Invest'!$2:$2,0),FALSE()),"")</f>
        <v>4.1</v>
      </c>
      <c r="W96" s="10" t="n">
        <f aca="false">IFERROR(VLOOKUP(A96,'Dados-Status-Invest'!$1:$1000,MATCH(W$1,'Dados-Status-Invest'!$2:$2,0),FALSE())/100,"")</f>
        <v>0.0454</v>
      </c>
      <c r="X96" s="10" t="n">
        <f aca="false">IFERROR(VLOOKUP(A96,'Dados-Status-Invest'!$1:$1000,MATCH(X$1,'Dados-Status-Invest'!$2:$2,0),FALSE())/100,"")</f>
        <v>0</v>
      </c>
    </row>
    <row r="97" customFormat="false" ht="15.75" hidden="false" customHeight="false" outlineLevel="0" collapsed="false">
      <c r="A97" s="6" t="s">
        <v>127</v>
      </c>
      <c r="B97" s="7" t="str">
        <f aca="false">IFERROR(VLOOKUP(LEFT(A97,4),Setor!A:D,2,FALSE()),"")</f>
        <v>Materiais Básicos</v>
      </c>
      <c r="C97" s="8" t="n">
        <f aca="false">IFERROR(__xludf.dummyfunction("IFERROR(IFERROR(GOOGLEFINANCE(A103,""price""),VLOOKUP(A103,'Dados-Status-Invest'!A:B,2,FALSE)),"""")"),23.35)</f>
        <v>23.35</v>
      </c>
      <c r="D97" s="8" t="n">
        <f aca="false">IFERROR(VLOOKUP(A97,'Dados-Status-Invest'!$1:$1000,MATCH(D$1,'Dados-Status-Invest'!$2:$2,0),FALSE()),"")</f>
        <v>46235081489</v>
      </c>
      <c r="E97" s="8" t="n">
        <f aca="false">IF(D97+H97&gt;0,D97+H97,"")</f>
        <v>81800528789</v>
      </c>
      <c r="F97" s="8" t="n">
        <f aca="false">IFERROR(D97/VLOOKUP(A97,'Dados-Status-Invest'!$1:$1000,5,FALSE()),"")</f>
        <v>593366035.5</v>
      </c>
      <c r="G97" s="8" t="n">
        <f aca="false">IFERROR(D97/VLOOKUP(A97,'Dados-Status-Invest'!$1:$1000,6,FALSE()),"")</f>
        <v>128430781915</v>
      </c>
      <c r="H97" s="8" t="n">
        <f aca="false">IFERROR(VLOOKUP(A97,'Dados-Status-Invest'!$1:$1000,12,FALSE())*J97,"")</f>
        <v>35565447300</v>
      </c>
      <c r="I97" s="8" t="n">
        <f aca="false">IFERROR(D97/VLOOKUP(A97,'Dados-Status-Invest'!$1:$1000,14,FALSE()),"")</f>
        <v>94357309162</v>
      </c>
      <c r="J97" s="9" t="n">
        <f aca="false">IFERROR(D97/VLOOKUP(A97,'Dados-Status-Invest'!$1:$1000,10,FALSE()),"")</f>
        <v>8674499341</v>
      </c>
      <c r="K97" s="10" t="n">
        <f aca="false">IFERROR(VLOOKUP(A97,'Dados-Status-Invest'!$1:$1000,3,FALSE())/100,"")</f>
        <v>0</v>
      </c>
      <c r="L97" s="11" t="n">
        <f aca="false">IFERROR(VLOOKUP(A97,'Dados-Status-Invest'!$1:$1000,MATCH(L$1,'Dados-Status-Invest'!$2:$2,0),FALSE())/100,"")</f>
        <v>-1.2749</v>
      </c>
      <c r="M97" s="10" t="n">
        <f aca="false">IFERROR(VLOOKUP(A97,'Dados-Status-Invest'!$1:$1000,MATCH(M$1,'Dados-Status-Invest'!$2:$2,0),FALSE())/100,"")</f>
        <v>-0.0058</v>
      </c>
      <c r="N97" s="10" t="n">
        <f aca="false">IFERROR(VLOOKUP(A97,'Dados-Status-Invest'!$1:$1000,MATCH(N$1,'Dados-Status-Invest'!$2:$2,0),FALSE())/100,"")</f>
        <v>0.1545</v>
      </c>
      <c r="O97" s="10" t="n">
        <f aca="false">IFERROR(VLOOKUP(A97,'Dados-Status-Invest'!$1:$1000,MATCH(O$1,'Dados-Status-Invest'!$2:$2,0),FALSE())/100,"")</f>
        <v>0.2518</v>
      </c>
      <c r="P97" s="10" t="n">
        <f aca="false">IFERROR(VLOOKUP(A97,'Dados-Status-Invest'!$1:$1000,MATCH(P$1,'Dados-Status-Invest'!$2:$2,0),FALSE())/100,"")</f>
        <v>0.0917</v>
      </c>
      <c r="Q97" s="10" t="n">
        <f aca="false">IFERROR(VLOOKUP(A97,'Dados-Status-Invest'!$1:$1000,MATCH(Q$1,'Dados-Status-Invest'!$2:$2,0),FALSE())/100,"")</f>
        <v>-0.008</v>
      </c>
      <c r="R97" s="12" t="n">
        <f aca="false">IFERROR(VLOOKUP(A97,'Dados-Status-Invest'!$1:$1000,MATCH(R$1,'Dados-Status-Invest'!$2:$2,0),FALSE()),"")</f>
        <v>-61.12</v>
      </c>
      <c r="S97" s="12" t="n">
        <f aca="false">IFERROR(VLOOKUP(A97,'Dados-Status-Invest'!$1:$1000,MATCH(S$1,'Dados-Status-Invest'!$2:$2,0),FALSE()),"")</f>
        <v>77.92</v>
      </c>
      <c r="T97" s="12" t="n">
        <f aca="false">IFERROR(VLOOKUP(A97,'Dados-Status-Invest'!$1:$1000,MATCH(T$1,'Dados-Status-Invest'!$2:$2,0),FALSE()),"")</f>
        <v>11.44</v>
      </c>
      <c r="U97" s="12" t="n">
        <f aca="false">IFERROR(VLOOKUP(A97,'Dados-Status-Invest'!$1:$1000,MATCH(U$1,'Dados-Status-Invest'!$2:$2,0),FALSE()),"")</f>
        <v>1.19</v>
      </c>
      <c r="V97" s="12" t="n">
        <f aca="false">IFERROR(VLOOKUP(A97,'Dados-Status-Invest'!$1:$1000,MATCH(V$1,'Dados-Status-Invest'!$2:$2,0),FALSE()),"")</f>
        <v>4.1</v>
      </c>
      <c r="W97" s="10" t="n">
        <f aca="false">IFERROR(VLOOKUP(A97,'Dados-Status-Invest'!$1:$1000,MATCH(W$1,'Dados-Status-Invest'!$2:$2,0),FALSE())/100,"")</f>
        <v>0.0454</v>
      </c>
      <c r="X97" s="10" t="n">
        <f aca="false">IFERROR(VLOOKUP(A97,'Dados-Status-Invest'!$1:$1000,MATCH(X$1,'Dados-Status-Invest'!$2:$2,0),FALSE())/100,"")</f>
        <v>0</v>
      </c>
    </row>
    <row r="98" customFormat="false" ht="15.75" hidden="false" customHeight="false" outlineLevel="0" collapsed="false">
      <c r="A98" s="6" t="s">
        <v>128</v>
      </c>
      <c r="B98" s="7" t="str">
        <f aca="false">IFERROR(VLOOKUP(LEFT(A98,4),Setor!A:D,2,FALSE()),"")</f>
        <v>Financeiro</v>
      </c>
      <c r="C98" s="8" t="n">
        <f aca="false">IFERROR(__xludf.dummyfunction("IFERROR(IFERROR(GOOGLEFINANCE(A104,""price""),VLOOKUP(A104,'Dados-Status-Invest'!A:B,2,FALSE)),"""")"),8.5)</f>
        <v>8.5</v>
      </c>
      <c r="D98" s="8" t="n">
        <f aca="false">IFERROR(VLOOKUP(A98,'Dados-Status-Invest'!$1:$1000,MATCH(D$1,'Dados-Status-Invest'!$2:$2,0),FALSE()),"")</f>
        <v>8731413330</v>
      </c>
      <c r="E98" s="8" t="n">
        <f aca="false">IF(D98+H98&gt;0,D98+H98,"")</f>
        <v>11082718367</v>
      </c>
      <c r="F98" s="8" t="n">
        <f aca="false">IFERROR(D98/VLOOKUP(A98,'Dados-Status-Invest'!$1:$1000,5,FALSE()),"")</f>
        <v>10779522630</v>
      </c>
      <c r="G98" s="8" t="n">
        <f aca="false">IFERROR(D98/VLOOKUP(A98,'Dados-Status-Invest'!$1:$1000,6,FALSE()),"")</f>
        <v>19403140733</v>
      </c>
      <c r="H98" s="8" t="n">
        <f aca="false">IFERROR(VLOOKUP(A98,'Dados-Status-Invest'!$1:$1000,12,FALSE())*J98,"")</f>
        <v>2351305037</v>
      </c>
      <c r="I98" s="8" t="n">
        <f aca="false">IFERROR(D98/VLOOKUP(A98,'Dados-Status-Invest'!$1:$1000,14,FALSE()),"")</f>
        <v>861936162.9</v>
      </c>
      <c r="J98" s="9" t="n">
        <f aca="false">IFERROR(D98/VLOOKUP(A98,'Dados-Status-Invest'!$1:$1000,10,FALSE()),"")</f>
        <v>-350941050.2</v>
      </c>
      <c r="K98" s="10" t="n">
        <f aca="false">IFERROR(VLOOKUP(A98,'Dados-Status-Invest'!$1:$1000,3,FALSE())/100,"")</f>
        <v>0</v>
      </c>
      <c r="L98" s="11" t="n">
        <f aca="false">IFERROR(VLOOKUP(A98,'Dados-Status-Invest'!$1:$1000,MATCH(L$1,'Dados-Status-Invest'!$2:$2,0),FALSE())/100,"")</f>
        <v>-0.0329</v>
      </c>
      <c r="M98" s="10" t="n">
        <f aca="false">IFERROR(VLOOKUP(A98,'Dados-Status-Invest'!$1:$1000,MATCH(M$1,'Dados-Status-Invest'!$2:$2,0),FALSE())/100,"")</f>
        <v>-0.0181</v>
      </c>
      <c r="N98" s="10" t="n">
        <f aca="false">IFERROR(VLOOKUP(A98,'Dados-Status-Invest'!$1:$1000,MATCH(N$1,'Dados-Status-Invest'!$2:$2,0),FALSE())/100,"")</f>
        <v>-0.0345</v>
      </c>
      <c r="O98" s="10" t="n">
        <f aca="false">IFERROR(VLOOKUP(A98,'Dados-Status-Invest'!$1:$1000,MATCH(O$1,'Dados-Status-Invest'!$2:$2,0),FALSE())/100,"")</f>
        <v>0.8756</v>
      </c>
      <c r="P98" s="10" t="n">
        <f aca="false">IFERROR(VLOOKUP(A98,'Dados-Status-Invest'!$1:$1000,MATCH(P$1,'Dados-Status-Invest'!$2:$2,0),FALSE())/100,"")</f>
        <v>-0.407</v>
      </c>
      <c r="Q98" s="10" t="n">
        <f aca="false">IFERROR(VLOOKUP(A98,'Dados-Status-Invest'!$1:$1000,MATCH(Q$1,'Dados-Status-Invest'!$2:$2,0),FALSE())/100,"")</f>
        <v>-0.4128</v>
      </c>
      <c r="R98" s="12" t="n">
        <f aca="false">IFERROR(VLOOKUP(A98,'Dados-Status-Invest'!$1:$1000,MATCH(R$1,'Dados-Status-Invest'!$2:$2,0),FALSE()),"")</f>
        <v>-24.53</v>
      </c>
      <c r="S98" s="12" t="n">
        <f aca="false">IFERROR(VLOOKUP(A98,'Dados-Status-Invest'!$1:$1000,MATCH(S$1,'Dados-Status-Invest'!$2:$2,0),FALSE()),"")</f>
        <v>0.81</v>
      </c>
      <c r="T98" s="12" t="n">
        <f aca="false">IFERROR(VLOOKUP(A98,'Dados-Status-Invest'!$1:$1000,MATCH(T$1,'Dados-Status-Invest'!$2:$2,0),FALSE()),"")</f>
        <v>-31.59</v>
      </c>
      <c r="U98" s="12" t="n">
        <f aca="false">IFERROR(VLOOKUP(A98,'Dados-Status-Invest'!$1:$1000,MATCH(U$1,'Dados-Status-Invest'!$2:$2,0),FALSE()),"")</f>
        <v>4.7</v>
      </c>
      <c r="V98" s="12" t="n">
        <f aca="false">IFERROR(VLOOKUP(A98,'Dados-Status-Invest'!$1:$1000,MATCH(V$1,'Dados-Status-Invest'!$2:$2,0),FALSE()),"")</f>
        <v>-6.7</v>
      </c>
      <c r="W98" s="10" t="n">
        <f aca="false">IFERROR(VLOOKUP(A98,'Dados-Status-Invest'!$1:$1000,MATCH(W$1,'Dados-Status-Invest'!$2:$2,0),FALSE())/100,"")</f>
        <v>-0.0767</v>
      </c>
      <c r="X98" s="10" t="n">
        <f aca="false">IFERROR(VLOOKUP(A98,'Dados-Status-Invest'!$1:$1000,MATCH(X$1,'Dados-Status-Invest'!$2:$2,0),FALSE())/100,"")</f>
        <v>0</v>
      </c>
    </row>
    <row r="99" customFormat="false" ht="15.75" hidden="false" customHeight="false" outlineLevel="0" collapsed="false">
      <c r="A99" s="6" t="s">
        <v>129</v>
      </c>
      <c r="B99" s="7" t="str">
        <f aca="false">IFERROR(VLOOKUP(LEFT(A99,4),Setor!A:D,2,FALSE()),"")</f>
        <v>Financeiro</v>
      </c>
      <c r="C99" s="8" t="n">
        <f aca="false">IFERROR(__xludf.dummyfunction("IFERROR(IFERROR(GOOGLEFINANCE(A105,""price""),VLOOKUP(A105,'Dados-Status-Invest'!A:B,2,FALSE)),"""")"),9.18)</f>
        <v>9.18</v>
      </c>
      <c r="D99" s="8" t="n">
        <f aca="false">IFERROR(VLOOKUP(A99,'Dados-Status-Invest'!$1:$1000,MATCH(D$1,'Dados-Status-Invest'!$2:$2,0),FALSE()),"")</f>
        <v>4457998267</v>
      </c>
      <c r="E99" s="8" t="n">
        <f aca="false">IF(D99+H99&gt;0,D99+H99,"")</f>
        <v>6279359427</v>
      </c>
      <c r="F99" s="8" t="n">
        <f aca="false">IFERROR(D99/VLOOKUP(A99,'Dados-Status-Invest'!$1:$1000,5,FALSE()),"")</f>
        <v>7308193880</v>
      </c>
      <c r="G99" s="8" t="n">
        <f aca="false">IFERROR(D99/VLOOKUP(A99,'Dados-Status-Invest'!$1:$1000,6,FALSE()),"")</f>
        <v>11144995667</v>
      </c>
      <c r="H99" s="8" t="n">
        <f aca="false">IFERROR(VLOOKUP(A99,'Dados-Status-Invest'!$1:$1000,12,FALSE())*J99,"")</f>
        <v>1821361160</v>
      </c>
      <c r="I99" s="8" t="n">
        <f aca="false">IFERROR(D99/VLOOKUP(A99,'Dados-Status-Invest'!$1:$1000,14,FALSE()),"")</f>
        <v>320719299.8</v>
      </c>
      <c r="J99" s="9" t="n">
        <f aca="false">IFERROR(D99/VLOOKUP(A99,'Dados-Status-Invest'!$1:$1000,10,FALSE()),"")</f>
        <v>346925935.2</v>
      </c>
      <c r="K99" s="10" t="n">
        <f aca="false">IFERROR(VLOOKUP(A99,'Dados-Status-Invest'!$1:$1000,3,FALSE())/100,"")</f>
        <v>0.0218</v>
      </c>
      <c r="L99" s="11" t="n">
        <f aca="false">IFERROR(VLOOKUP(A99,'Dados-Status-Invest'!$1:$1000,MATCH(L$1,'Dados-Status-Invest'!$2:$2,0),FALSE())/100,"")</f>
        <v>0.0282</v>
      </c>
      <c r="M99" s="10" t="n">
        <f aca="false">IFERROR(VLOOKUP(A99,'Dados-Status-Invest'!$1:$1000,MATCH(M$1,'Dados-Status-Invest'!$2:$2,0),FALSE())/100,"")</f>
        <v>0.0186</v>
      </c>
      <c r="N99" s="10" t="n">
        <f aca="false">IFERROR(VLOOKUP(A99,'Dados-Status-Invest'!$1:$1000,MATCH(N$1,'Dados-Status-Invest'!$2:$2,0),FALSE())/100,"")</f>
        <v>0.0254</v>
      </c>
      <c r="O99" s="10" t="n">
        <f aca="false">IFERROR(VLOOKUP(A99,'Dados-Status-Invest'!$1:$1000,MATCH(O$1,'Dados-Status-Invest'!$2:$2,0),FALSE())/100,"")</f>
        <v>1</v>
      </c>
      <c r="P99" s="10" t="n">
        <f aca="false">IFERROR(VLOOKUP(A99,'Dados-Status-Invest'!$1:$1000,MATCH(P$1,'Dados-Status-Invest'!$2:$2,0),FALSE())/100,"")</f>
        <v>1.082</v>
      </c>
      <c r="Q99" s="10" t="n">
        <f aca="false">IFERROR(VLOOKUP(A99,'Dados-Status-Invest'!$1:$1000,MATCH(Q$1,'Dados-Status-Invest'!$2:$2,0),FALSE())/100,"")</f>
        <v>0.6418</v>
      </c>
      <c r="R99" s="12" t="n">
        <f aca="false">IFERROR(VLOOKUP(A99,'Dados-Status-Invest'!$1:$1000,MATCH(R$1,'Dados-Status-Invest'!$2:$2,0),FALSE()),"")</f>
        <v>21.66</v>
      </c>
      <c r="S99" s="12" t="n">
        <f aca="false">IFERROR(VLOOKUP(A99,'Dados-Status-Invest'!$1:$1000,MATCH(S$1,'Dados-Status-Invest'!$2:$2,0),FALSE()),"")</f>
        <v>0.61</v>
      </c>
      <c r="T99" s="12" t="n">
        <f aca="false">IFERROR(VLOOKUP(A99,'Dados-Status-Invest'!$1:$1000,MATCH(T$1,'Dados-Status-Invest'!$2:$2,0),FALSE()),"")</f>
        <v>18.13</v>
      </c>
      <c r="U99" s="12" t="n">
        <f aca="false">IFERROR(VLOOKUP(A99,'Dados-Status-Invest'!$1:$1000,MATCH(U$1,'Dados-Status-Invest'!$2:$2,0),FALSE()),"")</f>
        <v>2.44</v>
      </c>
      <c r="V99" s="12" t="n">
        <f aca="false">IFERROR(VLOOKUP(A99,'Dados-Status-Invest'!$1:$1000,MATCH(V$1,'Dados-Status-Invest'!$2:$2,0),FALSE()),"")</f>
        <v>5.25</v>
      </c>
      <c r="W99" s="10" t="n">
        <f aca="false">IFERROR(VLOOKUP(A99,'Dados-Status-Invest'!$1:$1000,MATCH(W$1,'Dados-Status-Invest'!$2:$2,0),FALSE())/100,"")</f>
        <v>-0.1519</v>
      </c>
      <c r="X99" s="10" t="n">
        <f aca="false">IFERROR(VLOOKUP(A99,'Dados-Status-Invest'!$1:$1000,MATCH(X$1,'Dados-Status-Invest'!$2:$2,0),FALSE())/100,"")</f>
        <v>0</v>
      </c>
    </row>
    <row r="100" customFormat="false" ht="15.75" hidden="false" customHeight="false" outlineLevel="0" collapsed="false">
      <c r="A100" s="6" t="s">
        <v>130</v>
      </c>
      <c r="B100" s="7" t="str">
        <f aca="false">IFERROR(VLOOKUP(LEFT(A100,4),Setor!A:D,2,FALSE()),"")</f>
        <v>Tecnologia da Informação</v>
      </c>
      <c r="C100" s="8" t="n">
        <f aca="false">IFERROR(__xludf.dummyfunction("IFERROR(IFERROR(GOOGLEFINANCE(A106,""price""),VLOOKUP(A106,'Dados-Status-Invest'!A:B,2,FALSE)),"""")"),0)</f>
        <v>0</v>
      </c>
      <c r="D100" s="8" t="n">
        <f aca="false">IFERROR(VLOOKUP(A100,'Dados-Status-Invest'!$1:$1000,MATCH(D$1,'Dados-Status-Invest'!$2:$2,0),FALSE()),"")</f>
        <v>0</v>
      </c>
      <c r="E100" s="8" t="str">
        <f aca="false">IF(D100+H100&gt;0,D100+H100,"")</f>
        <v/>
      </c>
      <c r="F100" s="8" t="str">
        <f aca="false">IFERROR(D100/VLOOKUP(A100,'Dados-Status-Invest'!$1:$1000,5,FALSE()),"")</f>
        <v/>
      </c>
      <c r="G100" s="8" t="str">
        <f aca="false">IFERROR(D100/VLOOKUP(A100,'Dados-Status-Invest'!$1:$1000,6,FALSE()),"")</f>
        <v/>
      </c>
      <c r="H100" s="8" t="n">
        <f aca="false">IFERROR(VLOOKUP(A100,'Dados-Status-Invest'!$1:$1000,12,FALSE())*J100,"")</f>
        <v>0</v>
      </c>
      <c r="I100" s="8" t="str">
        <f aca="false">IFERROR(D100/VLOOKUP(A100,'Dados-Status-Invest'!$1:$1000,14,FALSE()),"")</f>
        <v/>
      </c>
      <c r="J100" s="9" t="str">
        <f aca="false">IFERROR(D100/VLOOKUP(A100,'Dados-Status-Invest'!$1:$1000,10,FALSE()),"")</f>
        <v/>
      </c>
      <c r="K100" s="10" t="n">
        <f aca="false">IFERROR(VLOOKUP(A100,'Dados-Status-Invest'!$1:$1000,3,FALSE())/100,"")</f>
        <v>0</v>
      </c>
      <c r="L100" s="11" t="n">
        <f aca="false">IFERROR(VLOOKUP(A100,'Dados-Status-Invest'!$1:$1000,MATCH(L$1,'Dados-Status-Invest'!$2:$2,0),FALSE())/100,"")</f>
        <v>0.3398</v>
      </c>
      <c r="M100" s="10" t="n">
        <f aca="false">IFERROR(VLOOKUP(A100,'Dados-Status-Invest'!$1:$1000,MATCH(M$1,'Dados-Status-Invest'!$2:$2,0),FALSE())/100,"")</f>
        <v>0.1297</v>
      </c>
      <c r="N100" s="10" t="n">
        <f aca="false">IFERROR(VLOOKUP(A100,'Dados-Status-Invest'!$1:$1000,MATCH(N$1,'Dados-Status-Invest'!$2:$2,0),FALSE())/100,"")</f>
        <v>0.2284</v>
      </c>
      <c r="O100" s="10" t="n">
        <f aca="false">IFERROR(VLOOKUP(A100,'Dados-Status-Invest'!$1:$1000,MATCH(O$1,'Dados-Status-Invest'!$2:$2,0),FALSE())/100,"")</f>
        <v>0.3303</v>
      </c>
      <c r="P100" s="10" t="n">
        <f aca="false">IFERROR(VLOOKUP(A100,'Dados-Status-Invest'!$1:$1000,MATCH(P$1,'Dados-Status-Invest'!$2:$2,0),FALSE())/100,"")</f>
        <v>0.1155</v>
      </c>
      <c r="Q100" s="10" t="n">
        <f aca="false">IFERROR(VLOOKUP(A100,'Dados-Status-Invest'!$1:$1000,MATCH(Q$1,'Dados-Status-Invest'!$2:$2,0),FALSE())/100,"")</f>
        <v>0.0697</v>
      </c>
      <c r="R100" s="12" t="n">
        <f aca="false">IFERROR(VLOOKUP(A100,'Dados-Status-Invest'!$1:$1000,MATCH(R$1,'Dados-Status-Invest'!$2:$2,0),FALSE()),"")</f>
        <v>0</v>
      </c>
      <c r="S100" s="12" t="n">
        <f aca="false">IFERROR(VLOOKUP(A100,'Dados-Status-Invest'!$1:$1000,MATCH(S$1,'Dados-Status-Invest'!$2:$2,0),FALSE()),"")</f>
        <v>0</v>
      </c>
      <c r="T100" s="12" t="n">
        <f aca="false">IFERROR(VLOOKUP(A100,'Dados-Status-Invest'!$1:$1000,MATCH(T$1,'Dados-Status-Invest'!$2:$2,0),FALSE()),"")</f>
        <v>-0.91</v>
      </c>
      <c r="U100" s="12" t="n">
        <f aca="false">IFERROR(VLOOKUP(A100,'Dados-Status-Invest'!$1:$1000,MATCH(U$1,'Dados-Status-Invest'!$2:$2,0),FALSE()),"")</f>
        <v>1.99</v>
      </c>
      <c r="V100" s="12" t="n">
        <f aca="false">IFERROR(VLOOKUP(A100,'Dados-Status-Invest'!$1:$1000,MATCH(V$1,'Dados-Status-Invest'!$2:$2,0),FALSE()),"")</f>
        <v>-0.91</v>
      </c>
      <c r="W100" s="10" t="n">
        <f aca="false">IFERROR(VLOOKUP(A100,'Dados-Status-Invest'!$1:$1000,MATCH(W$1,'Dados-Status-Invest'!$2:$2,0),FALSE())/100,"")</f>
        <v>0.038</v>
      </c>
      <c r="X100" s="10" t="n">
        <f aca="false">IFERROR(VLOOKUP(A100,'Dados-Status-Invest'!$1:$1000,MATCH(X$1,'Dados-Status-Invest'!$2:$2,0),FALSE())/100,"")</f>
        <v>0.4708</v>
      </c>
    </row>
    <row r="101" customFormat="false" ht="15.75" hidden="false" customHeight="false" outlineLevel="0" collapsed="false">
      <c r="A101" s="6" t="s">
        <v>131</v>
      </c>
      <c r="B101" s="7" t="str">
        <f aca="false">IFERROR(VLOOKUP(LEFT(A101,4),Setor!A:D,2,FALSE()),"")</f>
        <v>Financeiro</v>
      </c>
      <c r="C101" s="8" t="n">
        <f aca="false">IFERROR(__xludf.dummyfunction("IFERROR(IFERROR(GOOGLEFINANCE(A107,""price""),VLOOKUP(A107,'Dados-Status-Invest'!A:B,2,FALSE)),"""")"),11.49)</f>
        <v>11.49</v>
      </c>
      <c r="D101" s="8" t="n">
        <f aca="false">IFERROR(VLOOKUP(A101,'Dados-Status-Invest'!$1:$1000,MATCH(D$1,'Dados-Status-Invest'!$2:$2,0),FALSE()),"")</f>
        <v>5687569866</v>
      </c>
      <c r="E101" s="8" t="n">
        <f aca="false">IF(D101+H101&gt;0,D101+H101,"")</f>
        <v>5687569866</v>
      </c>
      <c r="F101" s="8" t="n">
        <f aca="false">IFERROR(D101/VLOOKUP(A101,'Dados-Status-Invest'!$1:$1000,5,FALSE()),"")</f>
        <v>8125099809</v>
      </c>
      <c r="G101" s="8" t="n">
        <f aca="false">IFERROR(D101/VLOOKUP(A101,'Dados-Status-Invest'!$1:$1000,6,FALSE()),"")</f>
        <v>94792831101</v>
      </c>
      <c r="H101" s="8" t="n">
        <f aca="false">IFERROR(VLOOKUP(A101,'Dados-Status-Invest'!$1:$1000,12,FALSE())*J101,"")</f>
        <v>0</v>
      </c>
      <c r="I101" s="8" t="n">
        <f aca="false">IFERROR(D101/VLOOKUP(A101,'Dados-Status-Invest'!$1:$1000,14,FALSE()),"")</f>
        <v>6936060812</v>
      </c>
      <c r="J101" s="9" t="n">
        <f aca="false">IFERROR(D101/VLOOKUP(A101,'Dados-Status-Invest'!$1:$1000,10,FALSE()),"")</f>
        <v>955894095.1</v>
      </c>
      <c r="K101" s="10" t="n">
        <f aca="false">IFERROR(VLOOKUP(A101,'Dados-Status-Invest'!$1:$1000,3,FALSE())/100,"")</f>
        <v>0.0518</v>
      </c>
      <c r="L101" s="11" t="n">
        <f aca="false">IFERROR(VLOOKUP(A101,'Dados-Status-Invest'!$1:$1000,MATCH(L$1,'Dados-Status-Invest'!$2:$2,0),FALSE())/100,"")</f>
        <v>0.0873</v>
      </c>
      <c r="M101" s="10" t="n">
        <f aca="false">IFERROR(VLOOKUP(A101,'Dados-Status-Invest'!$1:$1000,MATCH(M$1,'Dados-Status-Invest'!$2:$2,0),FALSE())/100,"")</f>
        <v>0.0078</v>
      </c>
      <c r="N101" s="10" t="n">
        <f aca="false">IFERROR(VLOOKUP(A101,'Dados-Status-Invest'!$1:$1000,MATCH(N$1,'Dados-Status-Invest'!$2:$2,0),FALSE())/100,"")</f>
        <v>0</v>
      </c>
      <c r="O101" s="10" t="n">
        <f aca="false">IFERROR(VLOOKUP(A101,'Dados-Status-Invest'!$1:$1000,MATCH(O$1,'Dados-Status-Invest'!$2:$2,0),FALSE())/100,"")</f>
        <v>0.7388</v>
      </c>
      <c r="P101" s="10" t="n">
        <f aca="false">IFERROR(VLOOKUP(A101,'Dados-Status-Invest'!$1:$1000,MATCH(P$1,'Dados-Status-Invest'!$2:$2,0),FALSE())/100,"")</f>
        <v>0.1383</v>
      </c>
      <c r="Q101" s="10" t="n">
        <f aca="false">IFERROR(VLOOKUP(A101,'Dados-Status-Invest'!$1:$1000,MATCH(Q$1,'Dados-Status-Invest'!$2:$2,0),FALSE())/100,"")</f>
        <v>0.1033</v>
      </c>
      <c r="R101" s="12" t="n">
        <f aca="false">IFERROR(VLOOKUP(A101,'Dados-Status-Invest'!$1:$1000,MATCH(R$1,'Dados-Status-Invest'!$2:$2,0),FALSE()),"")</f>
        <v>7.96</v>
      </c>
      <c r="S101" s="12" t="n">
        <f aca="false">IFERROR(VLOOKUP(A101,'Dados-Status-Invest'!$1:$1000,MATCH(S$1,'Dados-Status-Invest'!$2:$2,0),FALSE()),"")</f>
        <v>0.7</v>
      </c>
      <c r="T101" s="12" t="n">
        <f aca="false">IFERROR(VLOOKUP(A101,'Dados-Status-Invest'!$1:$1000,MATCH(T$1,'Dados-Status-Invest'!$2:$2,0),FALSE()),"")</f>
        <v>5.67</v>
      </c>
      <c r="U101" s="12" t="n">
        <f aca="false">IFERROR(VLOOKUP(A101,'Dados-Status-Invest'!$1:$1000,MATCH(U$1,'Dados-Status-Invest'!$2:$2,0),FALSE()),"")</f>
        <v>1.92</v>
      </c>
      <c r="V101" s="12" t="n">
        <f aca="false">IFERROR(VLOOKUP(A101,'Dados-Status-Invest'!$1:$1000,MATCH(V$1,'Dados-Status-Invest'!$2:$2,0),FALSE()),"")</f>
        <v>0</v>
      </c>
      <c r="W101" s="10" t="n">
        <f aca="false">IFERROR(VLOOKUP(A101,'Dados-Status-Invest'!$1:$1000,MATCH(W$1,'Dados-Status-Invest'!$2:$2,0),FALSE())/100,"")</f>
        <v>-0.0525</v>
      </c>
      <c r="X101" s="10" t="n">
        <f aca="false">IFERROR(VLOOKUP(A101,'Dados-Status-Invest'!$1:$1000,MATCH(X$1,'Dados-Status-Invest'!$2:$2,0),FALSE())/100,"")</f>
        <v>-0.0677</v>
      </c>
    </row>
    <row r="102" customFormat="false" ht="15.75" hidden="false" customHeight="false" outlineLevel="0" collapsed="false">
      <c r="A102" s="6" t="s">
        <v>132</v>
      </c>
      <c r="B102" s="7" t="str">
        <f aca="false">IFERROR(VLOOKUP(LEFT(A102,4),Setor!A:D,2,FALSE()),"")</f>
        <v>Financeiro</v>
      </c>
      <c r="C102" s="8" t="n">
        <f aca="false">IFERROR(__xludf.dummyfunction("IFERROR(IFERROR(GOOGLEFINANCE(A108,""price""),VLOOKUP(A108,'Dados-Status-Invest'!A:B,2,FALSE)),"""")"),16.95)</f>
        <v>16.95</v>
      </c>
      <c r="D102" s="8" t="n">
        <f aca="false">IFERROR(VLOOKUP(A102,'Dados-Status-Invest'!$1:$1000,MATCH(D$1,'Dados-Status-Invest'!$2:$2,0),FALSE()),"")</f>
        <v>5687569866</v>
      </c>
      <c r="E102" s="8" t="n">
        <f aca="false">IF(D102+H102&gt;0,D102+H102,"")</f>
        <v>5687569866</v>
      </c>
      <c r="F102" s="8" t="n">
        <f aca="false">IFERROR(D102/VLOOKUP(A102,'Dados-Status-Invest'!$1:$1000,5,FALSE()),"")</f>
        <v>6050606240</v>
      </c>
      <c r="G102" s="8" t="n">
        <f aca="false">IFERROR(D102/VLOOKUP(A102,'Dados-Status-Invest'!$1:$1000,6,FALSE()),"")</f>
        <v>71094623326</v>
      </c>
      <c r="H102" s="8" t="n">
        <f aca="false">IFERROR(VLOOKUP(A102,'Dados-Status-Invest'!$1:$1000,12,FALSE())*J102,"")</f>
        <v>0</v>
      </c>
      <c r="I102" s="8" t="n">
        <f aca="false">IFERROR(D102/VLOOKUP(A102,'Dados-Status-Invest'!$1:$1000,14,FALSE()),"")</f>
        <v>5123936816</v>
      </c>
      <c r="J102" s="9" t="n">
        <f aca="false">IFERROR(D102/VLOOKUP(A102,'Dados-Status-Invest'!$1:$1000,10,FALSE()),"")</f>
        <v>710058659.9</v>
      </c>
      <c r="K102" s="10" t="n">
        <f aca="false">IFERROR(VLOOKUP(A102,'Dados-Status-Invest'!$1:$1000,3,FALSE())/100,"")</f>
        <v>0.0502</v>
      </c>
      <c r="L102" s="11" t="n">
        <f aca="false">IFERROR(VLOOKUP(A102,'Dados-Status-Invest'!$1:$1000,MATCH(L$1,'Dados-Status-Invest'!$2:$2,0),FALSE())/100,"")</f>
        <v>0.0873</v>
      </c>
      <c r="M102" s="10" t="n">
        <f aca="false">IFERROR(VLOOKUP(A102,'Dados-Status-Invest'!$1:$1000,MATCH(M$1,'Dados-Status-Invest'!$2:$2,0),FALSE())/100,"")</f>
        <v>0.0078</v>
      </c>
      <c r="N102" s="10" t="n">
        <f aca="false">IFERROR(VLOOKUP(A102,'Dados-Status-Invest'!$1:$1000,MATCH(N$1,'Dados-Status-Invest'!$2:$2,0),FALSE())/100,"")</f>
        <v>0</v>
      </c>
      <c r="O102" s="10" t="n">
        <f aca="false">IFERROR(VLOOKUP(A102,'Dados-Status-Invest'!$1:$1000,MATCH(O$1,'Dados-Status-Invest'!$2:$2,0),FALSE())/100,"")</f>
        <v>0.7388</v>
      </c>
      <c r="P102" s="10" t="n">
        <f aca="false">IFERROR(VLOOKUP(A102,'Dados-Status-Invest'!$1:$1000,MATCH(P$1,'Dados-Status-Invest'!$2:$2,0),FALSE())/100,"")</f>
        <v>0.1383</v>
      </c>
      <c r="Q102" s="10" t="n">
        <f aca="false">IFERROR(VLOOKUP(A102,'Dados-Status-Invest'!$1:$1000,MATCH(Q$1,'Dados-Status-Invest'!$2:$2,0),FALSE())/100,"")</f>
        <v>0.1033</v>
      </c>
      <c r="R102" s="12" t="n">
        <f aca="false">IFERROR(VLOOKUP(A102,'Dados-Status-Invest'!$1:$1000,MATCH(R$1,'Dados-Status-Invest'!$2:$2,0),FALSE()),"")</f>
        <v>10.73</v>
      </c>
      <c r="S102" s="12" t="n">
        <f aca="false">IFERROR(VLOOKUP(A102,'Dados-Status-Invest'!$1:$1000,MATCH(S$1,'Dados-Status-Invest'!$2:$2,0),FALSE()),"")</f>
        <v>0.94</v>
      </c>
      <c r="T102" s="12" t="n">
        <f aca="false">IFERROR(VLOOKUP(A102,'Dados-Status-Invest'!$1:$1000,MATCH(T$1,'Dados-Status-Invest'!$2:$2,0),FALSE()),"")</f>
        <v>5.67</v>
      </c>
      <c r="U102" s="12" t="n">
        <f aca="false">IFERROR(VLOOKUP(A102,'Dados-Status-Invest'!$1:$1000,MATCH(U$1,'Dados-Status-Invest'!$2:$2,0),FALSE()),"")</f>
        <v>1.92</v>
      </c>
      <c r="V102" s="12" t="n">
        <f aca="false">IFERROR(VLOOKUP(A102,'Dados-Status-Invest'!$1:$1000,MATCH(V$1,'Dados-Status-Invest'!$2:$2,0),FALSE()),"")</f>
        <v>0</v>
      </c>
      <c r="W102" s="10" t="n">
        <f aca="false">IFERROR(VLOOKUP(A102,'Dados-Status-Invest'!$1:$1000,MATCH(W$1,'Dados-Status-Invest'!$2:$2,0),FALSE())/100,"")</f>
        <v>-0.0525</v>
      </c>
      <c r="X102" s="10" t="n">
        <f aca="false">IFERROR(VLOOKUP(A102,'Dados-Status-Invest'!$1:$1000,MATCH(X$1,'Dados-Status-Invest'!$2:$2,0),FALSE())/100,"")</f>
        <v>-0.0677</v>
      </c>
    </row>
    <row r="103" customFormat="false" ht="15.75" hidden="false" customHeight="false" outlineLevel="0" collapsed="false">
      <c r="A103" s="6" t="s">
        <v>133</v>
      </c>
      <c r="B103" s="7" t="str">
        <f aca="false">IFERROR(VLOOKUP(LEFT(A103,4),Setor!A:D,2,FALSE()),"")</f>
        <v>Financeiro</v>
      </c>
      <c r="C103" s="8" t="n">
        <f aca="false">IFERROR(__xludf.dummyfunction("IFERROR(IFERROR(GOOGLEFINANCE(A109,""price""),VLOOKUP(A109,'Dados-Status-Invest'!A:B,2,FALSE)),"""")"),10.34)</f>
        <v>10.34</v>
      </c>
      <c r="D103" s="8" t="n">
        <f aca="false">IFERROR(VLOOKUP(A103,'Dados-Status-Invest'!$1:$1000,MATCH(D$1,'Dados-Status-Invest'!$2:$2,0),FALSE()),"")</f>
        <v>5687569866</v>
      </c>
      <c r="E103" s="8" t="n">
        <f aca="false">IF(D103+H103&gt;0,D103+H103,"")</f>
        <v>5687569866</v>
      </c>
      <c r="F103" s="8" t="n">
        <f aca="false">IFERROR(D103/VLOOKUP(A103,'Dados-Status-Invest'!$1:$1000,5,FALSE()),"")</f>
        <v>9027888676</v>
      </c>
      <c r="G103" s="8" t="n">
        <f aca="false">IFERROR(D103/VLOOKUP(A103,'Dados-Status-Invest'!$1:$1000,6,FALSE()),"")</f>
        <v>94792831101</v>
      </c>
      <c r="H103" s="8" t="n">
        <f aca="false">IFERROR(VLOOKUP(A103,'Dados-Status-Invest'!$1:$1000,12,FALSE())*J103,"")</f>
        <v>0</v>
      </c>
      <c r="I103" s="8" t="n">
        <f aca="false">IFERROR(D103/VLOOKUP(A103,'Dados-Status-Invest'!$1:$1000,14,FALSE()),"")</f>
        <v>7685905224</v>
      </c>
      <c r="J103" s="9" t="n">
        <f aca="false">IFERROR(D103/VLOOKUP(A103,'Dados-Status-Invest'!$1:$1000,10,FALSE()),"")</f>
        <v>1057169120</v>
      </c>
      <c r="K103" s="10" t="n">
        <f aca="false">IFERROR(VLOOKUP(A103,'Dados-Status-Invest'!$1:$1000,3,FALSE())/100,"")</f>
        <v>0.0573</v>
      </c>
      <c r="L103" s="11" t="n">
        <f aca="false">IFERROR(VLOOKUP(A103,'Dados-Status-Invest'!$1:$1000,MATCH(L$1,'Dados-Status-Invest'!$2:$2,0),FALSE())/100,"")</f>
        <v>0.0873</v>
      </c>
      <c r="M103" s="10" t="n">
        <f aca="false">IFERROR(VLOOKUP(A103,'Dados-Status-Invest'!$1:$1000,MATCH(M$1,'Dados-Status-Invest'!$2:$2,0),FALSE())/100,"")</f>
        <v>0.0078</v>
      </c>
      <c r="N103" s="10" t="n">
        <f aca="false">IFERROR(VLOOKUP(A103,'Dados-Status-Invest'!$1:$1000,MATCH(N$1,'Dados-Status-Invest'!$2:$2,0),FALSE())/100,"")</f>
        <v>0</v>
      </c>
      <c r="O103" s="10" t="n">
        <f aca="false">IFERROR(VLOOKUP(A103,'Dados-Status-Invest'!$1:$1000,MATCH(O$1,'Dados-Status-Invest'!$2:$2,0),FALSE())/100,"")</f>
        <v>0.7388</v>
      </c>
      <c r="P103" s="10" t="n">
        <f aca="false">IFERROR(VLOOKUP(A103,'Dados-Status-Invest'!$1:$1000,MATCH(P$1,'Dados-Status-Invest'!$2:$2,0),FALSE())/100,"")</f>
        <v>0.1383</v>
      </c>
      <c r="Q103" s="10" t="n">
        <f aca="false">IFERROR(VLOOKUP(A103,'Dados-Status-Invest'!$1:$1000,MATCH(Q$1,'Dados-Status-Invest'!$2:$2,0),FALSE())/100,"")</f>
        <v>0.1033</v>
      </c>
      <c r="R103" s="12" t="n">
        <f aca="false">IFERROR(VLOOKUP(A103,'Dados-Status-Invest'!$1:$1000,MATCH(R$1,'Dados-Status-Invest'!$2:$2,0),FALSE()),"")</f>
        <v>7.2</v>
      </c>
      <c r="S103" s="12" t="n">
        <f aca="false">IFERROR(VLOOKUP(A103,'Dados-Status-Invest'!$1:$1000,MATCH(S$1,'Dados-Status-Invest'!$2:$2,0),FALSE()),"")</f>
        <v>0.63</v>
      </c>
      <c r="T103" s="12" t="n">
        <f aca="false">IFERROR(VLOOKUP(A103,'Dados-Status-Invest'!$1:$1000,MATCH(T$1,'Dados-Status-Invest'!$2:$2,0),FALSE()),"")</f>
        <v>5.67</v>
      </c>
      <c r="U103" s="12" t="n">
        <f aca="false">IFERROR(VLOOKUP(A103,'Dados-Status-Invest'!$1:$1000,MATCH(U$1,'Dados-Status-Invest'!$2:$2,0),FALSE()),"")</f>
        <v>1.92</v>
      </c>
      <c r="V103" s="12" t="n">
        <f aca="false">IFERROR(VLOOKUP(A103,'Dados-Status-Invest'!$1:$1000,MATCH(V$1,'Dados-Status-Invest'!$2:$2,0),FALSE()),"")</f>
        <v>0</v>
      </c>
      <c r="W103" s="10" t="n">
        <f aca="false">IFERROR(VLOOKUP(A103,'Dados-Status-Invest'!$1:$1000,MATCH(W$1,'Dados-Status-Invest'!$2:$2,0),FALSE())/100,"")</f>
        <v>-0.0525</v>
      </c>
      <c r="X103" s="10" t="n">
        <f aca="false">IFERROR(VLOOKUP(A103,'Dados-Status-Invest'!$1:$1000,MATCH(X$1,'Dados-Status-Invest'!$2:$2,0),FALSE())/100,"")</f>
        <v>-0.0677</v>
      </c>
    </row>
    <row r="104" customFormat="false" ht="15.75" hidden="false" customHeight="false" outlineLevel="0" collapsed="false">
      <c r="A104" s="6" t="s">
        <v>134</v>
      </c>
      <c r="B104" s="7" t="str">
        <f aca="false">IFERROR(VLOOKUP(LEFT(A104,4),Setor!A:D,2,FALSE()),"")</f>
        <v>Consumo não Cíclico</v>
      </c>
      <c r="C104" s="8" t="n">
        <f aca="false">IFERROR(__xludf.dummyfunction("IFERROR(IFERROR(GOOGLEFINANCE(A110,""price""),VLOOKUP(A110,'Dados-Status-Invest'!A:B,2,FALSE)),"""")"),9)</f>
        <v>9</v>
      </c>
      <c r="D104" s="8" t="n">
        <f aca="false">IFERROR(VLOOKUP(A104,'Dados-Status-Invest'!$1:$1000,MATCH(D$1,'Dados-Status-Invest'!$2:$2,0),FALSE()),"")</f>
        <v>9183864834</v>
      </c>
      <c r="E104" s="8" t="n">
        <f aca="false">IF(D104+H104&gt;0,D104+H104,"")</f>
        <v>15847236796</v>
      </c>
      <c r="F104" s="8" t="n">
        <f aca="false">IFERROR(D104/VLOOKUP(A104,'Dados-Status-Invest'!$1:$1000,5,FALSE()),"")</f>
        <v>-847220003.1</v>
      </c>
      <c r="G104" s="8" t="n">
        <f aca="false">IFERROR(D104/VLOOKUP(A104,'Dados-Status-Invest'!$1:$1000,6,FALSE()),"")</f>
        <v>11774185685</v>
      </c>
      <c r="H104" s="8" t="n">
        <f aca="false">IFERROR(VLOOKUP(A104,'Dados-Status-Invest'!$1:$1000,12,FALSE())*J104,"")</f>
        <v>6663371962</v>
      </c>
      <c r="I104" s="8" t="n">
        <f aca="false">IFERROR(D104/VLOOKUP(A104,'Dados-Status-Invest'!$1:$1000,14,FALSE()),"")</f>
        <v>16112043568</v>
      </c>
      <c r="J104" s="9" t="n">
        <f aca="false">IFERROR(D104/VLOOKUP(A104,'Dados-Status-Invest'!$1:$1000,10,FALSE()),"")</f>
        <v>2897118244</v>
      </c>
      <c r="K104" s="10" t="n">
        <f aca="false">IFERROR(VLOOKUP(A104,'Dados-Status-Invest'!$1:$1000,3,FALSE())/100,"")</f>
        <v>0</v>
      </c>
      <c r="L104" s="11" t="n">
        <f aca="false">IFERROR(VLOOKUP(A104,'Dados-Status-Invest'!$1:$1000,MATCH(L$1,'Dados-Status-Invest'!$2:$2,0),FALSE())/100,"")</f>
        <v>-1.0605</v>
      </c>
      <c r="M104" s="10" t="n">
        <f aca="false">IFERROR(VLOOKUP(A104,'Dados-Status-Invest'!$1:$1000,MATCH(M$1,'Dados-Status-Invest'!$2:$2,0),FALSE())/100,"")</f>
        <v>0.0759</v>
      </c>
      <c r="N104" s="10" t="n">
        <f aca="false">IFERROR(VLOOKUP(A104,'Dados-Status-Invest'!$1:$1000,MATCH(N$1,'Dados-Status-Invest'!$2:$2,0),FALSE())/100,"")</f>
        <v>0.309</v>
      </c>
      <c r="O104" s="10" t="n">
        <f aca="false">IFERROR(VLOOKUP(A104,'Dados-Status-Invest'!$1:$1000,MATCH(O$1,'Dados-Status-Invest'!$2:$2,0),FALSE())/100,"")</f>
        <v>0.2677</v>
      </c>
      <c r="P104" s="10" t="n">
        <f aca="false">IFERROR(VLOOKUP(A104,'Dados-Status-Invest'!$1:$1000,MATCH(P$1,'Dados-Status-Invest'!$2:$2,0),FALSE())/100,"")</f>
        <v>0.1792</v>
      </c>
      <c r="Q104" s="10" t="n">
        <f aca="false">IFERROR(VLOOKUP(A104,'Dados-Status-Invest'!$1:$1000,MATCH(Q$1,'Dados-Status-Invest'!$2:$2,0),FALSE())/100,"")</f>
        <v>0.0555</v>
      </c>
      <c r="R104" s="12" t="n">
        <f aca="false">IFERROR(VLOOKUP(A104,'Dados-Status-Invest'!$1:$1000,MATCH(R$1,'Dados-Status-Invest'!$2:$2,0),FALSE()),"")</f>
        <v>10.22</v>
      </c>
      <c r="S104" s="12" t="n">
        <f aca="false">IFERROR(VLOOKUP(A104,'Dados-Status-Invest'!$1:$1000,MATCH(S$1,'Dados-Status-Invest'!$2:$2,0),FALSE()),"")</f>
        <v>-10.84</v>
      </c>
      <c r="T104" s="12" t="n">
        <f aca="false">IFERROR(VLOOKUP(A104,'Dados-Status-Invest'!$1:$1000,MATCH(T$1,'Dados-Status-Invest'!$2:$2,0),FALSE()),"")</f>
        <v>5.46</v>
      </c>
      <c r="U104" s="12" t="n">
        <f aca="false">IFERROR(VLOOKUP(A104,'Dados-Status-Invest'!$1:$1000,MATCH(U$1,'Dados-Status-Invest'!$2:$2,0),FALSE()),"")</f>
        <v>0.39</v>
      </c>
      <c r="V104" s="12" t="n">
        <f aca="false">IFERROR(VLOOKUP(A104,'Dados-Status-Invest'!$1:$1000,MATCH(V$1,'Dados-Status-Invest'!$2:$2,0),FALSE()),"")</f>
        <v>2.3</v>
      </c>
      <c r="W104" s="10" t="n">
        <f aca="false">IFERROR(VLOOKUP(A104,'Dados-Status-Invest'!$1:$1000,MATCH(W$1,'Dados-Status-Invest'!$2:$2,0),FALSE())/100,"")</f>
        <v>0.1088</v>
      </c>
      <c r="X104" s="10" t="n">
        <f aca="false">IFERROR(VLOOKUP(A104,'Dados-Status-Invest'!$1:$1000,MATCH(X$1,'Dados-Status-Invest'!$2:$2,0),FALSE())/100,"")</f>
        <v>0</v>
      </c>
    </row>
    <row r="105" customFormat="false" ht="15.75" hidden="false" customHeight="false" outlineLevel="0" collapsed="false">
      <c r="A105" s="6" t="s">
        <v>135</v>
      </c>
      <c r="B105" s="7" t="str">
        <f aca="false">IFERROR(VLOOKUP(LEFT(A105,4),Setor!A:D,2,FALSE()),"")</f>
        <v>Financeiro</v>
      </c>
      <c r="C105" s="8" t="n">
        <f aca="false">IFERROR(__xludf.dummyfunction("IFERROR(IFERROR(GOOGLEFINANCE(A111,""price""),VLOOKUP(A111,'Dados-Status-Invest'!A:B,2,FALSE)),"""")"),23)</f>
        <v>23</v>
      </c>
      <c r="D105" s="8" t="n">
        <f aca="false">IFERROR(VLOOKUP(A105,'Dados-Status-Invest'!$1:$1000,MATCH(D$1,'Dados-Status-Invest'!$2:$2,0),FALSE()),"")</f>
        <v>11681468965</v>
      </c>
      <c r="E105" s="8" t="n">
        <f aca="false">IF(D105+H105&gt;0,D105+H105,"")</f>
        <v>11681468965</v>
      </c>
      <c r="F105" s="8" t="n">
        <f aca="false">IFERROR(D105/VLOOKUP(A105,'Dados-Status-Invest'!$1:$1000,5,FALSE()),"")</f>
        <v>1899425848</v>
      </c>
      <c r="G105" s="8" t="n">
        <f aca="false">IFERROR(D105/VLOOKUP(A105,'Dados-Status-Invest'!$1:$1000,6,FALSE()),"")</f>
        <v>25394497750</v>
      </c>
      <c r="H105" s="8" t="n">
        <f aca="false">IFERROR(VLOOKUP(A105,'Dados-Status-Invest'!$1:$1000,12,FALSE())*J105,"")</f>
        <v>0</v>
      </c>
      <c r="I105" s="8" t="n">
        <f aca="false">IFERROR(D105/VLOOKUP(A105,'Dados-Status-Invest'!$1:$1000,14,FALSE()),"")</f>
        <v>2272659332</v>
      </c>
      <c r="J105" s="9" t="n">
        <f aca="false">IFERROR(D105/VLOOKUP(A105,'Dados-Status-Invest'!$1:$1000,10,FALSE()),"")</f>
        <v>595993314.5</v>
      </c>
      <c r="K105" s="10" t="n">
        <f aca="false">IFERROR(VLOOKUP(A105,'Dados-Status-Invest'!$1:$1000,3,FALSE())/100,"")</f>
        <v>0.0543</v>
      </c>
      <c r="L105" s="11" t="n">
        <f aca="false">IFERROR(VLOOKUP(A105,'Dados-Status-Invest'!$1:$1000,MATCH(L$1,'Dados-Status-Invest'!$2:$2,0),FALSE())/100,"")</f>
        <v>0.2222</v>
      </c>
      <c r="M105" s="10" t="n">
        <f aca="false">IFERROR(VLOOKUP(A105,'Dados-Status-Invest'!$1:$1000,MATCH(M$1,'Dados-Status-Invest'!$2:$2,0),FALSE())/100,"")</f>
        <v>0.0166</v>
      </c>
      <c r="N105" s="10" t="n">
        <f aca="false">IFERROR(VLOOKUP(A105,'Dados-Status-Invest'!$1:$1000,MATCH(N$1,'Dados-Status-Invest'!$2:$2,0),FALSE())/100,"")</f>
        <v>0</v>
      </c>
      <c r="O105" s="10" t="n">
        <f aca="false">IFERROR(VLOOKUP(A105,'Dados-Status-Invest'!$1:$1000,MATCH(O$1,'Dados-Status-Invest'!$2:$2,0),FALSE())/100,"")</f>
        <v>0.7589</v>
      </c>
      <c r="P105" s="10" t="n">
        <f aca="false">IFERROR(VLOOKUP(A105,'Dados-Status-Invest'!$1:$1000,MATCH(P$1,'Dados-Status-Invest'!$2:$2,0),FALSE())/100,"")</f>
        <v>0.2624</v>
      </c>
      <c r="Q105" s="10" t="n">
        <f aca="false">IFERROR(VLOOKUP(A105,'Dados-Status-Invest'!$1:$1000,MATCH(Q$1,'Dados-Status-Invest'!$2:$2,0),FALSE())/100,"")</f>
        <v>0.1859</v>
      </c>
      <c r="R105" s="12" t="n">
        <f aca="false">IFERROR(VLOOKUP(A105,'Dados-Status-Invest'!$1:$1000,MATCH(R$1,'Dados-Status-Invest'!$2:$2,0),FALSE()),"")</f>
        <v>27.68</v>
      </c>
      <c r="S105" s="12" t="n">
        <f aca="false">IFERROR(VLOOKUP(A105,'Dados-Status-Invest'!$1:$1000,MATCH(S$1,'Dados-Status-Invest'!$2:$2,0),FALSE()),"")</f>
        <v>6.15</v>
      </c>
      <c r="T105" s="12" t="n">
        <f aca="false">IFERROR(VLOOKUP(A105,'Dados-Status-Invest'!$1:$1000,MATCH(T$1,'Dados-Status-Invest'!$2:$2,0),FALSE()),"")</f>
        <v>18.01</v>
      </c>
      <c r="U105" s="12" t="n">
        <f aca="false">IFERROR(VLOOKUP(A105,'Dados-Status-Invest'!$1:$1000,MATCH(U$1,'Dados-Status-Invest'!$2:$2,0),FALSE()),"")</f>
        <v>0.43</v>
      </c>
      <c r="V105" s="12" t="n">
        <f aca="false">IFERROR(VLOOKUP(A105,'Dados-Status-Invest'!$1:$1000,MATCH(V$1,'Dados-Status-Invest'!$2:$2,0),FALSE()),"")</f>
        <v>0</v>
      </c>
      <c r="W105" s="10" t="n">
        <f aca="false">IFERROR(VLOOKUP(A105,'Dados-Status-Invest'!$1:$1000,MATCH(W$1,'Dados-Status-Invest'!$2:$2,0),FALSE())/100,"")</f>
        <v>-0.0243</v>
      </c>
      <c r="X105" s="10" t="n">
        <f aca="false">IFERROR(VLOOKUP(A105,'Dados-Status-Invest'!$1:$1000,MATCH(X$1,'Dados-Status-Invest'!$2:$2,0),FALSE())/100,"")</f>
        <v>0.2966</v>
      </c>
    </row>
    <row r="106" customFormat="false" ht="15.75" hidden="false" customHeight="false" outlineLevel="0" collapsed="false">
      <c r="A106" s="6" t="s">
        <v>136</v>
      </c>
      <c r="B106" s="7" t="str">
        <f aca="false">IFERROR(VLOOKUP(LEFT(A106,4),Setor!A:D,2,FALSE()),"")</f>
        <v>Financeiro</v>
      </c>
      <c r="C106" s="8" t="n">
        <f aca="false">IFERROR(__xludf.dummyfunction("IFERROR(IFERROR(GOOGLEFINANCE(A112,""price""),VLOOKUP(A112,'Dados-Status-Invest'!A:B,2,FALSE)),"""")"),16.3)</f>
        <v>16.3</v>
      </c>
      <c r="D106" s="8" t="n">
        <f aca="false">IFERROR(VLOOKUP(A106,'Dados-Status-Invest'!$1:$1000,MATCH(D$1,'Dados-Status-Invest'!$2:$2,0),FALSE()),"")</f>
        <v>11681468965</v>
      </c>
      <c r="E106" s="8" t="n">
        <f aca="false">IF(D106+H106&gt;0,D106+H106,"")</f>
        <v>11681468965</v>
      </c>
      <c r="F106" s="8" t="n">
        <f aca="false">IFERROR(D106/VLOOKUP(A106,'Dados-Status-Invest'!$1:$1000,5,FALSE()),"")</f>
        <v>2942435508</v>
      </c>
      <c r="G106" s="8" t="n">
        <f aca="false">IFERROR(D106/VLOOKUP(A106,'Dados-Status-Invest'!$1:$1000,6,FALSE()),"")</f>
        <v>38938229883</v>
      </c>
      <c r="H106" s="8" t="n">
        <f aca="false">IFERROR(VLOOKUP(A106,'Dados-Status-Invest'!$1:$1000,12,FALSE())*J106,"")</f>
        <v>0</v>
      </c>
      <c r="I106" s="8" t="n">
        <f aca="false">IFERROR(D106/VLOOKUP(A106,'Dados-Status-Invest'!$1:$1000,14,FALSE()),"")</f>
        <v>3518514748</v>
      </c>
      <c r="J106" s="9" t="n">
        <f aca="false">IFERROR(D106/VLOOKUP(A106,'Dados-Status-Invest'!$1:$1000,10,FALSE()),"")</f>
        <v>923436281.8</v>
      </c>
      <c r="K106" s="10" t="n">
        <f aca="false">IFERROR(VLOOKUP(A106,'Dados-Status-Invest'!$1:$1000,3,FALSE())/100,"")</f>
        <v>0.0926</v>
      </c>
      <c r="L106" s="11" t="n">
        <f aca="false">IFERROR(VLOOKUP(A106,'Dados-Status-Invest'!$1:$1000,MATCH(L$1,'Dados-Status-Invest'!$2:$2,0),FALSE())/100,"")</f>
        <v>0.2222</v>
      </c>
      <c r="M106" s="10" t="n">
        <f aca="false">IFERROR(VLOOKUP(A106,'Dados-Status-Invest'!$1:$1000,MATCH(M$1,'Dados-Status-Invest'!$2:$2,0),FALSE())/100,"")</f>
        <v>0.0166</v>
      </c>
      <c r="N106" s="10" t="n">
        <f aca="false">IFERROR(VLOOKUP(A106,'Dados-Status-Invest'!$1:$1000,MATCH(N$1,'Dados-Status-Invest'!$2:$2,0),FALSE())/100,"")</f>
        <v>0</v>
      </c>
      <c r="O106" s="10" t="n">
        <f aca="false">IFERROR(VLOOKUP(A106,'Dados-Status-Invest'!$1:$1000,MATCH(O$1,'Dados-Status-Invest'!$2:$2,0),FALSE())/100,"")</f>
        <v>0.7589</v>
      </c>
      <c r="P106" s="10" t="n">
        <f aca="false">IFERROR(VLOOKUP(A106,'Dados-Status-Invest'!$1:$1000,MATCH(P$1,'Dados-Status-Invest'!$2:$2,0),FALSE())/100,"")</f>
        <v>0.2624</v>
      </c>
      <c r="Q106" s="10" t="n">
        <f aca="false">IFERROR(VLOOKUP(A106,'Dados-Status-Invest'!$1:$1000,MATCH(Q$1,'Dados-Status-Invest'!$2:$2,0),FALSE())/100,"")</f>
        <v>0.1859</v>
      </c>
      <c r="R106" s="12" t="n">
        <f aca="false">IFERROR(VLOOKUP(A106,'Dados-Status-Invest'!$1:$1000,MATCH(R$1,'Dados-Status-Invest'!$2:$2,0),FALSE()),"")</f>
        <v>17.87</v>
      </c>
      <c r="S106" s="12" t="n">
        <f aca="false">IFERROR(VLOOKUP(A106,'Dados-Status-Invest'!$1:$1000,MATCH(S$1,'Dados-Status-Invest'!$2:$2,0),FALSE()),"")</f>
        <v>3.97</v>
      </c>
      <c r="T106" s="12" t="n">
        <f aca="false">IFERROR(VLOOKUP(A106,'Dados-Status-Invest'!$1:$1000,MATCH(T$1,'Dados-Status-Invest'!$2:$2,0),FALSE()),"")</f>
        <v>18.01</v>
      </c>
      <c r="U106" s="12" t="n">
        <f aca="false">IFERROR(VLOOKUP(A106,'Dados-Status-Invest'!$1:$1000,MATCH(U$1,'Dados-Status-Invest'!$2:$2,0),FALSE()),"")</f>
        <v>0.43</v>
      </c>
      <c r="V106" s="12" t="n">
        <f aca="false">IFERROR(VLOOKUP(A106,'Dados-Status-Invest'!$1:$1000,MATCH(V$1,'Dados-Status-Invest'!$2:$2,0),FALSE()),"")</f>
        <v>0</v>
      </c>
      <c r="W106" s="10" t="n">
        <f aca="false">IFERROR(VLOOKUP(A106,'Dados-Status-Invest'!$1:$1000,MATCH(W$1,'Dados-Status-Invest'!$2:$2,0),FALSE())/100,"")</f>
        <v>-0.0243</v>
      </c>
      <c r="X106" s="10" t="n">
        <f aca="false">IFERROR(VLOOKUP(A106,'Dados-Status-Invest'!$1:$1000,MATCH(X$1,'Dados-Status-Invest'!$2:$2,0),FALSE())/100,"")</f>
        <v>0.2966</v>
      </c>
    </row>
    <row r="107" customFormat="false" ht="15.75" hidden="false" customHeight="false" outlineLevel="0" collapsed="false">
      <c r="A107" s="6" t="s">
        <v>137</v>
      </c>
      <c r="B107" s="7" t="str">
        <f aca="false">IFERROR(VLOOKUP(LEFT(A107,4),Setor!A:D,2,FALSE()),"")</f>
        <v>Consumo Cíclico</v>
      </c>
      <c r="C107" s="8" t="n">
        <f aca="false">IFERROR(__xludf.dummyfunction("IFERROR(IFERROR(GOOGLEFINANCE(A113,""price""),VLOOKUP(A113,'Dados-Status-Invest'!A:B,2,FALSE)),"""")"),67.91)</f>
        <v>67.91</v>
      </c>
      <c r="D107" s="8" t="n">
        <f aca="false">IFERROR(VLOOKUP(A107,'Dados-Status-Invest'!$1:$1000,MATCH(D$1,'Dados-Status-Invest'!$2:$2,0),FALSE()),"")</f>
        <v>38108235246</v>
      </c>
      <c r="E107" s="8" t="n">
        <f aca="false">IF(D107+H107&gt;0,D107+H107,"")</f>
        <v>35821613530</v>
      </c>
      <c r="F107" s="8" t="n">
        <f aca="false">IFERROR(D107/VLOOKUP(A107,'Dados-Status-Invest'!$1:$1000,5,FALSE()),"")</f>
        <v>9249571662</v>
      </c>
      <c r="G107" s="8" t="n">
        <f aca="false">IFERROR(D107/VLOOKUP(A107,'Dados-Status-Invest'!$1:$1000,6,FALSE()),"")</f>
        <v>19643420230</v>
      </c>
      <c r="H107" s="8" t="n">
        <f aca="false">IFERROR(VLOOKUP(A107,'Dados-Status-Invest'!$1:$1000,12,FALSE())*J107,"")</f>
        <v>-2286621716</v>
      </c>
      <c r="I107" s="8" t="n">
        <f aca="false">IFERROR(D107/VLOOKUP(A107,'Dados-Status-Invest'!$1:$1000,14,FALSE()),"")</f>
        <v>11375592611</v>
      </c>
      <c r="J107" s="9" t="n">
        <f aca="false">IFERROR(D107/VLOOKUP(A107,'Dados-Status-Invest'!$1:$1000,10,FALSE()),"")</f>
        <v>127601658.3</v>
      </c>
      <c r="K107" s="10" t="n">
        <f aca="false">IFERROR(VLOOKUP(A107,'Dados-Status-Invest'!$1:$1000,3,FALSE())/100,"")</f>
        <v>0</v>
      </c>
      <c r="L107" s="11" t="n">
        <f aca="false">IFERROR(VLOOKUP(A107,'Dados-Status-Invest'!$1:$1000,MATCH(L$1,'Dados-Status-Invest'!$2:$2,0),FALSE())/100,"")</f>
        <v>-0.0289</v>
      </c>
      <c r="M107" s="10" t="n">
        <f aca="false">IFERROR(VLOOKUP(A107,'Dados-Status-Invest'!$1:$1000,MATCH(M$1,'Dados-Status-Invest'!$2:$2,0),FALSE())/100,"")</f>
        <v>-0.0136</v>
      </c>
      <c r="N107" s="10" t="n">
        <f aca="false">IFERROR(VLOOKUP(A107,'Dados-Status-Invest'!$1:$1000,MATCH(N$1,'Dados-Status-Invest'!$2:$2,0),FALSE())/100,"")</f>
        <v>0.006</v>
      </c>
      <c r="O107" s="10" t="n">
        <f aca="false">IFERROR(VLOOKUP(A107,'Dados-Status-Invest'!$1:$1000,MATCH(O$1,'Dados-Status-Invest'!$2:$2,0),FALSE())/100,"")</f>
        <v>0.2859</v>
      </c>
      <c r="P107" s="10" t="n">
        <f aca="false">IFERROR(VLOOKUP(A107,'Dados-Status-Invest'!$1:$1000,MATCH(P$1,'Dados-Status-Invest'!$2:$2,0),FALSE())/100,"")</f>
        <v>0.0112</v>
      </c>
      <c r="Q107" s="10" t="n">
        <f aca="false">IFERROR(VLOOKUP(A107,'Dados-Status-Invest'!$1:$1000,MATCH(Q$1,'Dados-Status-Invest'!$2:$2,0),FALSE())/100,"")</f>
        <v>-0.0234</v>
      </c>
      <c r="R107" s="12" t="n">
        <f aca="false">IFERROR(VLOOKUP(A107,'Dados-Status-Invest'!$1:$1000,MATCH(R$1,'Dados-Status-Invest'!$2:$2,0),FALSE()),"")</f>
        <v>-142.92</v>
      </c>
      <c r="S107" s="12" t="n">
        <f aca="false">IFERROR(VLOOKUP(A107,'Dados-Status-Invest'!$1:$1000,MATCH(S$1,'Dados-Status-Invest'!$2:$2,0),FALSE()),"")</f>
        <v>4.12</v>
      </c>
      <c r="T107" s="12" t="n">
        <f aca="false">IFERROR(VLOOKUP(A107,'Dados-Status-Invest'!$1:$1000,MATCH(T$1,'Dados-Status-Invest'!$2:$2,0),FALSE()),"")</f>
        <v>280.99</v>
      </c>
      <c r="U107" s="12" t="n">
        <f aca="false">IFERROR(VLOOKUP(A107,'Dados-Status-Invest'!$1:$1000,MATCH(U$1,'Dados-Status-Invest'!$2:$2,0),FALSE()),"")</f>
        <v>2.38</v>
      </c>
      <c r="V107" s="12" t="n">
        <f aca="false">IFERROR(VLOOKUP(A107,'Dados-Status-Invest'!$1:$1000,MATCH(V$1,'Dados-Status-Invest'!$2:$2,0),FALSE()),"")</f>
        <v>-17.92</v>
      </c>
      <c r="W107" s="10" t="n">
        <f aca="false">IFERROR(VLOOKUP(A107,'Dados-Status-Invest'!$1:$1000,MATCH(W$1,'Dados-Status-Invest'!$2:$2,0),FALSE())/100,"")</f>
        <v>0.0235</v>
      </c>
      <c r="X107" s="10" t="n">
        <f aca="false">IFERROR(VLOOKUP(A107,'Dados-Status-Invest'!$1:$1000,MATCH(X$1,'Dados-Status-Invest'!$2:$2,0),FALSE())/100,"")</f>
        <v>0</v>
      </c>
    </row>
    <row r="108" customFormat="false" ht="15.75" hidden="false" customHeight="false" outlineLevel="0" collapsed="false">
      <c r="A108" s="6" t="s">
        <v>138</v>
      </c>
      <c r="B108" s="7" t="str">
        <f aca="false">IFERROR(VLOOKUP(LEFT(A108,4),Setor!A:D,2,FALSE()),"")</f>
        <v>Bens Industriais</v>
      </c>
      <c r="C108" s="8" t="n">
        <f aca="false">IFERROR(__xludf.dummyfunction("IFERROR(IFERROR(GOOGLEFINANCE(A114,""price""),VLOOKUP(A114,'Dados-Status-Invest'!A:B,2,FALSE)),"""")"),11091.73)</f>
        <v>11091.73</v>
      </c>
      <c r="D108" s="8" t="n">
        <f aca="false">IFERROR(VLOOKUP(A108,'Dados-Status-Invest'!$1:$1000,MATCH(D$1,'Dados-Status-Invest'!$2:$2,0),FALSE()),"")</f>
        <v>274771902.3</v>
      </c>
      <c r="E108" s="8" t="n">
        <f aca="false">IF(D108+H108&gt;0,D108+H108,"")</f>
        <v>274792870.33972</v>
      </c>
      <c r="F108" s="8" t="n">
        <f aca="false">IFERROR(D108/VLOOKUP(A108,'Dados-Status-Invest'!$1:$1000,5,FALSE()),"")</f>
        <v>63164.6477</v>
      </c>
      <c r="G108" s="8" t="n">
        <f aca="false">IFERROR(D108/VLOOKUP(A108,'Dados-Status-Invest'!$1:$1000,6,FALSE()),"")</f>
        <v>325779.1427</v>
      </c>
      <c r="H108" s="8" t="n">
        <f aca="false">IFERROR(VLOOKUP(A108,'Dados-Status-Invest'!$1:$1000,12,FALSE())*J108,"")</f>
        <v>20968.03972</v>
      </c>
      <c r="I108" s="8" t="n">
        <f aca="false">IFERROR(D108/VLOOKUP(A108,'Dados-Status-Invest'!$1:$1000,14,FALSE()),"")</f>
        <v>916914.9475</v>
      </c>
      <c r="J108" s="9" t="n">
        <f aca="false">IFERROR(D108/VLOOKUP(A108,'Dados-Status-Invest'!$1:$1000,10,FALSE()),"")</f>
        <v>83872.1589</v>
      </c>
      <c r="K108" s="10" t="n">
        <f aca="false">IFERROR(VLOOKUP(A108,'Dados-Status-Invest'!$1:$1000,3,FALSE())/100,"")</f>
        <v>0</v>
      </c>
      <c r="L108" s="11" t="n">
        <f aca="false">IFERROR(VLOOKUP(A108,'Dados-Status-Invest'!$1:$1000,MATCH(L$1,'Dados-Status-Invest'!$2:$2,0),FALSE())/100,"")</f>
        <v>0.7412</v>
      </c>
      <c r="M108" s="10" t="n">
        <f aca="false">IFERROR(VLOOKUP(A108,'Dados-Status-Invest'!$1:$1000,MATCH(M$1,'Dados-Status-Invest'!$2:$2,0),FALSE())/100,"")</f>
        <v>0.1437</v>
      </c>
      <c r="N108" s="10" t="n">
        <f aca="false">IFERROR(VLOOKUP(A108,'Dados-Status-Invest'!$1:$1000,MATCH(N$1,'Dados-Status-Invest'!$2:$2,0),FALSE())/100,"")</f>
        <v>0.5178</v>
      </c>
      <c r="O108" s="10" t="n">
        <f aca="false">IFERROR(VLOOKUP(A108,'Dados-Status-Invest'!$1:$1000,MATCH(O$1,'Dados-Status-Invest'!$2:$2,0),FALSE())/100,"")</f>
        <v>0.1764</v>
      </c>
      <c r="P108" s="10" t="n">
        <f aca="false">IFERROR(VLOOKUP(A108,'Dados-Status-Invest'!$1:$1000,MATCH(P$1,'Dados-Status-Invest'!$2:$2,0),FALSE())/100,"")</f>
        <v>0.0915</v>
      </c>
      <c r="Q108" s="10" t="n">
        <f aca="false">IFERROR(VLOOKUP(A108,'Dados-Status-Invest'!$1:$1000,MATCH(Q$1,'Dados-Status-Invest'!$2:$2,0),FALSE())/100,"")</f>
        <v>0.0511</v>
      </c>
      <c r="R108" s="12" t="n">
        <f aca="false">IFERROR(VLOOKUP(A108,'Dados-Status-Invest'!$1:$1000,MATCH(R$1,'Dados-Status-Invest'!$2:$2,0),FALSE()),"")</f>
        <v>5869.16</v>
      </c>
      <c r="S108" s="12" t="n">
        <f aca="false">IFERROR(VLOOKUP(A108,'Dados-Status-Invest'!$1:$1000,MATCH(S$1,'Dados-Status-Invest'!$2:$2,0),FALSE()),"")</f>
        <v>4350.09</v>
      </c>
      <c r="T108" s="12" t="n">
        <f aca="false">IFERROR(VLOOKUP(A108,'Dados-Status-Invest'!$1:$1000,MATCH(T$1,'Dados-Status-Invest'!$2:$2,0),FALSE()),"")</f>
        <v>5.71</v>
      </c>
      <c r="U108" s="12" t="n">
        <f aca="false">IFERROR(VLOOKUP(A108,'Dados-Status-Invest'!$1:$1000,MATCH(U$1,'Dados-Status-Invest'!$2:$2,0),FALSE()),"")</f>
        <v>1.17</v>
      </c>
      <c r="V108" s="12" t="n">
        <f aca="false">IFERROR(VLOOKUP(A108,'Dados-Status-Invest'!$1:$1000,MATCH(V$1,'Dados-Status-Invest'!$2:$2,0),FALSE()),"")</f>
        <v>0.25</v>
      </c>
      <c r="W108" s="10" t="n">
        <f aca="false">IFERROR(VLOOKUP(A108,'Dados-Status-Invest'!$1:$1000,MATCH(W$1,'Dados-Status-Invest'!$2:$2,0),FALSE())/100,"")</f>
        <v>0.0592</v>
      </c>
      <c r="X108" s="10" t="n">
        <f aca="false">IFERROR(VLOOKUP(A108,'Dados-Status-Invest'!$1:$1000,MATCH(X$1,'Dados-Status-Invest'!$2:$2,0),FALSE())/100,"")</f>
        <v>-0.2436</v>
      </c>
    </row>
    <row r="109" customFormat="false" ht="15.75" hidden="false" customHeight="false" outlineLevel="0" collapsed="false">
      <c r="A109" s="6" t="s">
        <v>139</v>
      </c>
      <c r="B109" s="7" t="str">
        <f aca="false">IFERROR(VLOOKUP(LEFT(A109,4),Setor!A:D,2,FALSE()),"")</f>
        <v>Consumo Cíclico</v>
      </c>
      <c r="C109" s="8" t="n">
        <f aca="false">IFERROR(__xludf.dummyfunction("IFERROR(IFERROR(GOOGLEFINANCE(A115,""price""),VLOOKUP(A115,'Dados-Status-Invest'!A:B,2,FALSE)),"""")"),0)</f>
        <v>0</v>
      </c>
      <c r="D109" s="8" t="n">
        <f aca="false">IFERROR(VLOOKUP(A109,'Dados-Status-Invest'!$1:$1000,MATCH(D$1,'Dados-Status-Invest'!$2:$2,0),FALSE()),"")</f>
        <v>24582197.2</v>
      </c>
      <c r="E109" s="8" t="n">
        <f aca="false">IF(D109+H109&gt;0,D109+H109,"")</f>
        <v>45406154.64</v>
      </c>
      <c r="F109" s="8" t="n">
        <f aca="false">IFERROR(D109/VLOOKUP(A109,'Dados-Status-Invest'!$1:$1000,5,FALSE()),"")</f>
        <v>2412384.416</v>
      </c>
      <c r="G109" s="8" t="n">
        <f aca="false">IFERROR(D109/VLOOKUP(A109,'Dados-Status-Invest'!$1:$1000,6,FALSE()),"")</f>
        <v>84766197.24</v>
      </c>
      <c r="H109" s="8" t="n">
        <f aca="false">IFERROR(VLOOKUP(A109,'Dados-Status-Invest'!$1:$1000,12,FALSE())*J109,"")</f>
        <v>20823957.44</v>
      </c>
      <c r="I109" s="8" t="n">
        <f aca="false">IFERROR(D109/VLOOKUP(A109,'Dados-Status-Invest'!$1:$1000,14,FALSE()),"")</f>
        <v>28255399.08</v>
      </c>
      <c r="J109" s="9" t="n">
        <f aca="false">IFERROR(D109/VLOOKUP(A109,'Dados-Status-Invest'!$1:$1000,10,FALSE()),"")</f>
        <v>2363672.808</v>
      </c>
      <c r="K109" s="10" t="n">
        <f aca="false">IFERROR(VLOOKUP(A109,'Dados-Status-Invest'!$1:$1000,3,FALSE())/100,"")</f>
        <v>0</v>
      </c>
      <c r="L109" s="11" t="n">
        <f aca="false">IFERROR(VLOOKUP(A109,'Dados-Status-Invest'!$1:$1000,MATCH(L$1,'Dados-Status-Invest'!$2:$2,0),FALSE())/100,"")</f>
        <v>0.2185</v>
      </c>
      <c r="M109" s="10" t="n">
        <f aca="false">IFERROR(VLOOKUP(A109,'Dados-Status-Invest'!$1:$1000,MATCH(M$1,'Dados-Status-Invest'!$2:$2,0),FALSE())/100,"")</f>
        <v>0.0063</v>
      </c>
      <c r="N109" s="10" t="n">
        <f aca="false">IFERROR(VLOOKUP(A109,'Dados-Status-Invest'!$1:$1000,MATCH(N$1,'Dados-Status-Invest'!$2:$2,0),FALSE())/100,"")</f>
        <v>0.0722</v>
      </c>
      <c r="O109" s="10" t="n">
        <f aca="false">IFERROR(VLOOKUP(A109,'Dados-Status-Invest'!$1:$1000,MATCH(O$1,'Dados-Status-Invest'!$2:$2,0),FALSE())/100,"")</f>
        <v>0.2386</v>
      </c>
      <c r="P109" s="10" t="n">
        <f aca="false">IFERROR(VLOOKUP(A109,'Dados-Status-Invest'!$1:$1000,MATCH(P$1,'Dados-Status-Invest'!$2:$2,0),FALSE())/100,"")</f>
        <v>0.0841</v>
      </c>
      <c r="Q109" s="10" t="n">
        <f aca="false">IFERROR(VLOOKUP(A109,'Dados-Status-Invest'!$1:$1000,MATCH(Q$1,'Dados-Status-Invest'!$2:$2,0),FALSE())/100,"")</f>
        <v>0.0187</v>
      </c>
      <c r="R109" s="12" t="n">
        <f aca="false">IFERROR(VLOOKUP(A109,'Dados-Status-Invest'!$1:$1000,MATCH(R$1,'Dados-Status-Invest'!$2:$2,0),FALSE()),"")</f>
        <v>46.66</v>
      </c>
      <c r="S109" s="12" t="n">
        <f aca="false">IFERROR(VLOOKUP(A109,'Dados-Status-Invest'!$1:$1000,MATCH(S$1,'Dados-Status-Invest'!$2:$2,0),FALSE()),"")</f>
        <v>10.19</v>
      </c>
      <c r="T109" s="12" t="n">
        <f aca="false">IFERROR(VLOOKUP(A109,'Dados-Status-Invest'!$1:$1000,MATCH(T$1,'Dados-Status-Invest'!$2:$2,0),FALSE()),"")</f>
        <v>15.81</v>
      </c>
      <c r="U109" s="12" t="n">
        <f aca="false">IFERROR(VLOOKUP(A109,'Dados-Status-Invest'!$1:$1000,MATCH(U$1,'Dados-Status-Invest'!$2:$2,0),FALSE()),"")</f>
        <v>2.2</v>
      </c>
      <c r="V109" s="12" t="n">
        <f aca="false">IFERROR(VLOOKUP(A109,'Dados-Status-Invest'!$1:$1000,MATCH(V$1,'Dados-Status-Invest'!$2:$2,0),FALSE()),"")</f>
        <v>8.81</v>
      </c>
      <c r="W109" s="10" t="n">
        <f aca="false">IFERROR(VLOOKUP(A109,'Dados-Status-Invest'!$1:$1000,MATCH(W$1,'Dados-Status-Invest'!$2:$2,0),FALSE())/100,"")</f>
        <v>-0.0797</v>
      </c>
      <c r="X109" s="10" t="n">
        <f aca="false">IFERROR(VLOOKUP(A109,'Dados-Status-Invest'!$1:$1000,MATCH(X$1,'Dados-Status-Invest'!$2:$2,0),FALSE())/100,"")</f>
        <v>-0.3318</v>
      </c>
    </row>
    <row r="110" customFormat="false" ht="15.75" hidden="false" customHeight="false" outlineLevel="0" collapsed="false">
      <c r="A110" s="6" t="s">
        <v>140</v>
      </c>
      <c r="B110" s="7" t="str">
        <f aca="false">IFERROR(VLOOKUP(LEFT(A110,4),Setor!A:D,2,FALSE()),"")</f>
        <v>Consumo Cíclico</v>
      </c>
      <c r="C110" s="8" t="n">
        <f aca="false">IFERROR(__xludf.dummyfunction("IFERROR(IFERROR(GOOGLEFINANCE(A116,""price""),VLOOKUP(A116,'Dados-Status-Invest'!A:B,2,FALSE)),"""")"),50)</f>
        <v>50</v>
      </c>
      <c r="D110" s="8" t="n">
        <f aca="false">IFERROR(VLOOKUP(A110,'Dados-Status-Invest'!$1:$1000,MATCH(D$1,'Dados-Status-Invest'!$2:$2,0),FALSE()),"")</f>
        <v>24582197.2</v>
      </c>
      <c r="E110" s="8" t="n">
        <f aca="false">IF(D110+H110&gt;0,D110+H110,"")</f>
        <v>65521546.41</v>
      </c>
      <c r="F110" s="8" t="n">
        <f aca="false">IFERROR(D110/VLOOKUP(A110,'Dados-Status-Invest'!$1:$1000,5,FALSE()),"")</f>
        <v>4736454.181</v>
      </c>
      <c r="G110" s="8" t="n">
        <f aca="false">IFERROR(D110/VLOOKUP(A110,'Dados-Status-Invest'!$1:$1000,6,FALSE()),"")</f>
        <v>163881314.7</v>
      </c>
      <c r="H110" s="8" t="n">
        <f aca="false">IFERROR(VLOOKUP(A110,'Dados-Status-Invest'!$1:$1000,12,FALSE())*J110,"")</f>
        <v>40939349.21</v>
      </c>
      <c r="I110" s="8" t="n">
        <f aca="false">IFERROR(D110/VLOOKUP(A110,'Dados-Status-Invest'!$1:$1000,14,FALSE()),"")</f>
        <v>54627104.89</v>
      </c>
      <c r="J110" s="9" t="n">
        <f aca="false">IFERROR(D110/VLOOKUP(A110,'Dados-Status-Invest'!$1:$1000,10,FALSE()),"")</f>
        <v>4646918.185</v>
      </c>
      <c r="K110" s="10" t="n">
        <f aca="false">IFERROR(VLOOKUP(A110,'Dados-Status-Invest'!$1:$1000,3,FALSE())/100,"")</f>
        <v>0</v>
      </c>
      <c r="L110" s="11" t="n">
        <f aca="false">IFERROR(VLOOKUP(A110,'Dados-Status-Invest'!$1:$1000,MATCH(L$1,'Dados-Status-Invest'!$2:$2,0),FALSE())/100,"")</f>
        <v>0.2185</v>
      </c>
      <c r="M110" s="10" t="n">
        <f aca="false">IFERROR(VLOOKUP(A110,'Dados-Status-Invest'!$1:$1000,MATCH(M$1,'Dados-Status-Invest'!$2:$2,0),FALSE())/100,"")</f>
        <v>0.0063</v>
      </c>
      <c r="N110" s="10" t="n">
        <f aca="false">IFERROR(VLOOKUP(A110,'Dados-Status-Invest'!$1:$1000,MATCH(N$1,'Dados-Status-Invest'!$2:$2,0),FALSE())/100,"")</f>
        <v>0.0722</v>
      </c>
      <c r="O110" s="10" t="n">
        <f aca="false">IFERROR(VLOOKUP(A110,'Dados-Status-Invest'!$1:$1000,MATCH(O$1,'Dados-Status-Invest'!$2:$2,0),FALSE())/100,"")</f>
        <v>0.2386</v>
      </c>
      <c r="P110" s="10" t="n">
        <f aca="false">IFERROR(VLOOKUP(A110,'Dados-Status-Invest'!$1:$1000,MATCH(P$1,'Dados-Status-Invest'!$2:$2,0),FALSE())/100,"")</f>
        <v>0.0841</v>
      </c>
      <c r="Q110" s="10" t="n">
        <f aca="false">IFERROR(VLOOKUP(A110,'Dados-Status-Invest'!$1:$1000,MATCH(Q$1,'Dados-Status-Invest'!$2:$2,0),FALSE())/100,"")</f>
        <v>0.0187</v>
      </c>
      <c r="R110" s="12" t="n">
        <f aca="false">IFERROR(VLOOKUP(A110,'Dados-Status-Invest'!$1:$1000,MATCH(R$1,'Dados-Status-Invest'!$2:$2,0),FALSE()),"")</f>
        <v>23.76</v>
      </c>
      <c r="S110" s="12" t="n">
        <f aca="false">IFERROR(VLOOKUP(A110,'Dados-Status-Invest'!$1:$1000,MATCH(S$1,'Dados-Status-Invest'!$2:$2,0),FALSE()),"")</f>
        <v>5.19</v>
      </c>
      <c r="T110" s="12" t="n">
        <f aca="false">IFERROR(VLOOKUP(A110,'Dados-Status-Invest'!$1:$1000,MATCH(T$1,'Dados-Status-Invest'!$2:$2,0),FALSE()),"")</f>
        <v>15.81</v>
      </c>
      <c r="U110" s="12" t="n">
        <f aca="false">IFERROR(VLOOKUP(A110,'Dados-Status-Invest'!$1:$1000,MATCH(U$1,'Dados-Status-Invest'!$2:$2,0),FALSE()),"")</f>
        <v>2.2</v>
      </c>
      <c r="V110" s="12" t="n">
        <f aca="false">IFERROR(VLOOKUP(A110,'Dados-Status-Invest'!$1:$1000,MATCH(V$1,'Dados-Status-Invest'!$2:$2,0),FALSE()),"")</f>
        <v>8.81</v>
      </c>
      <c r="W110" s="10" t="n">
        <f aca="false">IFERROR(VLOOKUP(A110,'Dados-Status-Invest'!$1:$1000,MATCH(W$1,'Dados-Status-Invest'!$2:$2,0),FALSE())/100,"")</f>
        <v>-0.0797</v>
      </c>
      <c r="X110" s="10" t="n">
        <f aca="false">IFERROR(VLOOKUP(A110,'Dados-Status-Invest'!$1:$1000,MATCH(X$1,'Dados-Status-Invest'!$2:$2,0),FALSE())/100,"")</f>
        <v>-0.3318</v>
      </c>
    </row>
    <row r="111" customFormat="false" ht="15.75" hidden="false" customHeight="false" outlineLevel="0" collapsed="false">
      <c r="A111" s="6" t="s">
        <v>141</v>
      </c>
      <c r="B111" s="7" t="str">
        <f aca="false">IFERROR(VLOOKUP(LEFT(A111,4),Setor!A:D,2,FALSE()),"")</f>
        <v>Consumo Cíclico</v>
      </c>
      <c r="C111" s="8" t="n">
        <f aca="false">IFERROR(__xludf.dummyfunction("IFERROR(IFERROR(GOOGLEFINANCE(A117,""price""),VLOOKUP(A117,'Dados-Status-Invest'!A:B,2,FALSE)),"""")"),4.87)</f>
        <v>4.87</v>
      </c>
      <c r="D111" s="8" t="n">
        <f aca="false">IFERROR(VLOOKUP(A111,'Dados-Status-Invest'!$1:$1000,MATCH(D$1,'Dados-Status-Invest'!$2:$2,0),FALSE()),"")</f>
        <v>253590480</v>
      </c>
      <c r="E111" s="8" t="n">
        <f aca="false">IF(D111+H111&gt;0,D111+H111,"")</f>
        <v>314662866.92</v>
      </c>
      <c r="F111" s="8" t="n">
        <f aca="false">IFERROR(D111/VLOOKUP(A111,'Dados-Status-Invest'!$1:$1000,5,FALSE()),"")</f>
        <v>98673338.52</v>
      </c>
      <c r="G111" s="8" t="n">
        <f aca="false">IFERROR(D111/VLOOKUP(A111,'Dados-Status-Invest'!$1:$1000,6,FALSE()),"")</f>
        <v>275641826.1</v>
      </c>
      <c r="H111" s="8" t="n">
        <f aca="false">IFERROR(VLOOKUP(A111,'Dados-Status-Invest'!$1:$1000,12,FALSE())*J111,"")</f>
        <v>61072386.92</v>
      </c>
      <c r="I111" s="8" t="n">
        <f aca="false">IFERROR(D111/VLOOKUP(A111,'Dados-Status-Invest'!$1:$1000,14,FALSE()),"")</f>
        <v>144908845.7</v>
      </c>
      <c r="J111" s="9" t="n">
        <f aca="false">IFERROR(D111/VLOOKUP(A111,'Dados-Status-Invest'!$1:$1000,10,FALSE()),"")</f>
        <v>11205942.55</v>
      </c>
      <c r="K111" s="10" t="n">
        <f aca="false">IFERROR(VLOOKUP(A111,'Dados-Status-Invest'!$1:$1000,3,FALSE())/100,"")</f>
        <v>0</v>
      </c>
      <c r="L111" s="11" t="n">
        <f aca="false">IFERROR(VLOOKUP(A111,'Dados-Status-Invest'!$1:$1000,MATCH(L$1,'Dados-Status-Invest'!$2:$2,0),FALSE())/100,"")</f>
        <v>0.1547</v>
      </c>
      <c r="M111" s="10" t="n">
        <f aca="false">IFERROR(VLOOKUP(A111,'Dados-Status-Invest'!$1:$1000,MATCH(M$1,'Dados-Status-Invest'!$2:$2,0),FALSE())/100,"")</f>
        <v>0.0554</v>
      </c>
      <c r="N111" s="10" t="n">
        <f aca="false">IFERROR(VLOOKUP(A111,'Dados-Status-Invest'!$1:$1000,MATCH(N$1,'Dados-Status-Invest'!$2:$2,0),FALSE())/100,"")</f>
        <v>0.0158</v>
      </c>
      <c r="O111" s="10" t="n">
        <f aca="false">IFERROR(VLOOKUP(A111,'Dados-Status-Invest'!$1:$1000,MATCH(O$1,'Dados-Status-Invest'!$2:$2,0),FALSE())/100,"")</f>
        <v>0.4454</v>
      </c>
      <c r="P111" s="10" t="n">
        <f aca="false">IFERROR(VLOOKUP(A111,'Dados-Status-Invest'!$1:$1000,MATCH(P$1,'Dados-Status-Invest'!$2:$2,0),FALSE())/100,"")</f>
        <v>0.0773</v>
      </c>
      <c r="Q111" s="10" t="n">
        <f aca="false">IFERROR(VLOOKUP(A111,'Dados-Status-Invest'!$1:$1000,MATCH(Q$1,'Dados-Status-Invest'!$2:$2,0),FALSE())/100,"")</f>
        <v>0.1053</v>
      </c>
      <c r="R111" s="12" t="n">
        <f aca="false">IFERROR(VLOOKUP(A111,'Dados-Status-Invest'!$1:$1000,MATCH(R$1,'Dados-Status-Invest'!$2:$2,0),FALSE()),"")</f>
        <v>16.59</v>
      </c>
      <c r="S111" s="12" t="n">
        <f aca="false">IFERROR(VLOOKUP(A111,'Dados-Status-Invest'!$1:$1000,MATCH(S$1,'Dados-Status-Invest'!$2:$2,0),FALSE()),"")</f>
        <v>2.57</v>
      </c>
      <c r="T111" s="12" t="n">
        <f aca="false">IFERROR(VLOOKUP(A111,'Dados-Status-Invest'!$1:$1000,MATCH(T$1,'Dados-Status-Invest'!$2:$2,0),FALSE()),"")</f>
        <v>28.08</v>
      </c>
      <c r="U111" s="12" t="n">
        <f aca="false">IFERROR(VLOOKUP(A111,'Dados-Status-Invest'!$1:$1000,MATCH(U$1,'Dados-Status-Invest'!$2:$2,0),FALSE()),"")</f>
        <v>0.93</v>
      </c>
      <c r="V111" s="12" t="n">
        <f aca="false">IFERROR(VLOOKUP(A111,'Dados-Status-Invest'!$1:$1000,MATCH(V$1,'Dados-Status-Invest'!$2:$2,0),FALSE()),"")</f>
        <v>5.45</v>
      </c>
      <c r="W111" s="10" t="n">
        <f aca="false">IFERROR(VLOOKUP(A111,'Dados-Status-Invest'!$1:$1000,MATCH(W$1,'Dados-Status-Invest'!$2:$2,0),FALSE())/100,"")</f>
        <v>-0.1136</v>
      </c>
      <c r="X111" s="10" t="n">
        <f aca="false">IFERROR(VLOOKUP(A111,'Dados-Status-Invest'!$1:$1000,MATCH(X$1,'Dados-Status-Invest'!$2:$2,0),FALSE())/100,"")</f>
        <v>0</v>
      </c>
    </row>
    <row r="112" customFormat="false" ht="15.75" hidden="false" customHeight="false" outlineLevel="0" collapsed="false">
      <c r="A112" s="6" t="s">
        <v>142</v>
      </c>
      <c r="B112" s="7" t="str">
        <f aca="false">IFERROR(VLOOKUP(LEFT(A112,4),Setor!A:D,2,FALSE()),"")</f>
        <v>Consumo Cíclico</v>
      </c>
      <c r="C112" s="8" t="n">
        <f aca="false">IFERROR(__xludf.dummyfunction("IFERROR(IFERROR(GOOGLEFINANCE(A118,""price""),VLOOKUP(A118,'Dados-Status-Invest'!A:B,2,FALSE)),"""")"),6.25)</f>
        <v>6.25</v>
      </c>
      <c r="D112" s="8" t="n">
        <f aca="false">IFERROR(VLOOKUP(A112,'Dados-Status-Invest'!$1:$1000,MATCH(D$1,'Dados-Status-Invest'!$2:$2,0),FALSE()),"")</f>
        <v>253590480</v>
      </c>
      <c r="E112" s="8" t="n">
        <f aca="false">IF(D112+H112&gt;0,D112+H112,"")</f>
        <v>312227226.54</v>
      </c>
      <c r="F112" s="8" t="n">
        <f aca="false">IFERROR(D112/VLOOKUP(A112,'Dados-Status-Invest'!$1:$1000,5,FALSE()),"")</f>
        <v>94977707.87</v>
      </c>
      <c r="G112" s="8" t="n">
        <f aca="false">IFERROR(D112/VLOOKUP(A112,'Dados-Status-Invest'!$1:$1000,6,FALSE()),"")</f>
        <v>264156750</v>
      </c>
      <c r="H112" s="8" t="n">
        <f aca="false">IFERROR(VLOOKUP(A112,'Dados-Status-Invest'!$1:$1000,12,FALSE())*J112,"")</f>
        <v>58636746.54</v>
      </c>
      <c r="I112" s="8" t="n">
        <f aca="false">IFERROR(D112/VLOOKUP(A112,'Dados-Status-Invest'!$1:$1000,14,FALSE()),"")</f>
        <v>139335428.6</v>
      </c>
      <c r="J112" s="9" t="n">
        <f aca="false">IFERROR(D112/VLOOKUP(A112,'Dados-Status-Invest'!$1:$1000,10,FALSE()),"")</f>
        <v>10759036.06</v>
      </c>
      <c r="K112" s="10" t="n">
        <f aca="false">IFERROR(VLOOKUP(A112,'Dados-Status-Invest'!$1:$1000,3,FALSE())/100,"")</f>
        <v>0</v>
      </c>
      <c r="L112" s="11" t="n">
        <f aca="false">IFERROR(VLOOKUP(A112,'Dados-Status-Invest'!$1:$1000,MATCH(L$1,'Dados-Status-Invest'!$2:$2,0),FALSE())/100,"")</f>
        <v>0.1547</v>
      </c>
      <c r="M112" s="10" t="n">
        <f aca="false">IFERROR(VLOOKUP(A112,'Dados-Status-Invest'!$1:$1000,MATCH(M$1,'Dados-Status-Invest'!$2:$2,0),FALSE())/100,"")</f>
        <v>0.0554</v>
      </c>
      <c r="N112" s="10" t="n">
        <f aca="false">IFERROR(VLOOKUP(A112,'Dados-Status-Invest'!$1:$1000,MATCH(N$1,'Dados-Status-Invest'!$2:$2,0),FALSE())/100,"")</f>
        <v>0.0158</v>
      </c>
      <c r="O112" s="10" t="n">
        <f aca="false">IFERROR(VLOOKUP(A112,'Dados-Status-Invest'!$1:$1000,MATCH(O$1,'Dados-Status-Invest'!$2:$2,0),FALSE())/100,"")</f>
        <v>0.4454</v>
      </c>
      <c r="P112" s="10" t="n">
        <f aca="false">IFERROR(VLOOKUP(A112,'Dados-Status-Invest'!$1:$1000,MATCH(P$1,'Dados-Status-Invest'!$2:$2,0),FALSE())/100,"")</f>
        <v>0.0773</v>
      </c>
      <c r="Q112" s="10" t="n">
        <f aca="false">IFERROR(VLOOKUP(A112,'Dados-Status-Invest'!$1:$1000,MATCH(Q$1,'Dados-Status-Invest'!$2:$2,0),FALSE())/100,"")</f>
        <v>0.1053</v>
      </c>
      <c r="R112" s="12" t="n">
        <f aca="false">IFERROR(VLOOKUP(A112,'Dados-Status-Invest'!$1:$1000,MATCH(R$1,'Dados-Status-Invest'!$2:$2,0),FALSE()),"")</f>
        <v>17.29</v>
      </c>
      <c r="S112" s="12" t="n">
        <f aca="false">IFERROR(VLOOKUP(A112,'Dados-Status-Invest'!$1:$1000,MATCH(S$1,'Dados-Status-Invest'!$2:$2,0),FALSE()),"")</f>
        <v>2.67</v>
      </c>
      <c r="T112" s="12" t="n">
        <f aca="false">IFERROR(VLOOKUP(A112,'Dados-Status-Invest'!$1:$1000,MATCH(T$1,'Dados-Status-Invest'!$2:$2,0),FALSE()),"")</f>
        <v>28.08</v>
      </c>
      <c r="U112" s="12" t="n">
        <f aca="false">IFERROR(VLOOKUP(A112,'Dados-Status-Invest'!$1:$1000,MATCH(U$1,'Dados-Status-Invest'!$2:$2,0),FALSE()),"")</f>
        <v>0.93</v>
      </c>
      <c r="V112" s="12" t="n">
        <f aca="false">IFERROR(VLOOKUP(A112,'Dados-Status-Invest'!$1:$1000,MATCH(V$1,'Dados-Status-Invest'!$2:$2,0),FALSE()),"")</f>
        <v>5.45</v>
      </c>
      <c r="W112" s="10" t="n">
        <f aca="false">IFERROR(VLOOKUP(A112,'Dados-Status-Invest'!$1:$1000,MATCH(W$1,'Dados-Status-Invest'!$2:$2,0),FALSE())/100,"")</f>
        <v>-0.1136</v>
      </c>
      <c r="X112" s="10" t="n">
        <f aca="false">IFERROR(VLOOKUP(A112,'Dados-Status-Invest'!$1:$1000,MATCH(X$1,'Dados-Status-Invest'!$2:$2,0),FALSE())/100,"")</f>
        <v>0</v>
      </c>
    </row>
    <row r="113" customFormat="false" ht="15.75" hidden="false" customHeight="false" outlineLevel="0" collapsed="false">
      <c r="A113" s="6" t="s">
        <v>143</v>
      </c>
      <c r="B113" s="7" t="str">
        <f aca="false">IFERROR(VLOOKUP(LEFT(A113,4),Setor!A:D,2,FALSE()),"")</f>
        <v>Consumo não Cíclico</v>
      </c>
      <c r="C113" s="8" t="n">
        <f aca="false">IFERROR(__xludf.dummyfunction("IFERROR(IFERROR(GOOGLEFINANCE(A119,""price""),VLOOKUP(A119,'Dados-Status-Invest'!A:B,2,FALSE)),"""")"),8.99)</f>
        <v>8.99</v>
      </c>
      <c r="D113" s="8" t="n">
        <f aca="false">IFERROR(VLOOKUP(A113,'Dados-Status-Invest'!$1:$1000,MATCH(D$1,'Dados-Status-Invest'!$2:$2,0),FALSE()),"")</f>
        <v>3555700000</v>
      </c>
      <c r="E113" s="8" t="n">
        <f aca="false">IF(D113+H113&gt;0,D113+H113,"")</f>
        <v>4802987435</v>
      </c>
      <c r="F113" s="8" t="n">
        <f aca="false">IFERROR(D113/VLOOKUP(A113,'Dados-Status-Invest'!$1:$1000,5,FALSE()),"")</f>
        <v>2693712121</v>
      </c>
      <c r="G113" s="8" t="n">
        <f aca="false">IFERROR(D113/VLOOKUP(A113,'Dados-Status-Invest'!$1:$1000,6,FALSE()),"")</f>
        <v>6130517241</v>
      </c>
      <c r="H113" s="8" t="n">
        <f aca="false">IFERROR(VLOOKUP(A113,'Dados-Status-Invest'!$1:$1000,12,FALSE())*J113,"")</f>
        <v>1247287435</v>
      </c>
      <c r="I113" s="8" t="n">
        <f aca="false">IFERROR(D113/VLOOKUP(A113,'Dados-Status-Invest'!$1:$1000,14,FALSE()),"")</f>
        <v>7407708333</v>
      </c>
      <c r="J113" s="9" t="n">
        <f aca="false">IFERROR(D113/VLOOKUP(A113,'Dados-Status-Invest'!$1:$1000,10,FALSE()),"")</f>
        <v>620541012.2</v>
      </c>
      <c r="K113" s="10" t="n">
        <f aca="false">IFERROR(VLOOKUP(A113,'Dados-Status-Invest'!$1:$1000,3,FALSE())/100,"")</f>
        <v>0.0635</v>
      </c>
      <c r="L113" s="11" t="n">
        <f aca="false">IFERROR(VLOOKUP(A113,'Dados-Status-Invest'!$1:$1000,MATCH(L$1,'Dados-Status-Invest'!$2:$2,0),FALSE())/100,"")</f>
        <v>0.1708</v>
      </c>
      <c r="M113" s="10" t="n">
        <f aca="false">IFERROR(VLOOKUP(A113,'Dados-Status-Invest'!$1:$1000,MATCH(M$1,'Dados-Status-Invest'!$2:$2,0),FALSE())/100,"")</f>
        <v>0.075</v>
      </c>
      <c r="N113" s="10" t="n">
        <f aca="false">IFERROR(VLOOKUP(A113,'Dados-Status-Invest'!$1:$1000,MATCH(N$1,'Dados-Status-Invest'!$2:$2,0),FALSE())/100,"")</f>
        <v>0.108</v>
      </c>
      <c r="O113" s="10" t="n">
        <f aca="false">IFERROR(VLOOKUP(A113,'Dados-Status-Invest'!$1:$1000,MATCH(O$1,'Dados-Status-Invest'!$2:$2,0),FALSE())/100,"")</f>
        <v>0.2225</v>
      </c>
      <c r="P113" s="10" t="n">
        <f aca="false">IFERROR(VLOOKUP(A113,'Dados-Status-Invest'!$1:$1000,MATCH(P$1,'Dados-Status-Invest'!$2:$2,0),FALSE())/100,"")</f>
        <v>0.0833</v>
      </c>
      <c r="Q113" s="10" t="n">
        <f aca="false">IFERROR(VLOOKUP(A113,'Dados-Status-Invest'!$1:$1000,MATCH(Q$1,'Dados-Status-Invest'!$2:$2,0),FALSE())/100,"")</f>
        <v>0.062</v>
      </c>
      <c r="R113" s="12" t="n">
        <f aca="false">IFERROR(VLOOKUP(A113,'Dados-Status-Invest'!$1:$1000,MATCH(R$1,'Dados-Status-Invest'!$2:$2,0),FALSE()),"")</f>
        <v>7.71</v>
      </c>
      <c r="S113" s="12" t="n">
        <f aca="false">IFERROR(VLOOKUP(A113,'Dados-Status-Invest'!$1:$1000,MATCH(S$1,'Dados-Status-Invest'!$2:$2,0),FALSE()),"")</f>
        <v>1.32</v>
      </c>
      <c r="T113" s="12" t="n">
        <f aca="false">IFERROR(VLOOKUP(A113,'Dados-Status-Invest'!$1:$1000,MATCH(T$1,'Dados-Status-Invest'!$2:$2,0),FALSE()),"")</f>
        <v>7.72</v>
      </c>
      <c r="U113" s="12" t="n">
        <f aca="false">IFERROR(VLOOKUP(A113,'Dados-Status-Invest'!$1:$1000,MATCH(U$1,'Dados-Status-Invest'!$2:$2,0),FALSE()),"")</f>
        <v>2.38</v>
      </c>
      <c r="V113" s="12" t="n">
        <f aca="false">IFERROR(VLOOKUP(A113,'Dados-Status-Invest'!$1:$1000,MATCH(V$1,'Dados-Status-Invest'!$2:$2,0),FALSE()),"")</f>
        <v>2.01</v>
      </c>
      <c r="W113" s="10" t="n">
        <f aca="false">IFERROR(VLOOKUP(A113,'Dados-Status-Invest'!$1:$1000,MATCH(W$1,'Dados-Status-Invest'!$2:$2,0),FALSE())/100,"")</f>
        <v>0.1204</v>
      </c>
      <c r="X113" s="10" t="n">
        <f aca="false">IFERROR(VLOOKUP(A113,'Dados-Status-Invest'!$1:$1000,MATCH(X$1,'Dados-Status-Invest'!$2:$2,0),FALSE())/100,"")</f>
        <v>0.331</v>
      </c>
    </row>
    <row r="114" customFormat="false" ht="15.75" hidden="false" customHeight="false" outlineLevel="0" collapsed="false">
      <c r="A114" s="6" t="s">
        <v>144</v>
      </c>
      <c r="B114" s="7" t="str">
        <f aca="false">IFERROR(VLOOKUP(LEFT(A114,4),Setor!A:D,2,FALSE()),"")</f>
        <v>Bens Industriais</v>
      </c>
      <c r="C114" s="8" t="n">
        <f aca="false">IFERROR(__xludf.dummyfunction("IFERROR(IFERROR(GOOGLEFINANCE(A120,""price""),VLOOKUP(A120,'Dados-Status-Invest'!A:B,2,FALSE)),"""")"),13.49)</f>
        <v>13.49</v>
      </c>
      <c r="D114" s="8" t="n">
        <f aca="false">IFERROR(VLOOKUP(A114,'Dados-Status-Invest'!$1:$1000,MATCH(D$1,'Dados-Status-Invest'!$2:$2,0),FALSE()),"")</f>
        <v>974358000</v>
      </c>
      <c r="E114" s="8" t="n">
        <f aca="false">IF(D114+H114&gt;0,D114+H114,"")</f>
        <v>1029883475.41</v>
      </c>
      <c r="F114" s="8" t="n">
        <f aca="false">IFERROR(D114/VLOOKUP(A114,'Dados-Status-Invest'!$1:$1000,5,FALSE()),"")</f>
        <v>301658823.5</v>
      </c>
      <c r="G114" s="8" t="n">
        <f aca="false">IFERROR(D114/VLOOKUP(A114,'Dados-Status-Invest'!$1:$1000,6,FALSE()),"")</f>
        <v>538319337</v>
      </c>
      <c r="H114" s="8" t="n">
        <f aca="false">IFERROR(VLOOKUP(A114,'Dados-Status-Invest'!$1:$1000,12,FALSE())*J114,"")</f>
        <v>55525475.41</v>
      </c>
      <c r="I114" s="8" t="n">
        <f aca="false">IFERROR(D114/VLOOKUP(A114,'Dados-Status-Invest'!$1:$1000,14,FALSE()),"")</f>
        <v>466200000</v>
      </c>
      <c r="J114" s="9" t="n">
        <f aca="false">IFERROR(D114/VLOOKUP(A114,'Dados-Status-Invest'!$1:$1000,10,FALSE()),"")</f>
        <v>76062295.08</v>
      </c>
      <c r="K114" s="10" t="n">
        <f aca="false">IFERROR(VLOOKUP(A114,'Dados-Status-Invest'!$1:$1000,3,FALSE())/100,"")</f>
        <v>0.0202</v>
      </c>
      <c r="L114" s="11" t="n">
        <f aca="false">IFERROR(VLOOKUP(A114,'Dados-Status-Invest'!$1:$1000,MATCH(L$1,'Dados-Status-Invest'!$2:$2,0),FALSE())/100,"")</f>
        <v>0.1663</v>
      </c>
      <c r="M114" s="10" t="n">
        <f aca="false">IFERROR(VLOOKUP(A114,'Dados-Status-Invest'!$1:$1000,MATCH(M$1,'Dados-Status-Invest'!$2:$2,0),FALSE())/100,"")</f>
        <v>0.0932</v>
      </c>
      <c r="N114" s="10" t="n">
        <f aca="false">IFERROR(VLOOKUP(A114,'Dados-Status-Invest'!$1:$1000,MATCH(N$1,'Dados-Status-Invest'!$2:$2,0),FALSE())/100,"")</f>
        <v>0.1318</v>
      </c>
      <c r="O114" s="10" t="n">
        <f aca="false">IFERROR(VLOOKUP(A114,'Dados-Status-Invest'!$1:$1000,MATCH(O$1,'Dados-Status-Invest'!$2:$2,0),FALSE())/100,"")</f>
        <v>0.3059</v>
      </c>
      <c r="P114" s="10" t="n">
        <f aca="false">IFERROR(VLOOKUP(A114,'Dados-Status-Invest'!$1:$1000,MATCH(P$1,'Dados-Status-Invest'!$2:$2,0),FALSE())/100,"")</f>
        <v>0.1635</v>
      </c>
      <c r="Q114" s="10" t="n">
        <f aca="false">IFERROR(VLOOKUP(A114,'Dados-Status-Invest'!$1:$1000,MATCH(Q$1,'Dados-Status-Invest'!$2:$2,0),FALSE())/100,"")</f>
        <v>0.1078</v>
      </c>
      <c r="R114" s="12" t="n">
        <f aca="false">IFERROR(VLOOKUP(A114,'Dados-Status-Invest'!$1:$1000,MATCH(R$1,'Dados-Status-Invest'!$2:$2,0),FALSE()),"")</f>
        <v>19.43</v>
      </c>
      <c r="S114" s="12" t="n">
        <f aca="false">IFERROR(VLOOKUP(A114,'Dados-Status-Invest'!$1:$1000,MATCH(S$1,'Dados-Status-Invest'!$2:$2,0),FALSE()),"")</f>
        <v>3.23</v>
      </c>
      <c r="T114" s="12" t="n">
        <f aca="false">IFERROR(VLOOKUP(A114,'Dados-Status-Invest'!$1:$1000,MATCH(T$1,'Dados-Status-Invest'!$2:$2,0),FALSE()),"")</f>
        <v>13.51</v>
      </c>
      <c r="U114" s="12" t="n">
        <f aca="false">IFERROR(VLOOKUP(A114,'Dados-Status-Invest'!$1:$1000,MATCH(U$1,'Dados-Status-Invest'!$2:$2,0),FALSE()),"")</f>
        <v>1.12</v>
      </c>
      <c r="V114" s="12" t="n">
        <f aca="false">IFERROR(VLOOKUP(A114,'Dados-Status-Invest'!$1:$1000,MATCH(V$1,'Dados-Status-Invest'!$2:$2,0),FALSE()),"")</f>
        <v>0.73</v>
      </c>
      <c r="W114" s="10" t="n">
        <f aca="false">IFERROR(VLOOKUP(A114,'Dados-Status-Invest'!$1:$1000,MATCH(W$1,'Dados-Status-Invest'!$2:$2,0),FALSE())/100,"")</f>
        <v>-0.0029</v>
      </c>
      <c r="X114" s="10" t="n">
        <f aca="false">IFERROR(VLOOKUP(A114,'Dados-Status-Invest'!$1:$1000,MATCH(X$1,'Dados-Status-Invest'!$2:$2,0),FALSE())/100,"")</f>
        <v>0.1973</v>
      </c>
    </row>
    <row r="115" customFormat="false" ht="15.75" hidden="false" customHeight="false" outlineLevel="0" collapsed="false">
      <c r="A115" s="6" t="s">
        <v>145</v>
      </c>
      <c r="B115" s="7" t="str">
        <f aca="false">IFERROR(VLOOKUP(LEFT(A115,4),Setor!A:D,2,FALSE()),"")</f>
        <v>Tecnologia da Informação</v>
      </c>
      <c r="C115" s="8" t="n">
        <f aca="false">IFERROR(__xludf.dummyfunction("IFERROR(IFERROR(GOOGLEFINANCE(A121,""price""),VLOOKUP(A121,'Dados-Status-Invest'!A:B,2,FALSE)),"""")"),1.88)</f>
        <v>1.88</v>
      </c>
      <c r="D115" s="8" t="n">
        <f aca="false">IFERROR(VLOOKUP(A115,'Dados-Status-Invest'!$1:$1000,MATCH(D$1,'Dados-Status-Invest'!$2:$2,0),FALSE()),"")</f>
        <v>6226825250</v>
      </c>
      <c r="E115" s="8" t="n">
        <f aca="false">IF(D115+H115&gt;0,D115+H115,"")</f>
        <v>5993399856.4</v>
      </c>
      <c r="F115" s="8" t="n">
        <f aca="false">IFERROR(D115/VLOOKUP(A115,'Dados-Status-Invest'!$1:$1000,5,FALSE()),"")</f>
        <v>359932095.4</v>
      </c>
      <c r="G115" s="8" t="n">
        <f aca="false">IFERROR(D115/VLOOKUP(A115,'Dados-Status-Invest'!$1:$1000,6,FALSE()),"")</f>
        <v>399924550.4</v>
      </c>
      <c r="H115" s="8" t="n">
        <f aca="false">IFERROR(VLOOKUP(A115,'Dados-Status-Invest'!$1:$1000,12,FALSE())*J115,"")</f>
        <v>-233425393.6</v>
      </c>
      <c r="I115" s="8" t="n">
        <f aca="false">IFERROR(D115/VLOOKUP(A115,'Dados-Status-Invest'!$1:$1000,14,FALSE()),"")</f>
        <v>145964023.7</v>
      </c>
      <c r="J115" s="9" t="n">
        <f aca="false">IFERROR(D115/VLOOKUP(A115,'Dados-Status-Invest'!$1:$1000,10,FALSE()),"")</f>
        <v>23867627.16</v>
      </c>
      <c r="K115" s="10" t="n">
        <f aca="false">IFERROR(VLOOKUP(A115,'Dados-Status-Invest'!$1:$1000,3,FALSE())/100,"")</f>
        <v>0.0008</v>
      </c>
      <c r="L115" s="11" t="n">
        <f aca="false">IFERROR(VLOOKUP(A115,'Dados-Status-Invest'!$1:$1000,MATCH(L$1,'Dados-Status-Invest'!$2:$2,0),FALSE())/100,"")</f>
        <v>0.049</v>
      </c>
      <c r="M115" s="10" t="n">
        <f aca="false">IFERROR(VLOOKUP(A115,'Dados-Status-Invest'!$1:$1000,MATCH(M$1,'Dados-Status-Invest'!$2:$2,0),FALSE())/100,"")</f>
        <v>0.0441</v>
      </c>
      <c r="N115" s="10" t="n">
        <f aca="false">IFERROR(VLOOKUP(A115,'Dados-Status-Invest'!$1:$1000,MATCH(N$1,'Dados-Status-Invest'!$2:$2,0),FALSE())/100,"")</f>
        <v>0.0428</v>
      </c>
      <c r="O115" s="10" t="n">
        <f aca="false">IFERROR(VLOOKUP(A115,'Dados-Status-Invest'!$1:$1000,MATCH(O$1,'Dados-Status-Invest'!$2:$2,0),FALSE())/100,"")</f>
        <v>0.1635</v>
      </c>
      <c r="P115" s="10" t="n">
        <f aca="false">IFERROR(VLOOKUP(A115,'Dados-Status-Invest'!$1:$1000,MATCH(P$1,'Dados-Status-Invest'!$2:$2,0),FALSE())/100,"")</f>
        <v>0.1635</v>
      </c>
      <c r="Q115" s="10" t="n">
        <f aca="false">IFERROR(VLOOKUP(A115,'Dados-Status-Invest'!$1:$1000,MATCH(Q$1,'Dados-Status-Invest'!$2:$2,0),FALSE())/100,"")</f>
        <v>0.1207</v>
      </c>
      <c r="R115" s="12" t="n">
        <f aca="false">IFERROR(VLOOKUP(A115,'Dados-Status-Invest'!$1:$1000,MATCH(R$1,'Dados-Status-Invest'!$2:$2,0),FALSE()),"")</f>
        <v>353.31</v>
      </c>
      <c r="S115" s="12" t="n">
        <f aca="false">IFERROR(VLOOKUP(A115,'Dados-Status-Invest'!$1:$1000,MATCH(S$1,'Dados-Status-Invest'!$2:$2,0),FALSE()),"")</f>
        <v>17.3</v>
      </c>
      <c r="T115" s="12" t="n">
        <f aca="false">IFERROR(VLOOKUP(A115,'Dados-Status-Invest'!$1:$1000,MATCH(T$1,'Dados-Status-Invest'!$2:$2,0),FALSE()),"")</f>
        <v>251.85</v>
      </c>
      <c r="U115" s="12" t="n">
        <f aca="false">IFERROR(VLOOKUP(A115,'Dados-Status-Invest'!$1:$1000,MATCH(U$1,'Dados-Status-Invest'!$2:$2,0),FALSE()),"")</f>
        <v>12.23</v>
      </c>
      <c r="V115" s="12" t="n">
        <f aca="false">IFERROR(VLOOKUP(A115,'Dados-Status-Invest'!$1:$1000,MATCH(V$1,'Dados-Status-Invest'!$2:$2,0),FALSE()),"")</f>
        <v>-9.78</v>
      </c>
      <c r="W115" s="10" t="n">
        <f aca="false">IFERROR(VLOOKUP(A115,'Dados-Status-Invest'!$1:$1000,MATCH(W$1,'Dados-Status-Invest'!$2:$2,0),FALSE())/100,"")</f>
        <v>0</v>
      </c>
      <c r="X115" s="10" t="n">
        <f aca="false">IFERROR(VLOOKUP(A115,'Dados-Status-Invest'!$1:$1000,MATCH(X$1,'Dados-Status-Invest'!$2:$2,0),FALSE())/100,"")</f>
        <v>0</v>
      </c>
    </row>
    <row r="116" customFormat="false" ht="15.75" hidden="false" customHeight="false" outlineLevel="0" collapsed="false">
      <c r="A116" s="6" t="s">
        <v>146</v>
      </c>
      <c r="B116" s="7" t="str">
        <f aca="false">IFERROR(VLOOKUP(LEFT(A116,4),Setor!A:D,2,FALSE()),"")</f>
        <v>Utilidade Pública</v>
      </c>
      <c r="C116" s="8" t="n">
        <f aca="false">IFERROR(__xludf.dummyfunction("IFERROR(IFERROR(GOOGLEFINANCE(A122,""price""),VLOOKUP(A122,'Dados-Status-Invest'!A:B,2,FALSE)),"""")"),15.01)</f>
        <v>15.01</v>
      </c>
      <c r="D116" s="8" t="n">
        <f aca="false">IFERROR(VLOOKUP(A116,'Dados-Status-Invest'!$1:$1000,MATCH(D$1,'Dados-Status-Invest'!$2:$2,0),FALSE()),"")</f>
        <v>9067999875</v>
      </c>
      <c r="E116" s="8" t="n">
        <f aca="false">IF(D116+H116&gt;0,D116+H116,"")</f>
        <v>10139368815</v>
      </c>
      <c r="F116" s="8" t="n">
        <f aca="false">IFERROR(D116/VLOOKUP(A116,'Dados-Status-Invest'!$1:$1000,5,FALSE()),"")</f>
        <v>1126459612</v>
      </c>
      <c r="G116" s="8" t="n">
        <f aca="false">IFERROR(D116/VLOOKUP(A116,'Dados-Status-Invest'!$1:$1000,6,FALSE()),"")</f>
        <v>3012624543</v>
      </c>
      <c r="H116" s="8" t="n">
        <f aca="false">IFERROR(VLOOKUP(A116,'Dados-Status-Invest'!$1:$1000,12,FALSE())*J116,"")</f>
        <v>1071368940</v>
      </c>
      <c r="I116" s="8" t="n">
        <f aca="false">IFERROR(D116/VLOOKUP(A116,'Dados-Status-Invest'!$1:$1000,14,FALSE()),"")</f>
        <v>904087724.3</v>
      </c>
      <c r="J116" s="9" t="n">
        <f aca="false">IFERROR(D116/VLOOKUP(A116,'Dados-Status-Invest'!$1:$1000,10,FALSE()),"")</f>
        <v>208843847.9</v>
      </c>
      <c r="K116" s="10" t="n">
        <f aca="false">IFERROR(VLOOKUP(A116,'Dados-Status-Invest'!$1:$1000,3,FALSE())/100,"")</f>
        <v>0.0026</v>
      </c>
      <c r="L116" s="11" t="n">
        <f aca="false">IFERROR(VLOOKUP(A116,'Dados-Status-Invest'!$1:$1000,MATCH(L$1,'Dados-Status-Invest'!$2:$2,0),FALSE())/100,"")</f>
        <v>0.0837</v>
      </c>
      <c r="M116" s="10" t="n">
        <f aca="false">IFERROR(VLOOKUP(A116,'Dados-Status-Invest'!$1:$1000,MATCH(M$1,'Dados-Status-Invest'!$2:$2,0),FALSE())/100,"")</f>
        <v>0.0313</v>
      </c>
      <c r="N116" s="10" t="n">
        <f aca="false">IFERROR(VLOOKUP(A116,'Dados-Status-Invest'!$1:$1000,MATCH(N$1,'Dados-Status-Invest'!$2:$2,0),FALSE())/100,"")</f>
        <v>0.0691</v>
      </c>
      <c r="O116" s="10" t="n">
        <f aca="false">IFERROR(VLOOKUP(A116,'Dados-Status-Invest'!$1:$1000,MATCH(O$1,'Dados-Status-Invest'!$2:$2,0),FALSE())/100,"")</f>
        <v>0.5007</v>
      </c>
      <c r="P116" s="10" t="n">
        <f aca="false">IFERROR(VLOOKUP(A116,'Dados-Status-Invest'!$1:$1000,MATCH(P$1,'Dados-Status-Invest'!$2:$2,0),FALSE())/100,"")</f>
        <v>0.2309</v>
      </c>
      <c r="Q116" s="10" t="n">
        <f aca="false">IFERROR(VLOOKUP(A116,'Dados-Status-Invest'!$1:$1000,MATCH(Q$1,'Dados-Status-Invest'!$2:$2,0),FALSE())/100,"")</f>
        <v>0.1043</v>
      </c>
      <c r="R116" s="12" t="n">
        <f aca="false">IFERROR(VLOOKUP(A116,'Dados-Status-Invest'!$1:$1000,MATCH(R$1,'Dados-Status-Invest'!$2:$2,0),FALSE()),"")</f>
        <v>96.18</v>
      </c>
      <c r="S116" s="12" t="n">
        <f aca="false">IFERROR(VLOOKUP(A116,'Dados-Status-Invest'!$1:$1000,MATCH(S$1,'Dados-Status-Invest'!$2:$2,0),FALSE()),"")</f>
        <v>8.05</v>
      </c>
      <c r="T116" s="12" t="n">
        <f aca="false">IFERROR(VLOOKUP(A116,'Dados-Status-Invest'!$1:$1000,MATCH(T$1,'Dados-Status-Invest'!$2:$2,0),FALSE()),"")</f>
        <v>39.55</v>
      </c>
      <c r="U116" s="12" t="n">
        <f aca="false">IFERROR(VLOOKUP(A116,'Dados-Status-Invest'!$1:$1000,MATCH(U$1,'Dados-Status-Invest'!$2:$2,0),FALSE()),"")</f>
        <v>0.97</v>
      </c>
      <c r="V116" s="12" t="n">
        <f aca="false">IFERROR(VLOOKUP(A116,'Dados-Status-Invest'!$1:$1000,MATCH(V$1,'Dados-Status-Invest'!$2:$2,0),FALSE()),"")</f>
        <v>5.13</v>
      </c>
      <c r="W116" s="10" t="n">
        <f aca="false">IFERROR(VLOOKUP(A116,'Dados-Status-Invest'!$1:$1000,MATCH(W$1,'Dados-Status-Invest'!$2:$2,0),FALSE())/100,"")</f>
        <v>0.0749</v>
      </c>
      <c r="X116" s="10" t="n">
        <f aca="false">IFERROR(VLOOKUP(A116,'Dados-Status-Invest'!$1:$1000,MATCH(X$1,'Dados-Status-Invest'!$2:$2,0),FALSE())/100,"")</f>
        <v>0.5939</v>
      </c>
    </row>
    <row r="117" customFormat="false" ht="15.75" hidden="false" customHeight="false" outlineLevel="0" collapsed="false">
      <c r="A117" s="6" t="s">
        <v>147</v>
      </c>
      <c r="B117" s="7" t="str">
        <f aca="false">IFERROR(VLOOKUP(LEFT(A117,4),Setor!A:D,2,FALSE()),"")</f>
        <v>Utilidade Pública</v>
      </c>
      <c r="C117" s="8" t="n">
        <f aca="false">IFERROR(__xludf.dummyfunction("IFERROR(IFERROR(GOOGLEFINANCE(A123,""price""),VLOOKUP(A123,'Dados-Status-Invest'!A:B,2,FALSE)),"""")"),0)</f>
        <v>0</v>
      </c>
      <c r="D117" s="8" t="n">
        <f aca="false">IFERROR(VLOOKUP(A117,'Dados-Status-Invest'!$1:$1000,MATCH(D$1,'Dados-Status-Invest'!$2:$2,0),FALSE()),"")</f>
        <v>9067999875</v>
      </c>
      <c r="E117" s="8" t="n">
        <f aca="false">IF(D117+H117&gt;0,D117+H117,"")</f>
        <v>10898009291</v>
      </c>
      <c r="F117" s="8" t="n">
        <f aca="false">IFERROR(D117/VLOOKUP(A117,'Dados-Status-Invest'!$1:$1000,5,FALSE()),"")</f>
        <v>1925265366</v>
      </c>
      <c r="G117" s="8" t="n">
        <f aca="false">IFERROR(D117/VLOOKUP(A117,'Dados-Status-Invest'!$1:$1000,6,FALSE()),"")</f>
        <v>5152272656</v>
      </c>
      <c r="H117" s="8" t="n">
        <f aca="false">IFERROR(VLOOKUP(A117,'Dados-Status-Invest'!$1:$1000,12,FALSE())*J117,"")</f>
        <v>1830009416</v>
      </c>
      <c r="I117" s="8" t="n">
        <f aca="false">IFERROR(D117/VLOOKUP(A117,'Dados-Status-Invest'!$1:$1000,14,FALSE()),"")</f>
        <v>1544804067</v>
      </c>
      <c r="J117" s="9" t="n">
        <f aca="false">IFERROR(D117/VLOOKUP(A117,'Dados-Status-Invest'!$1:$1000,10,FALSE()),"")</f>
        <v>356726981.7</v>
      </c>
      <c r="K117" s="10" t="n">
        <f aca="false">IFERROR(VLOOKUP(A117,'Dados-Status-Invest'!$1:$1000,3,FALSE())/100,"")</f>
        <v>0.0049</v>
      </c>
      <c r="L117" s="11" t="n">
        <f aca="false">IFERROR(VLOOKUP(A117,'Dados-Status-Invest'!$1:$1000,MATCH(L$1,'Dados-Status-Invest'!$2:$2,0),FALSE())/100,"")</f>
        <v>0.0837</v>
      </c>
      <c r="M117" s="10" t="n">
        <f aca="false">IFERROR(VLOOKUP(A117,'Dados-Status-Invest'!$1:$1000,MATCH(M$1,'Dados-Status-Invest'!$2:$2,0),FALSE())/100,"")</f>
        <v>0.0313</v>
      </c>
      <c r="N117" s="10" t="n">
        <f aca="false">IFERROR(VLOOKUP(A117,'Dados-Status-Invest'!$1:$1000,MATCH(N$1,'Dados-Status-Invest'!$2:$2,0),FALSE())/100,"")</f>
        <v>0.0691</v>
      </c>
      <c r="O117" s="10" t="n">
        <f aca="false">IFERROR(VLOOKUP(A117,'Dados-Status-Invest'!$1:$1000,MATCH(O$1,'Dados-Status-Invest'!$2:$2,0),FALSE())/100,"")</f>
        <v>0.5007</v>
      </c>
      <c r="P117" s="10" t="n">
        <f aca="false">IFERROR(VLOOKUP(A117,'Dados-Status-Invest'!$1:$1000,MATCH(P$1,'Dados-Status-Invest'!$2:$2,0),FALSE())/100,"")</f>
        <v>0.2309</v>
      </c>
      <c r="Q117" s="10" t="n">
        <f aca="false">IFERROR(VLOOKUP(A117,'Dados-Status-Invest'!$1:$1000,MATCH(Q$1,'Dados-Status-Invest'!$2:$2,0),FALSE())/100,"")</f>
        <v>0.1043</v>
      </c>
      <c r="R117" s="12" t="n">
        <f aca="false">IFERROR(VLOOKUP(A117,'Dados-Status-Invest'!$1:$1000,MATCH(R$1,'Dados-Status-Invest'!$2:$2,0),FALSE()),"")</f>
        <v>56.29</v>
      </c>
      <c r="S117" s="12" t="n">
        <f aca="false">IFERROR(VLOOKUP(A117,'Dados-Status-Invest'!$1:$1000,MATCH(S$1,'Dados-Status-Invest'!$2:$2,0),FALSE()),"")</f>
        <v>4.71</v>
      </c>
      <c r="T117" s="12" t="n">
        <f aca="false">IFERROR(VLOOKUP(A117,'Dados-Status-Invest'!$1:$1000,MATCH(T$1,'Dados-Status-Invest'!$2:$2,0),FALSE()),"")</f>
        <v>39.55</v>
      </c>
      <c r="U117" s="12" t="n">
        <f aca="false">IFERROR(VLOOKUP(A117,'Dados-Status-Invest'!$1:$1000,MATCH(U$1,'Dados-Status-Invest'!$2:$2,0),FALSE()),"")</f>
        <v>0.97</v>
      </c>
      <c r="V117" s="12" t="n">
        <f aca="false">IFERROR(VLOOKUP(A117,'Dados-Status-Invest'!$1:$1000,MATCH(V$1,'Dados-Status-Invest'!$2:$2,0),FALSE()),"")</f>
        <v>5.13</v>
      </c>
      <c r="W117" s="10" t="n">
        <f aca="false">IFERROR(VLOOKUP(A117,'Dados-Status-Invest'!$1:$1000,MATCH(W$1,'Dados-Status-Invest'!$2:$2,0),FALSE())/100,"")</f>
        <v>0.0749</v>
      </c>
      <c r="X117" s="10" t="n">
        <f aca="false">IFERROR(VLOOKUP(A117,'Dados-Status-Invest'!$1:$1000,MATCH(X$1,'Dados-Status-Invest'!$2:$2,0),FALSE())/100,"")</f>
        <v>0.5939</v>
      </c>
    </row>
    <row r="118" customFormat="false" ht="15.75" hidden="false" customHeight="false" outlineLevel="0" collapsed="false">
      <c r="A118" s="6" t="s">
        <v>148</v>
      </c>
      <c r="B118" s="7" t="str">
        <f aca="false">IFERROR(VLOOKUP(LEFT(A118,4),Setor!A:D,2,FALSE()),"")</f>
        <v>Consumo Cíclico</v>
      </c>
      <c r="C118" s="8" t="n">
        <f aca="false">IFERROR(__xludf.dummyfunction("IFERROR(IFERROR(GOOGLEFINANCE(A124,""price""),VLOOKUP(A124,'Dados-Status-Invest'!A:B,2,FALSE)),"""")"),0)</f>
        <v>0</v>
      </c>
      <c r="D118" s="8" t="n">
        <f aca="false">IFERROR(VLOOKUP(A118,'Dados-Status-Invest'!$1:$1000,MATCH(D$1,'Dados-Status-Invest'!$2:$2,0),FALSE()),"")</f>
        <v>14940354.78</v>
      </c>
      <c r="E118" s="8" t="n">
        <f aca="false">IF(D118+H118&gt;0,D118+H118,"")</f>
        <v>38880592.7</v>
      </c>
      <c r="F118" s="8" t="n">
        <f aca="false">IFERROR(D118/VLOOKUP(A118,'Dados-Status-Invest'!$1:$1000,5,FALSE()),"")</f>
        <v>135821407.1</v>
      </c>
      <c r="G118" s="8" t="n">
        <f aca="false">IFERROR(D118/VLOOKUP(A118,'Dados-Status-Invest'!$1:$1000,6,FALSE()),"")</f>
        <v>249005913</v>
      </c>
      <c r="H118" s="8" t="n">
        <f aca="false">IFERROR(VLOOKUP(A118,'Dados-Status-Invest'!$1:$1000,12,FALSE())*J118,"")</f>
        <v>23940237.92</v>
      </c>
      <c r="I118" s="8" t="n">
        <f aca="false">IFERROR(D118/VLOOKUP(A118,'Dados-Status-Invest'!$1:$1000,14,FALSE()),"")</f>
        <v>149403547.8</v>
      </c>
      <c r="J118" s="9" t="n">
        <f aca="false">IFERROR(D118/VLOOKUP(A118,'Dados-Status-Invest'!$1:$1000,10,FALSE()),"")</f>
        <v>-1371933.405</v>
      </c>
      <c r="K118" s="10" t="n">
        <f aca="false">IFERROR(VLOOKUP(A118,'Dados-Status-Invest'!$1:$1000,3,FALSE())/100,"")</f>
        <v>0</v>
      </c>
      <c r="L118" s="11" t="n">
        <f aca="false">IFERROR(VLOOKUP(A118,'Dados-Status-Invest'!$1:$1000,MATCH(L$1,'Dados-Status-Invest'!$2:$2,0),FALSE())/100,"")</f>
        <v>0.0001</v>
      </c>
      <c r="M118" s="10" t="n">
        <f aca="false">IFERROR(VLOOKUP(A118,'Dados-Status-Invest'!$1:$1000,MATCH(M$1,'Dados-Status-Invest'!$2:$2,0),FALSE())/100,"")</f>
        <v>0.0001</v>
      </c>
      <c r="N118" s="10" t="n">
        <f aca="false">IFERROR(VLOOKUP(A118,'Dados-Status-Invest'!$1:$1000,MATCH(N$1,'Dados-Status-Invest'!$2:$2,0),FALSE())/100,"")</f>
        <v>-0.0075</v>
      </c>
      <c r="O118" s="10" t="n">
        <f aca="false">IFERROR(VLOOKUP(A118,'Dados-Status-Invest'!$1:$1000,MATCH(O$1,'Dados-Status-Invest'!$2:$2,0),FALSE())/100,"")</f>
        <v>0.2089</v>
      </c>
      <c r="P118" s="10" t="n">
        <f aca="false">IFERROR(VLOOKUP(A118,'Dados-Status-Invest'!$1:$1000,MATCH(P$1,'Dados-Status-Invest'!$2:$2,0),FALSE())/100,"")</f>
        <v>-0.0092</v>
      </c>
      <c r="Q118" s="10" t="n">
        <f aca="false">IFERROR(VLOOKUP(A118,'Dados-Status-Invest'!$1:$1000,MATCH(Q$1,'Dados-Status-Invest'!$2:$2,0),FALSE())/100,"")</f>
        <v>0.0001</v>
      </c>
      <c r="R118" s="12" t="n">
        <f aca="false">IFERROR(VLOOKUP(A118,'Dados-Status-Invest'!$1:$1000,MATCH(R$1,'Dados-Status-Invest'!$2:$2,0),FALSE()),"")</f>
        <v>1158.1</v>
      </c>
      <c r="S118" s="12" t="n">
        <f aca="false">IFERROR(VLOOKUP(A118,'Dados-Status-Invest'!$1:$1000,MATCH(S$1,'Dados-Status-Invest'!$2:$2,0),FALSE()),"")</f>
        <v>0.11</v>
      </c>
      <c r="T118" s="12" t="n">
        <f aca="false">IFERROR(VLOOKUP(A118,'Dados-Status-Invest'!$1:$1000,MATCH(T$1,'Dados-Status-Invest'!$2:$2,0),FALSE()),"")</f>
        <v>-28.26</v>
      </c>
      <c r="U118" s="12" t="n">
        <f aca="false">IFERROR(VLOOKUP(A118,'Dados-Status-Invest'!$1:$1000,MATCH(U$1,'Dados-Status-Invest'!$2:$2,0),FALSE()),"")</f>
        <v>2.07</v>
      </c>
      <c r="V118" s="12" t="n">
        <f aca="false">IFERROR(VLOOKUP(A118,'Dados-Status-Invest'!$1:$1000,MATCH(V$1,'Dados-Status-Invest'!$2:$2,0),FALSE()),"")</f>
        <v>-17.45</v>
      </c>
      <c r="W118" s="10" t="n">
        <f aca="false">IFERROR(VLOOKUP(A118,'Dados-Status-Invest'!$1:$1000,MATCH(W$1,'Dados-Status-Invest'!$2:$2,0),FALSE())/100,"")</f>
        <v>-0.0476</v>
      </c>
      <c r="X118" s="10" t="n">
        <f aca="false">IFERROR(VLOOKUP(A118,'Dados-Status-Invest'!$1:$1000,MATCH(X$1,'Dados-Status-Invest'!$2:$2,0),FALSE())/100,"")</f>
        <v>0</v>
      </c>
    </row>
    <row r="119" customFormat="false" ht="15.75" hidden="false" customHeight="false" outlineLevel="0" collapsed="false">
      <c r="A119" s="6" t="s">
        <v>149</v>
      </c>
      <c r="B119" s="7" t="str">
        <f aca="false">IFERROR(VLOOKUP(LEFT(A119,4),Setor!A:D,2,FALSE()),"")</f>
        <v>Consumo Cíclico</v>
      </c>
      <c r="C119" s="8" t="n">
        <f aca="false">IFERROR(__xludf.dummyfunction("IFERROR(IFERROR(GOOGLEFINANCE(A125,""price""),VLOOKUP(A125,'Dados-Status-Invest'!A:B,2,FALSE)),"""")"),0)</f>
        <v>0</v>
      </c>
      <c r="D119" s="8" t="n">
        <f aca="false">IFERROR(VLOOKUP(A119,'Dados-Status-Invest'!$1:$1000,MATCH(D$1,'Dados-Status-Invest'!$2:$2,0),FALSE()),"")</f>
        <v>14940354.78</v>
      </c>
      <c r="E119" s="8" t="n">
        <f aca="false">IF(D119+H119&gt;0,D119+H119,"")</f>
        <v>14940354.78</v>
      </c>
      <c r="F119" s="8" t="str">
        <f aca="false">IFERROR(D119/VLOOKUP(A119,'Dados-Status-Invest'!$1:$1000,5,FALSE()),"")</f>
        <v/>
      </c>
      <c r="G119" s="8" t="str">
        <f aca="false">IFERROR(D119/VLOOKUP(A119,'Dados-Status-Invest'!$1:$1000,6,FALSE()),"")</f>
        <v/>
      </c>
      <c r="H119" s="8" t="n">
        <f aca="false">IFERROR(VLOOKUP(A119,'Dados-Status-Invest'!$1:$1000,12,FALSE())*J119,"")</f>
        <v>0</v>
      </c>
      <c r="I119" s="8" t="str">
        <f aca="false">IFERROR(D119/VLOOKUP(A119,'Dados-Status-Invest'!$1:$1000,14,FALSE()),"")</f>
        <v/>
      </c>
      <c r="J119" s="9" t="str">
        <f aca="false">IFERROR(D119/VLOOKUP(A119,'Dados-Status-Invest'!$1:$1000,10,FALSE()),"")</f>
        <v/>
      </c>
      <c r="K119" s="10" t="n">
        <f aca="false">IFERROR(VLOOKUP(A119,'Dados-Status-Invest'!$1:$1000,3,FALSE())/100,"")</f>
        <v>0</v>
      </c>
      <c r="L119" s="11" t="n">
        <f aca="false">IFERROR(VLOOKUP(A119,'Dados-Status-Invest'!$1:$1000,MATCH(L$1,'Dados-Status-Invest'!$2:$2,0),FALSE())/100,"")</f>
        <v>0.0001</v>
      </c>
      <c r="M119" s="10" t="n">
        <f aca="false">IFERROR(VLOOKUP(A119,'Dados-Status-Invest'!$1:$1000,MATCH(M$1,'Dados-Status-Invest'!$2:$2,0),FALSE())/100,"")</f>
        <v>0.0001</v>
      </c>
      <c r="N119" s="10" t="n">
        <f aca="false">IFERROR(VLOOKUP(A119,'Dados-Status-Invest'!$1:$1000,MATCH(N$1,'Dados-Status-Invest'!$2:$2,0),FALSE())/100,"")</f>
        <v>-0.0075</v>
      </c>
      <c r="O119" s="10" t="n">
        <f aca="false">IFERROR(VLOOKUP(A119,'Dados-Status-Invest'!$1:$1000,MATCH(O$1,'Dados-Status-Invest'!$2:$2,0),FALSE())/100,"")</f>
        <v>0.2089</v>
      </c>
      <c r="P119" s="10" t="n">
        <f aca="false">IFERROR(VLOOKUP(A119,'Dados-Status-Invest'!$1:$1000,MATCH(P$1,'Dados-Status-Invest'!$2:$2,0),FALSE())/100,"")</f>
        <v>-0.0092</v>
      </c>
      <c r="Q119" s="10" t="n">
        <f aca="false">IFERROR(VLOOKUP(A119,'Dados-Status-Invest'!$1:$1000,MATCH(Q$1,'Dados-Status-Invest'!$2:$2,0),FALSE())/100,"")</f>
        <v>0.0001</v>
      </c>
      <c r="R119" s="12" t="n">
        <f aca="false">IFERROR(VLOOKUP(A119,'Dados-Status-Invest'!$1:$1000,MATCH(R$1,'Dados-Status-Invest'!$2:$2,0),FALSE()),"")</f>
        <v>0</v>
      </c>
      <c r="S119" s="12" t="n">
        <f aca="false">IFERROR(VLOOKUP(A119,'Dados-Status-Invest'!$1:$1000,MATCH(S$1,'Dados-Status-Invest'!$2:$2,0),FALSE()),"")</f>
        <v>0</v>
      </c>
      <c r="T119" s="12" t="n">
        <f aca="false">IFERROR(VLOOKUP(A119,'Dados-Status-Invest'!$1:$1000,MATCH(T$1,'Dados-Status-Invest'!$2:$2,0),FALSE()),"")</f>
        <v>-28.26</v>
      </c>
      <c r="U119" s="12" t="n">
        <f aca="false">IFERROR(VLOOKUP(A119,'Dados-Status-Invest'!$1:$1000,MATCH(U$1,'Dados-Status-Invest'!$2:$2,0),FALSE()),"")</f>
        <v>2.07</v>
      </c>
      <c r="V119" s="12" t="n">
        <f aca="false">IFERROR(VLOOKUP(A119,'Dados-Status-Invest'!$1:$1000,MATCH(V$1,'Dados-Status-Invest'!$2:$2,0),FALSE()),"")</f>
        <v>-17.45</v>
      </c>
      <c r="W119" s="10" t="n">
        <f aca="false">IFERROR(VLOOKUP(A119,'Dados-Status-Invest'!$1:$1000,MATCH(W$1,'Dados-Status-Invest'!$2:$2,0),FALSE())/100,"")</f>
        <v>-0.0476</v>
      </c>
      <c r="X119" s="10" t="n">
        <f aca="false">IFERROR(VLOOKUP(A119,'Dados-Status-Invest'!$1:$1000,MATCH(X$1,'Dados-Status-Invest'!$2:$2,0),FALSE())/100,"")</f>
        <v>0</v>
      </c>
    </row>
    <row r="120" customFormat="false" ht="15.75" hidden="false" customHeight="false" outlineLevel="0" collapsed="false">
      <c r="A120" s="6" t="s">
        <v>150</v>
      </c>
      <c r="B120" s="7" t="str">
        <f aca="false">IFERROR(VLOOKUP(LEFT(A120,4),Setor!A:D,2,FALSE()),"")</f>
        <v>Utilidade Pública</v>
      </c>
      <c r="C120" s="8" t="n">
        <f aca="false">IFERROR(__xludf.dummyfunction("IFERROR(IFERROR(GOOGLEFINANCE(A126,""price""),VLOOKUP(A126,'Dados-Status-Invest'!A:B,2,FALSE)),"""")"),19.21)</f>
        <v>19.21</v>
      </c>
      <c r="D120" s="8" t="n">
        <f aca="false">IFERROR(VLOOKUP(A120,'Dados-Status-Invest'!$1:$1000,MATCH(D$1,'Dados-Status-Invest'!$2:$2,0),FALSE()),"")</f>
        <v>4120866882</v>
      </c>
      <c r="E120" s="8" t="n">
        <f aca="false">IF(D120+H120&gt;0,D120+H120,"")</f>
        <v>8375152179</v>
      </c>
      <c r="F120" s="8" t="n">
        <f aca="false">IFERROR(D120/VLOOKUP(A120,'Dados-Status-Invest'!$1:$1000,5,FALSE()),"")</f>
        <v>3614795511</v>
      </c>
      <c r="G120" s="8" t="n">
        <f aca="false">IFERROR(D120/VLOOKUP(A120,'Dados-Status-Invest'!$1:$1000,6,FALSE()),"")</f>
        <v>11773905377</v>
      </c>
      <c r="H120" s="8" t="n">
        <f aca="false">IFERROR(VLOOKUP(A120,'Dados-Status-Invest'!$1:$1000,12,FALSE())*J120,"")</f>
        <v>4254285297</v>
      </c>
      <c r="I120" s="8" t="n">
        <f aca="false">IFERROR(D120/VLOOKUP(A120,'Dados-Status-Invest'!$1:$1000,14,FALSE()),"")</f>
        <v>6438854503</v>
      </c>
      <c r="J120" s="9" t="n">
        <f aca="false">IFERROR(D120/VLOOKUP(A120,'Dados-Status-Invest'!$1:$1000,10,FALSE()),"")</f>
        <v>251732857.8</v>
      </c>
      <c r="K120" s="10" t="n">
        <f aca="false">IFERROR(VLOOKUP(A120,'Dados-Status-Invest'!$1:$1000,3,FALSE())/100,"")</f>
        <v>0.0028</v>
      </c>
      <c r="L120" s="11" t="n">
        <f aca="false">IFERROR(VLOOKUP(A120,'Dados-Status-Invest'!$1:$1000,MATCH(L$1,'Dados-Status-Invest'!$2:$2,0),FALSE())/100,"")</f>
        <v>0.0201</v>
      </c>
      <c r="M120" s="10" t="n">
        <f aca="false">IFERROR(VLOOKUP(A120,'Dados-Status-Invest'!$1:$1000,MATCH(M$1,'Dados-Status-Invest'!$2:$2,0),FALSE())/100,"")</f>
        <v>0.0061</v>
      </c>
      <c r="N120" s="10" t="n">
        <f aca="false">IFERROR(VLOOKUP(A120,'Dados-Status-Invest'!$1:$1000,MATCH(N$1,'Dados-Status-Invest'!$2:$2,0),FALSE())/100,"")</f>
        <v>0.0259</v>
      </c>
      <c r="O120" s="10" t="n">
        <f aca="false">IFERROR(VLOOKUP(A120,'Dados-Status-Invest'!$1:$1000,MATCH(O$1,'Dados-Status-Invest'!$2:$2,0),FALSE())/100,"")</f>
        <v>0.1242</v>
      </c>
      <c r="P120" s="10" t="n">
        <f aca="false">IFERROR(VLOOKUP(A120,'Dados-Status-Invest'!$1:$1000,MATCH(P$1,'Dados-Status-Invest'!$2:$2,0),FALSE())/100,"")</f>
        <v>0.039</v>
      </c>
      <c r="Q120" s="10" t="n">
        <f aca="false">IFERROR(VLOOKUP(A120,'Dados-Status-Invest'!$1:$1000,MATCH(Q$1,'Dados-Status-Invest'!$2:$2,0),FALSE())/100,"")</f>
        <v>0.0112</v>
      </c>
      <c r="R120" s="12" t="n">
        <f aca="false">IFERROR(VLOOKUP(A120,'Dados-Status-Invest'!$1:$1000,MATCH(R$1,'Dados-Status-Invest'!$2:$2,0),FALSE()),"")</f>
        <v>56.79</v>
      </c>
      <c r="S120" s="12" t="n">
        <f aca="false">IFERROR(VLOOKUP(A120,'Dados-Status-Invest'!$1:$1000,MATCH(S$1,'Dados-Status-Invest'!$2:$2,0),FALSE()),"")</f>
        <v>1.14</v>
      </c>
      <c r="T120" s="12" t="n">
        <f aca="false">IFERROR(VLOOKUP(A120,'Dados-Status-Invest'!$1:$1000,MATCH(T$1,'Dados-Status-Invest'!$2:$2,0),FALSE()),"")</f>
        <v>33.26</v>
      </c>
      <c r="U120" s="12" t="n">
        <f aca="false">IFERROR(VLOOKUP(A120,'Dados-Status-Invest'!$1:$1000,MATCH(U$1,'Dados-Status-Invest'!$2:$2,0),FALSE()),"")</f>
        <v>0.81</v>
      </c>
      <c r="V120" s="12" t="n">
        <f aca="false">IFERROR(VLOOKUP(A120,'Dados-Status-Invest'!$1:$1000,MATCH(V$1,'Dados-Status-Invest'!$2:$2,0),FALSE()),"")</f>
        <v>16.9</v>
      </c>
      <c r="W120" s="10" t="n">
        <f aca="false">IFERROR(VLOOKUP(A120,'Dados-Status-Invest'!$1:$1000,MATCH(W$1,'Dados-Status-Invest'!$2:$2,0),FALSE())/100,"")</f>
        <v>0.0381</v>
      </c>
      <c r="X120" s="10" t="n">
        <f aca="false">IFERROR(VLOOKUP(A120,'Dados-Status-Invest'!$1:$1000,MATCH(X$1,'Dados-Status-Invest'!$2:$2,0),FALSE())/100,"")</f>
        <v>0</v>
      </c>
    </row>
    <row r="121" customFormat="false" ht="15.75" hidden="false" customHeight="false" outlineLevel="0" collapsed="false">
      <c r="A121" s="6" t="s">
        <v>151</v>
      </c>
      <c r="B121" s="7" t="str">
        <f aca="false">IFERROR(VLOOKUP(LEFT(A121,4),Setor!A:D,2,FALSE()),"")</f>
        <v>Financeiro</v>
      </c>
      <c r="C121" s="8" t="n">
        <f aca="false">IFERROR(__xludf.dummyfunction("IFERROR(IFERROR(GOOGLEFINANCE(A127,""price""),VLOOKUP(A127,'Dados-Status-Invest'!A:B,2,FALSE)),"""")"),11.85)</f>
        <v>11.85</v>
      </c>
      <c r="D121" s="8" t="n">
        <f aca="false">IFERROR(VLOOKUP(A121,'Dados-Status-Invest'!$1:$1000,MATCH(D$1,'Dados-Status-Invest'!$2:$2,0),FALSE()),"")</f>
        <v>1813416007</v>
      </c>
      <c r="E121" s="8" t="n">
        <f aca="false">IF(D121+H121&gt;0,D121+H121,"")</f>
        <v>2877255693</v>
      </c>
      <c r="F121" s="8" t="n">
        <f aca="false">IFERROR(D121/VLOOKUP(A121,'Dados-Status-Invest'!$1:$1000,5,FALSE()),"")</f>
        <v>1633708114</v>
      </c>
      <c r="G121" s="8" t="n">
        <f aca="false">IFERROR(D121/VLOOKUP(A121,'Dados-Status-Invest'!$1:$1000,6,FALSE()),"")</f>
        <v>4901124342</v>
      </c>
      <c r="H121" s="8" t="n">
        <f aca="false">IFERROR(VLOOKUP(A121,'Dados-Status-Invest'!$1:$1000,12,FALSE())*J121,"")</f>
        <v>1063839686</v>
      </c>
      <c r="I121" s="8" t="n">
        <f aca="false">IFERROR(D121/VLOOKUP(A121,'Dados-Status-Invest'!$1:$1000,14,FALSE()),"")</f>
        <v>475962206.5</v>
      </c>
      <c r="J121" s="9" t="n">
        <f aca="false">IFERROR(D121/VLOOKUP(A121,'Dados-Status-Invest'!$1:$1000,10,FALSE()),"")</f>
        <v>232787677.4</v>
      </c>
      <c r="K121" s="10" t="n">
        <f aca="false">IFERROR(VLOOKUP(A121,'Dados-Status-Invest'!$1:$1000,3,FALSE())/100,"")</f>
        <v>0.0812</v>
      </c>
      <c r="L121" s="11" t="n">
        <f aca="false">IFERROR(VLOOKUP(A121,'Dados-Status-Invest'!$1:$1000,MATCH(L$1,'Dados-Status-Invest'!$2:$2,0),FALSE())/100,"")</f>
        <v>0.0253</v>
      </c>
      <c r="M121" s="10" t="n">
        <f aca="false">IFERROR(VLOOKUP(A121,'Dados-Status-Invest'!$1:$1000,MATCH(M$1,'Dados-Status-Invest'!$2:$2,0),FALSE())/100,"")</f>
        <v>0.0085</v>
      </c>
      <c r="N121" s="10" t="n">
        <f aca="false">IFERROR(VLOOKUP(A121,'Dados-Status-Invest'!$1:$1000,MATCH(N$1,'Dados-Status-Invest'!$2:$2,0),FALSE())/100,"")</f>
        <v>0.0462</v>
      </c>
      <c r="O121" s="10" t="n">
        <f aca="false">IFERROR(VLOOKUP(A121,'Dados-Status-Invest'!$1:$1000,MATCH(O$1,'Dados-Status-Invest'!$2:$2,0),FALSE())/100,"")</f>
        <v>0.6241</v>
      </c>
      <c r="P121" s="10" t="n">
        <f aca="false">IFERROR(VLOOKUP(A121,'Dados-Status-Invest'!$1:$1000,MATCH(P$1,'Dados-Status-Invest'!$2:$2,0),FALSE())/100,"")</f>
        <v>0.4894</v>
      </c>
      <c r="Q121" s="10" t="n">
        <f aca="false">IFERROR(VLOOKUP(A121,'Dados-Status-Invest'!$1:$1000,MATCH(Q$1,'Dados-Status-Invest'!$2:$2,0),FALSE())/100,"")</f>
        <v>0.0871</v>
      </c>
      <c r="R121" s="12" t="n">
        <f aca="false">IFERROR(VLOOKUP(A121,'Dados-Status-Invest'!$1:$1000,MATCH(R$1,'Dados-Status-Invest'!$2:$2,0),FALSE()),"")</f>
        <v>43.76</v>
      </c>
      <c r="S121" s="12" t="n">
        <f aca="false">IFERROR(VLOOKUP(A121,'Dados-Status-Invest'!$1:$1000,MATCH(S$1,'Dados-Status-Invest'!$2:$2,0),FALSE()),"")</f>
        <v>1.11</v>
      </c>
      <c r="T121" s="12" t="n">
        <f aca="false">IFERROR(VLOOKUP(A121,'Dados-Status-Invest'!$1:$1000,MATCH(T$1,'Dados-Status-Invest'!$2:$2,0),FALSE()),"")</f>
        <v>12.37</v>
      </c>
      <c r="U121" s="12" t="n">
        <f aca="false">IFERROR(VLOOKUP(A121,'Dados-Status-Invest'!$1:$1000,MATCH(U$1,'Dados-Status-Invest'!$2:$2,0),FALSE()),"")</f>
        <v>2.51</v>
      </c>
      <c r="V121" s="12" t="n">
        <f aca="false">IFERROR(VLOOKUP(A121,'Dados-Status-Invest'!$1:$1000,MATCH(V$1,'Dados-Status-Invest'!$2:$2,0),FALSE()),"")</f>
        <v>4.57</v>
      </c>
      <c r="W121" s="10" t="n">
        <f aca="false">IFERROR(VLOOKUP(A121,'Dados-Status-Invest'!$1:$1000,MATCH(W$1,'Dados-Status-Invest'!$2:$2,0),FALSE())/100,"")</f>
        <v>0.0482</v>
      </c>
      <c r="X121" s="10" t="n">
        <f aca="false">IFERROR(VLOOKUP(A121,'Dados-Status-Invest'!$1:$1000,MATCH(X$1,'Dados-Status-Invest'!$2:$2,0),FALSE())/100,"")</f>
        <v>0.1963</v>
      </c>
    </row>
    <row r="122" customFormat="false" ht="15.75" hidden="false" customHeight="false" outlineLevel="0" collapsed="false">
      <c r="A122" s="6" t="s">
        <v>152</v>
      </c>
      <c r="B122" s="7" t="str">
        <f aca="false">IFERROR(VLOOKUP(LEFT(A122,4),Setor!A:D,2,FALSE()),"")</f>
        <v>Bens Industriais</v>
      </c>
      <c r="C122" s="8" t="n">
        <f aca="false">IFERROR(__xludf.dummyfunction("IFERROR(IFERROR(GOOGLEFINANCE(A128,""price""),VLOOKUP(A128,'Dados-Status-Invest'!A:B,2,FALSE)),"""")"),13.02)</f>
        <v>13.02</v>
      </c>
      <c r="D122" s="8" t="n">
        <f aca="false">IFERROR(VLOOKUP(A122,'Dados-Status-Invest'!$1:$1000,MATCH(D$1,'Dados-Status-Invest'!$2:$2,0),FALSE()),"")</f>
        <v>26785200000</v>
      </c>
      <c r="E122" s="8" t="n">
        <f aca="false">IF(D122+H122&gt;0,D122+H122,"")</f>
        <v>40251304940</v>
      </c>
      <c r="F122" s="8" t="n">
        <f aca="false">IFERROR(D122/VLOOKUP(A122,'Dados-Status-Invest'!$1:$1000,5,FALSE()),"")</f>
        <v>8557571885</v>
      </c>
      <c r="G122" s="8" t="n">
        <f aca="false">IFERROR(D122/VLOOKUP(A122,'Dados-Status-Invest'!$1:$1000,6,FALSE()),"")</f>
        <v>34340000000</v>
      </c>
      <c r="H122" s="8" t="n">
        <f aca="false">IFERROR(VLOOKUP(A122,'Dados-Status-Invest'!$1:$1000,12,FALSE())*J122,"")</f>
        <v>13466104940</v>
      </c>
      <c r="I122" s="8" t="n">
        <f aca="false">IFERROR(D122/VLOOKUP(A122,'Dados-Status-Invest'!$1:$1000,14,FALSE()),"")</f>
        <v>10932734694</v>
      </c>
      <c r="J122" s="9" t="n">
        <f aca="false">IFERROR(D122/VLOOKUP(A122,'Dados-Status-Invest'!$1:$1000,10,FALSE()),"")</f>
        <v>2940197585</v>
      </c>
      <c r="K122" s="10" t="n">
        <f aca="false">IFERROR(VLOOKUP(A122,'Dados-Status-Invest'!$1:$1000,3,FALSE())/100,"")</f>
        <v>0.0207</v>
      </c>
      <c r="L122" s="11" t="n">
        <f aca="false">IFERROR(VLOOKUP(A122,'Dados-Status-Invest'!$1:$1000,MATCH(L$1,'Dados-Status-Invest'!$2:$2,0),FALSE())/100,"")</f>
        <v>0.0688</v>
      </c>
      <c r="M122" s="10" t="n">
        <f aca="false">IFERROR(VLOOKUP(A122,'Dados-Status-Invest'!$1:$1000,MATCH(M$1,'Dados-Status-Invest'!$2:$2,0),FALSE())/100,"")</f>
        <v>0.0171</v>
      </c>
      <c r="N122" s="10" t="n">
        <f aca="false">IFERROR(VLOOKUP(A122,'Dados-Status-Invest'!$1:$1000,MATCH(N$1,'Dados-Status-Invest'!$2:$2,0),FALSE())/100,"")</f>
        <v>0.0697</v>
      </c>
      <c r="O122" s="10" t="n">
        <f aca="false">IFERROR(VLOOKUP(A122,'Dados-Status-Invest'!$1:$1000,MATCH(O$1,'Dados-Status-Invest'!$2:$2,0),FALSE())/100,"")</f>
        <v>0.3969</v>
      </c>
      <c r="P122" s="10" t="n">
        <f aca="false">IFERROR(VLOOKUP(A122,'Dados-Status-Invest'!$1:$1000,MATCH(P$1,'Dados-Status-Invest'!$2:$2,0),FALSE())/100,"")</f>
        <v>0.2687</v>
      </c>
      <c r="Q122" s="10" t="n">
        <f aca="false">IFERROR(VLOOKUP(A122,'Dados-Status-Invest'!$1:$1000,MATCH(Q$1,'Dados-Status-Invest'!$2:$2,0),FALSE())/100,"")</f>
        <v>0.0539</v>
      </c>
      <c r="R122" s="12" t="n">
        <f aca="false">IFERROR(VLOOKUP(A122,'Dados-Status-Invest'!$1:$1000,MATCH(R$1,'Dados-Status-Invest'!$2:$2,0),FALSE()),"")</f>
        <v>45.44</v>
      </c>
      <c r="S122" s="12" t="n">
        <f aca="false">IFERROR(VLOOKUP(A122,'Dados-Status-Invest'!$1:$1000,MATCH(S$1,'Dados-Status-Invest'!$2:$2,0),FALSE()),"")</f>
        <v>3.13</v>
      </c>
      <c r="T122" s="12" t="n">
        <f aca="false">IFERROR(VLOOKUP(A122,'Dados-Status-Invest'!$1:$1000,MATCH(T$1,'Dados-Status-Invest'!$2:$2,0),FALSE()),"")</f>
        <v>13.68</v>
      </c>
      <c r="U122" s="12" t="n">
        <f aca="false">IFERROR(VLOOKUP(A122,'Dados-Status-Invest'!$1:$1000,MATCH(U$1,'Dados-Status-Invest'!$2:$2,0),FALSE()),"")</f>
        <v>1.16</v>
      </c>
      <c r="V122" s="12" t="n">
        <f aca="false">IFERROR(VLOOKUP(A122,'Dados-Status-Invest'!$1:$1000,MATCH(V$1,'Dados-Status-Invest'!$2:$2,0),FALSE()),"")</f>
        <v>4.58</v>
      </c>
      <c r="W122" s="10" t="n">
        <f aca="false">IFERROR(VLOOKUP(A122,'Dados-Status-Invest'!$1:$1000,MATCH(W$1,'Dados-Status-Invest'!$2:$2,0),FALSE())/100,"")</f>
        <v>0.0313</v>
      </c>
      <c r="X122" s="10" t="n">
        <f aca="false">IFERROR(VLOOKUP(A122,'Dados-Status-Invest'!$1:$1000,MATCH(X$1,'Dados-Status-Invest'!$2:$2,0),FALSE())/100,"")</f>
        <v>-0.3576</v>
      </c>
    </row>
    <row r="123" customFormat="false" ht="15.75" hidden="false" customHeight="false" outlineLevel="0" collapsed="false">
      <c r="A123" s="6" t="s">
        <v>153</v>
      </c>
      <c r="B123" s="7" t="s">
        <v>154</v>
      </c>
      <c r="C123" s="8" t="n">
        <f aca="false">IFERROR(__xludf.dummyfunction("IFERROR(IFERROR(GOOGLEFINANCE(A129,""price""),VLOOKUP(A129,'Dados-Status-Invest'!A:B,2,FALSE)),"""")"),1.16)</f>
        <v>1.16</v>
      </c>
      <c r="D123" s="8" t="n">
        <f aca="false">IFERROR(VLOOKUP(A123,'Dados-Status-Invest'!$1:$1000,MATCH(D$1,'Dados-Status-Invest'!$2:$2,0),FALSE()),"")</f>
        <v>1973425.64</v>
      </c>
      <c r="E123" s="8" t="n">
        <f aca="false">IF(D123+H123&gt;0,D123+H123,"")</f>
        <v>1944404.67471</v>
      </c>
      <c r="F123" s="8" t="n">
        <f aca="false">IFERROR(D123/VLOOKUP(A123,'Dados-Status-Invest'!$1:$1000,5,FALSE()),"")</f>
        <v>-65780854.67</v>
      </c>
      <c r="G123" s="8" t="n">
        <f aca="false">IFERROR(D123/VLOOKUP(A123,'Dados-Status-Invest'!$1:$1000,6,FALSE()),"")</f>
        <v>9397264.952</v>
      </c>
      <c r="H123" s="8" t="n">
        <f aca="false">IFERROR(VLOOKUP(A123,'Dados-Status-Invest'!$1:$1000,12,FALSE())*J123,"")</f>
        <v>-29020.96529</v>
      </c>
      <c r="I123" s="8" t="str">
        <f aca="false">IFERROR(D123/VLOOKUP(A123,'Dados-Status-Invest'!$1:$1000,14,FALSE()),"")</f>
        <v/>
      </c>
      <c r="J123" s="9" t="n">
        <f aca="false">IFERROR(D123/VLOOKUP(A123,'Dados-Status-Invest'!$1:$1000,10,FALSE()),"")</f>
        <v>-967365.5098</v>
      </c>
      <c r="K123" s="10" t="n">
        <f aca="false">IFERROR(VLOOKUP(A123,'Dados-Status-Invest'!$1:$1000,3,FALSE())/100,"")</f>
        <v>0</v>
      </c>
      <c r="L123" s="11" t="n">
        <f aca="false">IFERROR(VLOOKUP(A123,'Dados-Status-Invest'!$1:$1000,MATCH(L$1,'Dados-Status-Invest'!$2:$2,0),FALSE())/100,"")</f>
        <v>-0.1403</v>
      </c>
      <c r="M123" s="10" t="n">
        <f aca="false">IFERROR(VLOOKUP(A123,'Dados-Status-Invest'!$1:$1000,MATCH(M$1,'Dados-Status-Invest'!$2:$2,0),FALSE())/100,"")</f>
        <v>1.0823</v>
      </c>
      <c r="N123" s="10" t="n">
        <f aca="false">IFERROR(VLOOKUP(A123,'Dados-Status-Invest'!$1:$1000,MATCH(N$1,'Dados-Status-Invest'!$2:$2,0),FALSE())/100,"")</f>
        <v>0.0132</v>
      </c>
      <c r="O123" s="10" t="n">
        <f aca="false">IFERROR(VLOOKUP(A123,'Dados-Status-Invest'!$1:$1000,MATCH(O$1,'Dados-Status-Invest'!$2:$2,0),FALSE())/100,"")</f>
        <v>0</v>
      </c>
      <c r="P123" s="10" t="n">
        <f aca="false">IFERROR(VLOOKUP(A123,'Dados-Status-Invest'!$1:$1000,MATCH(P$1,'Dados-Status-Invest'!$2:$2,0),FALSE())/100,"")</f>
        <v>0</v>
      </c>
      <c r="Q123" s="10" t="n">
        <f aca="false">IFERROR(VLOOKUP(A123,'Dados-Status-Invest'!$1:$1000,MATCH(Q$1,'Dados-Status-Invest'!$2:$2,0),FALSE())/100,"")</f>
        <v>0</v>
      </c>
      <c r="R123" s="12" t="n">
        <f aca="false">IFERROR(VLOOKUP(A123,'Dados-Status-Invest'!$1:$1000,MATCH(R$1,'Dados-Status-Invest'!$2:$2,0),FALSE()),"")</f>
        <v>0.19</v>
      </c>
      <c r="S123" s="12" t="n">
        <f aca="false">IFERROR(VLOOKUP(A123,'Dados-Status-Invest'!$1:$1000,MATCH(S$1,'Dados-Status-Invest'!$2:$2,0),FALSE()),"")</f>
        <v>-0.03</v>
      </c>
      <c r="T123" s="12" t="n">
        <f aca="false">IFERROR(VLOOKUP(A123,'Dados-Status-Invest'!$1:$1000,MATCH(T$1,'Dados-Status-Invest'!$2:$2,0),FALSE()),"")</f>
        <v>-2.01</v>
      </c>
      <c r="U123" s="12" t="n">
        <f aca="false">IFERROR(VLOOKUP(A123,'Dados-Status-Invest'!$1:$1000,MATCH(U$1,'Dados-Status-Invest'!$2:$2,0),FALSE()),"")</f>
        <v>0.11</v>
      </c>
      <c r="V123" s="12" t="n">
        <f aca="false">IFERROR(VLOOKUP(A123,'Dados-Status-Invest'!$1:$1000,MATCH(V$1,'Dados-Status-Invest'!$2:$2,0),FALSE()),"")</f>
        <v>0.03</v>
      </c>
      <c r="W123" s="10" t="n">
        <f aca="false">IFERROR(VLOOKUP(A123,'Dados-Status-Invest'!$1:$1000,MATCH(W$1,'Dados-Status-Invest'!$2:$2,0),FALSE())/100,"")</f>
        <v>0</v>
      </c>
      <c r="X123" s="10" t="n">
        <f aca="false">IFERROR(VLOOKUP(A123,'Dados-Status-Invest'!$1:$1000,MATCH(X$1,'Dados-Status-Invest'!$2:$2,0),FALSE())/100,"")</f>
        <v>0</v>
      </c>
    </row>
    <row r="124" customFormat="false" ht="15.75" hidden="false" customHeight="false" outlineLevel="0" collapsed="false">
      <c r="A124" s="6" t="s">
        <v>155</v>
      </c>
      <c r="B124" s="7" t="str">
        <f aca="false">IFERROR(VLOOKUP(LEFT(A124,4),Setor!A:D,2,FALSE()),"")</f>
        <v>Consumo Cíclico</v>
      </c>
      <c r="C124" s="8" t="n">
        <f aca="false">IFERROR(__xludf.dummyfunction("IFERROR(IFERROR(GOOGLEFINANCE(A130,""price""),VLOOKUP(A130,'Dados-Status-Invest'!A:B,2,FALSE)),"""")"),3.33)</f>
        <v>3.33</v>
      </c>
      <c r="D124" s="8" t="n">
        <f aca="false">IFERROR(VLOOKUP(A124,'Dados-Status-Invest'!$1:$1000,MATCH(D$1,'Dados-Status-Invest'!$2:$2,0),FALSE()),"")</f>
        <v>4401739571</v>
      </c>
      <c r="E124" s="8" t="n">
        <f aca="false">IF(D124+H124&gt;0,D124+H124,"")</f>
        <v>4582787985.2</v>
      </c>
      <c r="F124" s="8" t="n">
        <f aca="false">IFERROR(D124/VLOOKUP(A124,'Dados-Status-Invest'!$1:$1000,5,FALSE()),"")</f>
        <v>2515279755</v>
      </c>
      <c r="G124" s="8" t="n">
        <f aca="false">IFERROR(D124/VLOOKUP(A124,'Dados-Status-Invest'!$1:$1000,6,FALSE()),"")</f>
        <v>6771907032</v>
      </c>
      <c r="H124" s="8" t="n">
        <f aca="false">IFERROR(VLOOKUP(A124,'Dados-Status-Invest'!$1:$1000,12,FALSE())*J124,"")</f>
        <v>181048414.2</v>
      </c>
      <c r="I124" s="8" t="n">
        <f aca="false">IFERROR(D124/VLOOKUP(A124,'Dados-Status-Invest'!$1:$1000,14,FALSE()),"")</f>
        <v>3861175062</v>
      </c>
      <c r="J124" s="9" t="n">
        <f aca="false">IFERROR(D124/VLOOKUP(A124,'Dados-Status-Invest'!$1:$1000,10,FALSE()),"")</f>
        <v>-282888147.2</v>
      </c>
      <c r="K124" s="10" t="n">
        <f aca="false">IFERROR(VLOOKUP(A124,'Dados-Status-Invest'!$1:$1000,3,FALSE())/100,"")</f>
        <v>0</v>
      </c>
      <c r="L124" s="11" t="n">
        <f aca="false">IFERROR(VLOOKUP(A124,'Dados-Status-Invest'!$1:$1000,MATCH(L$1,'Dados-Status-Invest'!$2:$2,0),FALSE())/100,"")</f>
        <v>-0.0988</v>
      </c>
      <c r="M124" s="10" t="n">
        <f aca="false">IFERROR(VLOOKUP(A124,'Dados-Status-Invest'!$1:$1000,MATCH(M$1,'Dados-Status-Invest'!$2:$2,0),FALSE())/100,"")</f>
        <v>-0.0367</v>
      </c>
      <c r="N124" s="10" t="n">
        <f aca="false">IFERROR(VLOOKUP(A124,'Dados-Status-Invest'!$1:$1000,MATCH(N$1,'Dados-Status-Invest'!$2:$2,0),FALSE())/100,"")</f>
        <v>-0.109</v>
      </c>
      <c r="O124" s="10" t="n">
        <f aca="false">IFERROR(VLOOKUP(A124,'Dados-Status-Invest'!$1:$1000,MATCH(O$1,'Dados-Status-Invest'!$2:$2,0),FALSE())/100,"")</f>
        <v>0.456</v>
      </c>
      <c r="P124" s="10" t="n">
        <f aca="false">IFERROR(VLOOKUP(A124,'Dados-Status-Invest'!$1:$1000,MATCH(P$1,'Dados-Status-Invest'!$2:$2,0),FALSE())/100,"")</f>
        <v>-0.073</v>
      </c>
      <c r="Q124" s="10" t="n">
        <f aca="false">IFERROR(VLOOKUP(A124,'Dados-Status-Invest'!$1:$1000,MATCH(Q$1,'Dados-Status-Invest'!$2:$2,0),FALSE())/100,"")</f>
        <v>-0.0642</v>
      </c>
      <c r="R124" s="12" t="n">
        <f aca="false">IFERROR(VLOOKUP(A124,'Dados-Status-Invest'!$1:$1000,MATCH(R$1,'Dados-Status-Invest'!$2:$2,0),FALSE()),"")</f>
        <v>-17.68</v>
      </c>
      <c r="S124" s="12" t="n">
        <f aca="false">IFERROR(VLOOKUP(A124,'Dados-Status-Invest'!$1:$1000,MATCH(S$1,'Dados-Status-Invest'!$2:$2,0),FALSE()),"")</f>
        <v>1.75</v>
      </c>
      <c r="T124" s="12" t="n">
        <f aca="false">IFERROR(VLOOKUP(A124,'Dados-Status-Invest'!$1:$1000,MATCH(T$1,'Dados-Status-Invest'!$2:$2,0),FALSE()),"")</f>
        <v>-16.17</v>
      </c>
      <c r="U124" s="12" t="n">
        <f aca="false">IFERROR(VLOOKUP(A124,'Dados-Status-Invest'!$1:$1000,MATCH(U$1,'Dados-Status-Invest'!$2:$2,0),FALSE()),"")</f>
        <v>1.5</v>
      </c>
      <c r="V124" s="12" t="n">
        <f aca="false">IFERROR(VLOOKUP(A124,'Dados-Status-Invest'!$1:$1000,MATCH(V$1,'Dados-Status-Invest'!$2:$2,0),FALSE()),"")</f>
        <v>-0.64</v>
      </c>
      <c r="W124" s="10" t="n">
        <f aca="false">IFERROR(VLOOKUP(A124,'Dados-Status-Invest'!$1:$1000,MATCH(W$1,'Dados-Status-Invest'!$2:$2,0),FALSE())/100,"")</f>
        <v>0</v>
      </c>
      <c r="X124" s="10" t="n">
        <f aca="false">IFERROR(VLOOKUP(A124,'Dados-Status-Invest'!$1:$1000,MATCH(X$1,'Dados-Status-Invest'!$2:$2,0),FALSE())/100,"")</f>
        <v>0</v>
      </c>
    </row>
    <row r="125" customFormat="false" ht="15.75" hidden="false" customHeight="false" outlineLevel="0" collapsed="false">
      <c r="A125" s="6" t="s">
        <v>156</v>
      </c>
      <c r="B125" s="7" t="str">
        <f aca="false">IFERROR(VLOOKUP(LEFT(A125,4),Setor!A:D,2,FALSE()),"")</f>
        <v>Utilidade Pública</v>
      </c>
      <c r="C125" s="8" t="n">
        <f aca="false">IFERROR(__xludf.dummyfunction("IFERROR(IFERROR(GOOGLEFINANCE(A131,""price""),VLOOKUP(A131,'Dados-Status-Invest'!A:B,2,FALSE)),"""")"),14.5)</f>
        <v>14.5</v>
      </c>
      <c r="D125" s="8" t="n">
        <f aca="false">IFERROR(VLOOKUP(A125,'Dados-Status-Invest'!$1:$1000,MATCH(D$1,'Dados-Status-Invest'!$2:$2,0),FALSE()),"")</f>
        <v>2724744414</v>
      </c>
      <c r="E125" s="8" t="n">
        <f aca="false">IF(D125+H125&gt;0,D125+H125,"")</f>
        <v>185356763</v>
      </c>
      <c r="F125" s="8" t="n">
        <f aca="false">IFERROR(D125/VLOOKUP(A125,'Dados-Status-Invest'!$1:$1000,5,FALSE()),"")</f>
        <v>1866263297</v>
      </c>
      <c r="G125" s="8" t="n">
        <f aca="false">IFERROR(D125/VLOOKUP(A125,'Dados-Status-Invest'!$1:$1000,6,FALSE()),"")</f>
        <v>3322859041</v>
      </c>
      <c r="H125" s="8" t="n">
        <f aca="false">IFERROR(VLOOKUP(A125,'Dados-Status-Invest'!$1:$1000,12,FALSE())*J125,"")</f>
        <v>-2539387651</v>
      </c>
      <c r="I125" s="8" t="str">
        <f aca="false">IFERROR(D125/VLOOKUP(A125,'Dados-Status-Invest'!$1:$1000,14,FALSE()),"")</f>
        <v/>
      </c>
      <c r="J125" s="9" t="n">
        <f aca="false">IFERROR(D125/VLOOKUP(A125,'Dados-Status-Invest'!$1:$1000,10,FALSE()),"")</f>
        <v>1853567629</v>
      </c>
      <c r="K125" s="10" t="n">
        <f aca="false">IFERROR(VLOOKUP(A125,'Dados-Status-Invest'!$1:$1000,3,FALSE())/100,"")</f>
        <v>0.2052</v>
      </c>
      <c r="L125" s="11" t="n">
        <f aca="false">IFERROR(VLOOKUP(A125,'Dados-Status-Invest'!$1:$1000,MATCH(L$1,'Dados-Status-Invest'!$2:$2,0),FALSE())/100,"")</f>
        <v>0.8542</v>
      </c>
      <c r="M125" s="10" t="n">
        <f aca="false">IFERROR(VLOOKUP(A125,'Dados-Status-Invest'!$1:$1000,MATCH(M$1,'Dados-Status-Invest'!$2:$2,0),FALSE())/100,"")</f>
        <v>0.4811</v>
      </c>
      <c r="N125" s="10" t="n">
        <f aca="false">IFERROR(VLOOKUP(A125,'Dados-Status-Invest'!$1:$1000,MATCH(N$1,'Dados-Status-Invest'!$2:$2,0),FALSE())/100,"")</f>
        <v>0.5991</v>
      </c>
      <c r="O125" s="10" t="n">
        <f aca="false">IFERROR(VLOOKUP(A125,'Dados-Status-Invest'!$1:$1000,MATCH(O$1,'Dados-Status-Invest'!$2:$2,0),FALSE())/100,"")</f>
        <v>-0.2551</v>
      </c>
      <c r="P125" s="10" t="n">
        <f aca="false">IFERROR(VLOOKUP(A125,'Dados-Status-Invest'!$1:$1000,MATCH(P$1,'Dados-Status-Invest'!$2:$2,0),FALSE())/100,"")</f>
        <v>-5.4992</v>
      </c>
      <c r="Q125" s="10" t="n">
        <f aca="false">IFERROR(VLOOKUP(A125,'Dados-Status-Invest'!$1:$1000,MATCH(Q$1,'Dados-Status-Invest'!$2:$2,0),FALSE())/100,"")</f>
        <v>-4.7337</v>
      </c>
      <c r="R125" s="12" t="n">
        <f aca="false">IFERROR(VLOOKUP(A125,'Dados-Status-Invest'!$1:$1000,MATCH(R$1,'Dados-Status-Invest'!$2:$2,0),FALSE()),"")</f>
        <v>1.71</v>
      </c>
      <c r="S125" s="12" t="n">
        <f aca="false">IFERROR(VLOOKUP(A125,'Dados-Status-Invest'!$1:$1000,MATCH(S$1,'Dados-Status-Invest'!$2:$2,0),FALSE()),"")</f>
        <v>1.46</v>
      </c>
      <c r="T125" s="12" t="n">
        <f aca="false">IFERROR(VLOOKUP(A125,'Dados-Status-Invest'!$1:$1000,MATCH(T$1,'Dados-Status-Invest'!$2:$2,0),FALSE()),"")</f>
        <v>0.11</v>
      </c>
      <c r="U125" s="12" t="n">
        <f aca="false">IFERROR(VLOOKUP(A125,'Dados-Status-Invest'!$1:$1000,MATCH(U$1,'Dados-Status-Invest'!$2:$2,0),FALSE()),"")</f>
        <v>2.3</v>
      </c>
      <c r="V125" s="12" t="n">
        <f aca="false">IFERROR(VLOOKUP(A125,'Dados-Status-Invest'!$1:$1000,MATCH(V$1,'Dados-Status-Invest'!$2:$2,0),FALSE()),"")</f>
        <v>-1.37</v>
      </c>
      <c r="W125" s="10" t="n">
        <f aca="false">IFERROR(VLOOKUP(A125,'Dados-Status-Invest'!$1:$1000,MATCH(W$1,'Dados-Status-Invest'!$2:$2,0),FALSE())/100,"")</f>
        <v>-0.361</v>
      </c>
      <c r="X125" s="10" t="n">
        <f aca="false">IFERROR(VLOOKUP(A125,'Dados-Status-Invest'!$1:$1000,MATCH(X$1,'Dados-Status-Invest'!$2:$2,0),FALSE())/100,"")</f>
        <v>0.5667</v>
      </c>
    </row>
    <row r="126" customFormat="false" ht="15.75" hidden="false" customHeight="false" outlineLevel="0" collapsed="false">
      <c r="A126" s="6" t="s">
        <v>157</v>
      </c>
      <c r="B126" s="7" t="str">
        <f aca="false">IFERROR(VLOOKUP(LEFT(A126,4),Setor!A:D,2,FALSE()),"")</f>
        <v>Utilidade Pública</v>
      </c>
      <c r="C126" s="8" t="n">
        <f aca="false">IFERROR(__xludf.dummyfunction("IFERROR(IFERROR(GOOGLEFINANCE(A132,""price""),VLOOKUP(A132,'Dados-Status-Invest'!A:B,2,FALSE)),"""")"),12.99)</f>
        <v>12.99</v>
      </c>
      <c r="D126" s="8" t="n">
        <f aca="false">IFERROR(VLOOKUP(A126,'Dados-Status-Invest'!$1:$1000,MATCH(D$1,'Dados-Status-Invest'!$2:$2,0),FALSE()),"")</f>
        <v>2724744414</v>
      </c>
      <c r="E126" s="8" t="n">
        <f aca="false">IF(D126+H126&gt;0,D126+H126,"")</f>
        <v>268889251</v>
      </c>
      <c r="F126" s="8" t="n">
        <f aca="false">IFERROR(D126/VLOOKUP(A126,'Dados-Status-Invest'!$1:$1000,5,FALSE()),"")</f>
        <v>1804466499</v>
      </c>
      <c r="G126" s="8" t="n">
        <f aca="false">IFERROR(D126/VLOOKUP(A126,'Dados-Status-Invest'!$1:$1000,6,FALSE()),"")</f>
        <v>3205581664</v>
      </c>
      <c r="H126" s="8" t="n">
        <f aca="false">IFERROR(VLOOKUP(A126,'Dados-Status-Invest'!$1:$1000,12,FALSE())*J126,"")</f>
        <v>-2455855163</v>
      </c>
      <c r="I126" s="8" t="str">
        <f aca="false">IFERROR(D126/VLOOKUP(A126,'Dados-Status-Invest'!$1:$1000,14,FALSE()),"")</f>
        <v/>
      </c>
      <c r="J126" s="9" t="n">
        <f aca="false">IFERROR(D126/VLOOKUP(A126,'Dados-Status-Invest'!$1:$1000,10,FALSE()),"")</f>
        <v>1792595009</v>
      </c>
      <c r="K126" s="10" t="n">
        <f aca="false">IFERROR(VLOOKUP(A126,'Dados-Status-Invest'!$1:$1000,3,FALSE())/100,"")</f>
        <v>0.2105</v>
      </c>
      <c r="L126" s="11" t="n">
        <f aca="false">IFERROR(VLOOKUP(A126,'Dados-Status-Invest'!$1:$1000,MATCH(L$1,'Dados-Status-Invest'!$2:$2,0),FALSE())/100,"")</f>
        <v>0.8542</v>
      </c>
      <c r="M126" s="10" t="n">
        <f aca="false">IFERROR(VLOOKUP(A126,'Dados-Status-Invest'!$1:$1000,MATCH(M$1,'Dados-Status-Invest'!$2:$2,0),FALSE())/100,"")</f>
        <v>0.4811</v>
      </c>
      <c r="N126" s="10" t="n">
        <f aca="false">IFERROR(VLOOKUP(A126,'Dados-Status-Invest'!$1:$1000,MATCH(N$1,'Dados-Status-Invest'!$2:$2,0),FALSE())/100,"")</f>
        <v>0.5991</v>
      </c>
      <c r="O126" s="10" t="n">
        <f aca="false">IFERROR(VLOOKUP(A126,'Dados-Status-Invest'!$1:$1000,MATCH(O$1,'Dados-Status-Invest'!$2:$2,0),FALSE())/100,"")</f>
        <v>-0.2551</v>
      </c>
      <c r="P126" s="10" t="n">
        <f aca="false">IFERROR(VLOOKUP(A126,'Dados-Status-Invest'!$1:$1000,MATCH(P$1,'Dados-Status-Invest'!$2:$2,0),FALSE())/100,"")</f>
        <v>-5.4992</v>
      </c>
      <c r="Q126" s="10" t="n">
        <f aca="false">IFERROR(VLOOKUP(A126,'Dados-Status-Invest'!$1:$1000,MATCH(Q$1,'Dados-Status-Invest'!$2:$2,0),FALSE())/100,"")</f>
        <v>-4.7337</v>
      </c>
      <c r="R126" s="12" t="n">
        <f aca="false">IFERROR(VLOOKUP(A126,'Dados-Status-Invest'!$1:$1000,MATCH(R$1,'Dados-Status-Invest'!$2:$2,0),FALSE()),"")</f>
        <v>1.76</v>
      </c>
      <c r="S126" s="12" t="n">
        <f aca="false">IFERROR(VLOOKUP(A126,'Dados-Status-Invest'!$1:$1000,MATCH(S$1,'Dados-Status-Invest'!$2:$2,0),FALSE()),"")</f>
        <v>1.51</v>
      </c>
      <c r="T126" s="12" t="n">
        <f aca="false">IFERROR(VLOOKUP(A126,'Dados-Status-Invest'!$1:$1000,MATCH(T$1,'Dados-Status-Invest'!$2:$2,0),FALSE()),"")</f>
        <v>0.11</v>
      </c>
      <c r="U126" s="12" t="n">
        <f aca="false">IFERROR(VLOOKUP(A126,'Dados-Status-Invest'!$1:$1000,MATCH(U$1,'Dados-Status-Invest'!$2:$2,0),FALSE()),"")</f>
        <v>2.3</v>
      </c>
      <c r="V126" s="12" t="n">
        <f aca="false">IFERROR(VLOOKUP(A126,'Dados-Status-Invest'!$1:$1000,MATCH(V$1,'Dados-Status-Invest'!$2:$2,0),FALSE()),"")</f>
        <v>-1.37</v>
      </c>
      <c r="W126" s="10" t="n">
        <f aca="false">IFERROR(VLOOKUP(A126,'Dados-Status-Invest'!$1:$1000,MATCH(W$1,'Dados-Status-Invest'!$2:$2,0),FALSE())/100,"")</f>
        <v>-0.361</v>
      </c>
      <c r="X126" s="10" t="n">
        <f aca="false">IFERROR(VLOOKUP(A126,'Dados-Status-Invest'!$1:$1000,MATCH(X$1,'Dados-Status-Invest'!$2:$2,0),FALSE())/100,"")</f>
        <v>0.5667</v>
      </c>
    </row>
    <row r="127" customFormat="false" ht="15.75" hidden="false" customHeight="false" outlineLevel="0" collapsed="false">
      <c r="A127" s="6" t="s">
        <v>158</v>
      </c>
      <c r="B127" s="7" t="str">
        <f aca="false">IFERROR(VLOOKUP(LEFT(A127,4),Setor!A:D,2,FALSE()),"")</f>
        <v>Utilidade Pública</v>
      </c>
      <c r="C127" s="8" t="n">
        <f aca="false">IFERROR(__xludf.dummyfunction("IFERROR(IFERROR(GOOGLEFINANCE(A133,""price""),VLOOKUP(A133,'Dados-Status-Invest'!A:B,2,FALSE)),"""")"),13.1)</f>
        <v>13.1</v>
      </c>
      <c r="D127" s="8" t="n">
        <f aca="false">IFERROR(VLOOKUP(A127,'Dados-Status-Invest'!$1:$1000,MATCH(D$1,'Dados-Status-Invest'!$2:$2,0),FALSE()),"")</f>
        <v>2724744414</v>
      </c>
      <c r="E127" s="8" t="n">
        <f aca="false">IF(D127+H127&gt;0,D127+H127,"")</f>
        <v>219442503</v>
      </c>
      <c r="F127" s="8" t="n">
        <f aca="false">IFERROR(D127/VLOOKUP(A127,'Dados-Status-Invest'!$1:$1000,5,FALSE()),"")</f>
        <v>1841043523</v>
      </c>
      <c r="G127" s="8" t="n">
        <f aca="false">IFERROR(D127/VLOOKUP(A127,'Dados-Status-Invest'!$1:$1000,6,FALSE()),"")</f>
        <v>3282824595</v>
      </c>
      <c r="H127" s="8" t="n">
        <f aca="false">IFERROR(VLOOKUP(A127,'Dados-Status-Invest'!$1:$1000,12,FALSE())*J127,"")</f>
        <v>-2505301911</v>
      </c>
      <c r="I127" s="8" t="str">
        <f aca="false">IFERROR(D127/VLOOKUP(A127,'Dados-Status-Invest'!$1:$1000,14,FALSE()),"")</f>
        <v/>
      </c>
      <c r="J127" s="9" t="n">
        <f aca="false">IFERROR(D127/VLOOKUP(A127,'Dados-Status-Invest'!$1:$1000,10,FALSE()),"")</f>
        <v>1828687526</v>
      </c>
      <c r="K127" s="10" t="n">
        <f aca="false">IFERROR(VLOOKUP(A127,'Dados-Status-Invest'!$1:$1000,3,FALSE())/100,"")</f>
        <v>0.2233</v>
      </c>
      <c r="L127" s="11" t="n">
        <f aca="false">IFERROR(VLOOKUP(A127,'Dados-Status-Invest'!$1:$1000,MATCH(L$1,'Dados-Status-Invest'!$2:$2,0),FALSE())/100,"")</f>
        <v>0.8542</v>
      </c>
      <c r="M127" s="10" t="n">
        <f aca="false">IFERROR(VLOOKUP(A127,'Dados-Status-Invest'!$1:$1000,MATCH(M$1,'Dados-Status-Invest'!$2:$2,0),FALSE())/100,"")</f>
        <v>0.4811</v>
      </c>
      <c r="N127" s="10" t="n">
        <f aca="false">IFERROR(VLOOKUP(A127,'Dados-Status-Invest'!$1:$1000,MATCH(N$1,'Dados-Status-Invest'!$2:$2,0),FALSE())/100,"")</f>
        <v>0.5991</v>
      </c>
      <c r="O127" s="10" t="n">
        <f aca="false">IFERROR(VLOOKUP(A127,'Dados-Status-Invest'!$1:$1000,MATCH(O$1,'Dados-Status-Invest'!$2:$2,0),FALSE())/100,"")</f>
        <v>-0.2551</v>
      </c>
      <c r="P127" s="10" t="n">
        <f aca="false">IFERROR(VLOOKUP(A127,'Dados-Status-Invest'!$1:$1000,MATCH(P$1,'Dados-Status-Invest'!$2:$2,0),FALSE())/100,"")</f>
        <v>-5.4992</v>
      </c>
      <c r="Q127" s="10" t="n">
        <f aca="false">IFERROR(VLOOKUP(A127,'Dados-Status-Invest'!$1:$1000,MATCH(Q$1,'Dados-Status-Invest'!$2:$2,0),FALSE())/100,"")</f>
        <v>-4.7337</v>
      </c>
      <c r="R127" s="12" t="n">
        <f aca="false">IFERROR(VLOOKUP(A127,'Dados-Status-Invest'!$1:$1000,MATCH(R$1,'Dados-Status-Invest'!$2:$2,0),FALSE()),"")</f>
        <v>1.73</v>
      </c>
      <c r="S127" s="12" t="n">
        <f aca="false">IFERROR(VLOOKUP(A127,'Dados-Status-Invest'!$1:$1000,MATCH(S$1,'Dados-Status-Invest'!$2:$2,0),FALSE()),"")</f>
        <v>1.48</v>
      </c>
      <c r="T127" s="12" t="n">
        <f aca="false">IFERROR(VLOOKUP(A127,'Dados-Status-Invest'!$1:$1000,MATCH(T$1,'Dados-Status-Invest'!$2:$2,0),FALSE()),"")</f>
        <v>0.11</v>
      </c>
      <c r="U127" s="12" t="n">
        <f aca="false">IFERROR(VLOOKUP(A127,'Dados-Status-Invest'!$1:$1000,MATCH(U$1,'Dados-Status-Invest'!$2:$2,0),FALSE()),"")</f>
        <v>2.3</v>
      </c>
      <c r="V127" s="12" t="n">
        <f aca="false">IFERROR(VLOOKUP(A127,'Dados-Status-Invest'!$1:$1000,MATCH(V$1,'Dados-Status-Invest'!$2:$2,0),FALSE()),"")</f>
        <v>-1.37</v>
      </c>
      <c r="W127" s="10" t="n">
        <f aca="false">IFERROR(VLOOKUP(A127,'Dados-Status-Invest'!$1:$1000,MATCH(W$1,'Dados-Status-Invest'!$2:$2,0),FALSE())/100,"")</f>
        <v>-0.361</v>
      </c>
      <c r="X127" s="10" t="n">
        <f aca="false">IFERROR(VLOOKUP(A127,'Dados-Status-Invest'!$1:$1000,MATCH(X$1,'Dados-Status-Invest'!$2:$2,0),FALSE())/100,"")</f>
        <v>0.5667</v>
      </c>
    </row>
    <row r="128" customFormat="false" ht="15.75" hidden="false" customHeight="false" outlineLevel="0" collapsed="false">
      <c r="A128" s="6" t="s">
        <v>159</v>
      </c>
      <c r="B128" s="7" t="str">
        <f aca="false">IFERROR(VLOOKUP(LEFT(A128,4),Setor!A:D,2,FALSE()),"")</f>
        <v>Consumo Cíclico</v>
      </c>
      <c r="C128" s="8" t="n">
        <f aca="false">IFERROR(__xludf.dummyfunction("IFERROR(IFERROR(GOOGLEFINANCE(A134,""price""),VLOOKUP(A134,'Dados-Status-Invest'!A:B,2,FALSE)),"""")"),6.99)</f>
        <v>6.99</v>
      </c>
      <c r="D128" s="8" t="n">
        <f aca="false">IFERROR(VLOOKUP(A128,'Dados-Status-Invest'!$1:$1000,MATCH(D$1,'Dados-Status-Invest'!$2:$2,0),FALSE()),"")</f>
        <v>92770273.6</v>
      </c>
      <c r="E128" s="8" t="n">
        <f aca="false">IF(D128+H128&gt;0,D128+H128,"")</f>
        <v>279283085.7</v>
      </c>
      <c r="F128" s="8" t="n">
        <f aca="false">IFERROR(D128/VLOOKUP(A128,'Dados-Status-Invest'!$1:$1000,5,FALSE()),"")</f>
        <v>122066149.5</v>
      </c>
      <c r="G128" s="8" t="n">
        <f aca="false">IFERROR(D128/VLOOKUP(A128,'Dados-Status-Invest'!$1:$1000,6,FALSE()),"")</f>
        <v>662644811.4</v>
      </c>
      <c r="H128" s="8" t="n">
        <f aca="false">IFERROR(VLOOKUP(A128,'Dados-Status-Invest'!$1:$1000,12,FALSE())*J128,"")</f>
        <v>186512812.1</v>
      </c>
      <c r="I128" s="8" t="n">
        <f aca="false">IFERROR(D128/VLOOKUP(A128,'Dados-Status-Invest'!$1:$1000,14,FALSE()),"")</f>
        <v>618468490.7</v>
      </c>
      <c r="J128" s="9" t="n">
        <f aca="false">IFERROR(D128/VLOOKUP(A128,'Dados-Status-Invest'!$1:$1000,10,FALSE()),"")</f>
        <v>8102207.301</v>
      </c>
      <c r="K128" s="10" t="n">
        <f aca="false">IFERROR(VLOOKUP(A128,'Dados-Status-Invest'!$1:$1000,3,FALSE())/100,"")</f>
        <v>0</v>
      </c>
      <c r="L128" s="11" t="n">
        <f aca="false">IFERROR(VLOOKUP(A128,'Dados-Status-Invest'!$1:$1000,MATCH(L$1,'Dados-Status-Invest'!$2:$2,0),FALSE())/100,"")</f>
        <v>-0.2056</v>
      </c>
      <c r="M128" s="10" t="n">
        <f aca="false">IFERROR(VLOOKUP(A128,'Dados-Status-Invest'!$1:$1000,MATCH(M$1,'Dados-Status-Invest'!$2:$2,0),FALSE())/100,"")</f>
        <v>-0.0382</v>
      </c>
      <c r="N128" s="10" t="n">
        <f aca="false">IFERROR(VLOOKUP(A128,'Dados-Status-Invest'!$1:$1000,MATCH(N$1,'Dados-Status-Invest'!$2:$2,0),FALSE())/100,"")</f>
        <v>0.023</v>
      </c>
      <c r="O128" s="10" t="n">
        <f aca="false">IFERROR(VLOOKUP(A128,'Dados-Status-Invest'!$1:$1000,MATCH(O$1,'Dados-Status-Invest'!$2:$2,0),FALSE())/100,"")</f>
        <v>0.1687</v>
      </c>
      <c r="P128" s="10" t="n">
        <f aca="false">IFERROR(VLOOKUP(A128,'Dados-Status-Invest'!$1:$1000,MATCH(P$1,'Dados-Status-Invest'!$2:$2,0),FALSE())/100,"")</f>
        <v>0.0133</v>
      </c>
      <c r="Q128" s="10" t="n">
        <f aca="false">IFERROR(VLOOKUP(A128,'Dados-Status-Invest'!$1:$1000,MATCH(Q$1,'Dados-Status-Invest'!$2:$2,0),FALSE())/100,"")</f>
        <v>-0.0411</v>
      </c>
      <c r="R128" s="12" t="n">
        <f aca="false">IFERROR(VLOOKUP(A128,'Dados-Status-Invest'!$1:$1000,MATCH(R$1,'Dados-Status-Invest'!$2:$2,0),FALSE()),"")</f>
        <v>-3.71</v>
      </c>
      <c r="S128" s="12" t="n">
        <f aca="false">IFERROR(VLOOKUP(A128,'Dados-Status-Invest'!$1:$1000,MATCH(S$1,'Dados-Status-Invest'!$2:$2,0),FALSE()),"")</f>
        <v>0.76</v>
      </c>
      <c r="T128" s="12" t="n">
        <f aca="false">IFERROR(VLOOKUP(A128,'Dados-Status-Invest'!$1:$1000,MATCH(T$1,'Dados-Status-Invest'!$2:$2,0),FALSE()),"")</f>
        <v>33.44</v>
      </c>
      <c r="U128" s="12" t="n">
        <f aca="false">IFERROR(VLOOKUP(A128,'Dados-Status-Invest'!$1:$1000,MATCH(U$1,'Dados-Status-Invest'!$2:$2,0),FALSE()),"")</f>
        <v>0.93</v>
      </c>
      <c r="V128" s="12" t="n">
        <f aca="false">IFERROR(VLOOKUP(A128,'Dados-Status-Invest'!$1:$1000,MATCH(V$1,'Dados-Status-Invest'!$2:$2,0),FALSE()),"")</f>
        <v>23.02</v>
      </c>
      <c r="W128" s="10" t="n">
        <f aca="false">IFERROR(VLOOKUP(A128,'Dados-Status-Invest'!$1:$1000,MATCH(W$1,'Dados-Status-Invest'!$2:$2,0),FALSE())/100,"")</f>
        <v>0.0931</v>
      </c>
      <c r="X128" s="10" t="n">
        <f aca="false">IFERROR(VLOOKUP(A128,'Dados-Status-Invest'!$1:$1000,MATCH(X$1,'Dados-Status-Invest'!$2:$2,0),FALSE())/100,"")</f>
        <v>0</v>
      </c>
    </row>
    <row r="129" customFormat="false" ht="15.75" hidden="false" customHeight="false" outlineLevel="0" collapsed="false">
      <c r="A129" s="6" t="s">
        <v>160</v>
      </c>
      <c r="B129" s="7" t="str">
        <f aca="false">IFERROR(VLOOKUP(LEFT(A129,4),Setor!A:D,2,FALSE()),"")</f>
        <v>Consumo Cíclico</v>
      </c>
      <c r="C129" s="8" t="n">
        <f aca="false">IFERROR(__xludf.dummyfunction("IFERROR(IFERROR(GOOGLEFINANCE(A135,""price""),VLOOKUP(A135,'Dados-Status-Invest'!A:B,2,FALSE)),"""")"),4.42)</f>
        <v>4.42</v>
      </c>
      <c r="D129" s="8" t="n">
        <f aca="false">IFERROR(VLOOKUP(A129,'Dados-Status-Invest'!$1:$1000,MATCH(D$1,'Dados-Status-Invest'!$2:$2,0),FALSE()),"")</f>
        <v>92770273.6</v>
      </c>
      <c r="E129" s="8" t="n">
        <f aca="false">IF(D129+H129&gt;0,D129+H129,"")</f>
        <v>329006080.9</v>
      </c>
      <c r="F129" s="8" t="n">
        <f aca="false">IFERROR(D129/VLOOKUP(A129,'Dados-Status-Invest'!$1:$1000,5,FALSE()),"")</f>
        <v>154617122.7</v>
      </c>
      <c r="G129" s="8" t="n">
        <f aca="false">IFERROR(D129/VLOOKUP(A129,'Dados-Status-Invest'!$1:$1000,6,FALSE()),"")</f>
        <v>843366123.6</v>
      </c>
      <c r="H129" s="8" t="n">
        <f aca="false">IFERROR(VLOOKUP(A129,'Dados-Status-Invest'!$1:$1000,12,FALSE())*J129,"")</f>
        <v>236235807.3</v>
      </c>
      <c r="I129" s="8" t="n">
        <f aca="false">IFERROR(D129/VLOOKUP(A129,'Dados-Status-Invest'!$1:$1000,14,FALSE()),"")</f>
        <v>773085613.3</v>
      </c>
      <c r="J129" s="9" t="n">
        <f aca="false">IFERROR(D129/VLOOKUP(A129,'Dados-Status-Invest'!$1:$1000,10,FALSE()),"")</f>
        <v>10262198.41</v>
      </c>
      <c r="K129" s="10" t="n">
        <f aca="false">IFERROR(VLOOKUP(A129,'Dados-Status-Invest'!$1:$1000,3,FALSE())/100,"")</f>
        <v>0</v>
      </c>
      <c r="L129" s="11" t="n">
        <f aca="false">IFERROR(VLOOKUP(A129,'Dados-Status-Invest'!$1:$1000,MATCH(L$1,'Dados-Status-Invest'!$2:$2,0),FALSE())/100,"")</f>
        <v>-0.2056</v>
      </c>
      <c r="M129" s="10" t="n">
        <f aca="false">IFERROR(VLOOKUP(A129,'Dados-Status-Invest'!$1:$1000,MATCH(M$1,'Dados-Status-Invest'!$2:$2,0),FALSE())/100,"")</f>
        <v>-0.0382</v>
      </c>
      <c r="N129" s="10" t="n">
        <f aca="false">IFERROR(VLOOKUP(A129,'Dados-Status-Invest'!$1:$1000,MATCH(N$1,'Dados-Status-Invest'!$2:$2,0),FALSE())/100,"")</f>
        <v>0.023</v>
      </c>
      <c r="O129" s="10" t="n">
        <f aca="false">IFERROR(VLOOKUP(A129,'Dados-Status-Invest'!$1:$1000,MATCH(O$1,'Dados-Status-Invest'!$2:$2,0),FALSE())/100,"")</f>
        <v>0.1687</v>
      </c>
      <c r="P129" s="10" t="n">
        <f aca="false">IFERROR(VLOOKUP(A129,'Dados-Status-Invest'!$1:$1000,MATCH(P$1,'Dados-Status-Invest'!$2:$2,0),FALSE())/100,"")</f>
        <v>0.0133</v>
      </c>
      <c r="Q129" s="10" t="n">
        <f aca="false">IFERROR(VLOOKUP(A129,'Dados-Status-Invest'!$1:$1000,MATCH(Q$1,'Dados-Status-Invest'!$2:$2,0),FALSE())/100,"")</f>
        <v>-0.0411</v>
      </c>
      <c r="R129" s="12" t="n">
        <f aca="false">IFERROR(VLOOKUP(A129,'Dados-Status-Invest'!$1:$1000,MATCH(R$1,'Dados-Status-Invest'!$2:$2,0),FALSE()),"")</f>
        <v>-2.93</v>
      </c>
      <c r="S129" s="12" t="n">
        <f aca="false">IFERROR(VLOOKUP(A129,'Dados-Status-Invest'!$1:$1000,MATCH(S$1,'Dados-Status-Invest'!$2:$2,0),FALSE()),"")</f>
        <v>0.6</v>
      </c>
      <c r="T129" s="12" t="n">
        <f aca="false">IFERROR(VLOOKUP(A129,'Dados-Status-Invest'!$1:$1000,MATCH(T$1,'Dados-Status-Invest'!$2:$2,0),FALSE()),"")</f>
        <v>33.44</v>
      </c>
      <c r="U129" s="12" t="n">
        <f aca="false">IFERROR(VLOOKUP(A129,'Dados-Status-Invest'!$1:$1000,MATCH(U$1,'Dados-Status-Invest'!$2:$2,0),FALSE()),"")</f>
        <v>0.93</v>
      </c>
      <c r="V129" s="12" t="n">
        <f aca="false">IFERROR(VLOOKUP(A129,'Dados-Status-Invest'!$1:$1000,MATCH(V$1,'Dados-Status-Invest'!$2:$2,0),FALSE()),"")</f>
        <v>23.02</v>
      </c>
      <c r="W129" s="10" t="n">
        <f aca="false">IFERROR(VLOOKUP(A129,'Dados-Status-Invest'!$1:$1000,MATCH(W$1,'Dados-Status-Invest'!$2:$2,0),FALSE())/100,"")</f>
        <v>0.0931</v>
      </c>
      <c r="X129" s="10" t="n">
        <f aca="false">IFERROR(VLOOKUP(A129,'Dados-Status-Invest'!$1:$1000,MATCH(X$1,'Dados-Status-Invest'!$2:$2,0),FALSE())/100,"")</f>
        <v>0</v>
      </c>
    </row>
    <row r="130" customFormat="false" ht="15.75" hidden="false" customHeight="false" outlineLevel="0" collapsed="false">
      <c r="A130" s="6" t="s">
        <v>161</v>
      </c>
      <c r="B130" s="7" t="str">
        <f aca="false">IFERROR(VLOOKUP(LEFT(A130,4),Setor!A:D,2,FALSE()),"")</f>
        <v>Utilidade Pública</v>
      </c>
      <c r="C130" s="8" t="n">
        <f aca="false">IFERROR(__xludf.dummyfunction("IFERROR(IFERROR(GOOGLEFINANCE(A136,""price""),VLOOKUP(A136,'Dados-Status-Invest'!A:B,2,FALSE)),"""")"),36.5)</f>
        <v>36.5</v>
      </c>
      <c r="D130" s="8" t="n">
        <f aca="false">IFERROR(VLOOKUP(A130,'Dados-Status-Invest'!$1:$1000,MATCH(D$1,'Dados-Status-Invest'!$2:$2,0),FALSE()),"")</f>
        <v>12912677614</v>
      </c>
      <c r="E130" s="8" t="n">
        <f aca="false">IF(D130+H130&gt;0,D130+H130,"")</f>
        <v>22877150959</v>
      </c>
      <c r="F130" s="8" t="n">
        <f aca="false">IFERROR(D130/VLOOKUP(A130,'Dados-Status-Invest'!$1:$1000,5,FALSE()),"")</f>
        <v>7732142284</v>
      </c>
      <c r="G130" s="8" t="n">
        <f aca="false">IFERROR(D130/VLOOKUP(A130,'Dados-Status-Invest'!$1:$1000,6,FALSE()),"")</f>
        <v>26352403294</v>
      </c>
      <c r="H130" s="8" t="n">
        <f aca="false">IFERROR(VLOOKUP(A130,'Dados-Status-Invest'!$1:$1000,12,FALSE())*J130,"")</f>
        <v>9964473345</v>
      </c>
      <c r="I130" s="8" t="n">
        <f aca="false">IFERROR(D130/VLOOKUP(A130,'Dados-Status-Invest'!$1:$1000,14,FALSE()),"")</f>
        <v>14347419571</v>
      </c>
      <c r="J130" s="9" t="n">
        <f aca="false">IFERROR(D130/VLOOKUP(A130,'Dados-Status-Invest'!$1:$1000,10,FALSE()),"")</f>
        <v>2285429666</v>
      </c>
      <c r="K130" s="10" t="n">
        <f aca="false">IFERROR(VLOOKUP(A130,'Dados-Status-Invest'!$1:$1000,3,FALSE())/100,"")</f>
        <v>0.0258</v>
      </c>
      <c r="L130" s="11" t="n">
        <f aca="false">IFERROR(VLOOKUP(A130,'Dados-Status-Invest'!$1:$1000,MATCH(L$1,'Dados-Status-Invest'!$2:$2,0),FALSE())/100,"")</f>
        <v>0.1996</v>
      </c>
      <c r="M130" s="10" t="n">
        <f aca="false">IFERROR(VLOOKUP(A130,'Dados-Status-Invest'!$1:$1000,MATCH(M$1,'Dados-Status-Invest'!$2:$2,0),FALSE())/100,"")</f>
        <v>0.0582</v>
      </c>
      <c r="N130" s="10" t="n">
        <f aca="false">IFERROR(VLOOKUP(A130,'Dados-Status-Invest'!$1:$1000,MATCH(N$1,'Dados-Status-Invest'!$2:$2,0),FALSE())/100,"")</f>
        <v>0.1055</v>
      </c>
      <c r="O130" s="10" t="n">
        <f aca="false">IFERROR(VLOOKUP(A130,'Dados-Status-Invest'!$1:$1000,MATCH(O$1,'Dados-Status-Invest'!$2:$2,0),FALSE())/100,"")</f>
        <v>0.2241</v>
      </c>
      <c r="P130" s="10" t="n">
        <f aca="false">IFERROR(VLOOKUP(A130,'Dados-Status-Invest'!$1:$1000,MATCH(P$1,'Dados-Status-Invest'!$2:$2,0),FALSE())/100,"")</f>
        <v>0.1601</v>
      </c>
      <c r="Q130" s="10" t="n">
        <f aca="false">IFERROR(VLOOKUP(A130,'Dados-Status-Invest'!$1:$1000,MATCH(Q$1,'Dados-Status-Invest'!$2:$2,0),FALSE())/100,"")</f>
        <v>0.1078</v>
      </c>
      <c r="R130" s="12" t="n">
        <f aca="false">IFERROR(VLOOKUP(A130,'Dados-Status-Invest'!$1:$1000,MATCH(R$1,'Dados-Status-Invest'!$2:$2,0),FALSE()),"")</f>
        <v>8.38</v>
      </c>
      <c r="S130" s="12" t="n">
        <f aca="false">IFERROR(VLOOKUP(A130,'Dados-Status-Invest'!$1:$1000,MATCH(S$1,'Dados-Status-Invest'!$2:$2,0),FALSE()),"")</f>
        <v>1.67</v>
      </c>
      <c r="T130" s="12" t="n">
        <f aca="false">IFERROR(VLOOKUP(A130,'Dados-Status-Invest'!$1:$1000,MATCH(T$1,'Dados-Status-Invest'!$2:$2,0),FALSE()),"")</f>
        <v>11.14</v>
      </c>
      <c r="U130" s="12" t="n">
        <f aca="false">IFERROR(VLOOKUP(A130,'Dados-Status-Invest'!$1:$1000,MATCH(U$1,'Dados-Status-Invest'!$2:$2,0),FALSE()),"")</f>
        <v>1.41</v>
      </c>
      <c r="V130" s="12" t="n">
        <f aca="false">IFERROR(VLOOKUP(A130,'Dados-Status-Invest'!$1:$1000,MATCH(V$1,'Dados-Status-Invest'!$2:$2,0),FALSE()),"")</f>
        <v>4.36</v>
      </c>
      <c r="W130" s="10" t="n">
        <f aca="false">IFERROR(VLOOKUP(A130,'Dados-Status-Invest'!$1:$1000,MATCH(W$1,'Dados-Status-Invest'!$2:$2,0),FALSE())/100,"")</f>
        <v>0.1093</v>
      </c>
      <c r="X130" s="10" t="n">
        <f aca="false">IFERROR(VLOOKUP(A130,'Dados-Status-Invest'!$1:$1000,MATCH(X$1,'Dados-Status-Invest'!$2:$2,0),FALSE())/100,"")</f>
        <v>0.2939</v>
      </c>
    </row>
    <row r="131" customFormat="false" ht="15.75" hidden="false" customHeight="false" outlineLevel="0" collapsed="false">
      <c r="A131" s="6" t="s">
        <v>162</v>
      </c>
      <c r="B131" s="7" t="str">
        <f aca="false">IFERROR(VLOOKUP(LEFT(A131,4),Setor!A:D,2,FALSE()),"")</f>
        <v>Utilidade Pública</v>
      </c>
      <c r="C131" s="8" t="n">
        <f aca="false">IFERROR(__xludf.dummyfunction("IFERROR(IFERROR(GOOGLEFINANCE(A137,""price""),VLOOKUP(A137,'Dados-Status-Invest'!A:B,2,FALSE)),"""")"),34.49)</f>
        <v>34.49</v>
      </c>
      <c r="D131" s="8" t="n">
        <f aca="false">IFERROR(VLOOKUP(A131,'Dados-Status-Invest'!$1:$1000,MATCH(D$1,'Dados-Status-Invest'!$2:$2,0),FALSE()),"")</f>
        <v>12912677614</v>
      </c>
      <c r="E131" s="8" t="n">
        <f aca="false">IF(D131+H131&gt;0,D131+H131,"")</f>
        <v>23396713815</v>
      </c>
      <c r="F131" s="8" t="n">
        <f aca="false">IFERROR(D131/VLOOKUP(A131,'Dados-Status-Invest'!$1:$1000,5,FALSE()),"")</f>
        <v>8121180889</v>
      </c>
      <c r="G131" s="8" t="n">
        <f aca="false">IFERROR(D131/VLOOKUP(A131,'Dados-Status-Invest'!$1:$1000,6,FALSE()),"")</f>
        <v>28071038291</v>
      </c>
      <c r="H131" s="8" t="n">
        <f aca="false">IFERROR(VLOOKUP(A131,'Dados-Status-Invest'!$1:$1000,12,FALSE())*J131,"")</f>
        <v>10484036201</v>
      </c>
      <c r="I131" s="8" t="n">
        <f aca="false">IFERROR(D131/VLOOKUP(A131,'Dados-Status-Invest'!$1:$1000,14,FALSE()),"")</f>
        <v>15014741412</v>
      </c>
      <c r="J131" s="9" t="n">
        <f aca="false">IFERROR(D131/VLOOKUP(A131,'Dados-Status-Invest'!$1:$1000,10,FALSE()),"")</f>
        <v>2404595459</v>
      </c>
      <c r="K131" s="10" t="n">
        <f aca="false">IFERROR(VLOOKUP(A131,'Dados-Status-Invest'!$1:$1000,3,FALSE())/100,"")</f>
        <v>0.0271</v>
      </c>
      <c r="L131" s="11" t="n">
        <f aca="false">IFERROR(VLOOKUP(A131,'Dados-Status-Invest'!$1:$1000,MATCH(L$1,'Dados-Status-Invest'!$2:$2,0),FALSE())/100,"")</f>
        <v>0.1996</v>
      </c>
      <c r="M131" s="10" t="n">
        <f aca="false">IFERROR(VLOOKUP(A131,'Dados-Status-Invest'!$1:$1000,MATCH(M$1,'Dados-Status-Invest'!$2:$2,0),FALSE())/100,"")</f>
        <v>0.0582</v>
      </c>
      <c r="N131" s="10" t="n">
        <f aca="false">IFERROR(VLOOKUP(A131,'Dados-Status-Invest'!$1:$1000,MATCH(N$1,'Dados-Status-Invest'!$2:$2,0),FALSE())/100,"")</f>
        <v>0.1055</v>
      </c>
      <c r="O131" s="10" t="n">
        <f aca="false">IFERROR(VLOOKUP(A131,'Dados-Status-Invest'!$1:$1000,MATCH(O$1,'Dados-Status-Invest'!$2:$2,0),FALSE())/100,"")</f>
        <v>0.2241</v>
      </c>
      <c r="P131" s="10" t="n">
        <f aca="false">IFERROR(VLOOKUP(A131,'Dados-Status-Invest'!$1:$1000,MATCH(P$1,'Dados-Status-Invest'!$2:$2,0),FALSE())/100,"")</f>
        <v>0.1601</v>
      </c>
      <c r="Q131" s="10" t="n">
        <f aca="false">IFERROR(VLOOKUP(A131,'Dados-Status-Invest'!$1:$1000,MATCH(Q$1,'Dados-Status-Invest'!$2:$2,0),FALSE())/100,"")</f>
        <v>0.1078</v>
      </c>
      <c r="R131" s="12" t="n">
        <f aca="false">IFERROR(VLOOKUP(A131,'Dados-Status-Invest'!$1:$1000,MATCH(R$1,'Dados-Status-Invest'!$2:$2,0),FALSE()),"")</f>
        <v>7.97</v>
      </c>
      <c r="S131" s="12" t="n">
        <f aca="false">IFERROR(VLOOKUP(A131,'Dados-Status-Invest'!$1:$1000,MATCH(S$1,'Dados-Status-Invest'!$2:$2,0),FALSE()),"")</f>
        <v>1.59</v>
      </c>
      <c r="T131" s="12" t="n">
        <f aca="false">IFERROR(VLOOKUP(A131,'Dados-Status-Invest'!$1:$1000,MATCH(T$1,'Dados-Status-Invest'!$2:$2,0),FALSE()),"")</f>
        <v>11.14</v>
      </c>
      <c r="U131" s="12" t="n">
        <f aca="false">IFERROR(VLOOKUP(A131,'Dados-Status-Invest'!$1:$1000,MATCH(U$1,'Dados-Status-Invest'!$2:$2,0),FALSE()),"")</f>
        <v>1.41</v>
      </c>
      <c r="V131" s="12" t="n">
        <f aca="false">IFERROR(VLOOKUP(A131,'Dados-Status-Invest'!$1:$1000,MATCH(V$1,'Dados-Status-Invest'!$2:$2,0),FALSE()),"")</f>
        <v>4.36</v>
      </c>
      <c r="W131" s="10" t="n">
        <f aca="false">IFERROR(VLOOKUP(A131,'Dados-Status-Invest'!$1:$1000,MATCH(W$1,'Dados-Status-Invest'!$2:$2,0),FALSE())/100,"")</f>
        <v>0.1093</v>
      </c>
      <c r="X131" s="10" t="n">
        <f aca="false">IFERROR(VLOOKUP(A131,'Dados-Status-Invest'!$1:$1000,MATCH(X$1,'Dados-Status-Invest'!$2:$2,0),FALSE())/100,"")</f>
        <v>0.2939</v>
      </c>
    </row>
    <row r="132" customFormat="false" ht="15.75" hidden="false" customHeight="false" outlineLevel="0" collapsed="false">
      <c r="A132" s="6" t="s">
        <v>163</v>
      </c>
      <c r="B132" s="7" t="str">
        <f aca="false">IFERROR(VLOOKUP(LEFT(A132,4),Setor!A:D,2,FALSE()),"")</f>
        <v>Utilidade Pública</v>
      </c>
      <c r="C132" s="8" t="n">
        <f aca="false">IFERROR(__xludf.dummyfunction("IFERROR(IFERROR(GOOGLEFINANCE(A138,""price""),VLOOKUP(A138,'Dados-Status-Invest'!A:B,2,FALSE)),"""")"),0)</f>
        <v>0</v>
      </c>
      <c r="D132" s="8" t="n">
        <f aca="false">IFERROR(VLOOKUP(A132,'Dados-Status-Invest'!$1:$1000,MATCH(D$1,'Dados-Status-Invest'!$2:$2,0),FALSE()),"")</f>
        <v>12912677614</v>
      </c>
      <c r="E132" s="8" t="n">
        <f aca="false">IF(D132+H132&gt;0,D132+H132,"")</f>
        <v>19647040580</v>
      </c>
      <c r="F132" s="8" t="n">
        <f aca="false">IFERROR(D132/VLOOKUP(A132,'Dados-Status-Invest'!$1:$1000,5,FALSE()),"")</f>
        <v>5206724844</v>
      </c>
      <c r="G132" s="8" t="n">
        <f aca="false">IFERROR(D132/VLOOKUP(A132,'Dados-Status-Invest'!$1:$1000,6,FALSE()),"")</f>
        <v>17934274464</v>
      </c>
      <c r="H132" s="8" t="n">
        <f aca="false">IFERROR(VLOOKUP(A132,'Dados-Status-Invest'!$1:$1000,12,FALSE())*J132,"")</f>
        <v>6734362966</v>
      </c>
      <c r="I132" s="8" t="n">
        <f aca="false">IFERROR(D132/VLOOKUP(A132,'Dados-Status-Invest'!$1:$1000,14,FALSE()),"")</f>
        <v>9636326578</v>
      </c>
      <c r="J132" s="9" t="n">
        <f aca="false">IFERROR(D132/VLOOKUP(A132,'Dados-Status-Invest'!$1:$1000,10,FALSE()),"")</f>
        <v>1544578662</v>
      </c>
      <c r="K132" s="10" t="n">
        <f aca="false">IFERROR(VLOOKUP(A132,'Dados-Status-Invest'!$1:$1000,3,FALSE())/100,"")</f>
        <v>0.0192</v>
      </c>
      <c r="L132" s="11" t="n">
        <f aca="false">IFERROR(VLOOKUP(A132,'Dados-Status-Invest'!$1:$1000,MATCH(L$1,'Dados-Status-Invest'!$2:$2,0),FALSE())/100,"")</f>
        <v>0.1996</v>
      </c>
      <c r="M132" s="10" t="n">
        <f aca="false">IFERROR(VLOOKUP(A132,'Dados-Status-Invest'!$1:$1000,MATCH(M$1,'Dados-Status-Invest'!$2:$2,0),FALSE())/100,"")</f>
        <v>0.0582</v>
      </c>
      <c r="N132" s="10" t="n">
        <f aca="false">IFERROR(VLOOKUP(A132,'Dados-Status-Invest'!$1:$1000,MATCH(N$1,'Dados-Status-Invest'!$2:$2,0),FALSE())/100,"")</f>
        <v>0.1055</v>
      </c>
      <c r="O132" s="10" t="n">
        <f aca="false">IFERROR(VLOOKUP(A132,'Dados-Status-Invest'!$1:$1000,MATCH(O$1,'Dados-Status-Invest'!$2:$2,0),FALSE())/100,"")</f>
        <v>0.2241</v>
      </c>
      <c r="P132" s="10" t="n">
        <f aca="false">IFERROR(VLOOKUP(A132,'Dados-Status-Invest'!$1:$1000,MATCH(P$1,'Dados-Status-Invest'!$2:$2,0),FALSE())/100,"")</f>
        <v>0.1601</v>
      </c>
      <c r="Q132" s="10" t="n">
        <f aca="false">IFERROR(VLOOKUP(A132,'Dados-Status-Invest'!$1:$1000,MATCH(Q$1,'Dados-Status-Invest'!$2:$2,0),FALSE())/100,"")</f>
        <v>0.1078</v>
      </c>
      <c r="R132" s="12" t="n">
        <f aca="false">IFERROR(VLOOKUP(A132,'Dados-Status-Invest'!$1:$1000,MATCH(R$1,'Dados-Status-Invest'!$2:$2,0),FALSE()),"")</f>
        <v>12.4</v>
      </c>
      <c r="S132" s="12" t="n">
        <f aca="false">IFERROR(VLOOKUP(A132,'Dados-Status-Invest'!$1:$1000,MATCH(S$1,'Dados-Status-Invest'!$2:$2,0),FALSE()),"")</f>
        <v>2.48</v>
      </c>
      <c r="T132" s="12" t="n">
        <f aca="false">IFERROR(VLOOKUP(A132,'Dados-Status-Invest'!$1:$1000,MATCH(T$1,'Dados-Status-Invest'!$2:$2,0),FALSE()),"")</f>
        <v>11.14</v>
      </c>
      <c r="U132" s="12" t="n">
        <f aca="false">IFERROR(VLOOKUP(A132,'Dados-Status-Invest'!$1:$1000,MATCH(U$1,'Dados-Status-Invest'!$2:$2,0),FALSE()),"")</f>
        <v>1.41</v>
      </c>
      <c r="V132" s="12" t="n">
        <f aca="false">IFERROR(VLOOKUP(A132,'Dados-Status-Invest'!$1:$1000,MATCH(V$1,'Dados-Status-Invest'!$2:$2,0),FALSE()),"")</f>
        <v>4.36</v>
      </c>
      <c r="W132" s="10" t="n">
        <f aca="false">IFERROR(VLOOKUP(A132,'Dados-Status-Invest'!$1:$1000,MATCH(W$1,'Dados-Status-Invest'!$2:$2,0),FALSE())/100,"")</f>
        <v>0.1093</v>
      </c>
      <c r="X132" s="10" t="n">
        <f aca="false">IFERROR(VLOOKUP(A132,'Dados-Status-Invest'!$1:$1000,MATCH(X$1,'Dados-Status-Invest'!$2:$2,0),FALSE())/100,"")</f>
        <v>0.2939</v>
      </c>
    </row>
    <row r="133" customFormat="false" ht="15.75" hidden="false" customHeight="false" outlineLevel="0" collapsed="false">
      <c r="A133" s="6" t="s">
        <v>164</v>
      </c>
      <c r="B133" s="7" t="str">
        <f aca="false">IFERROR(VLOOKUP(LEFT(A133,4),Setor!A:D,2,FALSE()),"")</f>
        <v>Utilidade Pública</v>
      </c>
      <c r="C133" s="8" t="n">
        <f aca="false">IFERROR(__xludf.dummyfunction("IFERROR(IFERROR(GOOGLEFINANCE(A139,""price""),VLOOKUP(A139,'Dados-Status-Invest'!A:B,2,FALSE)),"""")"),47)</f>
        <v>47</v>
      </c>
      <c r="D133" s="8" t="n">
        <f aca="false">IFERROR(VLOOKUP(A133,'Dados-Status-Invest'!$1:$1000,MATCH(D$1,'Dados-Status-Invest'!$2:$2,0),FALSE()),"")</f>
        <v>597689375.6</v>
      </c>
      <c r="E133" s="8" t="n">
        <f aca="false">IF(D133+H133&gt;0,D133+H133,"")</f>
        <v>1580428637.5</v>
      </c>
      <c r="F133" s="8" t="n">
        <f aca="false">IFERROR(D133/VLOOKUP(A133,'Dados-Status-Invest'!$1:$1000,5,FALSE()),"")</f>
        <v>-5976893756</v>
      </c>
      <c r="G133" s="8" t="n">
        <f aca="false">IFERROR(D133/VLOOKUP(A133,'Dados-Status-Invest'!$1:$1000,6,FALSE()),"")</f>
        <v>4980744797</v>
      </c>
      <c r="H133" s="8" t="n">
        <f aca="false">IFERROR(VLOOKUP(A133,'Dados-Status-Invest'!$1:$1000,12,FALSE())*J133,"")</f>
        <v>982739261.9</v>
      </c>
      <c r="I133" s="8" t="n">
        <f aca="false">IFERROR(D133/VLOOKUP(A133,'Dados-Status-Invest'!$1:$1000,14,FALSE()),"")</f>
        <v>3735558598</v>
      </c>
      <c r="J133" s="9" t="n">
        <f aca="false">IFERROR(D133/VLOOKUP(A133,'Dados-Status-Invest'!$1:$1000,10,FALSE()),"")</f>
        <v>-574701322.7</v>
      </c>
      <c r="K133" s="10" t="n">
        <f aca="false">IFERROR(VLOOKUP(A133,'Dados-Status-Invest'!$1:$1000,3,FALSE())/100,"")</f>
        <v>0</v>
      </c>
      <c r="L133" s="11" t="n">
        <f aca="false">IFERROR(VLOOKUP(A133,'Dados-Status-Invest'!$1:$1000,MATCH(L$1,'Dados-Status-Invest'!$2:$2,0),FALSE())/100,"")</f>
        <v>-0.2194</v>
      </c>
      <c r="M133" s="10" t="n">
        <f aca="false">IFERROR(VLOOKUP(A133,'Dados-Status-Invest'!$1:$1000,MATCH(M$1,'Dados-Status-Invest'!$2:$2,0),FALSE())/100,"")</f>
        <v>-0.2613</v>
      </c>
      <c r="N133" s="10" t="n">
        <f aca="false">IFERROR(VLOOKUP(A133,'Dados-Status-Invest'!$1:$1000,MATCH(N$1,'Dados-Status-Invest'!$2:$2,0),FALSE())/100,"")</f>
        <v>0.1272</v>
      </c>
      <c r="O133" s="10" t="n">
        <f aca="false">IFERROR(VLOOKUP(A133,'Dados-Status-Invest'!$1:$1000,MATCH(O$1,'Dados-Status-Invest'!$2:$2,0),FALSE())/100,"")</f>
        <v>-0.006</v>
      </c>
      <c r="P133" s="10" t="n">
        <f aca="false">IFERROR(VLOOKUP(A133,'Dados-Status-Invest'!$1:$1000,MATCH(P$1,'Dados-Status-Invest'!$2:$2,0),FALSE())/100,"")</f>
        <v>-0.1581</v>
      </c>
      <c r="Q133" s="10" t="n">
        <f aca="false">IFERROR(VLOOKUP(A133,'Dados-Status-Invest'!$1:$1000,MATCH(Q$1,'Dados-Status-Invest'!$2:$2,0),FALSE())/100,"")</f>
        <v>-0.3558</v>
      </c>
      <c r="R133" s="12" t="n">
        <f aca="false">IFERROR(VLOOKUP(A133,'Dados-Status-Invest'!$1:$1000,MATCH(R$1,'Dados-Status-Invest'!$2:$2,0),FALSE()),"")</f>
        <v>-0.46</v>
      </c>
      <c r="S133" s="12" t="n">
        <f aca="false">IFERROR(VLOOKUP(A133,'Dados-Status-Invest'!$1:$1000,MATCH(S$1,'Dados-Status-Invest'!$2:$2,0),FALSE()),"")</f>
        <v>-0.1</v>
      </c>
      <c r="T133" s="12" t="n">
        <f aca="false">IFERROR(VLOOKUP(A133,'Dados-Status-Invest'!$1:$1000,MATCH(T$1,'Dados-Status-Invest'!$2:$2,0),FALSE()),"")</f>
        <v>-2.74</v>
      </c>
      <c r="U133" s="12" t="n">
        <f aca="false">IFERROR(VLOOKUP(A133,'Dados-Status-Invest'!$1:$1000,MATCH(U$1,'Dados-Status-Invest'!$2:$2,0),FALSE()),"")</f>
        <v>0.61</v>
      </c>
      <c r="V133" s="12" t="n">
        <f aca="false">IFERROR(VLOOKUP(A133,'Dados-Status-Invest'!$1:$1000,MATCH(V$1,'Dados-Status-Invest'!$2:$2,0),FALSE()),"")</f>
        <v>-1.71</v>
      </c>
      <c r="W133" s="10" t="n">
        <f aca="false">IFERROR(VLOOKUP(A133,'Dados-Status-Invest'!$1:$1000,MATCH(W$1,'Dados-Status-Invest'!$2:$2,0),FALSE())/100,"")</f>
        <v>-0.0025</v>
      </c>
      <c r="X133" s="10" t="n">
        <f aca="false">IFERROR(VLOOKUP(A133,'Dados-Status-Invest'!$1:$1000,MATCH(X$1,'Dados-Status-Invest'!$2:$2,0),FALSE())/100,"")</f>
        <v>0</v>
      </c>
    </row>
    <row r="134" customFormat="false" ht="15.75" hidden="false" customHeight="false" outlineLevel="0" collapsed="false">
      <c r="A134" s="6" t="s">
        <v>165</v>
      </c>
      <c r="B134" s="7" t="str">
        <f aca="false">IFERROR(VLOOKUP(LEFT(A134,4),Setor!A:D,2,FALSE()),"")</f>
        <v>Utilidade Pública</v>
      </c>
      <c r="C134" s="8" t="n">
        <f aca="false">IFERROR(__xludf.dummyfunction("IFERROR(IFERROR(GOOGLEFINANCE(A140,""price""),VLOOKUP(A140,'Dados-Status-Invest'!A:B,2,FALSE)),"""")"),65.49)</f>
        <v>65.49</v>
      </c>
      <c r="D134" s="8" t="n">
        <f aca="false">IFERROR(VLOOKUP(A134,'Dados-Status-Invest'!$1:$1000,MATCH(D$1,'Dados-Status-Invest'!$2:$2,0),FALSE()),"")</f>
        <v>597689375.6</v>
      </c>
      <c r="E134" s="8" t="n">
        <f aca="false">IF(D134+H134&gt;0,D134+H134,"")</f>
        <v>1609618912.6</v>
      </c>
      <c r="F134" s="8" t="n">
        <f aca="false">IFERROR(D134/VLOOKUP(A134,'Dados-Status-Invest'!$1:$1000,5,FALSE()),"")</f>
        <v>-5976893756</v>
      </c>
      <c r="G134" s="8" t="n">
        <f aca="false">IFERROR(D134/VLOOKUP(A134,'Dados-Status-Invest'!$1:$1000,6,FALSE()),"")</f>
        <v>4980744797</v>
      </c>
      <c r="H134" s="8" t="n">
        <f aca="false">IFERROR(VLOOKUP(A134,'Dados-Status-Invest'!$1:$1000,12,FALSE())*J134,"")</f>
        <v>1011929537</v>
      </c>
      <c r="I134" s="8" t="n">
        <f aca="false">IFERROR(D134/VLOOKUP(A134,'Dados-Status-Invest'!$1:$1000,14,FALSE()),"")</f>
        <v>3735558598</v>
      </c>
      <c r="J134" s="9" t="n">
        <f aca="false">IFERROR(D134/VLOOKUP(A134,'Dados-Status-Invest'!$1:$1000,10,FALSE()),"")</f>
        <v>-591771659</v>
      </c>
      <c r="K134" s="10" t="n">
        <f aca="false">IFERROR(VLOOKUP(A134,'Dados-Status-Invest'!$1:$1000,3,FALSE())/100,"")</f>
        <v>0</v>
      </c>
      <c r="L134" s="11" t="n">
        <f aca="false">IFERROR(VLOOKUP(A134,'Dados-Status-Invest'!$1:$1000,MATCH(L$1,'Dados-Status-Invest'!$2:$2,0),FALSE())/100,"")</f>
        <v>-0.2194</v>
      </c>
      <c r="M134" s="10" t="n">
        <f aca="false">IFERROR(VLOOKUP(A134,'Dados-Status-Invest'!$1:$1000,MATCH(M$1,'Dados-Status-Invest'!$2:$2,0),FALSE())/100,"")</f>
        <v>-0.2613</v>
      </c>
      <c r="N134" s="10" t="n">
        <f aca="false">IFERROR(VLOOKUP(A134,'Dados-Status-Invest'!$1:$1000,MATCH(N$1,'Dados-Status-Invest'!$2:$2,0),FALSE())/100,"")</f>
        <v>0.1272</v>
      </c>
      <c r="O134" s="10" t="n">
        <f aca="false">IFERROR(VLOOKUP(A134,'Dados-Status-Invest'!$1:$1000,MATCH(O$1,'Dados-Status-Invest'!$2:$2,0),FALSE())/100,"")</f>
        <v>-0.006</v>
      </c>
      <c r="P134" s="10" t="n">
        <f aca="false">IFERROR(VLOOKUP(A134,'Dados-Status-Invest'!$1:$1000,MATCH(P$1,'Dados-Status-Invest'!$2:$2,0),FALSE())/100,"")</f>
        <v>-0.1581</v>
      </c>
      <c r="Q134" s="10" t="n">
        <f aca="false">IFERROR(VLOOKUP(A134,'Dados-Status-Invest'!$1:$1000,MATCH(Q$1,'Dados-Status-Invest'!$2:$2,0),FALSE())/100,"")</f>
        <v>-0.3558</v>
      </c>
      <c r="R134" s="12" t="n">
        <f aca="false">IFERROR(VLOOKUP(A134,'Dados-Status-Invest'!$1:$1000,MATCH(R$1,'Dados-Status-Invest'!$2:$2,0),FALSE()),"")</f>
        <v>-0.45</v>
      </c>
      <c r="S134" s="12" t="n">
        <f aca="false">IFERROR(VLOOKUP(A134,'Dados-Status-Invest'!$1:$1000,MATCH(S$1,'Dados-Status-Invest'!$2:$2,0),FALSE()),"")</f>
        <v>-0.1</v>
      </c>
      <c r="T134" s="12" t="n">
        <f aca="false">IFERROR(VLOOKUP(A134,'Dados-Status-Invest'!$1:$1000,MATCH(T$1,'Dados-Status-Invest'!$2:$2,0),FALSE()),"")</f>
        <v>-2.74</v>
      </c>
      <c r="U134" s="12" t="n">
        <f aca="false">IFERROR(VLOOKUP(A134,'Dados-Status-Invest'!$1:$1000,MATCH(U$1,'Dados-Status-Invest'!$2:$2,0),FALSE()),"")</f>
        <v>0.61</v>
      </c>
      <c r="V134" s="12" t="n">
        <f aca="false">IFERROR(VLOOKUP(A134,'Dados-Status-Invest'!$1:$1000,MATCH(V$1,'Dados-Status-Invest'!$2:$2,0),FALSE()),"")</f>
        <v>-1.71</v>
      </c>
      <c r="W134" s="10" t="n">
        <f aca="false">IFERROR(VLOOKUP(A134,'Dados-Status-Invest'!$1:$1000,MATCH(W$1,'Dados-Status-Invest'!$2:$2,0),FALSE())/100,"")</f>
        <v>-0.0025</v>
      </c>
      <c r="X134" s="10" t="n">
        <f aca="false">IFERROR(VLOOKUP(A134,'Dados-Status-Invest'!$1:$1000,MATCH(X$1,'Dados-Status-Invest'!$2:$2,0),FALSE())/100,"")</f>
        <v>0</v>
      </c>
    </row>
    <row r="135" customFormat="false" ht="15.75" hidden="false" customHeight="false" outlineLevel="0" collapsed="false">
      <c r="A135" s="6" t="s">
        <v>166</v>
      </c>
      <c r="B135" s="7" t="str">
        <f aca="false">IFERROR(VLOOKUP(LEFT(A135,4),Setor!A:D,2,FALSE()),"")</f>
        <v>Utilidade Pública</v>
      </c>
      <c r="C135" s="8" t="n">
        <f aca="false">IFERROR(__xludf.dummyfunction("IFERROR(IFERROR(GOOGLEFINANCE(A141,""price""),VLOOKUP(A141,'Dados-Status-Invest'!A:B,2,FALSE)),"""")"),89)</f>
        <v>89</v>
      </c>
      <c r="D135" s="8" t="n">
        <f aca="false">IFERROR(VLOOKUP(A135,'Dados-Status-Invest'!$1:$1000,MATCH(D$1,'Dados-Status-Invest'!$2:$2,0),FALSE()),"")</f>
        <v>15837901652</v>
      </c>
      <c r="E135" s="8" t="n">
        <f aca="false">IF(D135+H135&gt;0,D135+H135,"")</f>
        <v>16687399683.3</v>
      </c>
      <c r="F135" s="8" t="n">
        <f aca="false">IFERROR(D135/VLOOKUP(A135,'Dados-Status-Invest'!$1:$1000,5,FALSE()),"")</f>
        <v>1268046569</v>
      </c>
      <c r="G135" s="8" t="n">
        <f aca="false">IFERROR(D135/VLOOKUP(A135,'Dados-Status-Invest'!$1:$1000,6,FALSE()),"")</f>
        <v>3420713100</v>
      </c>
      <c r="H135" s="8" t="n">
        <f aca="false">IFERROR(VLOOKUP(A135,'Dados-Status-Invest'!$1:$1000,12,FALSE())*J135,"")</f>
        <v>849498031.3</v>
      </c>
      <c r="I135" s="8" t="n">
        <f aca="false">IFERROR(D135/VLOOKUP(A135,'Dados-Status-Invest'!$1:$1000,14,FALSE()),"")</f>
        <v>3123846480</v>
      </c>
      <c r="J135" s="9" t="n">
        <f aca="false">IFERROR(D135/VLOOKUP(A135,'Dados-Status-Invest'!$1:$1000,10,FALSE()),"")</f>
        <v>581847966.6</v>
      </c>
      <c r="K135" s="10" t="n">
        <f aca="false">IFERROR(VLOOKUP(A135,'Dados-Status-Invest'!$1:$1000,3,FALSE())/100,"")</f>
        <v>0.0222</v>
      </c>
      <c r="L135" s="11" t="n">
        <f aca="false">IFERROR(VLOOKUP(A135,'Dados-Status-Invest'!$1:$1000,MATCH(L$1,'Dados-Status-Invest'!$2:$2,0),FALSE())/100,"")</f>
        <v>0.2661</v>
      </c>
      <c r="M135" s="10" t="n">
        <f aca="false">IFERROR(VLOOKUP(A135,'Dados-Status-Invest'!$1:$1000,MATCH(M$1,'Dados-Status-Invest'!$2:$2,0),FALSE())/100,"")</f>
        <v>0.0986</v>
      </c>
      <c r="N135" s="10" t="n">
        <f aca="false">IFERROR(VLOOKUP(A135,'Dados-Status-Invest'!$1:$1000,MATCH(N$1,'Dados-Status-Invest'!$2:$2,0),FALSE())/100,"")</f>
        <v>0.1722</v>
      </c>
      <c r="O135" s="10" t="n">
        <f aca="false">IFERROR(VLOOKUP(A135,'Dados-Status-Invest'!$1:$1000,MATCH(O$1,'Dados-Status-Invest'!$2:$2,0),FALSE())/100,"")</f>
        <v>0.3248</v>
      </c>
      <c r="P135" s="10" t="n">
        <f aca="false">IFERROR(VLOOKUP(A135,'Dados-Status-Invest'!$1:$1000,MATCH(P$1,'Dados-Status-Invest'!$2:$2,0),FALSE())/100,"")</f>
        <v>0.1862</v>
      </c>
      <c r="Q135" s="10" t="n">
        <f aca="false">IFERROR(VLOOKUP(A135,'Dados-Status-Invest'!$1:$1000,MATCH(Q$1,'Dados-Status-Invest'!$2:$2,0),FALSE())/100,"")</f>
        <v>0.108</v>
      </c>
      <c r="R135" s="12" t="n">
        <f aca="false">IFERROR(VLOOKUP(A135,'Dados-Status-Invest'!$1:$1000,MATCH(R$1,'Dados-Status-Invest'!$2:$2,0),FALSE()),"")</f>
        <v>46.94</v>
      </c>
      <c r="S135" s="12" t="n">
        <f aca="false">IFERROR(VLOOKUP(A135,'Dados-Status-Invest'!$1:$1000,MATCH(S$1,'Dados-Status-Invest'!$2:$2,0),FALSE()),"")</f>
        <v>12.49</v>
      </c>
      <c r="T135" s="12" t="n">
        <f aca="false">IFERROR(VLOOKUP(A135,'Dados-Status-Invest'!$1:$1000,MATCH(T$1,'Dados-Status-Invest'!$2:$2,0),FALSE()),"")</f>
        <v>28.68</v>
      </c>
      <c r="U135" s="12" t="n">
        <f aca="false">IFERROR(VLOOKUP(A135,'Dados-Status-Invest'!$1:$1000,MATCH(U$1,'Dados-Status-Invest'!$2:$2,0),FALSE()),"")</f>
        <v>1.3</v>
      </c>
      <c r="V135" s="12" t="n">
        <f aca="false">IFERROR(VLOOKUP(A135,'Dados-Status-Invest'!$1:$1000,MATCH(V$1,'Dados-Status-Invest'!$2:$2,0),FALSE()),"")</f>
        <v>1.46</v>
      </c>
      <c r="W135" s="10" t="n">
        <f aca="false">IFERROR(VLOOKUP(A135,'Dados-Status-Invest'!$1:$1000,MATCH(W$1,'Dados-Status-Invest'!$2:$2,0),FALSE())/100,"")</f>
        <v>-0.031</v>
      </c>
      <c r="X135" s="10" t="n">
        <f aca="false">IFERROR(VLOOKUP(A135,'Dados-Status-Invest'!$1:$1000,MATCH(X$1,'Dados-Status-Invest'!$2:$2,0),FALSE())/100,"")</f>
        <v>0.0436</v>
      </c>
    </row>
    <row r="136" customFormat="false" ht="15.75" hidden="false" customHeight="false" outlineLevel="0" collapsed="false">
      <c r="A136" s="6" t="s">
        <v>167</v>
      </c>
      <c r="B136" s="7" t="str">
        <f aca="false">IFERROR(VLOOKUP(LEFT(A136,4),Setor!A:D,2,FALSE()),"")</f>
        <v>Utilidade Pública</v>
      </c>
      <c r="C136" s="8" t="n">
        <f aca="false">IFERROR(__xludf.dummyfunction("IFERROR(IFERROR(GOOGLEFINANCE(A142,""price""),VLOOKUP(A142,'Dados-Status-Invest'!A:B,2,FALSE)),"""")"),128)</f>
        <v>128</v>
      </c>
      <c r="D136" s="8" t="n">
        <f aca="false">IFERROR(VLOOKUP(A136,'Dados-Status-Invest'!$1:$1000,MATCH(D$1,'Dados-Status-Invest'!$2:$2,0),FALSE()),"")</f>
        <v>8558698618</v>
      </c>
      <c r="E136" s="8" t="n">
        <f aca="false">IF(D136+H136&gt;0,D136+H136,"")</f>
        <v>13110145282</v>
      </c>
      <c r="F136" s="8" t="n">
        <f aca="false">IFERROR(D136/VLOOKUP(A136,'Dados-Status-Invest'!$1:$1000,5,FALSE()),"")</f>
        <v>1636462451</v>
      </c>
      <c r="G136" s="8" t="n">
        <f aca="false">IFERROR(D136/VLOOKUP(A136,'Dados-Status-Invest'!$1:$1000,6,FALSE()),"")</f>
        <v>10188926926</v>
      </c>
      <c r="H136" s="8" t="n">
        <f aca="false">IFERROR(VLOOKUP(A136,'Dados-Status-Invest'!$1:$1000,12,FALSE())*J136,"")</f>
        <v>4551446664</v>
      </c>
      <c r="I136" s="8" t="n">
        <f aca="false">IFERROR(D136/VLOOKUP(A136,'Dados-Status-Invest'!$1:$1000,14,FALSE()),"")</f>
        <v>6533357724</v>
      </c>
      <c r="J136" s="9" t="n">
        <f aca="false">IFERROR(D136/VLOOKUP(A136,'Dados-Status-Invest'!$1:$1000,10,FALSE()),"")</f>
        <v>549691626.1</v>
      </c>
      <c r="K136" s="10" t="n">
        <f aca="false">IFERROR(VLOOKUP(A136,'Dados-Status-Invest'!$1:$1000,3,FALSE())/100,"")</f>
        <v>0.0277</v>
      </c>
      <c r="L136" s="11" t="n">
        <f aca="false">IFERROR(VLOOKUP(A136,'Dados-Status-Invest'!$1:$1000,MATCH(L$1,'Dados-Status-Invest'!$2:$2,0),FALSE())/100,"")</f>
        <v>0.1552</v>
      </c>
      <c r="M136" s="10" t="n">
        <f aca="false">IFERROR(VLOOKUP(A136,'Dados-Status-Invest'!$1:$1000,MATCH(M$1,'Dados-Status-Invest'!$2:$2,0),FALSE())/100,"")</f>
        <v>0.0248</v>
      </c>
      <c r="N136" s="10" t="n">
        <f aca="false">IFERROR(VLOOKUP(A136,'Dados-Status-Invest'!$1:$1000,MATCH(N$1,'Dados-Status-Invest'!$2:$2,0),FALSE())/100,"")</f>
        <v>0.0723</v>
      </c>
      <c r="O136" s="10" t="n">
        <f aca="false">IFERROR(VLOOKUP(A136,'Dados-Status-Invest'!$1:$1000,MATCH(O$1,'Dados-Status-Invest'!$2:$2,0),FALSE())/100,"")</f>
        <v>0.1603</v>
      </c>
      <c r="P136" s="10" t="n">
        <f aca="false">IFERROR(VLOOKUP(A136,'Dados-Status-Invest'!$1:$1000,MATCH(P$1,'Dados-Status-Invest'!$2:$2,0),FALSE())/100,"")</f>
        <v>0.0841</v>
      </c>
      <c r="Q136" s="10" t="n">
        <f aca="false">IFERROR(VLOOKUP(A136,'Dados-Status-Invest'!$1:$1000,MATCH(Q$1,'Dados-Status-Invest'!$2:$2,0),FALSE())/100,"")</f>
        <v>0.0388</v>
      </c>
      <c r="R136" s="12" t="n">
        <f aca="false">IFERROR(VLOOKUP(A136,'Dados-Status-Invest'!$1:$1000,MATCH(R$1,'Dados-Status-Invest'!$2:$2,0),FALSE()),"")</f>
        <v>33.7</v>
      </c>
      <c r="S136" s="12" t="n">
        <f aca="false">IFERROR(VLOOKUP(A136,'Dados-Status-Invest'!$1:$1000,MATCH(S$1,'Dados-Status-Invest'!$2:$2,0),FALSE()),"")</f>
        <v>5.23</v>
      </c>
      <c r="T136" s="12" t="n">
        <f aca="false">IFERROR(VLOOKUP(A136,'Dados-Status-Invest'!$1:$1000,MATCH(T$1,'Dados-Status-Invest'!$2:$2,0),FALSE()),"")</f>
        <v>22.49</v>
      </c>
      <c r="U136" s="12" t="n">
        <f aca="false">IFERROR(VLOOKUP(A136,'Dados-Status-Invest'!$1:$1000,MATCH(U$1,'Dados-Status-Invest'!$2:$2,0),FALSE()),"")</f>
        <v>1.29</v>
      </c>
      <c r="V136" s="12" t="n">
        <f aca="false">IFERROR(VLOOKUP(A136,'Dados-Status-Invest'!$1:$1000,MATCH(V$1,'Dados-Status-Invest'!$2:$2,0),FALSE()),"")</f>
        <v>8.28</v>
      </c>
      <c r="W136" s="10" t="n">
        <f aca="false">IFERROR(VLOOKUP(A136,'Dados-Status-Invest'!$1:$1000,MATCH(W$1,'Dados-Status-Invest'!$2:$2,0),FALSE())/100,"")</f>
        <v>0.0876</v>
      </c>
      <c r="X136" s="10" t="n">
        <f aca="false">IFERROR(VLOOKUP(A136,'Dados-Status-Invest'!$1:$1000,MATCH(X$1,'Dados-Status-Invest'!$2:$2,0),FALSE())/100,"")</f>
        <v>0.6259</v>
      </c>
    </row>
    <row r="137" customFormat="false" ht="15.75" hidden="false" customHeight="false" outlineLevel="0" collapsed="false">
      <c r="A137" s="6" t="s">
        <v>168</v>
      </c>
      <c r="B137" s="7" t="str">
        <f aca="false">IFERROR(VLOOKUP(LEFT(A137,4),Setor!A:D,2,FALSE()),"")</f>
        <v>Utilidade Pública</v>
      </c>
      <c r="C137" s="8" t="n">
        <f aca="false">IFERROR(__xludf.dummyfunction("IFERROR(IFERROR(GOOGLEFINANCE(A143,""price""),VLOOKUP(A143,'Dados-Status-Invest'!A:B,2,FALSE)),"""")"),40)</f>
        <v>40</v>
      </c>
      <c r="D137" s="8" t="n">
        <f aca="false">IFERROR(VLOOKUP(A137,'Dados-Status-Invest'!$1:$1000,MATCH(D$1,'Dados-Status-Invest'!$2:$2,0),FALSE()),"")</f>
        <v>8558698618</v>
      </c>
      <c r="E137" s="8" t="n">
        <f aca="false">IF(D137+H137&gt;0,D137+H137,"")</f>
        <v>29340524001</v>
      </c>
      <c r="F137" s="8" t="n">
        <f aca="false">IFERROR(D137/VLOOKUP(A137,'Dados-Status-Invest'!$1:$1000,5,FALSE()),"")</f>
        <v>7442346624</v>
      </c>
      <c r="G137" s="8" t="n">
        <f aca="false">IFERROR(D137/VLOOKUP(A137,'Dados-Status-Invest'!$1:$1000,6,FALSE()),"")</f>
        <v>47548325656</v>
      </c>
      <c r="H137" s="8" t="n">
        <f aca="false">IFERROR(VLOOKUP(A137,'Dados-Status-Invest'!$1:$1000,12,FALSE())*J137,"")</f>
        <v>20781825383</v>
      </c>
      <c r="I137" s="8" t="n">
        <f aca="false">IFERROR(D137/VLOOKUP(A137,'Dados-Status-Invest'!$1:$1000,14,FALSE()),"")</f>
        <v>29512753855</v>
      </c>
      <c r="J137" s="9" t="n">
        <f aca="false">IFERROR(D137/VLOOKUP(A137,'Dados-Status-Invest'!$1:$1000,10,FALSE()),"")</f>
        <v>2509882293</v>
      </c>
      <c r="K137" s="10" t="n">
        <f aca="false">IFERROR(VLOOKUP(A137,'Dados-Status-Invest'!$1:$1000,3,FALSE())/100,"")</f>
        <v>0.1267</v>
      </c>
      <c r="L137" s="11" t="n">
        <f aca="false">IFERROR(VLOOKUP(A137,'Dados-Status-Invest'!$1:$1000,MATCH(L$1,'Dados-Status-Invest'!$2:$2,0),FALSE())/100,"")</f>
        <v>0.1552</v>
      </c>
      <c r="M137" s="10" t="n">
        <f aca="false">IFERROR(VLOOKUP(A137,'Dados-Status-Invest'!$1:$1000,MATCH(M$1,'Dados-Status-Invest'!$2:$2,0),FALSE())/100,"")</f>
        <v>0.0248</v>
      </c>
      <c r="N137" s="10" t="n">
        <f aca="false">IFERROR(VLOOKUP(A137,'Dados-Status-Invest'!$1:$1000,MATCH(N$1,'Dados-Status-Invest'!$2:$2,0),FALSE())/100,"")</f>
        <v>0.0723</v>
      </c>
      <c r="O137" s="10" t="n">
        <f aca="false">IFERROR(VLOOKUP(A137,'Dados-Status-Invest'!$1:$1000,MATCH(O$1,'Dados-Status-Invest'!$2:$2,0),FALSE())/100,"")</f>
        <v>0.1603</v>
      </c>
      <c r="P137" s="10" t="n">
        <f aca="false">IFERROR(VLOOKUP(A137,'Dados-Status-Invest'!$1:$1000,MATCH(P$1,'Dados-Status-Invest'!$2:$2,0),FALSE())/100,"")</f>
        <v>0.0841</v>
      </c>
      <c r="Q137" s="10" t="n">
        <f aca="false">IFERROR(VLOOKUP(A137,'Dados-Status-Invest'!$1:$1000,MATCH(Q$1,'Dados-Status-Invest'!$2:$2,0),FALSE())/100,"")</f>
        <v>0.0388</v>
      </c>
      <c r="R137" s="12" t="n">
        <f aca="false">IFERROR(VLOOKUP(A137,'Dados-Status-Invest'!$1:$1000,MATCH(R$1,'Dados-Status-Invest'!$2:$2,0),FALSE()),"")</f>
        <v>7.38</v>
      </c>
      <c r="S137" s="12" t="n">
        <f aca="false">IFERROR(VLOOKUP(A137,'Dados-Status-Invest'!$1:$1000,MATCH(S$1,'Dados-Status-Invest'!$2:$2,0),FALSE()),"")</f>
        <v>1.15</v>
      </c>
      <c r="T137" s="12" t="n">
        <f aca="false">IFERROR(VLOOKUP(A137,'Dados-Status-Invest'!$1:$1000,MATCH(T$1,'Dados-Status-Invest'!$2:$2,0),FALSE()),"")</f>
        <v>22.49</v>
      </c>
      <c r="U137" s="12" t="n">
        <f aca="false">IFERROR(VLOOKUP(A137,'Dados-Status-Invest'!$1:$1000,MATCH(U$1,'Dados-Status-Invest'!$2:$2,0),FALSE()),"")</f>
        <v>1.29</v>
      </c>
      <c r="V137" s="12" t="n">
        <f aca="false">IFERROR(VLOOKUP(A137,'Dados-Status-Invest'!$1:$1000,MATCH(V$1,'Dados-Status-Invest'!$2:$2,0),FALSE()),"")</f>
        <v>8.28</v>
      </c>
      <c r="W137" s="10" t="n">
        <f aca="false">IFERROR(VLOOKUP(A137,'Dados-Status-Invest'!$1:$1000,MATCH(W$1,'Dados-Status-Invest'!$2:$2,0),FALSE())/100,"")</f>
        <v>0.0876</v>
      </c>
      <c r="X137" s="10" t="n">
        <f aca="false">IFERROR(VLOOKUP(A137,'Dados-Status-Invest'!$1:$1000,MATCH(X$1,'Dados-Status-Invest'!$2:$2,0),FALSE())/100,"")</f>
        <v>0.6259</v>
      </c>
    </row>
    <row r="138" customFormat="false" ht="15.75" hidden="false" customHeight="false" outlineLevel="0" collapsed="false">
      <c r="A138" s="6" t="s">
        <v>169</v>
      </c>
      <c r="B138" s="7" t="str">
        <f aca="false">IFERROR(VLOOKUP(LEFT(A138,4),Setor!A:D,2,FALSE()),"")</f>
        <v>Utilidade Pública</v>
      </c>
      <c r="C138" s="8" t="n">
        <f aca="false">IFERROR(__xludf.dummyfunction("IFERROR(IFERROR(GOOGLEFINANCE(A144,""price""),VLOOKUP(A144,'Dados-Status-Invest'!A:B,2,FALSE)),"""")"),40.16)</f>
        <v>40.16</v>
      </c>
      <c r="D138" s="8" t="n">
        <f aca="false">IFERROR(VLOOKUP(A138,'Dados-Status-Invest'!$1:$1000,MATCH(D$1,'Dados-Status-Invest'!$2:$2,0),FALSE()),"")</f>
        <v>8558698618</v>
      </c>
      <c r="E138" s="8" t="n">
        <f aca="false">IF(D138+H138&gt;0,D138+H138,"")</f>
        <v>29524978073</v>
      </c>
      <c r="F138" s="8" t="n">
        <f aca="false">IFERROR(D138/VLOOKUP(A138,'Dados-Status-Invest'!$1:$1000,5,FALSE()),"")</f>
        <v>7574069574</v>
      </c>
      <c r="G138" s="8" t="n">
        <f aca="false">IFERROR(D138/VLOOKUP(A138,'Dados-Status-Invest'!$1:$1000,6,FALSE()),"")</f>
        <v>47548325656</v>
      </c>
      <c r="H138" s="8" t="n">
        <f aca="false">IFERROR(VLOOKUP(A138,'Dados-Status-Invest'!$1:$1000,12,FALSE())*J138,"")</f>
        <v>20966279455</v>
      </c>
      <c r="I138" s="8" t="n">
        <f aca="false">IFERROR(D138/VLOOKUP(A138,'Dados-Status-Invest'!$1:$1000,14,FALSE()),"")</f>
        <v>30566780779</v>
      </c>
      <c r="J138" s="9" t="n">
        <f aca="false">IFERROR(D138/VLOOKUP(A138,'Dados-Status-Invest'!$1:$1000,10,FALSE()),"")</f>
        <v>2532159354</v>
      </c>
      <c r="K138" s="10" t="n">
        <f aca="false">IFERROR(VLOOKUP(A138,'Dados-Status-Invest'!$1:$1000,3,FALSE())/100,"")</f>
        <v>0.1406</v>
      </c>
      <c r="L138" s="11" t="n">
        <f aca="false">IFERROR(VLOOKUP(A138,'Dados-Status-Invest'!$1:$1000,MATCH(L$1,'Dados-Status-Invest'!$2:$2,0),FALSE())/100,"")</f>
        <v>0.1552</v>
      </c>
      <c r="M138" s="10" t="n">
        <f aca="false">IFERROR(VLOOKUP(A138,'Dados-Status-Invest'!$1:$1000,MATCH(M$1,'Dados-Status-Invest'!$2:$2,0),FALSE())/100,"")</f>
        <v>0.0248</v>
      </c>
      <c r="N138" s="10" t="n">
        <f aca="false">IFERROR(VLOOKUP(A138,'Dados-Status-Invest'!$1:$1000,MATCH(N$1,'Dados-Status-Invest'!$2:$2,0),FALSE())/100,"")</f>
        <v>0.0723</v>
      </c>
      <c r="O138" s="10" t="n">
        <f aca="false">IFERROR(VLOOKUP(A138,'Dados-Status-Invest'!$1:$1000,MATCH(O$1,'Dados-Status-Invest'!$2:$2,0),FALSE())/100,"")</f>
        <v>0.1603</v>
      </c>
      <c r="P138" s="10" t="n">
        <f aca="false">IFERROR(VLOOKUP(A138,'Dados-Status-Invest'!$1:$1000,MATCH(P$1,'Dados-Status-Invest'!$2:$2,0),FALSE())/100,"")</f>
        <v>0.0841</v>
      </c>
      <c r="Q138" s="10" t="n">
        <f aca="false">IFERROR(VLOOKUP(A138,'Dados-Status-Invest'!$1:$1000,MATCH(Q$1,'Dados-Status-Invest'!$2:$2,0),FALSE())/100,"")</f>
        <v>0.0388</v>
      </c>
      <c r="R138" s="12" t="n">
        <f aca="false">IFERROR(VLOOKUP(A138,'Dados-Status-Invest'!$1:$1000,MATCH(R$1,'Dados-Status-Invest'!$2:$2,0),FALSE()),"")</f>
        <v>7.31</v>
      </c>
      <c r="S138" s="12" t="n">
        <f aca="false">IFERROR(VLOOKUP(A138,'Dados-Status-Invest'!$1:$1000,MATCH(S$1,'Dados-Status-Invest'!$2:$2,0),FALSE()),"")</f>
        <v>1.13</v>
      </c>
      <c r="T138" s="12" t="n">
        <f aca="false">IFERROR(VLOOKUP(A138,'Dados-Status-Invest'!$1:$1000,MATCH(T$1,'Dados-Status-Invest'!$2:$2,0),FALSE()),"")</f>
        <v>22.49</v>
      </c>
      <c r="U138" s="12" t="n">
        <f aca="false">IFERROR(VLOOKUP(A138,'Dados-Status-Invest'!$1:$1000,MATCH(U$1,'Dados-Status-Invest'!$2:$2,0),FALSE()),"")</f>
        <v>1.29</v>
      </c>
      <c r="V138" s="12" t="n">
        <f aca="false">IFERROR(VLOOKUP(A138,'Dados-Status-Invest'!$1:$1000,MATCH(V$1,'Dados-Status-Invest'!$2:$2,0),FALSE()),"")</f>
        <v>8.28</v>
      </c>
      <c r="W138" s="10" t="n">
        <f aca="false">IFERROR(VLOOKUP(A138,'Dados-Status-Invest'!$1:$1000,MATCH(W$1,'Dados-Status-Invest'!$2:$2,0),FALSE())/100,"")</f>
        <v>0.0876</v>
      </c>
      <c r="X138" s="10" t="n">
        <f aca="false">IFERROR(VLOOKUP(A138,'Dados-Status-Invest'!$1:$1000,MATCH(X$1,'Dados-Status-Invest'!$2:$2,0),FALSE())/100,"")</f>
        <v>0.6259</v>
      </c>
    </row>
    <row r="139" customFormat="false" ht="15.75" hidden="false" customHeight="false" outlineLevel="0" collapsed="false">
      <c r="A139" s="6" t="s">
        <v>170</v>
      </c>
      <c r="B139" s="7" t="str">
        <f aca="false">IFERROR(VLOOKUP(LEFT(A139,4),Setor!A:D,2,FALSE()),"")</f>
        <v>Utilidade Pública</v>
      </c>
      <c r="C139" s="8" t="n">
        <f aca="false">IFERROR(__xludf.dummyfunction("IFERROR(IFERROR(GOOGLEFINANCE(A145,""price""),VLOOKUP(A145,'Dados-Status-Invest'!A:B,2,FALSE)),"""")"),27.89)</f>
        <v>27.89</v>
      </c>
      <c r="D139" s="8" t="n">
        <f aca="false">IFERROR(VLOOKUP(A139,'Dados-Status-Invest'!$1:$1000,MATCH(D$1,'Dados-Status-Invest'!$2:$2,0),FALSE()),"")</f>
        <v>8249793318</v>
      </c>
      <c r="E139" s="8" t="n">
        <f aca="false">IF(D139+H139&gt;0,D139+H139,"")</f>
        <v>9134927392.8</v>
      </c>
      <c r="F139" s="8" t="n">
        <f aca="false">IFERROR(D139/VLOOKUP(A139,'Dados-Status-Invest'!$1:$1000,5,FALSE()),"")</f>
        <v>6345994860</v>
      </c>
      <c r="G139" s="8" t="n">
        <f aca="false">IFERROR(D139/VLOOKUP(A139,'Dados-Status-Invest'!$1:$1000,6,FALSE()),"")</f>
        <v>13094910029</v>
      </c>
      <c r="H139" s="8" t="n">
        <f aca="false">IFERROR(VLOOKUP(A139,'Dados-Status-Invest'!$1:$1000,12,FALSE())*J139,"")</f>
        <v>885134074.8</v>
      </c>
      <c r="I139" s="8" t="n">
        <f aca="false">IFERROR(D139/VLOOKUP(A139,'Dados-Status-Invest'!$1:$1000,14,FALSE()),"")</f>
        <v>1817135092</v>
      </c>
      <c r="J139" s="9" t="n">
        <f aca="false">IFERROR(D139/VLOOKUP(A139,'Dados-Status-Invest'!$1:$1000,10,FALSE()),"")</f>
        <v>859353470.7</v>
      </c>
      <c r="K139" s="10" t="n">
        <f aca="false">IFERROR(VLOOKUP(A139,'Dados-Status-Invest'!$1:$1000,3,FALSE())/100,"")</f>
        <v>0.0931</v>
      </c>
      <c r="L139" s="11" t="n">
        <f aca="false">IFERROR(VLOOKUP(A139,'Dados-Status-Invest'!$1:$1000,MATCH(L$1,'Dados-Status-Invest'!$2:$2,0),FALSE())/100,"")</f>
        <v>0.254</v>
      </c>
      <c r="M139" s="10" t="n">
        <f aca="false">IFERROR(VLOOKUP(A139,'Dados-Status-Invest'!$1:$1000,MATCH(M$1,'Dados-Status-Invest'!$2:$2,0),FALSE())/100,"")</f>
        <v>0.1231</v>
      </c>
      <c r="N139" s="10" t="n">
        <f aca="false">IFERROR(VLOOKUP(A139,'Dados-Status-Invest'!$1:$1000,MATCH(N$1,'Dados-Status-Invest'!$2:$2,0),FALSE())/100,"")</f>
        <v>-0.0564</v>
      </c>
      <c r="O139" s="10" t="n">
        <f aca="false">IFERROR(VLOOKUP(A139,'Dados-Status-Invest'!$1:$1000,MATCH(O$1,'Dados-Status-Invest'!$2:$2,0),FALSE())/100,"")</f>
        <v>0.3403</v>
      </c>
      <c r="P139" s="10" t="n">
        <f aca="false">IFERROR(VLOOKUP(A139,'Dados-Status-Invest'!$1:$1000,MATCH(P$1,'Dados-Status-Invest'!$2:$2,0),FALSE())/100,"")</f>
        <v>0.4726</v>
      </c>
      <c r="Q139" s="10" t="n">
        <f aca="false">IFERROR(VLOOKUP(A139,'Dados-Status-Invest'!$1:$1000,MATCH(Q$1,'Dados-Status-Invest'!$2:$2,0),FALSE())/100,"")</f>
        <v>0.8893</v>
      </c>
      <c r="R139" s="12" t="n">
        <f aca="false">IFERROR(VLOOKUP(A139,'Dados-Status-Invest'!$1:$1000,MATCH(R$1,'Dados-Status-Invest'!$2:$2,0),FALSE()),"")</f>
        <v>5.1</v>
      </c>
      <c r="S139" s="12" t="n">
        <f aca="false">IFERROR(VLOOKUP(A139,'Dados-Status-Invest'!$1:$1000,MATCH(S$1,'Dados-Status-Invest'!$2:$2,0),FALSE()),"")</f>
        <v>1.3</v>
      </c>
      <c r="T139" s="12" t="n">
        <f aca="false">IFERROR(VLOOKUP(A139,'Dados-Status-Invest'!$1:$1000,MATCH(T$1,'Dados-Status-Invest'!$2:$2,0),FALSE()),"")</f>
        <v>9.7</v>
      </c>
      <c r="U139" s="12" t="n">
        <f aca="false">IFERROR(VLOOKUP(A139,'Dados-Status-Invest'!$1:$1000,MATCH(U$1,'Dados-Status-Invest'!$2:$2,0),FALSE()),"")</f>
        <v>1.01</v>
      </c>
      <c r="V139" s="12" t="n">
        <f aca="false">IFERROR(VLOOKUP(A139,'Dados-Status-Invest'!$1:$1000,MATCH(V$1,'Dados-Status-Invest'!$2:$2,0),FALSE()),"")</f>
        <v>1.03</v>
      </c>
      <c r="W139" s="10" t="n">
        <f aca="false">IFERROR(VLOOKUP(A139,'Dados-Status-Invest'!$1:$1000,MATCH(W$1,'Dados-Status-Invest'!$2:$2,0),FALSE())/100,"")</f>
        <v>-0.0826</v>
      </c>
      <c r="X139" s="10" t="n">
        <f aca="false">IFERROR(VLOOKUP(A139,'Dados-Status-Invest'!$1:$1000,MATCH(X$1,'Dados-Status-Invest'!$2:$2,0),FALSE())/100,"")</f>
        <v>0</v>
      </c>
    </row>
    <row r="140" customFormat="false" ht="15.75" hidden="false" customHeight="false" outlineLevel="0" collapsed="false">
      <c r="A140" s="6" t="s">
        <v>171</v>
      </c>
      <c r="B140" s="7" t="str">
        <f aca="false">IFERROR(VLOOKUP(LEFT(A140,4),Setor!A:D,2,FALSE()),"")</f>
        <v>Utilidade Pública</v>
      </c>
      <c r="C140" s="8" t="n">
        <f aca="false">IFERROR(__xludf.dummyfunction("IFERROR(IFERROR(GOOGLEFINANCE(A146,""price""),VLOOKUP(A146,'Dados-Status-Invest'!A:B,2,FALSE)),"""")"),36.02)</f>
        <v>36.02</v>
      </c>
      <c r="D140" s="8" t="n">
        <f aca="false">IFERROR(VLOOKUP(A140,'Dados-Status-Invest'!$1:$1000,MATCH(D$1,'Dados-Status-Invest'!$2:$2,0),FALSE()),"")</f>
        <v>8249793318</v>
      </c>
      <c r="E140" s="8" t="n">
        <f aca="false">IF(D140+H140&gt;0,D140+H140,"")</f>
        <v>8935058408.2</v>
      </c>
      <c r="F140" s="8" t="n">
        <f aca="false">IFERROR(D140/VLOOKUP(A140,'Dados-Status-Invest'!$1:$1000,5,FALSE()),"")</f>
        <v>4939995999</v>
      </c>
      <c r="G140" s="8" t="n">
        <f aca="false">IFERROR(D140/VLOOKUP(A140,'Dados-Status-Invest'!$1:$1000,6,FALSE()),"")</f>
        <v>10184930023</v>
      </c>
      <c r="H140" s="8" t="n">
        <f aca="false">IFERROR(VLOOKUP(A140,'Dados-Status-Invest'!$1:$1000,12,FALSE())*J140,"")</f>
        <v>685265090.2</v>
      </c>
      <c r="I140" s="8" t="n">
        <f aca="false">IFERROR(D140/VLOOKUP(A140,'Dados-Status-Invest'!$1:$1000,14,FALSE()),"")</f>
        <v>1407814559</v>
      </c>
      <c r="J140" s="9" t="n">
        <f aca="false">IFERROR(D140/VLOOKUP(A140,'Dados-Status-Invest'!$1:$1000,10,FALSE()),"")</f>
        <v>665305912.8</v>
      </c>
      <c r="K140" s="10" t="n">
        <f aca="false">IFERROR(VLOOKUP(A140,'Dados-Status-Invest'!$1:$1000,3,FALSE())/100,"")</f>
        <v>0.0935</v>
      </c>
      <c r="L140" s="11" t="n">
        <f aca="false">IFERROR(VLOOKUP(A140,'Dados-Status-Invest'!$1:$1000,MATCH(L$1,'Dados-Status-Invest'!$2:$2,0),FALSE())/100,"")</f>
        <v>0.254</v>
      </c>
      <c r="M140" s="10" t="n">
        <f aca="false">IFERROR(VLOOKUP(A140,'Dados-Status-Invest'!$1:$1000,MATCH(M$1,'Dados-Status-Invest'!$2:$2,0),FALSE())/100,"")</f>
        <v>0.1231</v>
      </c>
      <c r="N140" s="10" t="n">
        <f aca="false">IFERROR(VLOOKUP(A140,'Dados-Status-Invest'!$1:$1000,MATCH(N$1,'Dados-Status-Invest'!$2:$2,0),FALSE())/100,"")</f>
        <v>-0.0564</v>
      </c>
      <c r="O140" s="10" t="n">
        <f aca="false">IFERROR(VLOOKUP(A140,'Dados-Status-Invest'!$1:$1000,MATCH(O$1,'Dados-Status-Invest'!$2:$2,0),FALSE())/100,"")</f>
        <v>0.3403</v>
      </c>
      <c r="P140" s="10" t="n">
        <f aca="false">IFERROR(VLOOKUP(A140,'Dados-Status-Invest'!$1:$1000,MATCH(P$1,'Dados-Status-Invest'!$2:$2,0),FALSE())/100,"")</f>
        <v>0.4726</v>
      </c>
      <c r="Q140" s="10" t="n">
        <f aca="false">IFERROR(VLOOKUP(A140,'Dados-Status-Invest'!$1:$1000,MATCH(Q$1,'Dados-Status-Invest'!$2:$2,0),FALSE())/100,"")</f>
        <v>0.8893</v>
      </c>
      <c r="R140" s="12" t="n">
        <f aca="false">IFERROR(VLOOKUP(A140,'Dados-Status-Invest'!$1:$1000,MATCH(R$1,'Dados-Status-Invest'!$2:$2,0),FALSE()),"")</f>
        <v>6.59</v>
      </c>
      <c r="S140" s="12" t="n">
        <f aca="false">IFERROR(VLOOKUP(A140,'Dados-Status-Invest'!$1:$1000,MATCH(S$1,'Dados-Status-Invest'!$2:$2,0),FALSE()),"")</f>
        <v>1.67</v>
      </c>
      <c r="T140" s="12" t="n">
        <f aca="false">IFERROR(VLOOKUP(A140,'Dados-Status-Invest'!$1:$1000,MATCH(T$1,'Dados-Status-Invest'!$2:$2,0),FALSE()),"")</f>
        <v>9.7</v>
      </c>
      <c r="U140" s="12" t="n">
        <f aca="false">IFERROR(VLOOKUP(A140,'Dados-Status-Invest'!$1:$1000,MATCH(U$1,'Dados-Status-Invest'!$2:$2,0),FALSE()),"")</f>
        <v>1.01</v>
      </c>
      <c r="V140" s="12" t="n">
        <f aca="false">IFERROR(VLOOKUP(A140,'Dados-Status-Invest'!$1:$1000,MATCH(V$1,'Dados-Status-Invest'!$2:$2,0),FALSE()),"")</f>
        <v>1.03</v>
      </c>
      <c r="W140" s="10" t="n">
        <f aca="false">IFERROR(VLOOKUP(A140,'Dados-Status-Invest'!$1:$1000,MATCH(W$1,'Dados-Status-Invest'!$2:$2,0),FALSE())/100,"")</f>
        <v>-0.0826</v>
      </c>
      <c r="X140" s="10" t="n">
        <f aca="false">IFERROR(VLOOKUP(A140,'Dados-Status-Invest'!$1:$1000,MATCH(X$1,'Dados-Status-Invest'!$2:$2,0),FALSE())/100,"")</f>
        <v>0</v>
      </c>
    </row>
    <row r="141" customFormat="false" ht="15.75" hidden="false" customHeight="false" outlineLevel="0" collapsed="false">
      <c r="A141" s="6" t="s">
        <v>172</v>
      </c>
      <c r="B141" s="7" t="str">
        <f aca="false">IFERROR(VLOOKUP(LEFT(A141,4),Setor!A:D,2,FALSE()),"")</f>
        <v>Utilidade Pública</v>
      </c>
      <c r="C141" s="8" t="n">
        <f aca="false">IFERROR(__xludf.dummyfunction("IFERROR(IFERROR(GOOGLEFINANCE(A147,""price""),VLOOKUP(A147,'Dados-Status-Invest'!A:B,2,FALSE)),"""")"),23.8)</f>
        <v>23.8</v>
      </c>
      <c r="D141" s="8" t="n">
        <f aca="false">IFERROR(VLOOKUP(A141,'Dados-Status-Invest'!$1:$1000,MATCH(D$1,'Dados-Status-Invest'!$2:$2,0),FALSE()),"")</f>
        <v>8249793318</v>
      </c>
      <c r="E141" s="8" t="n">
        <f aca="false">IF(D141+H141&gt;0,D141+H141,"")</f>
        <v>9287313113</v>
      </c>
      <c r="F141" s="8" t="n">
        <f aca="false">IFERROR(D141/VLOOKUP(A141,'Dados-Status-Invest'!$1:$1000,5,FALSE()),"")</f>
        <v>7432246233</v>
      </c>
      <c r="G141" s="8" t="n">
        <f aca="false">IFERROR(D141/VLOOKUP(A141,'Dados-Status-Invest'!$1:$1000,6,FALSE()),"")</f>
        <v>15277395034</v>
      </c>
      <c r="H141" s="8" t="n">
        <f aca="false">IFERROR(VLOOKUP(A141,'Dados-Status-Invest'!$1:$1000,12,FALSE())*J141,"")</f>
        <v>1037519795</v>
      </c>
      <c r="I141" s="8" t="n">
        <f aca="false">IFERROR(D141/VLOOKUP(A141,'Dados-Status-Invest'!$1:$1000,14,FALSE()),"")</f>
        <v>2131729540</v>
      </c>
      <c r="J141" s="9" t="n">
        <f aca="false">IFERROR(D141/VLOOKUP(A141,'Dados-Status-Invest'!$1:$1000,10,FALSE()),"")</f>
        <v>1007300771</v>
      </c>
      <c r="K141" s="10" t="n">
        <f aca="false">IFERROR(VLOOKUP(A141,'Dados-Status-Invest'!$1:$1000,3,FALSE())/100,"")</f>
        <v>0.109</v>
      </c>
      <c r="L141" s="11" t="n">
        <f aca="false">IFERROR(VLOOKUP(A141,'Dados-Status-Invest'!$1:$1000,MATCH(L$1,'Dados-Status-Invest'!$2:$2,0),FALSE())/100,"")</f>
        <v>0.254</v>
      </c>
      <c r="M141" s="10" t="n">
        <f aca="false">IFERROR(VLOOKUP(A141,'Dados-Status-Invest'!$1:$1000,MATCH(M$1,'Dados-Status-Invest'!$2:$2,0),FALSE())/100,"")</f>
        <v>0.1231</v>
      </c>
      <c r="N141" s="10" t="n">
        <f aca="false">IFERROR(VLOOKUP(A141,'Dados-Status-Invest'!$1:$1000,MATCH(N$1,'Dados-Status-Invest'!$2:$2,0),FALSE())/100,"")</f>
        <v>-0.0564</v>
      </c>
      <c r="O141" s="10" t="n">
        <f aca="false">IFERROR(VLOOKUP(A141,'Dados-Status-Invest'!$1:$1000,MATCH(O$1,'Dados-Status-Invest'!$2:$2,0),FALSE())/100,"")</f>
        <v>0.3403</v>
      </c>
      <c r="P141" s="10" t="n">
        <f aca="false">IFERROR(VLOOKUP(A141,'Dados-Status-Invest'!$1:$1000,MATCH(P$1,'Dados-Status-Invest'!$2:$2,0),FALSE())/100,"")</f>
        <v>0.4726</v>
      </c>
      <c r="Q141" s="10" t="n">
        <f aca="false">IFERROR(VLOOKUP(A141,'Dados-Status-Invest'!$1:$1000,MATCH(Q$1,'Dados-Status-Invest'!$2:$2,0),FALSE())/100,"")</f>
        <v>0.8893</v>
      </c>
      <c r="R141" s="12" t="n">
        <f aca="false">IFERROR(VLOOKUP(A141,'Dados-Status-Invest'!$1:$1000,MATCH(R$1,'Dados-Status-Invest'!$2:$2,0),FALSE()),"")</f>
        <v>4.35</v>
      </c>
      <c r="S141" s="12" t="n">
        <f aca="false">IFERROR(VLOOKUP(A141,'Dados-Status-Invest'!$1:$1000,MATCH(S$1,'Dados-Status-Invest'!$2:$2,0),FALSE()),"")</f>
        <v>1.11</v>
      </c>
      <c r="T141" s="12" t="n">
        <f aca="false">IFERROR(VLOOKUP(A141,'Dados-Status-Invest'!$1:$1000,MATCH(T$1,'Dados-Status-Invest'!$2:$2,0),FALSE()),"")</f>
        <v>9.7</v>
      </c>
      <c r="U141" s="12" t="n">
        <f aca="false">IFERROR(VLOOKUP(A141,'Dados-Status-Invest'!$1:$1000,MATCH(U$1,'Dados-Status-Invest'!$2:$2,0),FALSE()),"")</f>
        <v>1.01</v>
      </c>
      <c r="V141" s="12" t="n">
        <f aca="false">IFERROR(VLOOKUP(A141,'Dados-Status-Invest'!$1:$1000,MATCH(V$1,'Dados-Status-Invest'!$2:$2,0),FALSE()),"")</f>
        <v>1.03</v>
      </c>
      <c r="W141" s="10" t="n">
        <f aca="false">IFERROR(VLOOKUP(A141,'Dados-Status-Invest'!$1:$1000,MATCH(W$1,'Dados-Status-Invest'!$2:$2,0),FALSE())/100,"")</f>
        <v>-0.0826</v>
      </c>
      <c r="X141" s="10" t="n">
        <f aca="false">IFERROR(VLOOKUP(A141,'Dados-Status-Invest'!$1:$1000,MATCH(X$1,'Dados-Status-Invest'!$2:$2,0),FALSE())/100,"")</f>
        <v>0</v>
      </c>
    </row>
    <row r="142" customFormat="false" ht="15.75" hidden="false" customHeight="false" outlineLevel="0" collapsed="false">
      <c r="A142" s="6" t="s">
        <v>173</v>
      </c>
      <c r="B142" s="7" t="str">
        <f aca="false">IFERROR(VLOOKUP(LEFT(A142,4),Setor!A:D,2,FALSE()),"")</f>
        <v>Utilidade Pública</v>
      </c>
      <c r="C142" s="8" t="n">
        <f aca="false">IFERROR(__xludf.dummyfunction("IFERROR(IFERROR(GOOGLEFINANCE(A148,""price""),VLOOKUP(A148,'Dados-Status-Invest'!A:B,2,FALSE)),"""")"),127)</f>
        <v>127</v>
      </c>
      <c r="D142" s="8" t="n">
        <f aca="false">IFERROR(VLOOKUP(A142,'Dados-Status-Invest'!$1:$1000,MATCH(D$1,'Dados-Status-Invest'!$2:$2,0),FALSE()),"")</f>
        <v>21203293920</v>
      </c>
      <c r="E142" s="8" t="n">
        <f aca="false">IF(D142+H142&gt;0,D142+H142,"")</f>
        <v>26121096256</v>
      </c>
      <c r="F142" s="8" t="n">
        <f aca="false">IFERROR(D142/VLOOKUP(A142,'Dados-Status-Invest'!$1:$1000,5,FALSE()),"")</f>
        <v>939862319.1</v>
      </c>
      <c r="G142" s="8" t="n">
        <f aca="false">IFERROR(D142/VLOOKUP(A142,'Dados-Status-Invest'!$1:$1000,6,FALSE()),"")</f>
        <v>9954598085</v>
      </c>
      <c r="H142" s="8" t="n">
        <f aca="false">IFERROR(VLOOKUP(A142,'Dados-Status-Invest'!$1:$1000,12,FALSE())*J142,"")</f>
        <v>4917802336</v>
      </c>
      <c r="I142" s="8" t="n">
        <f aca="false">IFERROR(D142/VLOOKUP(A142,'Dados-Status-Invest'!$1:$1000,14,FALSE()),"")</f>
        <v>8315017224</v>
      </c>
      <c r="J142" s="9" t="n">
        <f aca="false">IFERROR(D142/VLOOKUP(A142,'Dados-Status-Invest'!$1:$1000,10,FALSE()),"")</f>
        <v>1891462437</v>
      </c>
      <c r="K142" s="10" t="n">
        <f aca="false">IFERROR(VLOOKUP(A142,'Dados-Status-Invest'!$1:$1000,3,FALSE())/100,"")</f>
        <v>0.0531</v>
      </c>
      <c r="L142" s="11" t="n">
        <f aca="false">IFERROR(VLOOKUP(A142,'Dados-Status-Invest'!$1:$1000,MATCH(L$1,'Dados-Status-Invest'!$2:$2,0),FALSE())/100,"")</f>
        <v>1.3522</v>
      </c>
      <c r="M142" s="10" t="n">
        <f aca="false">IFERROR(VLOOKUP(A142,'Dados-Status-Invest'!$1:$1000,MATCH(M$1,'Dados-Status-Invest'!$2:$2,0),FALSE())/100,"")</f>
        <v>0.1275</v>
      </c>
      <c r="N142" s="10" t="n">
        <f aca="false">IFERROR(VLOOKUP(A142,'Dados-Status-Invest'!$1:$1000,MATCH(N$1,'Dados-Status-Invest'!$2:$2,0),FALSE())/100,"")</f>
        <v>0.2219</v>
      </c>
      <c r="O142" s="10" t="n">
        <f aca="false">IFERROR(VLOOKUP(A142,'Dados-Status-Invest'!$1:$1000,MATCH(O$1,'Dados-Status-Invest'!$2:$2,0),FALSE())/100,"")</f>
        <v>0.3267</v>
      </c>
      <c r="P142" s="10" t="n">
        <f aca="false">IFERROR(VLOOKUP(A142,'Dados-Status-Invest'!$1:$1000,MATCH(P$1,'Dados-Status-Invest'!$2:$2,0),FALSE())/100,"")</f>
        <v>0.2278</v>
      </c>
      <c r="Q142" s="10" t="n">
        <f aca="false">IFERROR(VLOOKUP(A142,'Dados-Status-Invest'!$1:$1000,MATCH(Q$1,'Dados-Status-Invest'!$2:$2,0),FALSE())/100,"")</f>
        <v>0.1529</v>
      </c>
      <c r="R142" s="12" t="n">
        <f aca="false">IFERROR(VLOOKUP(A142,'Dados-Status-Invest'!$1:$1000,MATCH(R$1,'Dados-Status-Invest'!$2:$2,0),FALSE()),"")</f>
        <v>16.69</v>
      </c>
      <c r="S142" s="12" t="n">
        <f aca="false">IFERROR(VLOOKUP(A142,'Dados-Status-Invest'!$1:$1000,MATCH(S$1,'Dados-Status-Invest'!$2:$2,0),FALSE()),"")</f>
        <v>22.56</v>
      </c>
      <c r="T142" s="12" t="n">
        <f aca="false">IFERROR(VLOOKUP(A142,'Dados-Status-Invest'!$1:$1000,MATCH(T$1,'Dados-Status-Invest'!$2:$2,0),FALSE()),"")</f>
        <v>13.8</v>
      </c>
      <c r="U142" s="12" t="n">
        <f aca="false">IFERROR(VLOOKUP(A142,'Dados-Status-Invest'!$1:$1000,MATCH(U$1,'Dados-Status-Invest'!$2:$2,0),FALSE()),"")</f>
        <v>1.84</v>
      </c>
      <c r="V142" s="12" t="n">
        <f aca="false">IFERROR(VLOOKUP(A142,'Dados-Status-Invest'!$1:$1000,MATCH(V$1,'Dados-Status-Invest'!$2:$2,0),FALSE()),"")</f>
        <v>2.6</v>
      </c>
      <c r="W142" s="10" t="n">
        <f aca="false">IFERROR(VLOOKUP(A142,'Dados-Status-Invest'!$1:$1000,MATCH(W$1,'Dados-Status-Invest'!$2:$2,0),FALSE())/100,"")</f>
        <v>0.0474</v>
      </c>
      <c r="X142" s="10" t="n">
        <f aca="false">IFERROR(VLOOKUP(A142,'Dados-Status-Invest'!$1:$1000,MATCH(X$1,'Dados-Status-Invest'!$2:$2,0),FALSE())/100,"")</f>
        <v>0.1049</v>
      </c>
    </row>
    <row r="143" customFormat="false" ht="15.75" hidden="false" customHeight="false" outlineLevel="0" collapsed="false">
      <c r="A143" s="6" t="s">
        <v>174</v>
      </c>
      <c r="B143" s="7" t="str">
        <f aca="false">IFERROR(VLOOKUP(LEFT(A143,4),Setor!A:D,2,FALSE()),"")</f>
        <v>Utilidade Pública</v>
      </c>
      <c r="C143" s="8" t="n">
        <f aca="false">IFERROR(__xludf.dummyfunction("IFERROR(IFERROR(GOOGLEFINANCE(A149,""price""),VLOOKUP(A149,'Dados-Status-Invest'!A:B,2,FALSE)),"""")"),123.47)</f>
        <v>123.47</v>
      </c>
      <c r="D143" s="8" t="n">
        <f aca="false">IFERROR(VLOOKUP(A143,'Dados-Status-Invest'!$1:$1000,MATCH(D$1,'Dados-Status-Invest'!$2:$2,0),FALSE()),"")</f>
        <v>21203293920</v>
      </c>
      <c r="E143" s="8" t="n">
        <f aca="false">IF(D143+H143&gt;0,D143+H143,"")</f>
        <v>26379684924</v>
      </c>
      <c r="F143" s="8" t="n">
        <f aca="false">IFERROR(D143/VLOOKUP(A143,'Dados-Status-Invest'!$1:$1000,5,FALSE()),"")</f>
        <v>988498551</v>
      </c>
      <c r="G143" s="8" t="n">
        <f aca="false">IFERROR(D143/VLOOKUP(A143,'Dados-Status-Invest'!$1:$1000,6,FALSE()),"")</f>
        <v>10496680158</v>
      </c>
      <c r="H143" s="8" t="n">
        <f aca="false">IFERROR(VLOOKUP(A143,'Dados-Status-Invest'!$1:$1000,12,FALSE())*J143,"")</f>
        <v>5176391004</v>
      </c>
      <c r="I143" s="8" t="n">
        <f aca="false">IFERROR(D143/VLOOKUP(A143,'Dados-Status-Invest'!$1:$1000,14,FALSE()),"")</f>
        <v>8725635358</v>
      </c>
      <c r="J143" s="9" t="n">
        <f aca="false">IFERROR(D143/VLOOKUP(A143,'Dados-Status-Invest'!$1:$1000,10,FALSE()),"")</f>
        <v>1990919617</v>
      </c>
      <c r="K143" s="10" t="n">
        <f aca="false">IFERROR(VLOOKUP(A143,'Dados-Status-Invest'!$1:$1000,3,FALSE())/100,"")</f>
        <v>0.0614</v>
      </c>
      <c r="L143" s="11" t="n">
        <f aca="false">IFERROR(VLOOKUP(A143,'Dados-Status-Invest'!$1:$1000,MATCH(L$1,'Dados-Status-Invest'!$2:$2,0),FALSE())/100,"")</f>
        <v>1.3522</v>
      </c>
      <c r="M143" s="10" t="n">
        <f aca="false">IFERROR(VLOOKUP(A143,'Dados-Status-Invest'!$1:$1000,MATCH(M$1,'Dados-Status-Invest'!$2:$2,0),FALSE())/100,"")</f>
        <v>0.1275</v>
      </c>
      <c r="N143" s="10" t="n">
        <f aca="false">IFERROR(VLOOKUP(A143,'Dados-Status-Invest'!$1:$1000,MATCH(N$1,'Dados-Status-Invest'!$2:$2,0),FALSE())/100,"")</f>
        <v>0.2219</v>
      </c>
      <c r="O143" s="10" t="n">
        <f aca="false">IFERROR(VLOOKUP(A143,'Dados-Status-Invest'!$1:$1000,MATCH(O$1,'Dados-Status-Invest'!$2:$2,0),FALSE())/100,"")</f>
        <v>0.3267</v>
      </c>
      <c r="P143" s="10" t="n">
        <f aca="false">IFERROR(VLOOKUP(A143,'Dados-Status-Invest'!$1:$1000,MATCH(P$1,'Dados-Status-Invest'!$2:$2,0),FALSE())/100,"")</f>
        <v>0.2278</v>
      </c>
      <c r="Q143" s="10" t="n">
        <f aca="false">IFERROR(VLOOKUP(A143,'Dados-Status-Invest'!$1:$1000,MATCH(Q$1,'Dados-Status-Invest'!$2:$2,0),FALSE())/100,"")</f>
        <v>0.1529</v>
      </c>
      <c r="R143" s="12" t="n">
        <f aca="false">IFERROR(VLOOKUP(A143,'Dados-Status-Invest'!$1:$1000,MATCH(R$1,'Dados-Status-Invest'!$2:$2,0),FALSE()),"")</f>
        <v>15.86</v>
      </c>
      <c r="S143" s="12" t="n">
        <f aca="false">IFERROR(VLOOKUP(A143,'Dados-Status-Invest'!$1:$1000,MATCH(S$1,'Dados-Status-Invest'!$2:$2,0),FALSE()),"")</f>
        <v>21.45</v>
      </c>
      <c r="T143" s="12" t="n">
        <f aca="false">IFERROR(VLOOKUP(A143,'Dados-Status-Invest'!$1:$1000,MATCH(T$1,'Dados-Status-Invest'!$2:$2,0),FALSE()),"")</f>
        <v>13.8</v>
      </c>
      <c r="U143" s="12" t="n">
        <f aca="false">IFERROR(VLOOKUP(A143,'Dados-Status-Invest'!$1:$1000,MATCH(U$1,'Dados-Status-Invest'!$2:$2,0),FALSE()),"")</f>
        <v>1.84</v>
      </c>
      <c r="V143" s="12" t="n">
        <f aca="false">IFERROR(VLOOKUP(A143,'Dados-Status-Invest'!$1:$1000,MATCH(V$1,'Dados-Status-Invest'!$2:$2,0),FALSE()),"")</f>
        <v>2.6</v>
      </c>
      <c r="W143" s="10" t="n">
        <f aca="false">IFERROR(VLOOKUP(A143,'Dados-Status-Invest'!$1:$1000,MATCH(W$1,'Dados-Status-Invest'!$2:$2,0),FALSE())/100,"")</f>
        <v>0.0474</v>
      </c>
      <c r="X143" s="10" t="n">
        <f aca="false">IFERROR(VLOOKUP(A143,'Dados-Status-Invest'!$1:$1000,MATCH(X$1,'Dados-Status-Invest'!$2:$2,0),FALSE())/100,"")</f>
        <v>0.1049</v>
      </c>
    </row>
    <row r="144" customFormat="false" ht="15.75" hidden="false" customHeight="false" outlineLevel="0" collapsed="false">
      <c r="A144" s="6" t="s">
        <v>175</v>
      </c>
      <c r="B144" s="7" t="str">
        <f aca="false">IFERROR(VLOOKUP(LEFT(A144,4),Setor!A:D,2,FALSE()),"")</f>
        <v>Consumo Cíclico</v>
      </c>
      <c r="C144" s="8" t="n">
        <f aca="false">IFERROR(__xludf.dummyfunction("IFERROR(IFERROR(GOOGLEFINANCE(A150,""price""),VLOOKUP(A150,'Dados-Status-Invest'!A:B,2,FALSE)),"""")"),32.5)</f>
        <v>32.5</v>
      </c>
      <c r="D144" s="8" t="n">
        <f aca="false">IFERROR(VLOOKUP(A144,'Dados-Status-Invest'!$1:$1000,MATCH(D$1,'Dados-Status-Invest'!$2:$2,0),FALSE()),"")</f>
        <v>672159385.2</v>
      </c>
      <c r="E144" s="8" t="n">
        <f aca="false">IF(D144+H144&gt;0,D144+H144,"")</f>
        <v>527882749.5</v>
      </c>
      <c r="F144" s="8" t="n">
        <f aca="false">IFERROR(D144/VLOOKUP(A144,'Dados-Status-Invest'!$1:$1000,5,FALSE()),"")</f>
        <v>646307101.1</v>
      </c>
      <c r="G144" s="8" t="n">
        <f aca="false">IFERROR(D144/VLOOKUP(A144,'Dados-Status-Invest'!$1:$1000,6,FALSE()),"")</f>
        <v>908323493.5</v>
      </c>
      <c r="H144" s="8" t="n">
        <f aca="false">IFERROR(VLOOKUP(A144,'Dados-Status-Invest'!$1:$1000,12,FALSE())*J144,"")</f>
        <v>-144276635.7</v>
      </c>
      <c r="I144" s="8" t="n">
        <f aca="false">IFERROR(D144/VLOOKUP(A144,'Dados-Status-Invest'!$1:$1000,14,FALSE()),"")</f>
        <v>451113681.3</v>
      </c>
      <c r="J144" s="9" t="n">
        <f aca="false">IFERROR(D144/VLOOKUP(A144,'Dados-Status-Invest'!$1:$1000,10,FALSE()),"")</f>
        <v>84868609.24</v>
      </c>
      <c r="K144" s="10" t="n">
        <f aca="false">IFERROR(VLOOKUP(A144,'Dados-Status-Invest'!$1:$1000,3,FALSE())/100,"")</f>
        <v>0.0373</v>
      </c>
      <c r="L144" s="11" t="n">
        <f aca="false">IFERROR(VLOOKUP(A144,'Dados-Status-Invest'!$1:$1000,MATCH(L$1,'Dados-Status-Invest'!$2:$2,0),FALSE())/100,"")</f>
        <v>0.1202</v>
      </c>
      <c r="M144" s="10" t="n">
        <f aca="false">IFERROR(VLOOKUP(A144,'Dados-Status-Invest'!$1:$1000,MATCH(M$1,'Dados-Status-Invest'!$2:$2,0),FALSE())/100,"")</f>
        <v>0.0859</v>
      </c>
      <c r="N144" s="10" t="n">
        <f aca="false">IFERROR(VLOOKUP(A144,'Dados-Status-Invest'!$1:$1000,MATCH(N$1,'Dados-Status-Invest'!$2:$2,0),FALSE())/100,"")</f>
        <v>0.1023</v>
      </c>
      <c r="O144" s="10" t="n">
        <f aca="false">IFERROR(VLOOKUP(A144,'Dados-Status-Invest'!$1:$1000,MATCH(O$1,'Dados-Status-Invest'!$2:$2,0),FALSE())/100,"")</f>
        <v>0.5363</v>
      </c>
      <c r="P144" s="10" t="n">
        <f aca="false">IFERROR(VLOOKUP(A144,'Dados-Status-Invest'!$1:$1000,MATCH(P$1,'Dados-Status-Invest'!$2:$2,0),FALSE())/100,"")</f>
        <v>0.1883</v>
      </c>
      <c r="Q144" s="10" t="n">
        <f aca="false">IFERROR(VLOOKUP(A144,'Dados-Status-Invest'!$1:$1000,MATCH(Q$1,'Dados-Status-Invest'!$2:$2,0),FALSE())/100,"")</f>
        <v>0.1729</v>
      </c>
      <c r="R144" s="12" t="n">
        <f aca="false">IFERROR(VLOOKUP(A144,'Dados-Status-Invest'!$1:$1000,MATCH(R$1,'Dados-Status-Invest'!$2:$2,0),FALSE()),"")</f>
        <v>8.62</v>
      </c>
      <c r="S144" s="12" t="n">
        <f aca="false">IFERROR(VLOOKUP(A144,'Dados-Status-Invest'!$1:$1000,MATCH(S$1,'Dados-Status-Invest'!$2:$2,0),FALSE()),"")</f>
        <v>1.04</v>
      </c>
      <c r="T144" s="12" t="n">
        <f aca="false">IFERROR(VLOOKUP(A144,'Dados-Status-Invest'!$1:$1000,MATCH(T$1,'Dados-Status-Invest'!$2:$2,0),FALSE()),"")</f>
        <v>6.26</v>
      </c>
      <c r="U144" s="12" t="n">
        <f aca="false">IFERROR(VLOOKUP(A144,'Dados-Status-Invest'!$1:$1000,MATCH(U$1,'Dados-Status-Invest'!$2:$2,0),FALSE()),"")</f>
        <v>2.46</v>
      </c>
      <c r="V144" s="12" t="n">
        <f aca="false">IFERROR(VLOOKUP(A144,'Dados-Status-Invest'!$1:$1000,MATCH(V$1,'Dados-Status-Invest'!$2:$2,0),FALSE()),"")</f>
        <v>-1.7</v>
      </c>
      <c r="W144" s="10" t="n">
        <f aca="false">IFERROR(VLOOKUP(A144,'Dados-Status-Invest'!$1:$1000,MATCH(W$1,'Dados-Status-Invest'!$2:$2,0),FALSE())/100,"")</f>
        <v>0.0376</v>
      </c>
      <c r="X144" s="10" t="n">
        <f aca="false">IFERROR(VLOOKUP(A144,'Dados-Status-Invest'!$1:$1000,MATCH(X$1,'Dados-Status-Invest'!$2:$2,0),FALSE())/100,"")</f>
        <v>0.0878</v>
      </c>
    </row>
    <row r="145" customFormat="false" ht="15.75" hidden="false" customHeight="false" outlineLevel="0" collapsed="false">
      <c r="A145" s="6" t="s">
        <v>176</v>
      </c>
      <c r="B145" s="7" t="str">
        <f aca="false">IFERROR(VLOOKUP(LEFT(A145,4),Setor!A:D,2,FALSE()),"")</f>
        <v>Consumo Cíclico</v>
      </c>
      <c r="C145" s="8" t="n">
        <f aca="false">IFERROR(__xludf.dummyfunction("IFERROR(IFERROR(GOOGLEFINANCE(A151,""price""),VLOOKUP(A151,'Dados-Status-Invest'!A:B,2,FALSE)),"""")"),32.09)</f>
        <v>32.09</v>
      </c>
      <c r="D145" s="8" t="n">
        <f aca="false">IFERROR(VLOOKUP(A145,'Dados-Status-Invest'!$1:$1000,MATCH(D$1,'Dados-Status-Invest'!$2:$2,0),FALSE()),"")</f>
        <v>672159385.2</v>
      </c>
      <c r="E145" s="8" t="n">
        <f aca="false">IF(D145+H145&gt;0,D145+H145,"")</f>
        <v>527882749.5</v>
      </c>
      <c r="F145" s="8" t="n">
        <f aca="false">IFERROR(D145/VLOOKUP(A145,'Dados-Status-Invest'!$1:$1000,5,FALSE()),"")</f>
        <v>646307101.1</v>
      </c>
      <c r="G145" s="8" t="n">
        <f aca="false">IFERROR(D145/VLOOKUP(A145,'Dados-Status-Invest'!$1:$1000,6,FALSE()),"")</f>
        <v>908323493.5</v>
      </c>
      <c r="H145" s="8" t="n">
        <f aca="false">IFERROR(VLOOKUP(A145,'Dados-Status-Invest'!$1:$1000,12,FALSE())*J145,"")</f>
        <v>-144276635.7</v>
      </c>
      <c r="I145" s="8" t="n">
        <f aca="false">IFERROR(D145/VLOOKUP(A145,'Dados-Status-Invest'!$1:$1000,14,FALSE()),"")</f>
        <v>451113681.3</v>
      </c>
      <c r="J145" s="9" t="n">
        <f aca="false">IFERROR(D145/VLOOKUP(A145,'Dados-Status-Invest'!$1:$1000,10,FALSE()),"")</f>
        <v>84868609.24</v>
      </c>
      <c r="K145" s="10" t="n">
        <f aca="false">IFERROR(VLOOKUP(A145,'Dados-Status-Invest'!$1:$1000,3,FALSE())/100,"")</f>
        <v>0.0373</v>
      </c>
      <c r="L145" s="11" t="n">
        <f aca="false">IFERROR(VLOOKUP(A145,'Dados-Status-Invest'!$1:$1000,MATCH(L$1,'Dados-Status-Invest'!$2:$2,0),FALSE())/100,"")</f>
        <v>0.1202</v>
      </c>
      <c r="M145" s="10" t="n">
        <f aca="false">IFERROR(VLOOKUP(A145,'Dados-Status-Invest'!$1:$1000,MATCH(M$1,'Dados-Status-Invest'!$2:$2,0),FALSE())/100,"")</f>
        <v>0.0859</v>
      </c>
      <c r="N145" s="10" t="n">
        <f aca="false">IFERROR(VLOOKUP(A145,'Dados-Status-Invest'!$1:$1000,MATCH(N$1,'Dados-Status-Invest'!$2:$2,0),FALSE())/100,"")</f>
        <v>0.1023</v>
      </c>
      <c r="O145" s="10" t="n">
        <f aca="false">IFERROR(VLOOKUP(A145,'Dados-Status-Invest'!$1:$1000,MATCH(O$1,'Dados-Status-Invest'!$2:$2,0),FALSE())/100,"")</f>
        <v>0.5363</v>
      </c>
      <c r="P145" s="10" t="n">
        <f aca="false">IFERROR(VLOOKUP(A145,'Dados-Status-Invest'!$1:$1000,MATCH(P$1,'Dados-Status-Invest'!$2:$2,0),FALSE())/100,"")</f>
        <v>0.1883</v>
      </c>
      <c r="Q145" s="10" t="n">
        <f aca="false">IFERROR(VLOOKUP(A145,'Dados-Status-Invest'!$1:$1000,MATCH(Q$1,'Dados-Status-Invest'!$2:$2,0),FALSE())/100,"")</f>
        <v>0.1729</v>
      </c>
      <c r="R145" s="12" t="n">
        <f aca="false">IFERROR(VLOOKUP(A145,'Dados-Status-Invest'!$1:$1000,MATCH(R$1,'Dados-Status-Invest'!$2:$2,0),FALSE()),"")</f>
        <v>8.63</v>
      </c>
      <c r="S145" s="12" t="n">
        <f aca="false">IFERROR(VLOOKUP(A145,'Dados-Status-Invest'!$1:$1000,MATCH(S$1,'Dados-Status-Invest'!$2:$2,0),FALSE()),"")</f>
        <v>1.04</v>
      </c>
      <c r="T145" s="12" t="n">
        <f aca="false">IFERROR(VLOOKUP(A145,'Dados-Status-Invest'!$1:$1000,MATCH(T$1,'Dados-Status-Invest'!$2:$2,0),FALSE()),"")</f>
        <v>6.26</v>
      </c>
      <c r="U145" s="12" t="n">
        <f aca="false">IFERROR(VLOOKUP(A145,'Dados-Status-Invest'!$1:$1000,MATCH(U$1,'Dados-Status-Invest'!$2:$2,0),FALSE()),"")</f>
        <v>2.46</v>
      </c>
      <c r="V145" s="12" t="n">
        <f aca="false">IFERROR(VLOOKUP(A145,'Dados-Status-Invest'!$1:$1000,MATCH(V$1,'Dados-Status-Invest'!$2:$2,0),FALSE()),"")</f>
        <v>-1.7</v>
      </c>
      <c r="W145" s="10" t="n">
        <f aca="false">IFERROR(VLOOKUP(A145,'Dados-Status-Invest'!$1:$1000,MATCH(W$1,'Dados-Status-Invest'!$2:$2,0),FALSE())/100,"")</f>
        <v>0.0376</v>
      </c>
      <c r="X145" s="10" t="n">
        <f aca="false">IFERROR(VLOOKUP(A145,'Dados-Status-Invest'!$1:$1000,MATCH(X$1,'Dados-Status-Invest'!$2:$2,0),FALSE())/100,"")</f>
        <v>0.0878</v>
      </c>
    </row>
    <row r="146" customFormat="false" ht="15.75" hidden="false" customHeight="false" outlineLevel="0" collapsed="false">
      <c r="A146" s="6" t="s">
        <v>177</v>
      </c>
      <c r="B146" s="7" t="str">
        <f aca="false">IFERROR(VLOOKUP(LEFT(A146,4),Setor!A:D,2,FALSE()),"")</f>
        <v>Financeiro</v>
      </c>
      <c r="C146" s="8" t="n">
        <f aca="false">IFERROR(__xludf.dummyfunction("IFERROR(IFERROR(GOOGLEFINANCE(A152,""price""),VLOOKUP(A152,'Dados-Status-Invest'!A:B,2,FALSE)),"""")"),3.64)</f>
        <v>3.64</v>
      </c>
      <c r="D146" s="8" t="n">
        <f aca="false">IFERROR(VLOOKUP(A146,'Dados-Status-Invest'!$1:$1000,MATCH(D$1,'Dados-Status-Invest'!$2:$2,0),FALSE()),"")</f>
        <v>9726197918</v>
      </c>
      <c r="E146" s="8" t="n">
        <f aca="false">IF(D146+H146&gt;0,D146+H146,"")</f>
        <v>9751529941.43</v>
      </c>
      <c r="F146" s="8" t="n">
        <f aca="false">IFERROR(D146/VLOOKUP(A146,'Dados-Status-Invest'!$1:$1000,5,FALSE()),"")</f>
        <v>9535488155</v>
      </c>
      <c r="G146" s="8" t="n">
        <f aca="false">IFERROR(D146/VLOOKUP(A146,'Dados-Status-Invest'!$1:$1000,6,FALSE()),"")</f>
        <v>81051649320</v>
      </c>
      <c r="H146" s="8" t="n">
        <f aca="false">IFERROR(VLOOKUP(A146,'Dados-Status-Invest'!$1:$1000,12,FALSE())*J146,"")</f>
        <v>25332023.43</v>
      </c>
      <c r="I146" s="8" t="n">
        <f aca="false">IFERROR(D146/VLOOKUP(A146,'Dados-Status-Invest'!$1:$1000,14,FALSE()),"")</f>
        <v>11052497635</v>
      </c>
      <c r="J146" s="9" t="n">
        <f aca="false">IFERROR(D146/VLOOKUP(A146,'Dados-Status-Invest'!$1:$1000,10,FALSE()),"")</f>
        <v>-64953906.23</v>
      </c>
      <c r="K146" s="10" t="n">
        <f aca="false">IFERROR(VLOOKUP(A146,'Dados-Status-Invest'!$1:$1000,3,FALSE())/100,"")</f>
        <v>0.0259</v>
      </c>
      <c r="L146" s="11" t="n">
        <f aca="false">IFERROR(VLOOKUP(A146,'Dados-Status-Invest'!$1:$1000,MATCH(L$1,'Dados-Status-Invest'!$2:$2,0),FALSE())/100,"")</f>
        <v>-0.0435</v>
      </c>
      <c r="M146" s="10" t="n">
        <f aca="false">IFERROR(VLOOKUP(A146,'Dados-Status-Invest'!$1:$1000,MATCH(M$1,'Dados-Status-Invest'!$2:$2,0),FALSE())/100,"")</f>
        <v>-0.0051</v>
      </c>
      <c r="N146" s="10" t="n">
        <f aca="false">IFERROR(VLOOKUP(A146,'Dados-Status-Invest'!$1:$1000,MATCH(N$1,'Dados-Status-Invest'!$2:$2,0),FALSE())/100,"")</f>
        <v>-0.0234</v>
      </c>
      <c r="O146" s="10" t="n">
        <f aca="false">IFERROR(VLOOKUP(A146,'Dados-Status-Invest'!$1:$1000,MATCH(O$1,'Dados-Status-Invest'!$2:$2,0),FALSE())/100,"")</f>
        <v>0.2735</v>
      </c>
      <c r="P146" s="10" t="n">
        <f aca="false">IFERROR(VLOOKUP(A146,'Dados-Status-Invest'!$1:$1000,MATCH(P$1,'Dados-Status-Invest'!$2:$2,0),FALSE())/100,"")</f>
        <v>-0.0058</v>
      </c>
      <c r="Q146" s="10" t="n">
        <f aca="false">IFERROR(VLOOKUP(A146,'Dados-Status-Invest'!$1:$1000,MATCH(Q$1,'Dados-Status-Invest'!$2:$2,0),FALSE())/100,"")</f>
        <v>-0.0372</v>
      </c>
      <c r="R146" s="12" t="n">
        <f aca="false">IFERROR(VLOOKUP(A146,'Dados-Status-Invest'!$1:$1000,MATCH(R$1,'Dados-Status-Invest'!$2:$2,0),FALSE()),"")</f>
        <v>-23.56</v>
      </c>
      <c r="S146" s="12" t="n">
        <f aca="false">IFERROR(VLOOKUP(A146,'Dados-Status-Invest'!$1:$1000,MATCH(S$1,'Dados-Status-Invest'!$2:$2,0),FALSE()),"")</f>
        <v>1.02</v>
      </c>
      <c r="T146" s="12" t="n">
        <f aca="false">IFERROR(VLOOKUP(A146,'Dados-Status-Invest'!$1:$1000,MATCH(T$1,'Dados-Status-Invest'!$2:$2,0),FALSE()),"")</f>
        <v>-149.71</v>
      </c>
      <c r="U146" s="12" t="n">
        <f aca="false">IFERROR(VLOOKUP(A146,'Dados-Status-Invest'!$1:$1000,MATCH(U$1,'Dados-Status-Invest'!$2:$2,0),FALSE()),"")</f>
        <v>1.13</v>
      </c>
      <c r="V146" s="12" t="n">
        <f aca="false">IFERROR(VLOOKUP(A146,'Dados-Status-Invest'!$1:$1000,MATCH(V$1,'Dados-Status-Invest'!$2:$2,0),FALSE()),"")</f>
        <v>-0.39</v>
      </c>
      <c r="W146" s="10" t="n">
        <f aca="false">IFERROR(VLOOKUP(A146,'Dados-Status-Invest'!$1:$1000,MATCH(W$1,'Dados-Status-Invest'!$2:$2,0),FALSE())/100,"")</f>
        <v>0.0011</v>
      </c>
      <c r="X146" s="10" t="n">
        <f aca="false">IFERROR(VLOOKUP(A146,'Dados-Status-Invest'!$1:$1000,MATCH(X$1,'Dados-Status-Invest'!$2:$2,0),FALSE())/100,"")</f>
        <v>0</v>
      </c>
    </row>
    <row r="147" customFormat="false" ht="15.75" hidden="false" customHeight="false" outlineLevel="0" collapsed="false">
      <c r="A147" s="6" t="s">
        <v>178</v>
      </c>
      <c r="B147" s="7" t="str">
        <f aca="false">IFERROR(VLOOKUP(LEFT(A147,4),Setor!A:D,2,FALSE()),"")</f>
        <v>Utilidade Pública</v>
      </c>
      <c r="C147" s="8" t="n">
        <f aca="false">IFERROR(__xludf.dummyfunction("IFERROR(IFERROR(GOOGLEFINANCE(A153,""price""),VLOOKUP(A153,'Dados-Status-Invest'!A:B,2,FALSE)),"""")"),56.49)</f>
        <v>56.49</v>
      </c>
      <c r="D147" s="8" t="n">
        <f aca="false">IFERROR(VLOOKUP(A147,'Dados-Status-Invest'!$1:$1000,MATCH(D$1,'Dados-Status-Invest'!$2:$2,0),FALSE()),"")</f>
        <v>2654152907</v>
      </c>
      <c r="E147" s="8" t="n">
        <f aca="false">IF(D147+H147&gt;0,D147+H147,"")</f>
        <v>3619969659.1</v>
      </c>
      <c r="F147" s="8" t="n">
        <f aca="false">IFERROR(D147/VLOOKUP(A147,'Dados-Status-Invest'!$1:$1000,5,FALSE()),"")</f>
        <v>2140445892</v>
      </c>
      <c r="G147" s="8" t="n">
        <f aca="false">IFERROR(D147/VLOOKUP(A147,'Dados-Status-Invest'!$1:$1000,6,FALSE()),"")</f>
        <v>10208280410</v>
      </c>
      <c r="H147" s="8" t="n">
        <f aca="false">IFERROR(VLOOKUP(A147,'Dados-Status-Invest'!$1:$1000,12,FALSE())*J147,"")</f>
        <v>965816752.1</v>
      </c>
      <c r="I147" s="8" t="n">
        <f aca="false">IFERROR(D147/VLOOKUP(A147,'Dados-Status-Invest'!$1:$1000,14,FALSE()),"")</f>
        <v>9152251402</v>
      </c>
      <c r="J147" s="9" t="n">
        <f aca="false">IFERROR(D147/VLOOKUP(A147,'Dados-Status-Invest'!$1:$1000,10,FALSE()),"")</f>
        <v>737264696.3</v>
      </c>
      <c r="K147" s="10" t="n">
        <f aca="false">IFERROR(VLOOKUP(A147,'Dados-Status-Invest'!$1:$1000,3,FALSE())/100,"")</f>
        <v>0.0452</v>
      </c>
      <c r="L147" s="11" t="n">
        <f aca="false">IFERROR(VLOOKUP(A147,'Dados-Status-Invest'!$1:$1000,MATCH(L$1,'Dados-Status-Invest'!$2:$2,0),FALSE())/100,"")</f>
        <v>0.2628</v>
      </c>
      <c r="M147" s="10" t="n">
        <f aca="false">IFERROR(VLOOKUP(A147,'Dados-Status-Invest'!$1:$1000,MATCH(M$1,'Dados-Status-Invest'!$2:$2,0),FALSE())/100,"")</f>
        <v>0.0545</v>
      </c>
      <c r="N147" s="10" t="n">
        <f aca="false">IFERROR(VLOOKUP(A147,'Dados-Status-Invest'!$1:$1000,MATCH(N$1,'Dados-Status-Invest'!$2:$2,0),FALSE())/100,"")</f>
        <v>0.1225</v>
      </c>
      <c r="O147" s="10" t="n">
        <f aca="false">IFERROR(VLOOKUP(A147,'Dados-Status-Invest'!$1:$1000,MATCH(O$1,'Dados-Status-Invest'!$2:$2,0),FALSE())/100,"")</f>
        <v>0.1342</v>
      </c>
      <c r="P147" s="10" t="n">
        <f aca="false">IFERROR(VLOOKUP(A147,'Dados-Status-Invest'!$1:$1000,MATCH(P$1,'Dados-Status-Invest'!$2:$2,0),FALSE())/100,"")</f>
        <v>0.0809</v>
      </c>
      <c r="Q147" s="10" t="n">
        <f aca="false">IFERROR(VLOOKUP(A147,'Dados-Status-Invest'!$1:$1000,MATCH(Q$1,'Dados-Status-Invest'!$2:$2,0),FALSE())/100,"")</f>
        <v>0.0619</v>
      </c>
      <c r="R147" s="12" t="n">
        <f aca="false">IFERROR(VLOOKUP(A147,'Dados-Status-Invest'!$1:$1000,MATCH(R$1,'Dados-Status-Invest'!$2:$2,0),FALSE()),"")</f>
        <v>4.71</v>
      </c>
      <c r="S147" s="12" t="n">
        <f aca="false">IFERROR(VLOOKUP(A147,'Dados-Status-Invest'!$1:$1000,MATCH(S$1,'Dados-Status-Invest'!$2:$2,0),FALSE()),"")</f>
        <v>1.24</v>
      </c>
      <c r="T147" s="12" t="n">
        <f aca="false">IFERROR(VLOOKUP(A147,'Dados-Status-Invest'!$1:$1000,MATCH(T$1,'Dados-Status-Invest'!$2:$2,0),FALSE()),"")</f>
        <v>4.85</v>
      </c>
      <c r="U147" s="12" t="n">
        <f aca="false">IFERROR(VLOOKUP(A147,'Dados-Status-Invest'!$1:$1000,MATCH(U$1,'Dados-Status-Invest'!$2:$2,0),FALSE()),"")</f>
        <v>1.19</v>
      </c>
      <c r="V147" s="12" t="n">
        <f aca="false">IFERROR(VLOOKUP(A147,'Dados-Status-Invest'!$1:$1000,MATCH(V$1,'Dados-Status-Invest'!$2:$2,0),FALSE()),"")</f>
        <v>1.31</v>
      </c>
      <c r="W147" s="10" t="n">
        <f aca="false">IFERROR(VLOOKUP(A147,'Dados-Status-Invest'!$1:$1000,MATCH(W$1,'Dados-Status-Invest'!$2:$2,0),FALSE())/100,"")</f>
        <v>0.0467</v>
      </c>
      <c r="X147" s="10" t="n">
        <f aca="false">IFERROR(VLOOKUP(A147,'Dados-Status-Invest'!$1:$1000,MATCH(X$1,'Dados-Status-Invest'!$2:$2,0),FALSE())/100,"")</f>
        <v>0.3175</v>
      </c>
    </row>
    <row r="148" customFormat="false" ht="15.75" hidden="false" customHeight="false" outlineLevel="0" collapsed="false">
      <c r="A148" s="6" t="s">
        <v>179</v>
      </c>
      <c r="B148" s="7" t="str">
        <f aca="false">IFERROR(VLOOKUP(LEFT(A148,4),Setor!A:D,2,FALSE()),"")</f>
        <v>Utilidade Pública</v>
      </c>
      <c r="C148" s="8" t="n">
        <f aca="false">IFERROR(__xludf.dummyfunction("IFERROR(IFERROR(GOOGLEFINANCE(A154,""price""),VLOOKUP(A154,'Dados-Status-Invest'!A:B,2,FALSE)),"""")"),59.87)</f>
        <v>59.87</v>
      </c>
      <c r="D148" s="8" t="n">
        <f aca="false">IFERROR(VLOOKUP(A148,'Dados-Status-Invest'!$1:$1000,MATCH(D$1,'Dados-Status-Invest'!$2:$2,0),FALSE()),"")</f>
        <v>2654152907</v>
      </c>
      <c r="E148" s="8" t="n">
        <f aca="false">IF(D148+H148&gt;0,D148+H148,"")</f>
        <v>3647564423.4</v>
      </c>
      <c r="F148" s="8" t="n">
        <f aca="false">IFERROR(D148/VLOOKUP(A148,'Dados-Status-Invest'!$1:$1000,5,FALSE()),"")</f>
        <v>2211794089</v>
      </c>
      <c r="G148" s="8" t="n">
        <f aca="false">IFERROR(D148/VLOOKUP(A148,'Dados-Status-Invest'!$1:$1000,6,FALSE()),"")</f>
        <v>10616611626</v>
      </c>
      <c r="H148" s="8" t="n">
        <f aca="false">IFERROR(VLOOKUP(A148,'Dados-Status-Invest'!$1:$1000,12,FALSE())*J148,"")</f>
        <v>993411516.4</v>
      </c>
      <c r="I148" s="8" t="n">
        <f aca="false">IFERROR(D148/VLOOKUP(A148,'Dados-Status-Invest'!$1:$1000,14,FALSE()),"")</f>
        <v>9479117523</v>
      </c>
      <c r="J148" s="9" t="n">
        <f aca="false">IFERROR(D148/VLOOKUP(A148,'Dados-Status-Invest'!$1:$1000,10,FALSE()),"")</f>
        <v>758329401.9</v>
      </c>
      <c r="K148" s="10" t="n">
        <f aca="false">IFERROR(VLOOKUP(A148,'Dados-Status-Invest'!$1:$1000,3,FALSE())/100,"")</f>
        <v>0.0512</v>
      </c>
      <c r="L148" s="11" t="n">
        <f aca="false">IFERROR(VLOOKUP(A148,'Dados-Status-Invest'!$1:$1000,MATCH(L$1,'Dados-Status-Invest'!$2:$2,0),FALSE())/100,"")</f>
        <v>0.2628</v>
      </c>
      <c r="M148" s="10" t="n">
        <f aca="false">IFERROR(VLOOKUP(A148,'Dados-Status-Invest'!$1:$1000,MATCH(M$1,'Dados-Status-Invest'!$2:$2,0),FALSE())/100,"")</f>
        <v>0.0545</v>
      </c>
      <c r="N148" s="10" t="n">
        <f aca="false">IFERROR(VLOOKUP(A148,'Dados-Status-Invest'!$1:$1000,MATCH(N$1,'Dados-Status-Invest'!$2:$2,0),FALSE())/100,"")</f>
        <v>0.1225</v>
      </c>
      <c r="O148" s="10" t="n">
        <f aca="false">IFERROR(VLOOKUP(A148,'Dados-Status-Invest'!$1:$1000,MATCH(O$1,'Dados-Status-Invest'!$2:$2,0),FALSE())/100,"")</f>
        <v>0.1342</v>
      </c>
      <c r="P148" s="10" t="n">
        <f aca="false">IFERROR(VLOOKUP(A148,'Dados-Status-Invest'!$1:$1000,MATCH(P$1,'Dados-Status-Invest'!$2:$2,0),FALSE())/100,"")</f>
        <v>0.0809</v>
      </c>
      <c r="Q148" s="10" t="n">
        <f aca="false">IFERROR(VLOOKUP(A148,'Dados-Status-Invest'!$1:$1000,MATCH(Q$1,'Dados-Status-Invest'!$2:$2,0),FALSE())/100,"")</f>
        <v>0.0619</v>
      </c>
      <c r="R148" s="12" t="n">
        <f aca="false">IFERROR(VLOOKUP(A148,'Dados-Status-Invest'!$1:$1000,MATCH(R$1,'Dados-Status-Invest'!$2:$2,0),FALSE()),"")</f>
        <v>4.57</v>
      </c>
      <c r="S148" s="12" t="n">
        <f aca="false">IFERROR(VLOOKUP(A148,'Dados-Status-Invest'!$1:$1000,MATCH(S$1,'Dados-Status-Invest'!$2:$2,0),FALSE()),"")</f>
        <v>1.2</v>
      </c>
      <c r="T148" s="12" t="n">
        <f aca="false">IFERROR(VLOOKUP(A148,'Dados-Status-Invest'!$1:$1000,MATCH(T$1,'Dados-Status-Invest'!$2:$2,0),FALSE()),"")</f>
        <v>4.85</v>
      </c>
      <c r="U148" s="12" t="n">
        <f aca="false">IFERROR(VLOOKUP(A148,'Dados-Status-Invest'!$1:$1000,MATCH(U$1,'Dados-Status-Invest'!$2:$2,0),FALSE()),"")</f>
        <v>1.19</v>
      </c>
      <c r="V148" s="12" t="n">
        <f aca="false">IFERROR(VLOOKUP(A148,'Dados-Status-Invest'!$1:$1000,MATCH(V$1,'Dados-Status-Invest'!$2:$2,0),FALSE()),"")</f>
        <v>1.31</v>
      </c>
      <c r="W148" s="10" t="n">
        <f aca="false">IFERROR(VLOOKUP(A148,'Dados-Status-Invest'!$1:$1000,MATCH(W$1,'Dados-Status-Invest'!$2:$2,0),FALSE())/100,"")</f>
        <v>0.0467</v>
      </c>
      <c r="X148" s="10" t="n">
        <f aca="false">IFERROR(VLOOKUP(A148,'Dados-Status-Invest'!$1:$1000,MATCH(X$1,'Dados-Status-Invest'!$2:$2,0),FALSE())/100,"")</f>
        <v>0.3175</v>
      </c>
    </row>
    <row r="149" customFormat="false" ht="15.75" hidden="false" customHeight="false" outlineLevel="0" collapsed="false">
      <c r="A149" s="6" t="s">
        <v>180</v>
      </c>
      <c r="B149" s="7" t="str">
        <f aca="false">IFERROR(VLOOKUP(LEFT(A149,4),Setor!A:D,2,FALSE()),"")</f>
        <v>Utilidade Pública</v>
      </c>
      <c r="C149" s="8" t="n">
        <f aca="false">IFERROR(__xludf.dummyfunction("IFERROR(IFERROR(GOOGLEFINANCE(A155,""price""),VLOOKUP(A155,'Dados-Status-Invest'!A:B,2,FALSE)),"""")"),15.27)</f>
        <v>15.27</v>
      </c>
      <c r="D149" s="8" t="n">
        <f aca="false">IFERROR(VLOOKUP(A149,'Dados-Status-Invest'!$1:$1000,MATCH(D$1,'Dados-Status-Invest'!$2:$2,0),FALSE()),"")</f>
        <v>22220803556</v>
      </c>
      <c r="E149" s="8" t="n">
        <f aca="false">IF(D149+H149&gt;0,D149+H149,"")</f>
        <v>30310404851</v>
      </c>
      <c r="F149" s="8" t="n">
        <f aca="false">IFERROR(D149/VLOOKUP(A149,'Dados-Status-Invest'!$1:$1000,5,FALSE()),"")</f>
        <v>15986189609</v>
      </c>
      <c r="G149" s="8" t="n">
        <f aca="false">IFERROR(D149/VLOOKUP(A149,'Dados-Status-Invest'!$1:$1000,6,FALSE()),"")</f>
        <v>47278305438</v>
      </c>
      <c r="H149" s="8" t="n">
        <f aca="false">IFERROR(VLOOKUP(A149,'Dados-Status-Invest'!$1:$1000,12,FALSE())*J149,"")</f>
        <v>8089601295</v>
      </c>
      <c r="I149" s="8" t="n">
        <f aca="false">IFERROR(D149/VLOOKUP(A149,'Dados-Status-Invest'!$1:$1000,14,FALSE()),"")</f>
        <v>23390319533</v>
      </c>
      <c r="J149" s="9" t="n">
        <f aca="false">IFERROR(D149/VLOOKUP(A149,'Dados-Status-Invest'!$1:$1000,10,FALSE()),"")</f>
        <v>5120000819</v>
      </c>
      <c r="K149" s="10" t="n">
        <f aca="false">IFERROR(VLOOKUP(A149,'Dados-Status-Invest'!$1:$1000,3,FALSE())/100,"")</f>
        <v>0.0833</v>
      </c>
      <c r="L149" s="11" t="n">
        <f aca="false">IFERROR(VLOOKUP(A149,'Dados-Status-Invest'!$1:$1000,MATCH(L$1,'Dados-Status-Invest'!$2:$2,0),FALSE())/100,"")</f>
        <v>0.1868</v>
      </c>
      <c r="M149" s="10" t="n">
        <f aca="false">IFERROR(VLOOKUP(A149,'Dados-Status-Invest'!$1:$1000,MATCH(M$1,'Dados-Status-Invest'!$2:$2,0),FALSE())/100,"")</f>
        <v>0.0631</v>
      </c>
      <c r="N149" s="10" t="n">
        <f aca="false">IFERROR(VLOOKUP(A149,'Dados-Status-Invest'!$1:$1000,MATCH(N$1,'Dados-Status-Invest'!$2:$2,0),FALSE())/100,"")</f>
        <v>0.147</v>
      </c>
      <c r="O149" s="10" t="n">
        <f aca="false">IFERROR(VLOOKUP(A149,'Dados-Status-Invest'!$1:$1000,MATCH(O$1,'Dados-Status-Invest'!$2:$2,0),FALSE())/100,"")</f>
        <v>0.2144</v>
      </c>
      <c r="P149" s="10" t="n">
        <f aca="false">IFERROR(VLOOKUP(A149,'Dados-Status-Invest'!$1:$1000,MATCH(P$1,'Dados-Status-Invest'!$2:$2,0),FALSE())/100,"")</f>
        <v>0.2187</v>
      </c>
      <c r="Q149" s="10" t="n">
        <f aca="false">IFERROR(VLOOKUP(A149,'Dados-Status-Invest'!$1:$1000,MATCH(Q$1,'Dados-Status-Invest'!$2:$2,0),FALSE())/100,"")</f>
        <v>0.1272</v>
      </c>
      <c r="R149" s="12" t="n">
        <f aca="false">IFERROR(VLOOKUP(A149,'Dados-Status-Invest'!$1:$1000,MATCH(R$1,'Dados-Status-Invest'!$2:$2,0),FALSE()),"")</f>
        <v>7.46</v>
      </c>
      <c r="S149" s="12" t="n">
        <f aca="false">IFERROR(VLOOKUP(A149,'Dados-Status-Invest'!$1:$1000,MATCH(S$1,'Dados-Status-Invest'!$2:$2,0),FALSE()),"")</f>
        <v>1.39</v>
      </c>
      <c r="T149" s="12" t="n">
        <f aca="false">IFERROR(VLOOKUP(A149,'Dados-Status-Invest'!$1:$1000,MATCH(T$1,'Dados-Status-Invest'!$2:$2,0),FALSE()),"")</f>
        <v>5.45</v>
      </c>
      <c r="U149" s="12" t="n">
        <f aca="false">IFERROR(VLOOKUP(A149,'Dados-Status-Invest'!$1:$1000,MATCH(U$1,'Dados-Status-Invest'!$2:$2,0),FALSE()),"")</f>
        <v>1.62</v>
      </c>
      <c r="V149" s="12" t="n">
        <f aca="false">IFERROR(VLOOKUP(A149,'Dados-Status-Invest'!$1:$1000,MATCH(V$1,'Dados-Status-Invest'!$2:$2,0),FALSE()),"")</f>
        <v>1.58</v>
      </c>
      <c r="W149" s="10" t="n">
        <f aca="false">IFERROR(VLOOKUP(A149,'Dados-Status-Invest'!$1:$1000,MATCH(W$1,'Dados-Status-Invest'!$2:$2,0),FALSE())/100,"")</f>
        <v>0.029</v>
      </c>
      <c r="X149" s="10" t="n">
        <f aca="false">IFERROR(VLOOKUP(A149,'Dados-Status-Invest'!$1:$1000,MATCH(X$1,'Dados-Status-Invest'!$2:$2,0),FALSE())/100,"")</f>
        <v>0.0302</v>
      </c>
    </row>
    <row r="150" customFormat="false" ht="15.75" hidden="false" customHeight="false" outlineLevel="0" collapsed="false">
      <c r="A150" s="6" t="s">
        <v>181</v>
      </c>
      <c r="B150" s="7" t="str">
        <f aca="false">IFERROR(VLOOKUP(LEFT(A150,4),Setor!A:D,2,FALSE()),"")</f>
        <v>Utilidade Pública</v>
      </c>
      <c r="C150" s="8" t="n">
        <f aca="false">IFERROR(__xludf.dummyfunction("IFERROR(IFERROR(GOOGLEFINANCE(A156,""price""),VLOOKUP(A156,'Dados-Status-Invest'!A:B,2,FALSE)),"""")"),11.82)</f>
        <v>11.82</v>
      </c>
      <c r="D150" s="8" t="n">
        <f aca="false">IFERROR(VLOOKUP(A150,'Dados-Status-Invest'!$1:$1000,MATCH(D$1,'Dados-Status-Invest'!$2:$2,0),FALSE()),"")</f>
        <v>22220803556</v>
      </c>
      <c r="E150" s="8" t="n">
        <f aca="false">IF(D150+H150&gt;0,D150+H150,"")</f>
        <v>31946252204</v>
      </c>
      <c r="F150" s="8" t="n">
        <f aca="false">IFERROR(D150/VLOOKUP(A150,'Dados-Status-Invest'!$1:$1000,5,FALSE()),"")</f>
        <v>19155865135</v>
      </c>
      <c r="G150" s="8" t="n">
        <f aca="false">IFERROR(D150/VLOOKUP(A150,'Dados-Status-Invest'!$1:$1000,6,FALSE()),"")</f>
        <v>56976419374</v>
      </c>
      <c r="H150" s="8" t="n">
        <f aca="false">IFERROR(VLOOKUP(A150,'Dados-Status-Invest'!$1:$1000,12,FALSE())*J150,"")</f>
        <v>9725448648</v>
      </c>
      <c r="I150" s="8" t="n">
        <f aca="false">IFERROR(D150/VLOOKUP(A150,'Dados-Status-Invest'!$1:$1000,14,FALSE()),"")</f>
        <v>28127599438</v>
      </c>
      <c r="J150" s="9" t="n">
        <f aca="false">IFERROR(D150/VLOOKUP(A150,'Dados-Status-Invest'!$1:$1000,10,FALSE()),"")</f>
        <v>6155347245</v>
      </c>
      <c r="K150" s="10" t="n">
        <f aca="false">IFERROR(VLOOKUP(A150,'Dados-Status-Invest'!$1:$1000,3,FALSE())/100,"")</f>
        <v>0.0999</v>
      </c>
      <c r="L150" s="11" t="n">
        <f aca="false">IFERROR(VLOOKUP(A150,'Dados-Status-Invest'!$1:$1000,MATCH(L$1,'Dados-Status-Invest'!$2:$2,0),FALSE())/100,"")</f>
        <v>0.1868</v>
      </c>
      <c r="M150" s="10" t="n">
        <f aca="false">IFERROR(VLOOKUP(A150,'Dados-Status-Invest'!$1:$1000,MATCH(M$1,'Dados-Status-Invest'!$2:$2,0),FALSE())/100,"")</f>
        <v>0.0631</v>
      </c>
      <c r="N150" s="10" t="n">
        <f aca="false">IFERROR(VLOOKUP(A150,'Dados-Status-Invest'!$1:$1000,MATCH(N$1,'Dados-Status-Invest'!$2:$2,0),FALSE())/100,"")</f>
        <v>0.147</v>
      </c>
      <c r="O150" s="10" t="n">
        <f aca="false">IFERROR(VLOOKUP(A150,'Dados-Status-Invest'!$1:$1000,MATCH(O$1,'Dados-Status-Invest'!$2:$2,0),FALSE())/100,"")</f>
        <v>0.2144</v>
      </c>
      <c r="P150" s="10" t="n">
        <f aca="false">IFERROR(VLOOKUP(A150,'Dados-Status-Invest'!$1:$1000,MATCH(P$1,'Dados-Status-Invest'!$2:$2,0),FALSE())/100,"")</f>
        <v>0.2187</v>
      </c>
      <c r="Q150" s="10" t="n">
        <f aca="false">IFERROR(VLOOKUP(A150,'Dados-Status-Invest'!$1:$1000,MATCH(Q$1,'Dados-Status-Invest'!$2:$2,0),FALSE())/100,"")</f>
        <v>0.1272</v>
      </c>
      <c r="R150" s="12" t="n">
        <f aca="false">IFERROR(VLOOKUP(A150,'Dados-Status-Invest'!$1:$1000,MATCH(R$1,'Dados-Status-Invest'!$2:$2,0),FALSE()),"")</f>
        <v>6.21</v>
      </c>
      <c r="S150" s="12" t="n">
        <f aca="false">IFERROR(VLOOKUP(A150,'Dados-Status-Invest'!$1:$1000,MATCH(S$1,'Dados-Status-Invest'!$2:$2,0),FALSE()),"")</f>
        <v>1.16</v>
      </c>
      <c r="T150" s="12" t="n">
        <f aca="false">IFERROR(VLOOKUP(A150,'Dados-Status-Invest'!$1:$1000,MATCH(T$1,'Dados-Status-Invest'!$2:$2,0),FALSE()),"")</f>
        <v>5.45</v>
      </c>
      <c r="U150" s="12" t="n">
        <f aca="false">IFERROR(VLOOKUP(A150,'Dados-Status-Invest'!$1:$1000,MATCH(U$1,'Dados-Status-Invest'!$2:$2,0),FALSE()),"")</f>
        <v>1.62</v>
      </c>
      <c r="V150" s="12" t="n">
        <f aca="false">IFERROR(VLOOKUP(A150,'Dados-Status-Invest'!$1:$1000,MATCH(V$1,'Dados-Status-Invest'!$2:$2,0),FALSE()),"")</f>
        <v>1.58</v>
      </c>
      <c r="W150" s="10" t="n">
        <f aca="false">IFERROR(VLOOKUP(A150,'Dados-Status-Invest'!$1:$1000,MATCH(W$1,'Dados-Status-Invest'!$2:$2,0),FALSE())/100,"")</f>
        <v>0.029</v>
      </c>
      <c r="X150" s="10" t="n">
        <f aca="false">IFERROR(VLOOKUP(A150,'Dados-Status-Invest'!$1:$1000,MATCH(X$1,'Dados-Status-Invest'!$2:$2,0),FALSE())/100,"")</f>
        <v>0.0302</v>
      </c>
    </row>
    <row r="151" customFormat="false" ht="15.75" hidden="false" customHeight="false" outlineLevel="0" collapsed="false">
      <c r="A151" s="6" t="s">
        <v>182</v>
      </c>
      <c r="B151" s="7" t="s">
        <v>58</v>
      </c>
      <c r="C151" s="8" t="n">
        <f aca="false">IFERROR(__xludf.dummyfunction("IFERROR(IFERROR(GOOGLEFINANCE(A157,""price""),VLOOKUP(A157,'Dados-Status-Invest'!A:B,2,FALSE)),"""")"),4.63)</f>
        <v>4.63</v>
      </c>
      <c r="D151" s="8" t="n">
        <f aca="false">IFERROR(VLOOKUP(A151,'Dados-Status-Invest'!$1:$1000,MATCH(D$1,'Dados-Status-Invest'!$2:$2,0),FALSE()),"")</f>
        <v>52110414006</v>
      </c>
      <c r="E151" s="8" t="n">
        <f aca="false">IF(D151+H151&gt;0,D151+H151,"")</f>
        <v>48348922854</v>
      </c>
      <c r="F151" s="8" t="n">
        <f aca="false">IFERROR(D151/VLOOKUP(A151,'Dados-Status-Invest'!$1:$1000,5,FALSE()),"")</f>
        <v>13293472961</v>
      </c>
      <c r="G151" s="8" t="n">
        <f aca="false">IFERROR(D151/VLOOKUP(A151,'Dados-Status-Invest'!$1:$1000,6,FALSE()),"")</f>
        <v>21895131935</v>
      </c>
      <c r="H151" s="8" t="n">
        <f aca="false">IFERROR(VLOOKUP(A151,'Dados-Status-Invest'!$1:$1000,12,FALSE())*J151,"")</f>
        <v>-3761491152</v>
      </c>
      <c r="I151" s="8" t="n">
        <f aca="false">IFERROR(D151/VLOOKUP(A151,'Dados-Status-Invest'!$1:$1000,14,FALSE()),"")</f>
        <v>17664547121</v>
      </c>
      <c r="J151" s="9" t="n">
        <f aca="false">IFERROR(D151/VLOOKUP(A151,'Dados-Status-Invest'!$1:$1000,10,FALSE()),"")</f>
        <v>9174368663</v>
      </c>
      <c r="K151" s="10" t="n">
        <f aca="false">IFERROR(VLOOKUP(A151,'Dados-Status-Invest'!$1:$1000,3,FALSE())/100,"")</f>
        <v>0.0056</v>
      </c>
      <c r="L151" s="11" t="n">
        <f aca="false">IFERROR(VLOOKUP(A151,'Dados-Status-Invest'!$1:$1000,MATCH(L$1,'Dados-Status-Invest'!$2:$2,0),FALSE())/100,"")</f>
        <v>0.4524</v>
      </c>
      <c r="M151" s="10" t="n">
        <f aca="false">IFERROR(VLOOKUP(A151,'Dados-Status-Invest'!$1:$1000,MATCH(M$1,'Dados-Status-Invest'!$2:$2,0),FALSE())/100,"")</f>
        <v>0.2748</v>
      </c>
      <c r="N151" s="10" t="n">
        <f aca="false">IFERROR(VLOOKUP(A151,'Dados-Status-Invest'!$1:$1000,MATCH(N$1,'Dados-Status-Invest'!$2:$2,0),FALSE())/100,"")</f>
        <v>0.4414</v>
      </c>
      <c r="O151" s="10" t="n">
        <f aca="false">IFERROR(VLOOKUP(A151,'Dados-Status-Invest'!$1:$1000,MATCH(O$1,'Dados-Status-Invest'!$2:$2,0),FALSE())/100,"")</f>
        <v>0.6262</v>
      </c>
      <c r="P151" s="10" t="n">
        <f aca="false">IFERROR(VLOOKUP(A151,'Dados-Status-Invest'!$1:$1000,MATCH(P$1,'Dados-Status-Invest'!$2:$2,0),FALSE())/100,"")</f>
        <v>0.519</v>
      </c>
      <c r="Q151" s="10" t="n">
        <f aca="false">IFERROR(VLOOKUP(A151,'Dados-Status-Invest'!$1:$1000,MATCH(Q$1,'Dados-Status-Invest'!$2:$2,0),FALSE())/100,"")</f>
        <v>0.3403</v>
      </c>
      <c r="R151" s="12" t="n">
        <f aca="false">IFERROR(VLOOKUP(A151,'Dados-Status-Invest'!$1:$1000,MATCH(R$1,'Dados-Status-Invest'!$2:$2,0),FALSE()),"")</f>
        <v>8.66</v>
      </c>
      <c r="S151" s="12" t="n">
        <f aca="false">IFERROR(VLOOKUP(A151,'Dados-Status-Invest'!$1:$1000,MATCH(S$1,'Dados-Status-Invest'!$2:$2,0),FALSE()),"")</f>
        <v>3.92</v>
      </c>
      <c r="T151" s="12" t="n">
        <f aca="false">IFERROR(VLOOKUP(A151,'Dados-Status-Invest'!$1:$1000,MATCH(T$1,'Dados-Status-Invest'!$2:$2,0),FALSE()),"")</f>
        <v>5.3</v>
      </c>
      <c r="U151" s="12" t="n">
        <f aca="false">IFERROR(VLOOKUP(A151,'Dados-Status-Invest'!$1:$1000,MATCH(U$1,'Dados-Status-Invest'!$2:$2,0),FALSE()),"")</f>
        <v>1.98</v>
      </c>
      <c r="V151" s="12" t="n">
        <f aca="false">IFERROR(VLOOKUP(A151,'Dados-Status-Invest'!$1:$1000,MATCH(V$1,'Dados-Status-Invest'!$2:$2,0),FALSE()),"")</f>
        <v>-0.41</v>
      </c>
      <c r="W151" s="10" t="n">
        <f aca="false">IFERROR(VLOOKUP(A151,'Dados-Status-Invest'!$1:$1000,MATCH(W$1,'Dados-Status-Invest'!$2:$2,0),FALSE())/100,"")</f>
        <v>0</v>
      </c>
      <c r="X151" s="10" t="n">
        <f aca="false">IFERROR(VLOOKUP(A151,'Dados-Status-Invest'!$1:$1000,MATCH(X$1,'Dados-Status-Invest'!$2:$2,0),FALSE())/100,"")</f>
        <v>0</v>
      </c>
    </row>
    <row r="152" customFormat="false" ht="15.75" hidden="false" customHeight="false" outlineLevel="0" collapsed="false">
      <c r="A152" s="6" t="s">
        <v>183</v>
      </c>
      <c r="B152" s="7" t="str">
        <f aca="false">IFERROR(VLOOKUP(LEFT(A152,4),Setor!A:D,2,FALSE()),"")</f>
        <v>Outros</v>
      </c>
      <c r="C152" s="8" t="n">
        <f aca="false">IFERROR(__xludf.dummyfunction("IFERROR(IFERROR(GOOGLEFINANCE(A158,""price""),VLOOKUP(A158,'Dados-Status-Invest'!A:B,2,FALSE)),"""")"),0)</f>
        <v>0</v>
      </c>
      <c r="D152" s="8" t="n">
        <f aca="false">IFERROR(VLOOKUP(A152,'Dados-Status-Invest'!$1:$1000,MATCH(D$1,'Dados-Status-Invest'!$2:$2,0),FALSE()),"")</f>
        <v>0</v>
      </c>
      <c r="E152" s="8" t="str">
        <f aca="false">IF(D152+H152&gt;0,D152+H152,"")</f>
        <v/>
      </c>
      <c r="F152" s="8" t="str">
        <f aca="false">IFERROR(D152/VLOOKUP(A152,'Dados-Status-Invest'!$1:$1000,5,FALSE()),"")</f>
        <v/>
      </c>
      <c r="G152" s="8" t="str">
        <f aca="false">IFERROR(D152/VLOOKUP(A152,'Dados-Status-Invest'!$1:$1000,6,FALSE()),"")</f>
        <v/>
      </c>
      <c r="H152" s="8" t="n">
        <f aca="false">IFERROR(VLOOKUP(A152,'Dados-Status-Invest'!$1:$1000,12,FALSE())*J152,"")</f>
        <v>0</v>
      </c>
      <c r="I152" s="8" t="str">
        <f aca="false">IFERROR(D152/VLOOKUP(A152,'Dados-Status-Invest'!$1:$1000,14,FALSE()),"")</f>
        <v/>
      </c>
      <c r="J152" s="9" t="str">
        <f aca="false">IFERROR(D152/VLOOKUP(A152,'Dados-Status-Invest'!$1:$1000,10,FALSE()),"")</f>
        <v/>
      </c>
      <c r="K152" s="10" t="n">
        <f aca="false">IFERROR(VLOOKUP(A152,'Dados-Status-Invest'!$1:$1000,3,FALSE())/100,"")</f>
        <v>0</v>
      </c>
      <c r="L152" s="11" t="n">
        <f aca="false">IFERROR(VLOOKUP(A152,'Dados-Status-Invest'!$1:$1000,MATCH(L$1,'Dados-Status-Invest'!$2:$2,0),FALSE())/100,"")</f>
        <v>-11.5077</v>
      </c>
      <c r="M152" s="10" t="n">
        <f aca="false">IFERROR(VLOOKUP(A152,'Dados-Status-Invest'!$1:$1000,MATCH(M$1,'Dados-Status-Invest'!$2:$2,0),FALSE())/100,"")</f>
        <v>-11.2457</v>
      </c>
      <c r="N152" s="10" t="n">
        <f aca="false">IFERROR(VLOOKUP(A152,'Dados-Status-Invest'!$1:$1000,MATCH(N$1,'Dados-Status-Invest'!$2:$2,0),FALSE())/100,"")</f>
        <v>-11.5154</v>
      </c>
      <c r="O152" s="10" t="n">
        <f aca="false">IFERROR(VLOOKUP(A152,'Dados-Status-Invest'!$1:$1000,MATCH(O$1,'Dados-Status-Invest'!$2:$2,0),FALSE())/100,"")</f>
        <v>0</v>
      </c>
      <c r="P152" s="10" t="n">
        <f aca="false">IFERROR(VLOOKUP(A152,'Dados-Status-Invest'!$1:$1000,MATCH(P$1,'Dados-Status-Invest'!$2:$2,0),FALSE())/100,"")</f>
        <v>0</v>
      </c>
      <c r="Q152" s="10" t="n">
        <f aca="false">IFERROR(VLOOKUP(A152,'Dados-Status-Invest'!$1:$1000,MATCH(Q$1,'Dados-Status-Invest'!$2:$2,0),FALSE())/100,"")</f>
        <v>0</v>
      </c>
      <c r="R152" s="12" t="n">
        <f aca="false">IFERROR(VLOOKUP(A152,'Dados-Status-Invest'!$1:$1000,MATCH(R$1,'Dados-Status-Invest'!$2:$2,0),FALSE()),"")</f>
        <v>0</v>
      </c>
      <c r="S152" s="12" t="n">
        <f aca="false">IFERROR(VLOOKUP(A152,'Dados-Status-Invest'!$1:$1000,MATCH(S$1,'Dados-Status-Invest'!$2:$2,0),FALSE()),"")</f>
        <v>0</v>
      </c>
      <c r="T152" s="12" t="n">
        <f aca="false">IFERROR(VLOOKUP(A152,'Dados-Status-Invest'!$1:$1000,MATCH(T$1,'Dados-Status-Invest'!$2:$2,0),FALSE()),"")</f>
        <v>0.07</v>
      </c>
      <c r="U152" s="12" t="n">
        <f aca="false">IFERROR(VLOOKUP(A152,'Dados-Status-Invest'!$1:$1000,MATCH(U$1,'Dados-Status-Invest'!$2:$2,0),FALSE()),"")</f>
        <v>32.3</v>
      </c>
      <c r="V152" s="12" t="n">
        <f aca="false">IFERROR(VLOOKUP(A152,'Dados-Status-Invest'!$1:$1000,MATCH(V$1,'Dados-Status-Invest'!$2:$2,0),FALSE()),"")</f>
        <v>0.07</v>
      </c>
      <c r="W152" s="10" t="n">
        <f aca="false">IFERROR(VLOOKUP(A152,'Dados-Status-Invest'!$1:$1000,MATCH(W$1,'Dados-Status-Invest'!$2:$2,0),FALSE())/100,"")</f>
        <v>0</v>
      </c>
      <c r="X152" s="10" t="n">
        <f aca="false">IFERROR(VLOOKUP(A152,'Dados-Status-Invest'!$1:$1000,MATCH(X$1,'Dados-Status-Invest'!$2:$2,0),FALSE())/100,"")</f>
        <v>0</v>
      </c>
    </row>
    <row r="153" customFormat="false" ht="15.75" hidden="false" customHeight="false" outlineLevel="0" collapsed="false">
      <c r="A153" s="6" t="s">
        <v>184</v>
      </c>
      <c r="B153" s="7" t="str">
        <f aca="false">IFERROR(VLOOKUP(LEFT(A153,4),Setor!A:D,2,FALSE()),"")</f>
        <v>Outros</v>
      </c>
      <c r="C153" s="8" t="n">
        <f aca="false">IFERROR(__xludf.dummyfunction("IFERROR(IFERROR(GOOGLEFINANCE(A159,""price""),VLOOKUP(A159,'Dados-Status-Invest'!A:B,2,FALSE)),"""")"),0)</f>
        <v>0</v>
      </c>
      <c r="D153" s="8" t="n">
        <f aca="false">IFERROR(VLOOKUP(A153,'Dados-Status-Invest'!$1:$1000,MATCH(D$1,'Dados-Status-Invest'!$2:$2,0),FALSE()),"")</f>
        <v>0</v>
      </c>
      <c r="E153" s="8" t="str">
        <f aca="false">IF(D153+H153&gt;0,D153+H153,"")</f>
        <v/>
      </c>
      <c r="F153" s="8" t="str">
        <f aca="false">IFERROR(D153/VLOOKUP(A153,'Dados-Status-Invest'!$1:$1000,5,FALSE()),"")</f>
        <v/>
      </c>
      <c r="G153" s="8" t="str">
        <f aca="false">IFERROR(D153/VLOOKUP(A153,'Dados-Status-Invest'!$1:$1000,6,FALSE()),"")</f>
        <v/>
      </c>
      <c r="H153" s="8" t="n">
        <f aca="false">IFERROR(VLOOKUP(A153,'Dados-Status-Invest'!$1:$1000,12,FALSE())*J153,"")</f>
        <v>0</v>
      </c>
      <c r="I153" s="8" t="str">
        <f aca="false">IFERROR(D153/VLOOKUP(A153,'Dados-Status-Invest'!$1:$1000,14,FALSE()),"")</f>
        <v/>
      </c>
      <c r="J153" s="9" t="str">
        <f aca="false">IFERROR(D153/VLOOKUP(A153,'Dados-Status-Invest'!$1:$1000,10,FALSE()),"")</f>
        <v/>
      </c>
      <c r="K153" s="10" t="n">
        <f aca="false">IFERROR(VLOOKUP(A153,'Dados-Status-Invest'!$1:$1000,3,FALSE())/100,"")</f>
        <v>0</v>
      </c>
      <c r="L153" s="11" t="n">
        <f aca="false">IFERROR(VLOOKUP(A153,'Dados-Status-Invest'!$1:$1000,MATCH(L$1,'Dados-Status-Invest'!$2:$2,0),FALSE())/100,"")</f>
        <v>-11.5077</v>
      </c>
      <c r="M153" s="10" t="n">
        <f aca="false">IFERROR(VLOOKUP(A153,'Dados-Status-Invest'!$1:$1000,MATCH(M$1,'Dados-Status-Invest'!$2:$2,0),FALSE())/100,"")</f>
        <v>-11.2457</v>
      </c>
      <c r="N153" s="10" t="n">
        <f aca="false">IFERROR(VLOOKUP(A153,'Dados-Status-Invest'!$1:$1000,MATCH(N$1,'Dados-Status-Invest'!$2:$2,0),FALSE())/100,"")</f>
        <v>-11.5154</v>
      </c>
      <c r="O153" s="10" t="n">
        <f aca="false">IFERROR(VLOOKUP(A153,'Dados-Status-Invest'!$1:$1000,MATCH(O$1,'Dados-Status-Invest'!$2:$2,0),FALSE())/100,"")</f>
        <v>0</v>
      </c>
      <c r="P153" s="10" t="n">
        <f aca="false">IFERROR(VLOOKUP(A153,'Dados-Status-Invest'!$1:$1000,MATCH(P$1,'Dados-Status-Invest'!$2:$2,0),FALSE())/100,"")</f>
        <v>0</v>
      </c>
      <c r="Q153" s="10" t="n">
        <f aca="false">IFERROR(VLOOKUP(A153,'Dados-Status-Invest'!$1:$1000,MATCH(Q$1,'Dados-Status-Invest'!$2:$2,0),FALSE())/100,"")</f>
        <v>0</v>
      </c>
      <c r="R153" s="12" t="n">
        <f aca="false">IFERROR(VLOOKUP(A153,'Dados-Status-Invest'!$1:$1000,MATCH(R$1,'Dados-Status-Invest'!$2:$2,0),FALSE()),"")</f>
        <v>0</v>
      </c>
      <c r="S153" s="12" t="n">
        <f aca="false">IFERROR(VLOOKUP(A153,'Dados-Status-Invest'!$1:$1000,MATCH(S$1,'Dados-Status-Invest'!$2:$2,0),FALSE()),"")</f>
        <v>0</v>
      </c>
      <c r="T153" s="12" t="n">
        <f aca="false">IFERROR(VLOOKUP(A153,'Dados-Status-Invest'!$1:$1000,MATCH(T$1,'Dados-Status-Invest'!$2:$2,0),FALSE()),"")</f>
        <v>0.07</v>
      </c>
      <c r="U153" s="12" t="n">
        <f aca="false">IFERROR(VLOOKUP(A153,'Dados-Status-Invest'!$1:$1000,MATCH(U$1,'Dados-Status-Invest'!$2:$2,0),FALSE()),"")</f>
        <v>32.3</v>
      </c>
      <c r="V153" s="12" t="n">
        <f aca="false">IFERROR(VLOOKUP(A153,'Dados-Status-Invest'!$1:$1000,MATCH(V$1,'Dados-Status-Invest'!$2:$2,0),FALSE()),"")</f>
        <v>0.07</v>
      </c>
      <c r="W153" s="10" t="n">
        <f aca="false">IFERROR(VLOOKUP(A153,'Dados-Status-Invest'!$1:$1000,MATCH(W$1,'Dados-Status-Invest'!$2:$2,0),FALSE())/100,"")</f>
        <v>0</v>
      </c>
      <c r="X153" s="10" t="n">
        <f aca="false">IFERROR(VLOOKUP(A153,'Dados-Status-Invest'!$1:$1000,MATCH(X$1,'Dados-Status-Invest'!$2:$2,0),FALSE())/100,"")</f>
        <v>0</v>
      </c>
    </row>
    <row r="154" customFormat="false" ht="15.75" hidden="false" customHeight="false" outlineLevel="0" collapsed="false">
      <c r="A154" s="6" t="s">
        <v>185</v>
      </c>
      <c r="B154" s="7" t="str">
        <f aca="false">IFERROR(VLOOKUP(LEFT(A154,4),Setor!A:D,2,FALSE()),"")</f>
        <v>Comunicações</v>
      </c>
      <c r="C154" s="8" t="n">
        <f aca="false">IFERROR(__xludf.dummyfunction("IFERROR(IFERROR(GOOGLEFINANCE(A160,""price""),VLOOKUP(A160,'Dados-Status-Invest'!A:B,2,FALSE)),"""")"),0)</f>
        <v>0</v>
      </c>
      <c r="D154" s="8" t="n">
        <f aca="false">IFERROR(VLOOKUP(A154,'Dados-Status-Invest'!$1:$1000,MATCH(D$1,'Dados-Status-Invest'!$2:$2,0),FALSE()),"")</f>
        <v>935885083.9</v>
      </c>
      <c r="E154" s="8" t="n">
        <f aca="false">IF(D154+H154&gt;0,D154+H154,"")</f>
        <v>1064242759</v>
      </c>
      <c r="F154" s="8" t="n">
        <f aca="false">IFERROR(D154/VLOOKUP(A154,'Dados-Status-Invest'!$1:$1000,5,FALSE()),"")</f>
        <v>-16061182.15</v>
      </c>
      <c r="G154" s="8" t="n">
        <f aca="false">IFERROR(D154/VLOOKUP(A154,'Dados-Status-Invest'!$1:$1000,6,FALSE()),"")</f>
        <v>172354527.4</v>
      </c>
      <c r="H154" s="8" t="n">
        <f aca="false">IFERROR(VLOOKUP(A154,'Dados-Status-Invest'!$1:$1000,12,FALSE())*J154,"")</f>
        <v>128357675.1</v>
      </c>
      <c r="I154" s="8" t="n">
        <f aca="false">IFERROR(D154/VLOOKUP(A154,'Dados-Status-Invest'!$1:$1000,14,FALSE()),"")</f>
        <v>9663242.993</v>
      </c>
      <c r="J154" s="9" t="n">
        <f aca="false">IFERROR(D154/VLOOKUP(A154,'Dados-Status-Invest'!$1:$1000,10,FALSE()),"")</f>
        <v>-45037780.74</v>
      </c>
      <c r="K154" s="10" t="n">
        <f aca="false">IFERROR(VLOOKUP(A154,'Dados-Status-Invest'!$1:$1000,3,FALSE())/100,"")</f>
        <v>0</v>
      </c>
      <c r="L154" s="11" t="n">
        <f aca="false">IFERROR(VLOOKUP(A154,'Dados-Status-Invest'!$1:$1000,MATCH(L$1,'Dados-Status-Invest'!$2:$2,0),FALSE())/100,"")</f>
        <v>-3.4948</v>
      </c>
      <c r="M154" s="10" t="n">
        <f aca="false">IFERROR(VLOOKUP(A154,'Dados-Status-Invest'!$1:$1000,MATCH(M$1,'Dados-Status-Invest'!$2:$2,0),FALSE())/100,"")</f>
        <v>-0.3254</v>
      </c>
      <c r="N154" s="10" t="n">
        <f aca="false">IFERROR(VLOOKUP(A154,'Dados-Status-Invest'!$1:$1000,MATCH(N$1,'Dados-Status-Invest'!$2:$2,0),FALSE())/100,"")</f>
        <v>-0.4052</v>
      </c>
      <c r="O154" s="10" t="n">
        <f aca="false">IFERROR(VLOOKUP(A154,'Dados-Status-Invest'!$1:$1000,MATCH(O$1,'Dados-Status-Invest'!$2:$2,0),FALSE())/100,"")</f>
        <v>-3.8558</v>
      </c>
      <c r="P154" s="10" t="n">
        <f aca="false">IFERROR(VLOOKUP(A154,'Dados-Status-Invest'!$1:$1000,MATCH(P$1,'Dados-Status-Invest'!$2:$2,0),FALSE())/100,"")</f>
        <v>-4.6604</v>
      </c>
      <c r="Q154" s="10" t="n">
        <f aca="false">IFERROR(VLOOKUP(A154,'Dados-Status-Invest'!$1:$1000,MATCH(Q$1,'Dados-Status-Invest'!$2:$2,0),FALSE())/100,"")</f>
        <v>-5.8088</v>
      </c>
      <c r="R154" s="12" t="n">
        <f aca="false">IFERROR(VLOOKUP(A154,'Dados-Status-Invest'!$1:$1000,MATCH(R$1,'Dados-Status-Invest'!$2:$2,0),FALSE()),"")</f>
        <v>-16.67</v>
      </c>
      <c r="S154" s="12" t="n">
        <f aca="false">IFERROR(VLOOKUP(A154,'Dados-Status-Invest'!$1:$1000,MATCH(S$1,'Dados-Status-Invest'!$2:$2,0),FALSE()),"")</f>
        <v>-58.27</v>
      </c>
      <c r="T154" s="12" t="n">
        <f aca="false">IFERROR(VLOOKUP(A154,'Dados-Status-Invest'!$1:$1000,MATCH(T$1,'Dados-Status-Invest'!$2:$2,0),FALSE()),"")</f>
        <v>-23.63</v>
      </c>
      <c r="U154" s="12" t="n">
        <f aca="false">IFERROR(VLOOKUP(A154,'Dados-Status-Invest'!$1:$1000,MATCH(U$1,'Dados-Status-Invest'!$2:$2,0),FALSE()),"")</f>
        <v>0.18</v>
      </c>
      <c r="V154" s="12" t="n">
        <f aca="false">IFERROR(VLOOKUP(A154,'Dados-Status-Invest'!$1:$1000,MATCH(V$1,'Dados-Status-Invest'!$2:$2,0),FALSE()),"")</f>
        <v>-2.85</v>
      </c>
      <c r="W154" s="10" t="n">
        <f aca="false">IFERROR(VLOOKUP(A154,'Dados-Status-Invest'!$1:$1000,MATCH(W$1,'Dados-Status-Invest'!$2:$2,0),FALSE())/100,"")</f>
        <v>-0.1315</v>
      </c>
      <c r="X154" s="10" t="n">
        <f aca="false">IFERROR(VLOOKUP(A154,'Dados-Status-Invest'!$1:$1000,MATCH(X$1,'Dados-Status-Invest'!$2:$2,0),FALSE())/100,"")</f>
        <v>0</v>
      </c>
    </row>
    <row r="155" customFormat="false" ht="15.75" hidden="false" customHeight="false" outlineLevel="0" collapsed="false">
      <c r="A155" s="6" t="s">
        <v>186</v>
      </c>
      <c r="B155" s="7" t="str">
        <f aca="false">IFERROR(VLOOKUP(LEFT(A155,4),Setor!A:D,2,FALSE()),"")</f>
        <v>Utilidade Pública</v>
      </c>
      <c r="C155" s="8" t="n">
        <f aca="false">IFERROR(__xludf.dummyfunction("IFERROR(IFERROR(GOOGLEFINANCE(A161,""price""),VLOOKUP(A161,'Dados-Status-Invest'!A:B,2,FALSE)),"""")"),58.92)</f>
        <v>58.92</v>
      </c>
      <c r="D155" s="8" t="n">
        <f aca="false">IFERROR(VLOOKUP(A155,'Dados-Status-Invest'!$1:$1000,MATCH(D$1,'Dados-Status-Invest'!$2:$2,0),FALSE()),"")</f>
        <v>4770238706</v>
      </c>
      <c r="E155" s="8" t="n">
        <f aca="false">IF(D155+H155&gt;0,D155+H155,"")</f>
        <v>6643298537</v>
      </c>
      <c r="F155" s="8" t="n">
        <f aca="false">IFERROR(D155/VLOOKUP(A155,'Dados-Status-Invest'!$1:$1000,5,FALSE()),"")</f>
        <v>2315649857</v>
      </c>
      <c r="G155" s="8" t="n">
        <f aca="false">IFERROR(D155/VLOOKUP(A155,'Dados-Status-Invest'!$1:$1000,6,FALSE()),"")</f>
        <v>6913389429</v>
      </c>
      <c r="H155" s="8" t="n">
        <f aca="false">IFERROR(VLOOKUP(A155,'Dados-Status-Invest'!$1:$1000,12,FALSE())*J155,"")</f>
        <v>1873059831</v>
      </c>
      <c r="I155" s="8" t="n">
        <f aca="false">IFERROR(D155/VLOOKUP(A155,'Dados-Status-Invest'!$1:$1000,14,FALSE()),"")</f>
        <v>4221450182</v>
      </c>
      <c r="J155" s="9" t="n">
        <f aca="false">IFERROR(D155/VLOOKUP(A155,'Dados-Status-Invest'!$1:$1000,10,FALSE()),"")</f>
        <v>269505011.6</v>
      </c>
      <c r="K155" s="10" t="n">
        <f aca="false">IFERROR(VLOOKUP(A155,'Dados-Status-Invest'!$1:$1000,3,FALSE())/100,"")</f>
        <v>0.0242</v>
      </c>
      <c r="L155" s="11" t="n">
        <f aca="false">IFERROR(VLOOKUP(A155,'Dados-Status-Invest'!$1:$1000,MATCH(L$1,'Dados-Status-Invest'!$2:$2,0),FALSE())/100,"")</f>
        <v>0.0815</v>
      </c>
      <c r="M155" s="10" t="n">
        <f aca="false">IFERROR(VLOOKUP(A155,'Dados-Status-Invest'!$1:$1000,MATCH(M$1,'Dados-Status-Invest'!$2:$2,0),FALSE())/100,"")</f>
        <v>0.0273</v>
      </c>
      <c r="N155" s="10" t="n">
        <f aca="false">IFERROR(VLOOKUP(A155,'Dados-Status-Invest'!$1:$1000,MATCH(N$1,'Dados-Status-Invest'!$2:$2,0),FALSE())/100,"")</f>
        <v>0.0416</v>
      </c>
      <c r="O155" s="10" t="n">
        <f aca="false">IFERROR(VLOOKUP(A155,'Dados-Status-Invest'!$1:$1000,MATCH(O$1,'Dados-Status-Invest'!$2:$2,0),FALSE())/100,"")</f>
        <v>0.1135</v>
      </c>
      <c r="P155" s="10" t="n">
        <f aca="false">IFERROR(VLOOKUP(A155,'Dados-Status-Invest'!$1:$1000,MATCH(P$1,'Dados-Status-Invest'!$2:$2,0),FALSE())/100,"")</f>
        <v>0.064</v>
      </c>
      <c r="Q155" s="10" t="n">
        <f aca="false">IFERROR(VLOOKUP(A155,'Dados-Status-Invest'!$1:$1000,MATCH(Q$1,'Dados-Status-Invest'!$2:$2,0),FALSE())/100,"")</f>
        <v>0.0449</v>
      </c>
      <c r="R155" s="12" t="n">
        <f aca="false">IFERROR(VLOOKUP(A155,'Dados-Status-Invest'!$1:$1000,MATCH(R$1,'Dados-Status-Invest'!$2:$2,0),FALSE()),"")</f>
        <v>25.24</v>
      </c>
      <c r="S155" s="12" t="n">
        <f aca="false">IFERROR(VLOOKUP(A155,'Dados-Status-Invest'!$1:$1000,MATCH(S$1,'Dados-Status-Invest'!$2:$2,0),FALSE()),"")</f>
        <v>2.06</v>
      </c>
      <c r="T155" s="12" t="n">
        <f aca="false">IFERROR(VLOOKUP(A155,'Dados-Status-Invest'!$1:$1000,MATCH(T$1,'Dados-Status-Invest'!$2:$2,0),FALSE()),"")</f>
        <v>19.36</v>
      </c>
      <c r="U155" s="12" t="n">
        <f aca="false">IFERROR(VLOOKUP(A155,'Dados-Status-Invest'!$1:$1000,MATCH(U$1,'Dados-Status-Invest'!$2:$2,0),FALSE()),"")</f>
        <v>1.09</v>
      </c>
      <c r="V155" s="12" t="n">
        <f aca="false">IFERROR(VLOOKUP(A155,'Dados-Status-Invest'!$1:$1000,MATCH(V$1,'Dados-Status-Invest'!$2:$2,0),FALSE()),"")</f>
        <v>6.95</v>
      </c>
      <c r="W155" s="10" t="n">
        <f aca="false">IFERROR(VLOOKUP(A155,'Dados-Status-Invest'!$1:$1000,MATCH(W$1,'Dados-Status-Invest'!$2:$2,0),FALSE())/100,"")</f>
        <v>0.0729</v>
      </c>
      <c r="X155" s="10" t="n">
        <f aca="false">IFERROR(VLOOKUP(A155,'Dados-Status-Invest'!$1:$1000,MATCH(X$1,'Dados-Status-Invest'!$2:$2,0),FALSE())/100,"")</f>
        <v>-0.0609</v>
      </c>
    </row>
    <row r="156" customFormat="false" ht="15.75" hidden="false" customHeight="false" outlineLevel="0" collapsed="false">
      <c r="A156" s="6" t="s">
        <v>187</v>
      </c>
      <c r="B156" s="7" t="str">
        <f aca="false">IFERROR(VLOOKUP(LEFT(A156,4),Setor!A:D,2,FALSE()),"")</f>
        <v>Utilidade Pública</v>
      </c>
      <c r="C156" s="8" t="n">
        <f aca="false">IFERROR(__xludf.dummyfunction("IFERROR(IFERROR(GOOGLEFINANCE(A162,""price""),VLOOKUP(A162,'Dados-Status-Invest'!A:B,2,FALSE)),"""")"),51.06)</f>
        <v>51.06</v>
      </c>
      <c r="D156" s="8" t="n">
        <f aca="false">IFERROR(VLOOKUP(A156,'Dados-Status-Invest'!$1:$1000,MATCH(D$1,'Dados-Status-Invest'!$2:$2,0),FALSE()),"")</f>
        <v>4770238706</v>
      </c>
      <c r="E156" s="8" t="n">
        <f aca="false">IF(D156+H156&gt;0,D156+H156,"")</f>
        <v>7584598554</v>
      </c>
      <c r="F156" s="8" t="n">
        <f aca="false">IFERROR(D156/VLOOKUP(A156,'Dados-Status-Invest'!$1:$1000,5,FALSE()),"")</f>
        <v>3481926063</v>
      </c>
      <c r="G156" s="8" t="n">
        <f aca="false">IFERROR(D156/VLOOKUP(A156,'Dados-Status-Invest'!$1:$1000,6,FALSE()),"")</f>
        <v>10370084143</v>
      </c>
      <c r="H156" s="8" t="n">
        <f aca="false">IFERROR(VLOOKUP(A156,'Dados-Status-Invest'!$1:$1000,12,FALSE())*J156,"")</f>
        <v>2814359848</v>
      </c>
      <c r="I156" s="8" t="n">
        <f aca="false">IFERROR(D156/VLOOKUP(A156,'Dados-Status-Invest'!$1:$1000,14,FALSE()),"")</f>
        <v>6360318274</v>
      </c>
      <c r="J156" s="9" t="n">
        <f aca="false">IFERROR(D156/VLOOKUP(A156,'Dados-Status-Invest'!$1:$1000,10,FALSE()),"")</f>
        <v>404943863</v>
      </c>
      <c r="K156" s="10" t="n">
        <f aca="false">IFERROR(VLOOKUP(A156,'Dados-Status-Invest'!$1:$1000,3,FALSE())/100,"")</f>
        <v>0.0364</v>
      </c>
      <c r="L156" s="11" t="n">
        <f aca="false">IFERROR(VLOOKUP(A156,'Dados-Status-Invest'!$1:$1000,MATCH(L$1,'Dados-Status-Invest'!$2:$2,0),FALSE())/100,"")</f>
        <v>0.0815</v>
      </c>
      <c r="M156" s="10" t="n">
        <f aca="false">IFERROR(VLOOKUP(A156,'Dados-Status-Invest'!$1:$1000,MATCH(M$1,'Dados-Status-Invest'!$2:$2,0),FALSE())/100,"")</f>
        <v>0.0273</v>
      </c>
      <c r="N156" s="10" t="n">
        <f aca="false">IFERROR(VLOOKUP(A156,'Dados-Status-Invest'!$1:$1000,MATCH(N$1,'Dados-Status-Invest'!$2:$2,0),FALSE())/100,"")</f>
        <v>0.0416</v>
      </c>
      <c r="O156" s="10" t="n">
        <f aca="false">IFERROR(VLOOKUP(A156,'Dados-Status-Invest'!$1:$1000,MATCH(O$1,'Dados-Status-Invest'!$2:$2,0),FALSE())/100,"")</f>
        <v>0.1135</v>
      </c>
      <c r="P156" s="10" t="n">
        <f aca="false">IFERROR(VLOOKUP(A156,'Dados-Status-Invest'!$1:$1000,MATCH(P$1,'Dados-Status-Invest'!$2:$2,0),FALSE())/100,"")</f>
        <v>0.064</v>
      </c>
      <c r="Q156" s="10" t="n">
        <f aca="false">IFERROR(VLOOKUP(A156,'Dados-Status-Invest'!$1:$1000,MATCH(Q$1,'Dados-Status-Invest'!$2:$2,0),FALSE())/100,"")</f>
        <v>0.0449</v>
      </c>
      <c r="R156" s="12" t="n">
        <f aca="false">IFERROR(VLOOKUP(A156,'Dados-Status-Invest'!$1:$1000,MATCH(R$1,'Dados-Status-Invest'!$2:$2,0),FALSE()),"")</f>
        <v>16.79</v>
      </c>
      <c r="S156" s="12" t="n">
        <f aca="false">IFERROR(VLOOKUP(A156,'Dados-Status-Invest'!$1:$1000,MATCH(S$1,'Dados-Status-Invest'!$2:$2,0),FALSE()),"")</f>
        <v>1.37</v>
      </c>
      <c r="T156" s="12" t="n">
        <f aca="false">IFERROR(VLOOKUP(A156,'Dados-Status-Invest'!$1:$1000,MATCH(T$1,'Dados-Status-Invest'!$2:$2,0),FALSE()),"")</f>
        <v>19.36</v>
      </c>
      <c r="U156" s="12" t="n">
        <f aca="false">IFERROR(VLOOKUP(A156,'Dados-Status-Invest'!$1:$1000,MATCH(U$1,'Dados-Status-Invest'!$2:$2,0),FALSE()),"")</f>
        <v>1.09</v>
      </c>
      <c r="V156" s="12" t="n">
        <f aca="false">IFERROR(VLOOKUP(A156,'Dados-Status-Invest'!$1:$1000,MATCH(V$1,'Dados-Status-Invest'!$2:$2,0),FALSE()),"")</f>
        <v>6.95</v>
      </c>
      <c r="W156" s="10" t="n">
        <f aca="false">IFERROR(VLOOKUP(A156,'Dados-Status-Invest'!$1:$1000,MATCH(W$1,'Dados-Status-Invest'!$2:$2,0),FALSE())/100,"")</f>
        <v>0.0729</v>
      </c>
      <c r="X156" s="10" t="n">
        <f aca="false">IFERROR(VLOOKUP(A156,'Dados-Status-Invest'!$1:$1000,MATCH(X$1,'Dados-Status-Invest'!$2:$2,0),FALSE())/100,"")</f>
        <v>-0.0609</v>
      </c>
    </row>
    <row r="157" customFormat="false" ht="15.75" hidden="false" customHeight="false" outlineLevel="0" collapsed="false">
      <c r="A157" s="6" t="s">
        <v>188</v>
      </c>
      <c r="B157" s="7" t="str">
        <f aca="false">IFERROR(VLOOKUP(LEFT(A157,4),Setor!A:D,2,FALSE()),"")</f>
        <v>Utilidade Pública</v>
      </c>
      <c r="C157" s="8" t="n">
        <f aca="false">IFERROR(__xludf.dummyfunction("IFERROR(IFERROR(GOOGLEFINANCE(A163,""price""),VLOOKUP(A163,'Dados-Status-Invest'!A:B,2,FALSE)),"""")"),0)</f>
        <v>0</v>
      </c>
      <c r="D157" s="8" t="n">
        <f aca="false">IFERROR(VLOOKUP(A157,'Dados-Status-Invest'!$1:$1000,MATCH(D$1,'Dados-Status-Invest'!$2:$2,0),FALSE()),"")</f>
        <v>4770238706</v>
      </c>
      <c r="E157" s="8" t="n">
        <f aca="false">IF(D157+H157&gt;0,D157+H157,"")</f>
        <v>13314867316</v>
      </c>
      <c r="F157" s="8" t="n">
        <f aca="false">IFERROR(D157/VLOOKUP(A157,'Dados-Status-Invest'!$1:$1000,5,FALSE()),"")</f>
        <v>10600530457</v>
      </c>
      <c r="G157" s="8" t="n">
        <f aca="false">IFERROR(D157/VLOOKUP(A157,'Dados-Status-Invest'!$1:$1000,6,FALSE()),"")</f>
        <v>31801591372</v>
      </c>
      <c r="H157" s="8" t="n">
        <f aca="false">IFERROR(VLOOKUP(A157,'Dados-Status-Invest'!$1:$1000,12,FALSE())*J157,"")</f>
        <v>8544628610</v>
      </c>
      <c r="I157" s="8" t="n">
        <f aca="false">IFERROR(D157/VLOOKUP(A157,'Dados-Status-Invest'!$1:$1000,14,FALSE()),"")</f>
        <v>19080954823</v>
      </c>
      <c r="J157" s="9" t="n">
        <f aca="false">IFERROR(D157/VLOOKUP(A157,'Dados-Status-Invest'!$1:$1000,10,FALSE()),"")</f>
        <v>1229442965</v>
      </c>
      <c r="K157" s="10" t="n">
        <f aca="false">IFERROR(VLOOKUP(A157,'Dados-Status-Invest'!$1:$1000,3,FALSE())/100,"")</f>
        <v>0.1103</v>
      </c>
      <c r="L157" s="11" t="n">
        <f aca="false">IFERROR(VLOOKUP(A157,'Dados-Status-Invest'!$1:$1000,MATCH(L$1,'Dados-Status-Invest'!$2:$2,0),FALSE())/100,"")</f>
        <v>0.0815</v>
      </c>
      <c r="M157" s="10" t="n">
        <f aca="false">IFERROR(VLOOKUP(A157,'Dados-Status-Invest'!$1:$1000,MATCH(M$1,'Dados-Status-Invest'!$2:$2,0),FALSE())/100,"")</f>
        <v>0.0273</v>
      </c>
      <c r="N157" s="10" t="n">
        <f aca="false">IFERROR(VLOOKUP(A157,'Dados-Status-Invest'!$1:$1000,MATCH(N$1,'Dados-Status-Invest'!$2:$2,0),FALSE())/100,"")</f>
        <v>0.0416</v>
      </c>
      <c r="O157" s="10" t="n">
        <f aca="false">IFERROR(VLOOKUP(A157,'Dados-Status-Invest'!$1:$1000,MATCH(O$1,'Dados-Status-Invest'!$2:$2,0),FALSE())/100,"")</f>
        <v>0.1135</v>
      </c>
      <c r="P157" s="10" t="n">
        <f aca="false">IFERROR(VLOOKUP(A157,'Dados-Status-Invest'!$1:$1000,MATCH(P$1,'Dados-Status-Invest'!$2:$2,0),FALSE())/100,"")</f>
        <v>0.064</v>
      </c>
      <c r="Q157" s="10" t="n">
        <f aca="false">IFERROR(VLOOKUP(A157,'Dados-Status-Invest'!$1:$1000,MATCH(Q$1,'Dados-Status-Invest'!$2:$2,0),FALSE())/100,"")</f>
        <v>0.0449</v>
      </c>
      <c r="R157" s="12" t="n">
        <f aca="false">IFERROR(VLOOKUP(A157,'Dados-Status-Invest'!$1:$1000,MATCH(R$1,'Dados-Status-Invest'!$2:$2,0),FALSE()),"")</f>
        <v>5.54</v>
      </c>
      <c r="S157" s="12" t="n">
        <f aca="false">IFERROR(VLOOKUP(A157,'Dados-Status-Invest'!$1:$1000,MATCH(S$1,'Dados-Status-Invest'!$2:$2,0),FALSE()),"")</f>
        <v>0.45</v>
      </c>
      <c r="T157" s="12" t="n">
        <f aca="false">IFERROR(VLOOKUP(A157,'Dados-Status-Invest'!$1:$1000,MATCH(T$1,'Dados-Status-Invest'!$2:$2,0),FALSE()),"")</f>
        <v>19.36</v>
      </c>
      <c r="U157" s="12" t="n">
        <f aca="false">IFERROR(VLOOKUP(A157,'Dados-Status-Invest'!$1:$1000,MATCH(U$1,'Dados-Status-Invest'!$2:$2,0),FALSE()),"")</f>
        <v>1.09</v>
      </c>
      <c r="V157" s="12" t="n">
        <f aca="false">IFERROR(VLOOKUP(A157,'Dados-Status-Invest'!$1:$1000,MATCH(V$1,'Dados-Status-Invest'!$2:$2,0),FALSE()),"")</f>
        <v>6.95</v>
      </c>
      <c r="W157" s="10" t="n">
        <f aca="false">IFERROR(VLOOKUP(A157,'Dados-Status-Invest'!$1:$1000,MATCH(W$1,'Dados-Status-Invest'!$2:$2,0),FALSE())/100,"")</f>
        <v>0.0729</v>
      </c>
      <c r="X157" s="10" t="n">
        <f aca="false">IFERROR(VLOOKUP(A157,'Dados-Status-Invest'!$1:$1000,MATCH(X$1,'Dados-Status-Invest'!$2:$2,0),FALSE())/100,"")</f>
        <v>-0.0609</v>
      </c>
    </row>
    <row r="158" customFormat="false" ht="15.75" hidden="false" customHeight="false" outlineLevel="0" collapsed="false">
      <c r="A158" s="6" t="s">
        <v>189</v>
      </c>
      <c r="B158" s="7" t="str">
        <f aca="false">IFERROR(VLOOKUP(LEFT(A158,4),Setor!A:D,2,FALSE()),"")</f>
        <v>Consumo Cíclico</v>
      </c>
      <c r="C158" s="8" t="n">
        <f aca="false">IFERROR(__xludf.dummyfunction("IFERROR(IFERROR(GOOGLEFINANCE(A164,""price""),VLOOKUP(A164,'Dados-Status-Invest'!A:B,2,FALSE)),"""")"),2.63)</f>
        <v>2.63</v>
      </c>
      <c r="D158" s="8" t="n">
        <f aca="false">IFERROR(VLOOKUP(A158,'Dados-Status-Invest'!$1:$1000,MATCH(D$1,'Dados-Status-Invest'!$2:$2,0),FALSE()),"")</f>
        <v>8388429759</v>
      </c>
      <c r="E158" s="8" t="n">
        <f aca="false">IF(D158+H158&gt;0,D158+H158,"")</f>
        <v>14470876835</v>
      </c>
      <c r="F158" s="8" t="n">
        <f aca="false">IFERROR(D158/VLOOKUP(A158,'Dados-Status-Invest'!$1:$1000,5,FALSE()),"")</f>
        <v>13106921498</v>
      </c>
      <c r="G158" s="8" t="n">
        <f aca="false">IFERROR(D158/VLOOKUP(A158,'Dados-Status-Invest'!$1:$1000,6,FALSE()),"")</f>
        <v>29958677710</v>
      </c>
      <c r="H158" s="8" t="n">
        <f aca="false">IFERROR(VLOOKUP(A158,'Dados-Status-Invest'!$1:$1000,12,FALSE())*J158,"")</f>
        <v>6082447076</v>
      </c>
      <c r="I158" s="8" t="n">
        <f aca="false">IFERROR(D158/VLOOKUP(A158,'Dados-Status-Invest'!$1:$1000,14,FALSE()),"")</f>
        <v>4739225852</v>
      </c>
      <c r="J158" s="9" t="n">
        <f aca="false">IFERROR(D158/VLOOKUP(A158,'Dados-Status-Invest'!$1:$1000,10,FALSE()),"")</f>
        <v>-3342003888</v>
      </c>
      <c r="K158" s="10" t="n">
        <f aca="false">IFERROR(VLOOKUP(A158,'Dados-Status-Invest'!$1:$1000,3,FALSE())/100,"")</f>
        <v>0</v>
      </c>
      <c r="L158" s="11" t="n">
        <f aca="false">IFERROR(VLOOKUP(A158,'Dados-Status-Invest'!$1:$1000,MATCH(L$1,'Dados-Status-Invest'!$2:$2,0),FALSE())/100,"")</f>
        <v>-0.4462</v>
      </c>
      <c r="M158" s="10" t="n">
        <f aca="false">IFERROR(VLOOKUP(A158,'Dados-Status-Invest'!$1:$1000,MATCH(M$1,'Dados-Status-Invest'!$2:$2,0),FALSE())/100,"")</f>
        <v>-0.1966</v>
      </c>
      <c r="N158" s="10" t="n">
        <f aca="false">IFERROR(VLOOKUP(A158,'Dados-Status-Invest'!$1:$1000,MATCH(N$1,'Dados-Status-Invest'!$2:$2,0),FALSE())/100,"")</f>
        <v>-0.151</v>
      </c>
      <c r="O158" s="10" t="n">
        <f aca="false">IFERROR(VLOOKUP(A158,'Dados-Status-Invest'!$1:$1000,MATCH(O$1,'Dados-Status-Invest'!$2:$2,0),FALSE())/100,"")</f>
        <v>0.6429</v>
      </c>
      <c r="P158" s="10" t="n">
        <f aca="false">IFERROR(VLOOKUP(A158,'Dados-Status-Invest'!$1:$1000,MATCH(P$1,'Dados-Status-Invest'!$2:$2,0),FALSE())/100,"")</f>
        <v>-0.7058</v>
      </c>
      <c r="Q158" s="10" t="n">
        <f aca="false">IFERROR(VLOOKUP(A158,'Dados-Status-Invest'!$1:$1000,MATCH(Q$1,'Dados-Status-Invest'!$2:$2,0),FALSE())/100,"")</f>
        <v>-1.2339</v>
      </c>
      <c r="R158" s="12" t="n">
        <f aca="false">IFERROR(VLOOKUP(A158,'Dados-Status-Invest'!$1:$1000,MATCH(R$1,'Dados-Status-Invest'!$2:$2,0),FALSE()),"")</f>
        <v>-1.44</v>
      </c>
      <c r="S158" s="12" t="n">
        <f aca="false">IFERROR(VLOOKUP(A158,'Dados-Status-Invest'!$1:$1000,MATCH(S$1,'Dados-Status-Invest'!$2:$2,0),FALSE()),"")</f>
        <v>0.64</v>
      </c>
      <c r="T158" s="12" t="n">
        <f aca="false">IFERROR(VLOOKUP(A158,'Dados-Status-Invest'!$1:$1000,MATCH(T$1,'Dados-Status-Invest'!$2:$2,0),FALSE()),"")</f>
        <v>-4.32</v>
      </c>
      <c r="U158" s="12" t="n">
        <f aca="false">IFERROR(VLOOKUP(A158,'Dados-Status-Invest'!$1:$1000,MATCH(U$1,'Dados-Status-Invest'!$2:$2,0),FALSE()),"")</f>
        <v>0.87</v>
      </c>
      <c r="V158" s="12" t="n">
        <f aca="false">IFERROR(VLOOKUP(A158,'Dados-Status-Invest'!$1:$1000,MATCH(V$1,'Dados-Status-Invest'!$2:$2,0),FALSE()),"")</f>
        <v>-1.82</v>
      </c>
      <c r="W158" s="10" t="n">
        <f aca="false">IFERROR(VLOOKUP(A158,'Dados-Status-Invest'!$1:$1000,MATCH(W$1,'Dados-Status-Invest'!$2:$2,0),FALSE())/100,"")</f>
        <v>0.0002</v>
      </c>
      <c r="X158" s="10" t="n">
        <f aca="false">IFERROR(VLOOKUP(A158,'Dados-Status-Invest'!$1:$1000,MATCH(X$1,'Dados-Status-Invest'!$2:$2,0),FALSE())/100,"")</f>
        <v>0</v>
      </c>
    </row>
    <row r="159" customFormat="false" ht="15.75" hidden="false" customHeight="true" outlineLevel="0" collapsed="false">
      <c r="A159" s="6" t="s">
        <v>190</v>
      </c>
      <c r="B159" s="7" t="str">
        <f aca="false">IFERROR(VLOOKUP(LEFT(A159,4),Setor!A:D,2,FALSE()),"")</f>
        <v>Financeiro</v>
      </c>
      <c r="C159" s="8" t="n">
        <f aca="false">IFERROR(__xludf.dummyfunction("IFERROR(IFERROR(GOOGLEFINANCE(A165,""price""),VLOOKUP(A165,'Dados-Status-Invest'!A:B,2,FALSE)),"""")"),0)</f>
        <v>0</v>
      </c>
      <c r="D159" s="8" t="n">
        <f aca="false">IFERROR(VLOOKUP(A159,'Dados-Status-Invest'!$1:$1000,MATCH(D$1,'Dados-Status-Invest'!$2:$2,0),FALSE()),"")</f>
        <v>1278894.65</v>
      </c>
      <c r="E159" s="8" t="str">
        <f aca="false">IF(D159+H159&gt;0,D159+H159,"")</f>
        <v/>
      </c>
      <c r="F159" s="8" t="n">
        <f aca="false">IFERROR(D159/VLOOKUP(A159,'Dados-Status-Invest'!$1:$1000,5,FALSE()),"")</f>
        <v>12788946.5</v>
      </c>
      <c r="G159" s="8" t="str">
        <f aca="false">IFERROR(D159/VLOOKUP(A159,'Dados-Status-Invest'!$1:$1000,6,FALSE()),"")</f>
        <v/>
      </c>
      <c r="H159" s="8" t="n">
        <f aca="false">IFERROR(VLOOKUP(A159,'Dados-Status-Invest'!$1:$1000,12,FALSE())*J159,"")</f>
        <v>-342743766.2</v>
      </c>
      <c r="I159" s="8" t="str">
        <f aca="false">IFERROR(D159/VLOOKUP(A159,'Dados-Status-Invest'!$1:$1000,14,FALSE()),"")</f>
        <v/>
      </c>
      <c r="J159" s="9" t="n">
        <f aca="false">IFERROR(D159/VLOOKUP(A159,'Dados-Status-Invest'!$1:$1000,10,FALSE()),"")</f>
        <v>127889465</v>
      </c>
      <c r="K159" s="10" t="n">
        <f aca="false">IFERROR(VLOOKUP(A159,'Dados-Status-Invest'!$1:$1000,3,FALSE())/100,"")</f>
        <v>0</v>
      </c>
      <c r="L159" s="11" t="n">
        <f aca="false">IFERROR(VLOOKUP(A159,'Dados-Status-Invest'!$1:$1000,MATCH(L$1,'Dados-Status-Invest'!$2:$2,0),FALSE())/100,"")</f>
        <v>7.9824</v>
      </c>
      <c r="M159" s="10" t="n">
        <f aca="false">IFERROR(VLOOKUP(A159,'Dados-Status-Invest'!$1:$1000,MATCH(M$1,'Dados-Status-Invest'!$2:$2,0),FALSE())/100,"")</f>
        <v>0.2248</v>
      </c>
      <c r="N159" s="10" t="n">
        <f aca="false">IFERROR(VLOOKUP(A159,'Dados-Status-Invest'!$1:$1000,MATCH(N$1,'Dados-Status-Invest'!$2:$2,0),FALSE())/100,"")</f>
        <v>7.8013</v>
      </c>
      <c r="O159" s="10" t="n">
        <f aca="false">IFERROR(VLOOKUP(A159,'Dados-Status-Invest'!$1:$1000,MATCH(O$1,'Dados-Status-Invest'!$2:$2,0),FALSE())/100,"")</f>
        <v>0.7752</v>
      </c>
      <c r="P159" s="10" t="n">
        <f aca="false">IFERROR(VLOOKUP(A159,'Dados-Status-Invest'!$1:$1000,MATCH(P$1,'Dados-Status-Invest'!$2:$2,0),FALSE())/100,"")</f>
        <v>0.2914</v>
      </c>
      <c r="Q159" s="10" t="n">
        <f aca="false">IFERROR(VLOOKUP(A159,'Dados-Status-Invest'!$1:$1000,MATCH(Q$1,'Dados-Status-Invest'!$2:$2,0),FALSE())/100,"")</f>
        <v>0.2545</v>
      </c>
      <c r="R159" s="12" t="n">
        <f aca="false">IFERROR(VLOOKUP(A159,'Dados-Status-Invest'!$1:$1000,MATCH(R$1,'Dados-Status-Invest'!$2:$2,0),FALSE()),"")</f>
        <v>0.01</v>
      </c>
      <c r="S159" s="12" t="n">
        <f aca="false">IFERROR(VLOOKUP(A159,'Dados-Status-Invest'!$1:$1000,MATCH(S$1,'Dados-Status-Invest'!$2:$2,0),FALSE()),"")</f>
        <v>0.1</v>
      </c>
      <c r="T159" s="12" t="n">
        <f aca="false">IFERROR(VLOOKUP(A159,'Dados-Status-Invest'!$1:$1000,MATCH(T$1,'Dados-Status-Invest'!$2:$2,0),FALSE()),"")</f>
        <v>-2.46</v>
      </c>
      <c r="U159" s="12" t="n">
        <f aca="false">IFERROR(VLOOKUP(A159,'Dados-Status-Invest'!$1:$1000,MATCH(U$1,'Dados-Status-Invest'!$2:$2,0),FALSE()),"")</f>
        <v>25.55</v>
      </c>
      <c r="V159" s="12" t="n">
        <f aca="false">IFERROR(VLOOKUP(A159,'Dados-Status-Invest'!$1:$1000,MATCH(V$1,'Dados-Status-Invest'!$2:$2,0),FALSE()),"")</f>
        <v>-2.68</v>
      </c>
      <c r="W159" s="10" t="n">
        <f aca="false">IFERROR(VLOOKUP(A159,'Dados-Status-Invest'!$1:$1000,MATCH(W$1,'Dados-Status-Invest'!$2:$2,0),FALSE())/100,"")</f>
        <v>0.4477</v>
      </c>
      <c r="X159" s="10" t="n">
        <f aca="false">IFERROR(VLOOKUP(A159,'Dados-Status-Invest'!$1:$1000,MATCH(X$1,'Dados-Status-Invest'!$2:$2,0),FALSE())/100,"")</f>
        <v>0</v>
      </c>
    </row>
    <row r="160" customFormat="false" ht="15.75" hidden="false" customHeight="false" outlineLevel="0" collapsed="false">
      <c r="A160" s="6" t="s">
        <v>191</v>
      </c>
      <c r="B160" s="7" t="str">
        <f aca="false">IFERROR(VLOOKUP(LEFT(A160,4),Setor!A:D,2,FALSE()),"")</f>
        <v>Financeiro</v>
      </c>
      <c r="C160" s="8" t="n">
        <f aca="false">IFERROR(__xludf.dummyfunction("IFERROR(IFERROR(GOOGLEFINANCE(A166,""price""),VLOOKUP(A166,'Dados-Status-Invest'!A:B,2,FALSE)),"""")"),82)</f>
        <v>82</v>
      </c>
      <c r="D160" s="8" t="n">
        <f aca="false">IFERROR(VLOOKUP(A160,'Dados-Status-Invest'!$1:$1000,MATCH(D$1,'Dados-Status-Invest'!$2:$2,0),FALSE()),"")</f>
        <v>1278894.65</v>
      </c>
      <c r="E160" s="8" t="str">
        <f aca="false">IF(D160+H160&gt;0,D160+H160,"")</f>
        <v/>
      </c>
      <c r="F160" s="8" t="n">
        <f aca="false">IFERROR(D160/VLOOKUP(A160,'Dados-Status-Invest'!$1:$1000,5,FALSE()),"")</f>
        <v>420689.0296</v>
      </c>
      <c r="G160" s="8" t="n">
        <f aca="false">IFERROR(D160/VLOOKUP(A160,'Dados-Status-Invest'!$1:$1000,6,FALSE()),"")</f>
        <v>14209940.56</v>
      </c>
      <c r="H160" s="8" t="n">
        <f aca="false">IFERROR(VLOOKUP(A160,'Dados-Status-Invest'!$1:$1000,12,FALSE())*J160,"")</f>
        <v>-10386174.73</v>
      </c>
      <c r="I160" s="8" t="n">
        <f aca="false">IFERROR(D160/VLOOKUP(A160,'Dados-Status-Invest'!$1:$1000,14,FALSE()),"")</f>
        <v>12788946.5</v>
      </c>
      <c r="J160" s="9" t="n">
        <f aca="false">IFERROR(D160/VLOOKUP(A160,'Dados-Status-Invest'!$1:$1000,10,FALSE()),"")</f>
        <v>3875438.333</v>
      </c>
      <c r="K160" s="10" t="n">
        <f aca="false">IFERROR(VLOOKUP(A160,'Dados-Status-Invest'!$1:$1000,3,FALSE())/100,"")</f>
        <v>0.075</v>
      </c>
      <c r="L160" s="11" t="n">
        <f aca="false">IFERROR(VLOOKUP(A160,'Dados-Status-Invest'!$1:$1000,MATCH(L$1,'Dados-Status-Invest'!$2:$2,0),FALSE())/100,"")</f>
        <v>7.9824</v>
      </c>
      <c r="M160" s="10" t="n">
        <f aca="false">IFERROR(VLOOKUP(A160,'Dados-Status-Invest'!$1:$1000,MATCH(M$1,'Dados-Status-Invest'!$2:$2,0),FALSE())/100,"")</f>
        <v>0.2248</v>
      </c>
      <c r="N160" s="10" t="n">
        <f aca="false">IFERROR(VLOOKUP(A160,'Dados-Status-Invest'!$1:$1000,MATCH(N$1,'Dados-Status-Invest'!$2:$2,0),FALSE())/100,"")</f>
        <v>7.8013</v>
      </c>
      <c r="O160" s="10" t="n">
        <f aca="false">IFERROR(VLOOKUP(A160,'Dados-Status-Invest'!$1:$1000,MATCH(O$1,'Dados-Status-Invest'!$2:$2,0),FALSE())/100,"")</f>
        <v>0.7752</v>
      </c>
      <c r="P160" s="10" t="n">
        <f aca="false">IFERROR(VLOOKUP(A160,'Dados-Status-Invest'!$1:$1000,MATCH(P$1,'Dados-Status-Invest'!$2:$2,0),FALSE())/100,"")</f>
        <v>0.2914</v>
      </c>
      <c r="Q160" s="10" t="n">
        <f aca="false">IFERROR(VLOOKUP(A160,'Dados-Status-Invest'!$1:$1000,MATCH(Q$1,'Dados-Status-Invest'!$2:$2,0),FALSE())/100,"")</f>
        <v>0.2545</v>
      </c>
      <c r="R160" s="12" t="n">
        <f aca="false">IFERROR(VLOOKUP(A160,'Dados-Status-Invest'!$1:$1000,MATCH(R$1,'Dados-Status-Invest'!$2:$2,0),FALSE()),"")</f>
        <v>0.38</v>
      </c>
      <c r="S160" s="12" t="n">
        <f aca="false">IFERROR(VLOOKUP(A160,'Dados-Status-Invest'!$1:$1000,MATCH(S$1,'Dados-Status-Invest'!$2:$2,0),FALSE()),"")</f>
        <v>3.04</v>
      </c>
      <c r="T160" s="12" t="n">
        <f aca="false">IFERROR(VLOOKUP(A160,'Dados-Status-Invest'!$1:$1000,MATCH(T$1,'Dados-Status-Invest'!$2:$2,0),FALSE()),"")</f>
        <v>-2.46</v>
      </c>
      <c r="U160" s="12" t="n">
        <f aca="false">IFERROR(VLOOKUP(A160,'Dados-Status-Invest'!$1:$1000,MATCH(U$1,'Dados-Status-Invest'!$2:$2,0),FALSE()),"")</f>
        <v>25.55</v>
      </c>
      <c r="V160" s="12" t="n">
        <f aca="false">IFERROR(VLOOKUP(A160,'Dados-Status-Invest'!$1:$1000,MATCH(V$1,'Dados-Status-Invest'!$2:$2,0),FALSE()),"")</f>
        <v>-2.68</v>
      </c>
      <c r="W160" s="10" t="n">
        <f aca="false">IFERROR(VLOOKUP(A160,'Dados-Status-Invest'!$1:$1000,MATCH(W$1,'Dados-Status-Invest'!$2:$2,0),FALSE())/100,"")</f>
        <v>0.4477</v>
      </c>
      <c r="X160" s="10" t="n">
        <f aca="false">IFERROR(VLOOKUP(A160,'Dados-Status-Invest'!$1:$1000,MATCH(X$1,'Dados-Status-Invest'!$2:$2,0),FALSE())/100,"")</f>
        <v>0</v>
      </c>
    </row>
    <row r="161" customFormat="false" ht="15.75" hidden="false" customHeight="false" outlineLevel="0" collapsed="false">
      <c r="A161" s="6" t="s">
        <v>192</v>
      </c>
      <c r="B161" s="7" t="str">
        <f aca="false">IFERROR(VLOOKUP(LEFT(A161,4),Setor!A:D,2,FALSE()),"")</f>
        <v>Utilidade Pública</v>
      </c>
      <c r="C161" s="8" t="n">
        <f aca="false">IFERROR(__xludf.dummyfunction("IFERROR(IFERROR(GOOGLEFINANCE(A167,""price""),VLOOKUP(A167,'Dados-Status-Invest'!A:B,2,FALSE)),"""")"),36.2)</f>
        <v>36.2</v>
      </c>
      <c r="D161" s="8" t="n">
        <f aca="false">IFERROR(VLOOKUP(A161,'Dados-Status-Invest'!$1:$1000,MATCH(D$1,'Dados-Status-Invest'!$2:$2,0),FALSE()),"")</f>
        <v>31087824791</v>
      </c>
      <c r="E161" s="8" t="n">
        <f aca="false">IF(D161+H161&gt;0,D161+H161,"")</f>
        <v>45042325001</v>
      </c>
      <c r="F161" s="8" t="n">
        <f aca="false">IFERROR(D161/VLOOKUP(A161,'Dados-Status-Invest'!$1:$1000,5,FALSE()),"")</f>
        <v>14874557316</v>
      </c>
      <c r="G161" s="8" t="n">
        <f aca="false">IFERROR(D161/VLOOKUP(A161,'Dados-Status-Invest'!$1:$1000,6,FALSE()),"")</f>
        <v>51813041319</v>
      </c>
      <c r="H161" s="8" t="n">
        <f aca="false">IFERROR(VLOOKUP(A161,'Dados-Status-Invest'!$1:$1000,12,FALSE())*J161,"")</f>
        <v>13954500210</v>
      </c>
      <c r="I161" s="8" t="n">
        <f aca="false">IFERROR(D161/VLOOKUP(A161,'Dados-Status-Invest'!$1:$1000,14,FALSE()),"")</f>
        <v>32049303908</v>
      </c>
      <c r="J161" s="9" t="n">
        <f aca="false">IFERROR(D161/VLOOKUP(A161,'Dados-Status-Invest'!$1:$1000,10,FALSE()),"")</f>
        <v>5387837919</v>
      </c>
      <c r="K161" s="10" t="n">
        <f aca="false">IFERROR(VLOOKUP(A161,'Dados-Status-Invest'!$1:$1000,3,FALSE())/100,"")</f>
        <v>0.1224</v>
      </c>
      <c r="L161" s="11" t="n">
        <f aca="false">IFERROR(VLOOKUP(A161,'Dados-Status-Invest'!$1:$1000,MATCH(L$1,'Dados-Status-Invest'!$2:$2,0),FALSE())/100,"")</f>
        <v>0.2488</v>
      </c>
      <c r="M161" s="10" t="n">
        <f aca="false">IFERROR(VLOOKUP(A161,'Dados-Status-Invest'!$1:$1000,MATCH(M$1,'Dados-Status-Invest'!$2:$2,0),FALSE())/100,"")</f>
        <v>0.0711</v>
      </c>
      <c r="N161" s="10" t="n">
        <f aca="false">IFERROR(VLOOKUP(A161,'Dados-Status-Invest'!$1:$1000,MATCH(N$1,'Dados-Status-Invest'!$2:$2,0),FALSE())/100,"")</f>
        <v>0.1246</v>
      </c>
      <c r="O161" s="10" t="n">
        <f aca="false">IFERROR(VLOOKUP(A161,'Dados-Status-Invest'!$1:$1000,MATCH(O$1,'Dados-Status-Invest'!$2:$2,0),FALSE())/100,"")</f>
        <v>0.2242</v>
      </c>
      <c r="P161" s="10" t="n">
        <f aca="false">IFERROR(VLOOKUP(A161,'Dados-Status-Invest'!$1:$1000,MATCH(P$1,'Dados-Status-Invest'!$2:$2,0),FALSE())/100,"")</f>
        <v>0.1688</v>
      </c>
      <c r="Q161" s="10" t="n">
        <f aca="false">IFERROR(VLOOKUP(A161,'Dados-Status-Invest'!$1:$1000,MATCH(Q$1,'Dados-Status-Invest'!$2:$2,0),FALSE())/100,"")</f>
        <v>0.116</v>
      </c>
      <c r="R161" s="12" t="n">
        <f aca="false">IFERROR(VLOOKUP(A161,'Dados-Status-Invest'!$1:$1000,MATCH(R$1,'Dados-Status-Invest'!$2:$2,0),FALSE()),"")</f>
        <v>8.41</v>
      </c>
      <c r="S161" s="12" t="n">
        <f aca="false">IFERROR(VLOOKUP(A161,'Dados-Status-Invest'!$1:$1000,MATCH(S$1,'Dados-Status-Invest'!$2:$2,0),FALSE()),"")</f>
        <v>2.09</v>
      </c>
      <c r="T161" s="12" t="n">
        <f aca="false">IFERROR(VLOOKUP(A161,'Dados-Status-Invest'!$1:$1000,MATCH(T$1,'Dados-Status-Invest'!$2:$2,0),FALSE()),"")</f>
        <v>8.36</v>
      </c>
      <c r="U161" s="12" t="n">
        <f aca="false">IFERROR(VLOOKUP(A161,'Dados-Status-Invest'!$1:$1000,MATCH(U$1,'Dados-Status-Invest'!$2:$2,0),FALSE()),"")</f>
        <v>0.99</v>
      </c>
      <c r="V161" s="12" t="n">
        <f aca="false">IFERROR(VLOOKUP(A161,'Dados-Status-Invest'!$1:$1000,MATCH(V$1,'Dados-Status-Invest'!$2:$2,0),FALSE()),"")</f>
        <v>2.59</v>
      </c>
      <c r="W161" s="10" t="n">
        <f aca="false">IFERROR(VLOOKUP(A161,'Dados-Status-Invest'!$1:$1000,MATCH(W$1,'Dados-Status-Invest'!$2:$2,0),FALSE())/100,"")</f>
        <v>0.0845</v>
      </c>
      <c r="X161" s="10" t="n">
        <f aca="false">IFERROR(VLOOKUP(A161,'Dados-Status-Invest'!$1:$1000,MATCH(X$1,'Dados-Status-Invest'!$2:$2,0),FALSE())/100,"")</f>
        <v>0.3347</v>
      </c>
    </row>
    <row r="162" customFormat="false" ht="15.75" hidden="false" customHeight="false" outlineLevel="0" collapsed="false">
      <c r="A162" s="6" t="s">
        <v>193</v>
      </c>
      <c r="B162" s="7" t="str">
        <f aca="false">IFERROR(VLOOKUP(LEFT(A162,4),Setor!A:D,2,FALSE()),"")</f>
        <v>Utilidade Pública</v>
      </c>
      <c r="C162" s="8" t="n">
        <f aca="false">IFERROR(__xludf.dummyfunction("IFERROR(IFERROR(GOOGLEFINANCE(A168,""price""),VLOOKUP(A168,'Dados-Status-Invest'!A:B,2,FALSE)),"""")"),37.61)</f>
        <v>37.61</v>
      </c>
      <c r="D162" s="8" t="n">
        <f aca="false">IFERROR(VLOOKUP(A162,'Dados-Status-Invest'!$1:$1000,MATCH(D$1,'Dados-Status-Invest'!$2:$2,0),FALSE()),"")</f>
        <v>15954108363</v>
      </c>
      <c r="E162" s="8" t="n">
        <f aca="false">IF(D162+H162&gt;0,D162+H162,"")</f>
        <v>22645970482</v>
      </c>
      <c r="F162" s="8" t="n">
        <f aca="false">IFERROR(D162/VLOOKUP(A162,'Dados-Status-Invest'!$1:$1000,5,FALSE()),"")</f>
        <v>19221817304</v>
      </c>
      <c r="G162" s="8" t="n">
        <f aca="false">IFERROR(D162/VLOOKUP(A162,'Dados-Status-Invest'!$1:$1000,6,FALSE()),"")</f>
        <v>46923848125</v>
      </c>
      <c r="H162" s="8" t="n">
        <f aca="false">IFERROR(VLOOKUP(A162,'Dados-Status-Invest'!$1:$1000,12,FALSE())*J162,"")</f>
        <v>6691862119</v>
      </c>
      <c r="I162" s="8" t="n">
        <f aca="false">IFERROR(D162/VLOOKUP(A162,'Dados-Status-Invest'!$1:$1000,14,FALSE()),"")</f>
        <v>19456229710</v>
      </c>
      <c r="J162" s="9" t="n">
        <f aca="false">IFERROR(D162/VLOOKUP(A162,'Dados-Status-Invest'!$1:$1000,10,FALSE()),"")</f>
        <v>4431696767</v>
      </c>
      <c r="K162" s="10" t="n">
        <f aca="false">IFERROR(VLOOKUP(A162,'Dados-Status-Invest'!$1:$1000,3,FALSE())/100,"")</f>
        <v>0.0134</v>
      </c>
      <c r="L162" s="11" t="n">
        <f aca="false">IFERROR(VLOOKUP(A162,'Dados-Status-Invest'!$1:$1000,MATCH(L$1,'Dados-Status-Invest'!$2:$2,0),FALSE())/100,"")</f>
        <v>0.2172</v>
      </c>
      <c r="M162" s="10" t="n">
        <f aca="false">IFERROR(VLOOKUP(A162,'Dados-Status-Invest'!$1:$1000,MATCH(M$1,'Dados-Status-Invest'!$2:$2,0),FALSE())/100,"")</f>
        <v>0.0885</v>
      </c>
      <c r="N162" s="10" t="n">
        <f aca="false">IFERROR(VLOOKUP(A162,'Dados-Status-Invest'!$1:$1000,MATCH(N$1,'Dados-Status-Invest'!$2:$2,0),FALSE())/100,"")</f>
        <v>0.1077</v>
      </c>
      <c r="O162" s="10" t="n">
        <f aca="false">IFERROR(VLOOKUP(A162,'Dados-Status-Invest'!$1:$1000,MATCH(O$1,'Dados-Status-Invest'!$2:$2,0),FALSE())/100,"")</f>
        <v>0.277</v>
      </c>
      <c r="P162" s="10" t="n">
        <f aca="false">IFERROR(VLOOKUP(A162,'Dados-Status-Invest'!$1:$1000,MATCH(P$1,'Dados-Status-Invest'!$2:$2,0),FALSE())/100,"")</f>
        <v>0.2277</v>
      </c>
      <c r="Q162" s="10" t="n">
        <f aca="false">IFERROR(VLOOKUP(A162,'Dados-Status-Invest'!$1:$1000,MATCH(Q$1,'Dados-Status-Invest'!$2:$2,0),FALSE())/100,"")</f>
        <v>0.2146</v>
      </c>
      <c r="R162" s="12" t="n">
        <f aca="false">IFERROR(VLOOKUP(A162,'Dados-Status-Invest'!$1:$1000,MATCH(R$1,'Dados-Status-Invest'!$2:$2,0),FALSE()),"")</f>
        <v>3.82</v>
      </c>
      <c r="S162" s="12" t="n">
        <f aca="false">IFERROR(VLOOKUP(A162,'Dados-Status-Invest'!$1:$1000,MATCH(S$1,'Dados-Status-Invest'!$2:$2,0),FALSE()),"")</f>
        <v>0.83</v>
      </c>
      <c r="T162" s="12" t="n">
        <f aca="false">IFERROR(VLOOKUP(A162,'Dados-Status-Invest'!$1:$1000,MATCH(T$1,'Dados-Status-Invest'!$2:$2,0),FALSE()),"")</f>
        <v>5.11</v>
      </c>
      <c r="U162" s="12" t="n">
        <f aca="false">IFERROR(VLOOKUP(A162,'Dados-Status-Invest'!$1:$1000,MATCH(U$1,'Dados-Status-Invest'!$2:$2,0),FALSE()),"")</f>
        <v>1.12</v>
      </c>
      <c r="V162" s="12" t="n">
        <f aca="false">IFERROR(VLOOKUP(A162,'Dados-Status-Invest'!$1:$1000,MATCH(V$1,'Dados-Status-Invest'!$2:$2,0),FALSE()),"")</f>
        <v>1.51</v>
      </c>
      <c r="W162" s="10" t="n">
        <f aca="false">IFERROR(VLOOKUP(A162,'Dados-Status-Invest'!$1:$1000,MATCH(W$1,'Dados-Status-Invest'!$2:$2,0),FALSE())/100,"")</f>
        <v>0.0451</v>
      </c>
      <c r="X162" s="10" t="n">
        <f aca="false">IFERROR(VLOOKUP(A162,'Dados-Status-Invest'!$1:$1000,MATCH(X$1,'Dados-Status-Invest'!$2:$2,0),FALSE())/100,"")</f>
        <v>0.2531</v>
      </c>
    </row>
    <row r="163" customFormat="false" ht="15.75" hidden="false" customHeight="false" outlineLevel="0" collapsed="false">
      <c r="A163" s="6" t="s">
        <v>194</v>
      </c>
      <c r="B163" s="7" t="str">
        <f aca="false">IFERROR(VLOOKUP(LEFT(A163,4),Setor!A:D,2,FALSE()),"")</f>
        <v>Utilidade Pública</v>
      </c>
      <c r="C163" s="8" t="n">
        <f aca="false">IFERROR(__xludf.dummyfunction("IFERROR(IFERROR(GOOGLEFINANCE(A169,""price""),VLOOKUP(A169,'Dados-Status-Invest'!A:B,2,FALSE)),"""")"),6.87)</f>
        <v>6.87</v>
      </c>
      <c r="D163" s="8" t="n">
        <f aca="false">IFERROR(VLOOKUP(A163,'Dados-Status-Invest'!$1:$1000,MATCH(D$1,'Dados-Status-Invest'!$2:$2,0),FALSE()),"")</f>
        <v>15954108363</v>
      </c>
      <c r="E163" s="8" t="n">
        <f aca="false">IF(D163+H163&gt;0,D163+H163,"")</f>
        <v>23018830834</v>
      </c>
      <c r="F163" s="8" t="n">
        <f aca="false">IFERROR(D163/VLOOKUP(A163,'Dados-Status-Invest'!$1:$1000,5,FALSE()),"")</f>
        <v>20195073877</v>
      </c>
      <c r="G163" s="8" t="n">
        <f aca="false">IFERROR(D163/VLOOKUP(A163,'Dados-Status-Invest'!$1:$1000,6,FALSE()),"")</f>
        <v>49856588633</v>
      </c>
      <c r="H163" s="8" t="n">
        <f aca="false">IFERROR(VLOOKUP(A163,'Dados-Status-Invest'!$1:$1000,12,FALSE())*J163,"")</f>
        <v>7064722471</v>
      </c>
      <c r="I163" s="8" t="n">
        <f aca="false">IFERROR(D163/VLOOKUP(A163,'Dados-Status-Invest'!$1:$1000,14,FALSE()),"")</f>
        <v>20453985080</v>
      </c>
      <c r="J163" s="9" t="n">
        <f aca="false">IFERROR(D163/VLOOKUP(A163,'Dados-Status-Invest'!$1:$1000,10,FALSE()),"")</f>
        <v>4678624153</v>
      </c>
      <c r="K163" s="10" t="n">
        <f aca="false">IFERROR(VLOOKUP(A163,'Dados-Status-Invest'!$1:$1000,3,FALSE())/100,"")</f>
        <v>0.1595</v>
      </c>
      <c r="L163" s="11" t="n">
        <f aca="false">IFERROR(VLOOKUP(A163,'Dados-Status-Invest'!$1:$1000,MATCH(L$1,'Dados-Status-Invest'!$2:$2,0),FALSE())/100,"")</f>
        <v>0.2172</v>
      </c>
      <c r="M163" s="10" t="n">
        <f aca="false">IFERROR(VLOOKUP(A163,'Dados-Status-Invest'!$1:$1000,MATCH(M$1,'Dados-Status-Invest'!$2:$2,0),FALSE())/100,"")</f>
        <v>0.0885</v>
      </c>
      <c r="N163" s="10" t="n">
        <f aca="false">IFERROR(VLOOKUP(A163,'Dados-Status-Invest'!$1:$1000,MATCH(N$1,'Dados-Status-Invest'!$2:$2,0),FALSE())/100,"")</f>
        <v>0.1077</v>
      </c>
      <c r="O163" s="10" t="n">
        <f aca="false">IFERROR(VLOOKUP(A163,'Dados-Status-Invest'!$1:$1000,MATCH(O$1,'Dados-Status-Invest'!$2:$2,0),FALSE())/100,"")</f>
        <v>0.277</v>
      </c>
      <c r="P163" s="10" t="n">
        <f aca="false">IFERROR(VLOOKUP(A163,'Dados-Status-Invest'!$1:$1000,MATCH(P$1,'Dados-Status-Invest'!$2:$2,0),FALSE())/100,"")</f>
        <v>0.2277</v>
      </c>
      <c r="Q163" s="10" t="n">
        <f aca="false">IFERROR(VLOOKUP(A163,'Dados-Status-Invest'!$1:$1000,MATCH(Q$1,'Dados-Status-Invest'!$2:$2,0),FALSE())/100,"")</f>
        <v>0.2146</v>
      </c>
      <c r="R163" s="12" t="n">
        <f aca="false">IFERROR(VLOOKUP(A163,'Dados-Status-Invest'!$1:$1000,MATCH(R$1,'Dados-Status-Invest'!$2:$2,0),FALSE()),"")</f>
        <v>3.62</v>
      </c>
      <c r="S163" s="12" t="n">
        <f aca="false">IFERROR(VLOOKUP(A163,'Dados-Status-Invest'!$1:$1000,MATCH(S$1,'Dados-Status-Invest'!$2:$2,0),FALSE()),"")</f>
        <v>0.79</v>
      </c>
      <c r="T163" s="12" t="n">
        <f aca="false">IFERROR(VLOOKUP(A163,'Dados-Status-Invest'!$1:$1000,MATCH(T$1,'Dados-Status-Invest'!$2:$2,0),FALSE()),"")</f>
        <v>5.11</v>
      </c>
      <c r="U163" s="12" t="n">
        <f aca="false">IFERROR(VLOOKUP(A163,'Dados-Status-Invest'!$1:$1000,MATCH(U$1,'Dados-Status-Invest'!$2:$2,0),FALSE()),"")</f>
        <v>1.12</v>
      </c>
      <c r="V163" s="12" t="n">
        <f aca="false">IFERROR(VLOOKUP(A163,'Dados-Status-Invest'!$1:$1000,MATCH(V$1,'Dados-Status-Invest'!$2:$2,0),FALSE()),"")</f>
        <v>1.51</v>
      </c>
      <c r="W163" s="10" t="n">
        <f aca="false">IFERROR(VLOOKUP(A163,'Dados-Status-Invest'!$1:$1000,MATCH(W$1,'Dados-Status-Invest'!$2:$2,0),FALSE())/100,"")</f>
        <v>0.0451</v>
      </c>
      <c r="X163" s="10" t="n">
        <f aca="false">IFERROR(VLOOKUP(A163,'Dados-Status-Invest'!$1:$1000,MATCH(X$1,'Dados-Status-Invest'!$2:$2,0),FALSE())/100,"")</f>
        <v>0.2531</v>
      </c>
    </row>
    <row r="164" customFormat="false" ht="15.75" hidden="false" customHeight="false" outlineLevel="0" collapsed="false">
      <c r="A164" s="6" t="s">
        <v>195</v>
      </c>
      <c r="B164" s="7" t="str">
        <f aca="false">IFERROR(VLOOKUP(LEFT(A164,4),Setor!A:D,2,FALSE()),"")</f>
        <v>Utilidade Pública</v>
      </c>
      <c r="C164" s="8" t="n">
        <f aca="false">IFERROR(__xludf.dummyfunction("IFERROR(IFERROR(GOOGLEFINANCE(A170,""price""),VLOOKUP(A170,'Dados-Status-Invest'!A:B,2,FALSE)),"""")"),24.45)</f>
        <v>24.45</v>
      </c>
      <c r="D164" s="8" t="n">
        <f aca="false">IFERROR(VLOOKUP(A164,'Dados-Status-Invest'!$1:$1000,MATCH(D$1,'Dados-Status-Invest'!$2:$2,0),FALSE()),"")</f>
        <v>15954108363</v>
      </c>
      <c r="E164" s="8" t="n">
        <f aca="false">IF(D164+H164&gt;0,D164+H164,"")</f>
        <v>16820992264.7</v>
      </c>
      <c r="F164" s="8" t="n">
        <f aca="false">IFERROR(D164/VLOOKUP(A164,'Dados-Status-Invest'!$1:$1000,5,FALSE()),"")</f>
        <v>2492829432</v>
      </c>
      <c r="G164" s="8" t="n">
        <f aca="false">IFERROR(D164/VLOOKUP(A164,'Dados-Status-Invest'!$1:$1000,6,FALSE()),"")</f>
        <v>6112685196</v>
      </c>
      <c r="H164" s="8" t="n">
        <f aca="false">IFERROR(VLOOKUP(A164,'Dados-Status-Invest'!$1:$1000,12,FALSE())*J164,"")</f>
        <v>866883901.7</v>
      </c>
      <c r="I164" s="8" t="n">
        <f aca="false">IFERROR(D164/VLOOKUP(A164,'Dados-Status-Invest'!$1:$1000,14,FALSE()),"")</f>
        <v>2520396266</v>
      </c>
      <c r="J164" s="9" t="n">
        <f aca="false">IFERROR(D164/VLOOKUP(A164,'Dados-Status-Invest'!$1:$1000,10,FALSE()),"")</f>
        <v>574095299.1</v>
      </c>
      <c r="K164" s="10" t="n">
        <f aca="false">IFERROR(VLOOKUP(A164,'Dados-Status-Invest'!$1:$1000,3,FALSE())/100,"")</f>
        <v>0.0283</v>
      </c>
      <c r="L164" s="11" t="n">
        <f aca="false">IFERROR(VLOOKUP(A164,'Dados-Status-Invest'!$1:$1000,MATCH(L$1,'Dados-Status-Invest'!$2:$2,0),FALSE())/100,"")</f>
        <v>0.2172</v>
      </c>
      <c r="M164" s="10" t="n">
        <f aca="false">IFERROR(VLOOKUP(A164,'Dados-Status-Invest'!$1:$1000,MATCH(M$1,'Dados-Status-Invest'!$2:$2,0),FALSE())/100,"")</f>
        <v>0.0885</v>
      </c>
      <c r="N164" s="10" t="n">
        <f aca="false">IFERROR(VLOOKUP(A164,'Dados-Status-Invest'!$1:$1000,MATCH(N$1,'Dados-Status-Invest'!$2:$2,0),FALSE())/100,"")</f>
        <v>0.1077</v>
      </c>
      <c r="O164" s="10" t="n">
        <f aca="false">IFERROR(VLOOKUP(A164,'Dados-Status-Invest'!$1:$1000,MATCH(O$1,'Dados-Status-Invest'!$2:$2,0),FALSE())/100,"")</f>
        <v>0.277</v>
      </c>
      <c r="P164" s="10" t="n">
        <f aca="false">IFERROR(VLOOKUP(A164,'Dados-Status-Invest'!$1:$1000,MATCH(P$1,'Dados-Status-Invest'!$2:$2,0),FALSE())/100,"")</f>
        <v>0.2277</v>
      </c>
      <c r="Q164" s="10" t="n">
        <f aca="false">IFERROR(VLOOKUP(A164,'Dados-Status-Invest'!$1:$1000,MATCH(Q$1,'Dados-Status-Invest'!$2:$2,0),FALSE())/100,"")</f>
        <v>0.2146</v>
      </c>
      <c r="R164" s="12" t="n">
        <f aca="false">IFERROR(VLOOKUP(A164,'Dados-Status-Invest'!$1:$1000,MATCH(R$1,'Dados-Status-Invest'!$2:$2,0),FALSE()),"")</f>
        <v>29.48</v>
      </c>
      <c r="S164" s="12" t="n">
        <f aca="false">IFERROR(VLOOKUP(A164,'Dados-Status-Invest'!$1:$1000,MATCH(S$1,'Dados-Status-Invest'!$2:$2,0),FALSE()),"")</f>
        <v>6.4</v>
      </c>
      <c r="T164" s="12" t="n">
        <f aca="false">IFERROR(VLOOKUP(A164,'Dados-Status-Invest'!$1:$1000,MATCH(T$1,'Dados-Status-Invest'!$2:$2,0),FALSE()),"")</f>
        <v>5.11</v>
      </c>
      <c r="U164" s="12" t="n">
        <f aca="false">IFERROR(VLOOKUP(A164,'Dados-Status-Invest'!$1:$1000,MATCH(U$1,'Dados-Status-Invest'!$2:$2,0),FALSE()),"")</f>
        <v>1.12</v>
      </c>
      <c r="V164" s="12" t="n">
        <f aca="false">IFERROR(VLOOKUP(A164,'Dados-Status-Invest'!$1:$1000,MATCH(V$1,'Dados-Status-Invest'!$2:$2,0),FALSE()),"")</f>
        <v>1.51</v>
      </c>
      <c r="W164" s="10" t="n">
        <f aca="false">IFERROR(VLOOKUP(A164,'Dados-Status-Invest'!$1:$1000,MATCH(W$1,'Dados-Status-Invest'!$2:$2,0),FALSE())/100,"")</f>
        <v>0.0451</v>
      </c>
      <c r="X164" s="10" t="n">
        <f aca="false">IFERROR(VLOOKUP(A164,'Dados-Status-Invest'!$1:$1000,MATCH(X$1,'Dados-Status-Invest'!$2:$2,0),FALSE())/100,"")</f>
        <v>0.2531</v>
      </c>
    </row>
    <row r="165" customFormat="false" ht="15.75" hidden="false" customHeight="false" outlineLevel="0" collapsed="false">
      <c r="A165" s="6" t="s">
        <v>196</v>
      </c>
      <c r="B165" s="7" t="str">
        <f aca="false">IFERROR(VLOOKUP(LEFT(A165,4),Setor!A:D,2,FALSE()),"")</f>
        <v>Utilidade Pública</v>
      </c>
      <c r="C165" s="8" t="n">
        <f aca="false">IFERROR(__xludf.dummyfunction("IFERROR(IFERROR(GOOGLEFINANCE(A171,""price""),VLOOKUP(A171,'Dados-Status-Invest'!A:B,2,FALSE)),"""")"),7.67)</f>
        <v>7.67</v>
      </c>
      <c r="D165" s="8" t="n">
        <f aca="false">IFERROR(VLOOKUP(A165,'Dados-Status-Invest'!$1:$1000,MATCH(D$1,'Dados-Status-Invest'!$2:$2,0),FALSE()),"")</f>
        <v>15954108363</v>
      </c>
      <c r="E165" s="8" t="n">
        <f aca="false">IF(D165+H165&gt;0,D165+H165,"")</f>
        <v>22518332785</v>
      </c>
      <c r="F165" s="8" t="n">
        <f aca="false">IFERROR(D165/VLOOKUP(A165,'Dados-Status-Invest'!$1:$1000,5,FALSE()),"")</f>
        <v>18769539250</v>
      </c>
      <c r="G165" s="8" t="n">
        <f aca="false">IFERROR(D165/VLOOKUP(A165,'Dados-Status-Invest'!$1:$1000,6,FALSE()),"")</f>
        <v>46923848125</v>
      </c>
      <c r="H165" s="8" t="n">
        <f aca="false">IFERROR(VLOOKUP(A165,'Dados-Status-Invest'!$1:$1000,12,FALSE())*J165,"")</f>
        <v>6564224422</v>
      </c>
      <c r="I165" s="8" t="n">
        <f aca="false">IFERROR(D165/VLOOKUP(A165,'Dados-Status-Invest'!$1:$1000,14,FALSE()),"")</f>
        <v>18992986146</v>
      </c>
      <c r="J165" s="9" t="n">
        <f aca="false">IFERROR(D165/VLOOKUP(A165,'Dados-Status-Invest'!$1:$1000,10,FALSE()),"")</f>
        <v>4347168491</v>
      </c>
      <c r="K165" s="10" t="n">
        <f aca="false">IFERROR(VLOOKUP(A165,'Dados-Status-Invest'!$1:$1000,3,FALSE())/100,"")</f>
        <v>0.1627</v>
      </c>
      <c r="L165" s="11" t="n">
        <f aca="false">IFERROR(VLOOKUP(A165,'Dados-Status-Invest'!$1:$1000,MATCH(L$1,'Dados-Status-Invest'!$2:$2,0),FALSE())/100,"")</f>
        <v>0.2172</v>
      </c>
      <c r="M165" s="10" t="n">
        <f aca="false">IFERROR(VLOOKUP(A165,'Dados-Status-Invest'!$1:$1000,MATCH(M$1,'Dados-Status-Invest'!$2:$2,0),FALSE())/100,"")</f>
        <v>0.0885</v>
      </c>
      <c r="N165" s="10" t="n">
        <f aca="false">IFERROR(VLOOKUP(A165,'Dados-Status-Invest'!$1:$1000,MATCH(N$1,'Dados-Status-Invest'!$2:$2,0),FALSE())/100,"")</f>
        <v>0.1077</v>
      </c>
      <c r="O165" s="10" t="n">
        <f aca="false">IFERROR(VLOOKUP(A165,'Dados-Status-Invest'!$1:$1000,MATCH(O$1,'Dados-Status-Invest'!$2:$2,0),FALSE())/100,"")</f>
        <v>0.277</v>
      </c>
      <c r="P165" s="10" t="n">
        <f aca="false">IFERROR(VLOOKUP(A165,'Dados-Status-Invest'!$1:$1000,MATCH(P$1,'Dados-Status-Invest'!$2:$2,0),FALSE())/100,"")</f>
        <v>0.2277</v>
      </c>
      <c r="Q165" s="10" t="n">
        <f aca="false">IFERROR(VLOOKUP(A165,'Dados-Status-Invest'!$1:$1000,MATCH(Q$1,'Dados-Status-Invest'!$2:$2,0),FALSE())/100,"")</f>
        <v>0.2146</v>
      </c>
      <c r="R165" s="12" t="n">
        <f aca="false">IFERROR(VLOOKUP(A165,'Dados-Status-Invest'!$1:$1000,MATCH(R$1,'Dados-Status-Invest'!$2:$2,0),FALSE()),"")</f>
        <v>3.9</v>
      </c>
      <c r="S165" s="12" t="n">
        <f aca="false">IFERROR(VLOOKUP(A165,'Dados-Status-Invest'!$1:$1000,MATCH(S$1,'Dados-Status-Invest'!$2:$2,0),FALSE()),"")</f>
        <v>0.85</v>
      </c>
      <c r="T165" s="12" t="n">
        <f aca="false">IFERROR(VLOOKUP(A165,'Dados-Status-Invest'!$1:$1000,MATCH(T$1,'Dados-Status-Invest'!$2:$2,0),FALSE()),"")</f>
        <v>5.11</v>
      </c>
      <c r="U165" s="12" t="n">
        <f aca="false">IFERROR(VLOOKUP(A165,'Dados-Status-Invest'!$1:$1000,MATCH(U$1,'Dados-Status-Invest'!$2:$2,0),FALSE()),"")</f>
        <v>1.12</v>
      </c>
      <c r="V165" s="12" t="n">
        <f aca="false">IFERROR(VLOOKUP(A165,'Dados-Status-Invest'!$1:$1000,MATCH(V$1,'Dados-Status-Invest'!$2:$2,0),FALSE()),"")</f>
        <v>1.51</v>
      </c>
      <c r="W165" s="10" t="n">
        <f aca="false">IFERROR(VLOOKUP(A165,'Dados-Status-Invest'!$1:$1000,MATCH(W$1,'Dados-Status-Invest'!$2:$2,0),FALSE())/100,"")</f>
        <v>0.0451</v>
      </c>
      <c r="X165" s="10" t="n">
        <f aca="false">IFERROR(VLOOKUP(A165,'Dados-Status-Invest'!$1:$1000,MATCH(X$1,'Dados-Status-Invest'!$2:$2,0),FALSE())/100,"")</f>
        <v>0.2531</v>
      </c>
    </row>
    <row r="166" customFormat="false" ht="15.75" hidden="false" customHeight="false" outlineLevel="0" collapsed="false">
      <c r="A166" s="6" t="s">
        <v>197</v>
      </c>
      <c r="B166" s="7" t="str">
        <f aca="false">IFERROR(VLOOKUP(LEFT(A166,4),Setor!A:D,2,FALSE()),"")</f>
        <v>Utilidade Pública</v>
      </c>
      <c r="C166" s="8" t="n">
        <f aca="false">IFERROR(__xludf.dummyfunction("IFERROR(IFERROR(GOOGLEFINANCE(A172,""price""),VLOOKUP(A172,'Dados-Status-Invest'!A:B,2,FALSE)),"""")"),18.23)</f>
        <v>18.23</v>
      </c>
      <c r="D166" s="8" t="n">
        <f aca="false">IFERROR(VLOOKUP(A166,'Dados-Status-Invest'!$1:$1000,MATCH(D$1,'Dados-Status-Invest'!$2:$2,0),FALSE()),"")</f>
        <v>10824655048</v>
      </c>
      <c r="E166" s="8" t="n">
        <f aca="false">IF(D166+H166&gt;0,D166+H166,"")</f>
        <v>12032364495</v>
      </c>
      <c r="F166" s="8" t="n">
        <f aca="false">IFERROR(D166/VLOOKUP(A166,'Dados-Status-Invest'!$1:$1000,5,FALSE()),"")</f>
        <v>6081266881</v>
      </c>
      <c r="G166" s="8" t="n">
        <f aca="false">IFERROR(D166/VLOOKUP(A166,'Dados-Status-Invest'!$1:$1000,6,FALSE()),"")</f>
        <v>12586808195</v>
      </c>
      <c r="H166" s="8" t="n">
        <f aca="false">IFERROR(VLOOKUP(A166,'Dados-Status-Invest'!$1:$1000,12,FALSE())*J166,"")</f>
        <v>1207709447</v>
      </c>
      <c r="I166" s="8" t="n">
        <f aca="false">IFERROR(D166/VLOOKUP(A166,'Dados-Status-Invest'!$1:$1000,14,FALSE()),"")</f>
        <v>2477037768</v>
      </c>
      <c r="J166" s="9" t="n">
        <f aca="false">IFERROR(D166/VLOOKUP(A166,'Dados-Status-Invest'!$1:$1000,10,FALSE()),"")</f>
        <v>1118249488</v>
      </c>
      <c r="K166" s="10" t="n">
        <f aca="false">IFERROR(VLOOKUP(A166,'Dados-Status-Invest'!$1:$1000,3,FALSE())/100,"")</f>
        <v>0</v>
      </c>
      <c r="L166" s="11" t="n">
        <f aca="false">IFERROR(VLOOKUP(A166,'Dados-Status-Invest'!$1:$1000,MATCH(L$1,'Dados-Status-Invest'!$2:$2,0),FALSE())/100,"")</f>
        <v>0.1701</v>
      </c>
      <c r="M166" s="10" t="n">
        <f aca="false">IFERROR(VLOOKUP(A166,'Dados-Status-Invest'!$1:$1000,MATCH(M$1,'Dados-Status-Invest'!$2:$2,0),FALSE())/100,"")</f>
        <v>0.0825</v>
      </c>
      <c r="N166" s="10" t="n">
        <f aca="false">IFERROR(VLOOKUP(A166,'Dados-Status-Invest'!$1:$1000,MATCH(N$1,'Dados-Status-Invest'!$2:$2,0),FALSE())/100,"")</f>
        <v>0.1086</v>
      </c>
      <c r="O166" s="10" t="n">
        <f aca="false">IFERROR(VLOOKUP(A166,'Dados-Status-Invest'!$1:$1000,MATCH(O$1,'Dados-Status-Invest'!$2:$2,0),FALSE())/100,"")</f>
        <v>0.5775</v>
      </c>
      <c r="P166" s="10" t="n">
        <f aca="false">IFERROR(VLOOKUP(A166,'Dados-Status-Invest'!$1:$1000,MATCH(P$1,'Dados-Status-Invest'!$2:$2,0),FALSE())/100,"")</f>
        <v>0.4518</v>
      </c>
      <c r="Q166" s="10" t="n">
        <f aca="false">IFERROR(VLOOKUP(A166,'Dados-Status-Invest'!$1:$1000,MATCH(Q$1,'Dados-Status-Invest'!$2:$2,0),FALSE())/100,"")</f>
        <v>0.4174</v>
      </c>
      <c r="R166" s="12" t="n">
        <f aca="false">IFERROR(VLOOKUP(A166,'Dados-Status-Invest'!$1:$1000,MATCH(R$1,'Dados-Status-Invest'!$2:$2,0),FALSE()),"")</f>
        <v>10.48</v>
      </c>
      <c r="S166" s="12" t="n">
        <f aca="false">IFERROR(VLOOKUP(A166,'Dados-Status-Invest'!$1:$1000,MATCH(S$1,'Dados-Status-Invest'!$2:$2,0),FALSE()),"")</f>
        <v>1.78</v>
      </c>
      <c r="T166" s="12" t="n">
        <f aca="false">IFERROR(VLOOKUP(A166,'Dados-Status-Invest'!$1:$1000,MATCH(T$1,'Dados-Status-Invest'!$2:$2,0),FALSE()),"")</f>
        <v>10.76</v>
      </c>
      <c r="U166" s="12" t="n">
        <f aca="false">IFERROR(VLOOKUP(A166,'Dados-Status-Invest'!$1:$1000,MATCH(U$1,'Dados-Status-Invest'!$2:$2,0),FALSE()),"")</f>
        <v>0.52</v>
      </c>
      <c r="V166" s="12" t="n">
        <f aca="false">IFERROR(VLOOKUP(A166,'Dados-Status-Invest'!$1:$1000,MATCH(V$1,'Dados-Status-Invest'!$2:$2,0),FALSE()),"")</f>
        <v>1.08</v>
      </c>
      <c r="W166" s="10" t="n">
        <f aca="false">IFERROR(VLOOKUP(A166,'Dados-Status-Invest'!$1:$1000,MATCH(W$1,'Dados-Status-Invest'!$2:$2,0),FALSE())/100,"")</f>
        <v>0.0796</v>
      </c>
      <c r="X166" s="10" t="n">
        <f aca="false">IFERROR(VLOOKUP(A166,'Dados-Status-Invest'!$1:$1000,MATCH(X$1,'Dados-Status-Invest'!$2:$2,0),FALSE())/100,"")</f>
        <v>0</v>
      </c>
    </row>
    <row r="167" customFormat="false" ht="15.75" hidden="false" customHeight="false" outlineLevel="0" collapsed="false">
      <c r="A167" s="6" t="s">
        <v>198</v>
      </c>
      <c r="B167" s="7" t="str">
        <f aca="false">IFERROR(VLOOKUP(LEFT(A167,4),Setor!A:D,2,FALSE()),"")</f>
        <v>Consumo Cíclico</v>
      </c>
      <c r="C167" s="8" t="n">
        <f aca="false">IFERROR(__xludf.dummyfunction("IFERROR(IFERROR(GOOGLEFINANCE(A173,""price""),VLOOKUP(A173,'Dados-Status-Invest'!A:B,2,FALSE)),"""")"),21.79)</f>
        <v>21.79</v>
      </c>
      <c r="D167" s="8" t="n">
        <f aca="false">IFERROR(VLOOKUP(A167,'Dados-Status-Invest'!$1:$1000,MATCH(D$1,'Dados-Status-Invest'!$2:$2,0),FALSE()),"")</f>
        <v>60190502.05</v>
      </c>
      <c r="E167" s="8" t="n">
        <f aca="false">IF(D167+H167&gt;0,D167+H167,"")</f>
        <v>43242123.84</v>
      </c>
      <c r="F167" s="8" t="n">
        <f aca="false">IFERROR(D167/VLOOKUP(A167,'Dados-Status-Invest'!$1:$1000,5,FALSE()),"")</f>
        <v>105597372</v>
      </c>
      <c r="G167" s="8" t="n">
        <f aca="false">IFERROR(D167/VLOOKUP(A167,'Dados-Status-Invest'!$1:$1000,6,FALSE()),"")</f>
        <v>118020592.3</v>
      </c>
      <c r="H167" s="8" t="n">
        <f aca="false">IFERROR(VLOOKUP(A167,'Dados-Status-Invest'!$1:$1000,12,FALSE())*J167,"")</f>
        <v>-16948378.21</v>
      </c>
      <c r="I167" s="8" t="n">
        <f aca="false">IFERROR(D167/VLOOKUP(A167,'Dados-Status-Invest'!$1:$1000,14,FALSE()),"")</f>
        <v>2112688.735</v>
      </c>
      <c r="J167" s="9" t="n">
        <f aca="false">IFERROR(D167/VLOOKUP(A167,'Dados-Status-Invest'!$1:$1000,10,FALSE()),"")</f>
        <v>-15839605.8</v>
      </c>
      <c r="K167" s="10" t="n">
        <f aca="false">IFERROR(VLOOKUP(A167,'Dados-Status-Invest'!$1:$1000,3,FALSE())/100,"")</f>
        <v>0</v>
      </c>
      <c r="L167" s="11" t="n">
        <f aca="false">IFERROR(VLOOKUP(A167,'Dados-Status-Invest'!$1:$1000,MATCH(L$1,'Dados-Status-Invest'!$2:$2,0),FALSE())/100,"")</f>
        <v>-0.161</v>
      </c>
      <c r="M167" s="10" t="n">
        <f aca="false">IFERROR(VLOOKUP(A167,'Dados-Status-Invest'!$1:$1000,MATCH(M$1,'Dados-Status-Invest'!$2:$2,0),FALSE())/100,"")</f>
        <v>-0.1426</v>
      </c>
      <c r="N167" s="10" t="n">
        <f aca="false">IFERROR(VLOOKUP(A167,'Dados-Status-Invest'!$1:$1000,MATCH(N$1,'Dados-Status-Invest'!$2:$2,0),FALSE())/100,"")</f>
        <v>-0.1673</v>
      </c>
      <c r="O167" s="10" t="n">
        <f aca="false">IFERROR(VLOOKUP(A167,'Dados-Status-Invest'!$1:$1000,MATCH(O$1,'Dados-Status-Invest'!$2:$2,0),FALSE())/100,"")</f>
        <v>-0.1661</v>
      </c>
      <c r="P167" s="10" t="n">
        <f aca="false">IFERROR(VLOOKUP(A167,'Dados-Status-Invest'!$1:$1000,MATCH(P$1,'Dados-Status-Invest'!$2:$2,0),FALSE())/100,"")</f>
        <v>-7.4969</v>
      </c>
      <c r="Q167" s="10" t="n">
        <f aca="false">IFERROR(VLOOKUP(A167,'Dados-Status-Invest'!$1:$1000,MATCH(Q$1,'Dados-Status-Invest'!$2:$2,0),FALSE())/100,"")</f>
        <v>-8.0293</v>
      </c>
      <c r="R167" s="12" t="n">
        <f aca="false">IFERROR(VLOOKUP(A167,'Dados-Status-Invest'!$1:$1000,MATCH(R$1,'Dados-Status-Invest'!$2:$2,0),FALSE()),"")</f>
        <v>-3.55</v>
      </c>
      <c r="S167" s="12" t="n">
        <f aca="false">IFERROR(VLOOKUP(A167,'Dados-Status-Invest'!$1:$1000,MATCH(S$1,'Dados-Status-Invest'!$2:$2,0),FALSE()),"")</f>
        <v>0.57</v>
      </c>
      <c r="T167" s="12" t="n">
        <f aca="false">IFERROR(VLOOKUP(A167,'Dados-Status-Invest'!$1:$1000,MATCH(T$1,'Dados-Status-Invest'!$2:$2,0),FALSE()),"")</f>
        <v>-2.73</v>
      </c>
      <c r="U167" s="12" t="n">
        <f aca="false">IFERROR(VLOOKUP(A167,'Dados-Status-Invest'!$1:$1000,MATCH(U$1,'Dados-Status-Invest'!$2:$2,0),FALSE()),"")</f>
        <v>2.74</v>
      </c>
      <c r="V167" s="12" t="n">
        <f aca="false">IFERROR(VLOOKUP(A167,'Dados-Status-Invest'!$1:$1000,MATCH(V$1,'Dados-Status-Invest'!$2:$2,0),FALSE()),"")</f>
        <v>1.07</v>
      </c>
      <c r="W167" s="10" t="n">
        <f aca="false">IFERROR(VLOOKUP(A167,'Dados-Status-Invest'!$1:$1000,MATCH(W$1,'Dados-Status-Invest'!$2:$2,0),FALSE())/100,"")</f>
        <v>-0.4145</v>
      </c>
      <c r="X167" s="10" t="n">
        <f aca="false">IFERROR(VLOOKUP(A167,'Dados-Status-Invest'!$1:$1000,MATCH(X$1,'Dados-Status-Invest'!$2:$2,0),FALSE())/100,"")</f>
        <v>0</v>
      </c>
    </row>
    <row r="168" customFormat="false" ht="15.75" hidden="false" customHeight="false" outlineLevel="0" collapsed="false">
      <c r="A168" s="6" t="s">
        <v>199</v>
      </c>
      <c r="B168" s="7" t="s">
        <v>90</v>
      </c>
      <c r="C168" s="8" t="n">
        <f aca="false">IFERROR(__xludf.dummyfunction("IFERROR(IFERROR(GOOGLEFINANCE(A174,""price""),VLOOKUP(A174,'Dados-Status-Invest'!A:B,2,FALSE)),"""")"),14.5)</f>
        <v>14.5</v>
      </c>
      <c r="D168" s="8" t="n">
        <f aca="false">IFERROR(VLOOKUP(A168,'Dados-Status-Invest'!$1:$1000,MATCH(D$1,'Dados-Status-Invest'!$2:$2,0),FALSE()),"")</f>
        <v>465122474</v>
      </c>
      <c r="E168" s="8" t="n">
        <f aca="false">IF(D168+H168&gt;0,D168+H168,"")</f>
        <v>657586946</v>
      </c>
      <c r="F168" s="8" t="n">
        <f aca="false">IFERROR(D168/VLOOKUP(A168,'Dados-Status-Invest'!$1:$1000,5,FALSE()),"")</f>
        <v>189845907.8</v>
      </c>
      <c r="G168" s="8" t="n">
        <f aca="false">IFERROR(D168/VLOOKUP(A168,'Dados-Status-Invest'!$1:$1000,6,FALSE()),"")</f>
        <v>694212647.8</v>
      </c>
      <c r="H168" s="8" t="n">
        <f aca="false">IFERROR(VLOOKUP(A168,'Dados-Status-Invest'!$1:$1000,12,FALSE())*J168,"")</f>
        <v>192464472</v>
      </c>
      <c r="I168" s="8" t="n">
        <f aca="false">IFERROR(D168/VLOOKUP(A168,'Dados-Status-Invest'!$1:$1000,14,FALSE()),"")</f>
        <v>674090542</v>
      </c>
      <c r="J168" s="9" t="n">
        <f aca="false">IFERROR(D168/VLOOKUP(A168,'Dados-Status-Invest'!$1:$1000,10,FALSE()),"")</f>
        <v>50120956.25</v>
      </c>
      <c r="K168" s="10" t="n">
        <f aca="false">IFERROR(VLOOKUP(A168,'Dados-Status-Invest'!$1:$1000,3,FALSE())/100,"")</f>
        <v>0</v>
      </c>
      <c r="L168" s="11" t="n">
        <f aca="false">IFERROR(VLOOKUP(A168,'Dados-Status-Invest'!$1:$1000,MATCH(L$1,'Dados-Status-Invest'!$2:$2,0),FALSE())/100,"")</f>
        <v>0.075</v>
      </c>
      <c r="M168" s="10" t="n">
        <f aca="false">IFERROR(VLOOKUP(A168,'Dados-Status-Invest'!$1:$1000,MATCH(M$1,'Dados-Status-Invest'!$2:$2,0),FALSE())/100,"")</f>
        <v>0.0205</v>
      </c>
      <c r="N168" s="10" t="n">
        <f aca="false">IFERROR(VLOOKUP(A168,'Dados-Status-Invest'!$1:$1000,MATCH(N$1,'Dados-Status-Invest'!$2:$2,0),FALSE())/100,"")</f>
        <v>0.0929</v>
      </c>
      <c r="O168" s="10" t="n">
        <f aca="false">IFERROR(VLOOKUP(A168,'Dados-Status-Invest'!$1:$1000,MATCH(O$1,'Dados-Status-Invest'!$2:$2,0),FALSE())/100,"")</f>
        <v>0.303</v>
      </c>
      <c r="P168" s="10" t="n">
        <f aca="false">IFERROR(VLOOKUP(A168,'Dados-Status-Invest'!$1:$1000,MATCH(P$1,'Dados-Status-Invest'!$2:$2,0),FALSE())/100,"")</f>
        <v>0.0739</v>
      </c>
      <c r="Q168" s="10" t="n">
        <f aca="false">IFERROR(VLOOKUP(A168,'Dados-Status-Invest'!$1:$1000,MATCH(Q$1,'Dados-Status-Invest'!$2:$2,0),FALSE())/100,"")</f>
        <v>0.021</v>
      </c>
      <c r="R168" s="12" t="n">
        <f aca="false">IFERROR(VLOOKUP(A168,'Dados-Status-Invest'!$1:$1000,MATCH(R$1,'Dados-Status-Invest'!$2:$2,0),FALSE()),"")</f>
        <v>32.7</v>
      </c>
      <c r="S168" s="12" t="n">
        <f aca="false">IFERROR(VLOOKUP(A168,'Dados-Status-Invest'!$1:$1000,MATCH(S$1,'Dados-Status-Invest'!$2:$2,0),FALSE()),"")</f>
        <v>2.45</v>
      </c>
      <c r="T168" s="12" t="n">
        <f aca="false">IFERROR(VLOOKUP(A168,'Dados-Status-Invest'!$1:$1000,MATCH(T$1,'Dados-Status-Invest'!$2:$2,0),FALSE()),"")</f>
        <v>13.11</v>
      </c>
      <c r="U168" s="12" t="n">
        <f aca="false">IFERROR(VLOOKUP(A168,'Dados-Status-Invest'!$1:$1000,MATCH(U$1,'Dados-Status-Invest'!$2:$2,0),FALSE()),"")</f>
        <v>1.29</v>
      </c>
      <c r="V168" s="12" t="n">
        <f aca="false">IFERROR(VLOOKUP(A168,'Dados-Status-Invest'!$1:$1000,MATCH(V$1,'Dados-Status-Invest'!$2:$2,0),FALSE()),"")</f>
        <v>3.84</v>
      </c>
      <c r="W168" s="10" t="n">
        <f aca="false">IFERROR(VLOOKUP(A168,'Dados-Status-Invest'!$1:$1000,MATCH(W$1,'Dados-Status-Invest'!$2:$2,0),FALSE())/100,"")</f>
        <v>0.0109</v>
      </c>
      <c r="X168" s="10" t="n">
        <f aca="false">IFERROR(VLOOKUP(A168,'Dados-Status-Invest'!$1:$1000,MATCH(X$1,'Dados-Status-Invest'!$2:$2,0),FALSE())/100,"")</f>
        <v>0</v>
      </c>
    </row>
    <row r="169" customFormat="false" ht="15.75" hidden="false" customHeight="false" outlineLevel="0" collapsed="false">
      <c r="A169" s="6" t="s">
        <v>200</v>
      </c>
      <c r="B169" s="7" t="str">
        <f aca="false">IFERROR(VLOOKUP(LEFT(A169,4),Setor!A:D,2,FALSE()),"")</f>
        <v>Consumo não Cíclico</v>
      </c>
      <c r="C169" s="8" t="n">
        <f aca="false">IFERROR(__xludf.dummyfunction("IFERROR(IFERROR(GOOGLEFINANCE(A175,""price""),VLOOKUP(A175,'Dados-Status-Invest'!A:B,2,FALSE)),"""")"),19.81)</f>
        <v>19.81</v>
      </c>
      <c r="D169" s="8" t="n">
        <f aca="false">IFERROR(VLOOKUP(A169,'Dados-Status-Invest'!$1:$1000,MATCH(D$1,'Dados-Status-Invest'!$2:$2,0),FALSE()),"")</f>
        <v>41770551780</v>
      </c>
      <c r="E169" s="8" t="n">
        <f aca="false">IF(D169+H169&gt;0,D169+H169,"")</f>
        <v>50224115831</v>
      </c>
      <c r="F169" s="8" t="n">
        <f aca="false">IFERROR(D169/VLOOKUP(A169,'Dados-Status-Invest'!$1:$1000,5,FALSE()),"")</f>
        <v>16641654096</v>
      </c>
      <c r="G169" s="8" t="n">
        <f aca="false">IFERROR(D169/VLOOKUP(A169,'Dados-Status-Invest'!$1:$1000,6,FALSE()),"")</f>
        <v>50325966000</v>
      </c>
      <c r="H169" s="8" t="n">
        <f aca="false">IFERROR(VLOOKUP(A169,'Dados-Status-Invest'!$1:$1000,12,FALSE())*J169,"")</f>
        <v>8453564051</v>
      </c>
      <c r="I169" s="8" t="n">
        <f aca="false">IFERROR(D169/VLOOKUP(A169,'Dados-Status-Invest'!$1:$1000,14,FALSE()),"")</f>
        <v>73281669790</v>
      </c>
      <c r="J169" s="9" t="n">
        <f aca="false">IFERROR(D169/VLOOKUP(A169,'Dados-Status-Invest'!$1:$1000,10,FALSE()),"")</f>
        <v>4972684736</v>
      </c>
      <c r="K169" s="10" t="n">
        <f aca="false">IFERROR(VLOOKUP(A169,'Dados-Status-Invest'!$1:$1000,3,FALSE())/100,"")</f>
        <v>0.0339</v>
      </c>
      <c r="L169" s="11" t="n">
        <f aca="false">IFERROR(VLOOKUP(A169,'Dados-Status-Invest'!$1:$1000,MATCH(L$1,'Dados-Status-Invest'!$2:$2,0),FALSE())/100,"")</f>
        <v>0.1941</v>
      </c>
      <c r="M169" s="10" t="n">
        <f aca="false">IFERROR(VLOOKUP(A169,'Dados-Status-Invest'!$1:$1000,MATCH(M$1,'Dados-Status-Invest'!$2:$2,0),FALSE())/100,"")</f>
        <v>0.0639</v>
      </c>
      <c r="N169" s="10" t="n">
        <f aca="false">IFERROR(VLOOKUP(A169,'Dados-Status-Invest'!$1:$1000,MATCH(N$1,'Dados-Status-Invest'!$2:$2,0),FALSE())/100,"")</f>
        <v>0.1418</v>
      </c>
      <c r="O169" s="10" t="n">
        <f aca="false">IFERROR(VLOOKUP(A169,'Dados-Status-Invest'!$1:$1000,MATCH(O$1,'Dados-Status-Invest'!$2:$2,0),FALSE())/100,"")</f>
        <v>0.192</v>
      </c>
      <c r="P169" s="10" t="n">
        <f aca="false">IFERROR(VLOOKUP(A169,'Dados-Status-Invest'!$1:$1000,MATCH(P$1,'Dados-Status-Invest'!$2:$2,0),FALSE())/100,"")</f>
        <v>0.068</v>
      </c>
      <c r="Q169" s="10" t="n">
        <f aca="false">IFERROR(VLOOKUP(A169,'Dados-Status-Invest'!$1:$1000,MATCH(Q$1,'Dados-Status-Invest'!$2:$2,0),FALSE())/100,"")</f>
        <v>0.0442</v>
      </c>
      <c r="R169" s="12" t="n">
        <f aca="false">IFERROR(VLOOKUP(A169,'Dados-Status-Invest'!$1:$1000,MATCH(R$1,'Dados-Status-Invest'!$2:$2,0),FALSE()),"")</f>
        <v>12.93</v>
      </c>
      <c r="S169" s="12" t="n">
        <f aca="false">IFERROR(VLOOKUP(A169,'Dados-Status-Invest'!$1:$1000,MATCH(S$1,'Dados-Status-Invest'!$2:$2,0),FALSE()),"")</f>
        <v>2.51</v>
      </c>
      <c r="T169" s="12" t="n">
        <f aca="false">IFERROR(VLOOKUP(A169,'Dados-Status-Invest'!$1:$1000,MATCH(T$1,'Dados-Status-Invest'!$2:$2,0),FALSE()),"")</f>
        <v>10.1</v>
      </c>
      <c r="U169" s="12" t="n">
        <f aca="false">IFERROR(VLOOKUP(A169,'Dados-Status-Invest'!$1:$1000,MATCH(U$1,'Dados-Status-Invest'!$2:$2,0),FALSE()),"")</f>
        <v>1.03</v>
      </c>
      <c r="V169" s="12" t="n">
        <f aca="false">IFERROR(VLOOKUP(A169,'Dados-Status-Invest'!$1:$1000,MATCH(V$1,'Dados-Status-Invest'!$2:$2,0),FALSE()),"")</f>
        <v>1.7</v>
      </c>
      <c r="W169" s="10" t="n">
        <f aca="false">IFERROR(VLOOKUP(A169,'Dados-Status-Invest'!$1:$1000,MATCH(W$1,'Dados-Status-Invest'!$2:$2,0),FALSE())/100,"")</f>
        <v>0.1138</v>
      </c>
      <c r="X169" s="10" t="n">
        <f aca="false">IFERROR(VLOOKUP(A169,'Dados-Status-Invest'!$1:$1000,MATCH(X$1,'Dados-Status-Invest'!$2:$2,0),FALSE())/100,"")</f>
        <v>0.2362</v>
      </c>
    </row>
    <row r="170" customFormat="false" ht="15.75" hidden="false" customHeight="false" outlineLevel="0" collapsed="false">
      <c r="A170" s="6" t="s">
        <v>201</v>
      </c>
      <c r="B170" s="7" t="str">
        <f aca="false">IFERROR(VLOOKUP(LEFT(A170,4),Setor!A:D,2,FALSE()),"")</f>
        <v>Financeiro</v>
      </c>
      <c r="C170" s="8" t="n">
        <f aca="false">IFERROR(__xludf.dummyfunction("IFERROR(IFERROR(GOOGLEFINANCE(A176,""price""),VLOOKUP(A176,'Dados-Status-Invest'!A:B,2,FALSE)),"""")"),4.75)</f>
        <v>4.75</v>
      </c>
      <c r="D170" s="8" t="n">
        <f aca="false">IFERROR(VLOOKUP(A170,'Dados-Status-Invest'!$1:$1000,MATCH(D$1,'Dados-Status-Invest'!$2:$2,0),FALSE()),"")</f>
        <v>618412652.2</v>
      </c>
      <c r="E170" s="8" t="n">
        <f aca="false">IF(D170+H170&gt;0,D170+H170,"")</f>
        <v>618412652.2</v>
      </c>
      <c r="F170" s="8" t="n">
        <f aca="false">IFERROR(D170/VLOOKUP(A170,'Dados-Status-Invest'!$1:$1000,5,FALSE()),"")</f>
        <v>1013791233</v>
      </c>
      <c r="G170" s="8" t="n">
        <f aca="false">IFERROR(D170/VLOOKUP(A170,'Dados-Status-Invest'!$1:$1000,6,FALSE()),"")</f>
        <v>6184126522</v>
      </c>
      <c r="H170" s="8" t="n">
        <f aca="false">IFERROR(VLOOKUP(A170,'Dados-Status-Invest'!$1:$1000,12,FALSE())*J170,"")</f>
        <v>0</v>
      </c>
      <c r="I170" s="8" t="n">
        <f aca="false">IFERROR(D170/VLOOKUP(A170,'Dados-Status-Invest'!$1:$1000,14,FALSE()),"")</f>
        <v>588964430.6</v>
      </c>
      <c r="J170" s="9" t="n">
        <f aca="false">IFERROR(D170/VLOOKUP(A170,'Dados-Status-Invest'!$1:$1000,10,FALSE()),"")</f>
        <v>71163711.41</v>
      </c>
      <c r="K170" s="10" t="n">
        <f aca="false">IFERROR(VLOOKUP(A170,'Dados-Status-Invest'!$1:$1000,3,FALSE())/100,"")</f>
        <v>0</v>
      </c>
      <c r="L170" s="11" t="n">
        <f aca="false">IFERROR(VLOOKUP(A170,'Dados-Status-Invest'!$1:$1000,MATCH(L$1,'Dados-Status-Invest'!$2:$2,0),FALSE())/100,"")</f>
        <v>0.0522</v>
      </c>
      <c r="M170" s="10" t="n">
        <f aca="false">IFERROR(VLOOKUP(A170,'Dados-Status-Invest'!$1:$1000,MATCH(M$1,'Dados-Status-Invest'!$2:$2,0),FALSE())/100,"")</f>
        <v>0.0082</v>
      </c>
      <c r="N170" s="10" t="n">
        <f aca="false">IFERROR(VLOOKUP(A170,'Dados-Status-Invest'!$1:$1000,MATCH(N$1,'Dados-Status-Invest'!$2:$2,0),FALSE())/100,"")</f>
        <v>0</v>
      </c>
      <c r="O170" s="10" t="n">
        <f aca="false">IFERROR(VLOOKUP(A170,'Dados-Status-Invest'!$1:$1000,MATCH(O$1,'Dados-Status-Invest'!$2:$2,0),FALSE())/100,"")</f>
        <v>0.7265</v>
      </c>
      <c r="P170" s="10" t="n">
        <f aca="false">IFERROR(VLOOKUP(A170,'Dados-Status-Invest'!$1:$1000,MATCH(P$1,'Dados-Status-Invest'!$2:$2,0),FALSE())/100,"")</f>
        <v>0.1213</v>
      </c>
      <c r="Q170" s="10" t="n">
        <f aca="false">IFERROR(VLOOKUP(A170,'Dados-Status-Invest'!$1:$1000,MATCH(Q$1,'Dados-Status-Invest'!$2:$2,0),FALSE())/100,"")</f>
        <v>0.0899</v>
      </c>
      <c r="R170" s="12" t="n">
        <f aca="false">IFERROR(VLOOKUP(A170,'Dados-Status-Invest'!$1:$1000,MATCH(R$1,'Dados-Status-Invest'!$2:$2,0),FALSE()),"")</f>
        <v>11.71</v>
      </c>
      <c r="S170" s="12" t="n">
        <f aca="false">IFERROR(VLOOKUP(A170,'Dados-Status-Invest'!$1:$1000,MATCH(S$1,'Dados-Status-Invest'!$2:$2,0),FALSE()),"")</f>
        <v>0.61</v>
      </c>
      <c r="T170" s="12" t="n">
        <f aca="false">IFERROR(VLOOKUP(A170,'Dados-Status-Invest'!$1:$1000,MATCH(T$1,'Dados-Status-Invest'!$2:$2,0),FALSE()),"")</f>
        <v>8.85</v>
      </c>
      <c r="U170" s="12" t="n">
        <f aca="false">IFERROR(VLOOKUP(A170,'Dados-Status-Invest'!$1:$1000,MATCH(U$1,'Dados-Status-Invest'!$2:$2,0),FALSE()),"")</f>
        <v>1.67</v>
      </c>
      <c r="V170" s="12" t="n">
        <f aca="false">IFERROR(VLOOKUP(A170,'Dados-Status-Invest'!$1:$1000,MATCH(V$1,'Dados-Status-Invest'!$2:$2,0),FALSE()),"")</f>
        <v>0</v>
      </c>
      <c r="W170" s="10" t="n">
        <f aca="false">IFERROR(VLOOKUP(A170,'Dados-Status-Invest'!$1:$1000,MATCH(W$1,'Dados-Status-Invest'!$2:$2,0),FALSE())/100,"")</f>
        <v>-0.0718</v>
      </c>
      <c r="X170" s="10" t="n">
        <f aca="false">IFERROR(VLOOKUP(A170,'Dados-Status-Invest'!$1:$1000,MATCH(X$1,'Dados-Status-Invest'!$2:$2,0),FALSE())/100,"")</f>
        <v>0.0686</v>
      </c>
    </row>
    <row r="171" customFormat="false" ht="15.75" hidden="false" customHeight="false" outlineLevel="0" collapsed="false">
      <c r="A171" s="6" t="s">
        <v>202</v>
      </c>
      <c r="B171" s="7" t="str">
        <f aca="false">IFERROR(VLOOKUP(LEFT(A171,4),Setor!A:D,2,FALSE()),"")</f>
        <v>Financeiro</v>
      </c>
      <c r="C171" s="8" t="n">
        <f aca="false">IFERROR(__xludf.dummyfunction("IFERROR(IFERROR(GOOGLEFINANCE(A177,""price""),VLOOKUP(A177,'Dados-Status-Invest'!A:B,2,FALSE)),"""")"),4.87)</f>
        <v>4.87</v>
      </c>
      <c r="D171" s="8" t="n">
        <f aca="false">IFERROR(VLOOKUP(A171,'Dados-Status-Invest'!$1:$1000,MATCH(D$1,'Dados-Status-Invest'!$2:$2,0),FALSE()),"")</f>
        <v>618412652.2</v>
      </c>
      <c r="E171" s="8" t="n">
        <f aca="false">IF(D171+H171&gt;0,D171+H171,"")</f>
        <v>618412652.2</v>
      </c>
      <c r="F171" s="8" t="n">
        <f aca="false">IFERROR(D171/VLOOKUP(A171,'Dados-Status-Invest'!$1:$1000,5,FALSE()),"")</f>
        <v>966269769</v>
      </c>
      <c r="G171" s="8" t="n">
        <f aca="false">IFERROR(D171/VLOOKUP(A171,'Dados-Status-Invest'!$1:$1000,6,FALSE()),"")</f>
        <v>6184126522</v>
      </c>
      <c r="H171" s="8" t="n">
        <f aca="false">IFERROR(VLOOKUP(A171,'Dados-Status-Invest'!$1:$1000,12,FALSE())*J171,"")</f>
        <v>0</v>
      </c>
      <c r="I171" s="8" t="n">
        <f aca="false">IFERROR(D171/VLOOKUP(A171,'Dados-Status-Invest'!$1:$1000,14,FALSE()),"")</f>
        <v>562193320.1</v>
      </c>
      <c r="J171" s="9" t="n">
        <f aca="false">IFERROR(D171/VLOOKUP(A171,'Dados-Status-Invest'!$1:$1000,10,FALSE()),"")</f>
        <v>68257467.12</v>
      </c>
      <c r="K171" s="10" t="n">
        <f aca="false">IFERROR(VLOOKUP(A171,'Dados-Status-Invest'!$1:$1000,3,FALSE())/100,"")</f>
        <v>0.0707</v>
      </c>
      <c r="L171" s="11" t="n">
        <f aca="false">IFERROR(VLOOKUP(A171,'Dados-Status-Invest'!$1:$1000,MATCH(L$1,'Dados-Status-Invest'!$2:$2,0),FALSE())/100,"")</f>
        <v>0.0522</v>
      </c>
      <c r="M171" s="10" t="n">
        <f aca="false">IFERROR(VLOOKUP(A171,'Dados-Status-Invest'!$1:$1000,MATCH(M$1,'Dados-Status-Invest'!$2:$2,0),FALSE())/100,"")</f>
        <v>0.0082</v>
      </c>
      <c r="N171" s="10" t="n">
        <f aca="false">IFERROR(VLOOKUP(A171,'Dados-Status-Invest'!$1:$1000,MATCH(N$1,'Dados-Status-Invest'!$2:$2,0),FALSE())/100,"")</f>
        <v>0</v>
      </c>
      <c r="O171" s="10" t="n">
        <f aca="false">IFERROR(VLOOKUP(A171,'Dados-Status-Invest'!$1:$1000,MATCH(O$1,'Dados-Status-Invest'!$2:$2,0),FALSE())/100,"")</f>
        <v>0.7265</v>
      </c>
      <c r="P171" s="10" t="n">
        <f aca="false">IFERROR(VLOOKUP(A171,'Dados-Status-Invest'!$1:$1000,MATCH(P$1,'Dados-Status-Invest'!$2:$2,0),FALSE())/100,"")</f>
        <v>0.1213</v>
      </c>
      <c r="Q171" s="10" t="n">
        <f aca="false">IFERROR(VLOOKUP(A171,'Dados-Status-Invest'!$1:$1000,MATCH(Q$1,'Dados-Status-Invest'!$2:$2,0),FALSE())/100,"")</f>
        <v>0.0899</v>
      </c>
      <c r="R171" s="12" t="n">
        <f aca="false">IFERROR(VLOOKUP(A171,'Dados-Status-Invest'!$1:$1000,MATCH(R$1,'Dados-Status-Invest'!$2:$2,0),FALSE()),"")</f>
        <v>12.21</v>
      </c>
      <c r="S171" s="12" t="n">
        <f aca="false">IFERROR(VLOOKUP(A171,'Dados-Status-Invest'!$1:$1000,MATCH(S$1,'Dados-Status-Invest'!$2:$2,0),FALSE()),"")</f>
        <v>0.64</v>
      </c>
      <c r="T171" s="12" t="n">
        <f aca="false">IFERROR(VLOOKUP(A171,'Dados-Status-Invest'!$1:$1000,MATCH(T$1,'Dados-Status-Invest'!$2:$2,0),FALSE()),"")</f>
        <v>8.85</v>
      </c>
      <c r="U171" s="12" t="n">
        <f aca="false">IFERROR(VLOOKUP(A171,'Dados-Status-Invest'!$1:$1000,MATCH(U$1,'Dados-Status-Invest'!$2:$2,0),FALSE()),"")</f>
        <v>1.67</v>
      </c>
      <c r="V171" s="12" t="n">
        <f aca="false">IFERROR(VLOOKUP(A171,'Dados-Status-Invest'!$1:$1000,MATCH(V$1,'Dados-Status-Invest'!$2:$2,0),FALSE()),"")</f>
        <v>0</v>
      </c>
      <c r="W171" s="10" t="n">
        <f aca="false">IFERROR(VLOOKUP(A171,'Dados-Status-Invest'!$1:$1000,MATCH(W$1,'Dados-Status-Invest'!$2:$2,0),FALSE())/100,"")</f>
        <v>-0.0718</v>
      </c>
      <c r="X171" s="10" t="n">
        <f aca="false">IFERROR(VLOOKUP(A171,'Dados-Status-Invest'!$1:$1000,MATCH(X$1,'Dados-Status-Invest'!$2:$2,0),FALSE())/100,"")</f>
        <v>0.0686</v>
      </c>
    </row>
    <row r="172" customFormat="false" ht="15.75" hidden="false" customHeight="false" outlineLevel="0" collapsed="false">
      <c r="A172" s="6" t="s">
        <v>203</v>
      </c>
      <c r="B172" s="7" t="str">
        <f aca="false">IFERROR(VLOOKUP(LEFT(A172,4),Setor!A:D,2,FALSE()),"")</f>
        <v>Materiais Básicos</v>
      </c>
      <c r="C172" s="8" t="n">
        <f aca="false">IFERROR(__xludf.dummyfunction("IFERROR(IFERROR(GOOGLEFINANCE(A178,""price""),VLOOKUP(A178,'Dados-Status-Invest'!A:B,2,FALSE)),"""")"),41.6)</f>
        <v>41.6</v>
      </c>
      <c r="D172" s="8" t="n">
        <f aca="false">IFERROR(VLOOKUP(A172,'Dados-Status-Invest'!$1:$1000,MATCH(D$1,'Dados-Status-Invest'!$2:$2,0),FALSE()),"")</f>
        <v>2566851980</v>
      </c>
      <c r="E172" s="8" t="n">
        <f aca="false">IF(D172+H172&gt;0,D172+H172,"")</f>
        <v>2198767743.1</v>
      </c>
      <c r="F172" s="8" t="n">
        <f aca="false">IFERROR(D172/VLOOKUP(A172,'Dados-Status-Invest'!$1:$1000,5,FALSE()),"")</f>
        <v>797159000.1</v>
      </c>
      <c r="G172" s="8" t="n">
        <f aca="false">IFERROR(D172/VLOOKUP(A172,'Dados-Status-Invest'!$1:$1000,6,FALSE()),"")</f>
        <v>1106401716</v>
      </c>
      <c r="H172" s="8" t="n">
        <f aca="false">IFERROR(VLOOKUP(A172,'Dados-Status-Invest'!$1:$1000,12,FALSE())*J172,"")</f>
        <v>-368084236.9</v>
      </c>
      <c r="I172" s="8" t="n">
        <f aca="false">IFERROR(D172/VLOOKUP(A172,'Dados-Status-Invest'!$1:$1000,14,FALSE()),"")</f>
        <v>822708968</v>
      </c>
      <c r="J172" s="9" t="n">
        <f aca="false">IFERROR(D172/VLOOKUP(A172,'Dados-Status-Invest'!$1:$1000,10,FALSE()),"")</f>
        <v>194753564.5</v>
      </c>
      <c r="K172" s="10" t="n">
        <f aca="false">IFERROR(VLOOKUP(A172,'Dados-Status-Invest'!$1:$1000,3,FALSE())/100,"")</f>
        <v>0.0168</v>
      </c>
      <c r="L172" s="11" t="n">
        <f aca="false">IFERROR(VLOOKUP(A172,'Dados-Status-Invest'!$1:$1000,MATCH(L$1,'Dados-Status-Invest'!$2:$2,0),FALSE())/100,"")</f>
        <v>0.2992</v>
      </c>
      <c r="M172" s="10" t="n">
        <f aca="false">IFERROR(VLOOKUP(A172,'Dados-Status-Invest'!$1:$1000,MATCH(M$1,'Dados-Status-Invest'!$2:$2,0),FALSE())/100,"")</f>
        <v>0.2155</v>
      </c>
      <c r="N172" s="10" t="n">
        <f aca="false">IFERROR(VLOOKUP(A172,'Dados-Status-Invest'!$1:$1000,MATCH(N$1,'Dados-Status-Invest'!$2:$2,0),FALSE())/100,"")</f>
        <v>0.1816</v>
      </c>
      <c r="O172" s="10" t="n">
        <f aca="false">IFERROR(VLOOKUP(A172,'Dados-Status-Invest'!$1:$1000,MATCH(O$1,'Dados-Status-Invest'!$2:$2,0),FALSE())/100,"")</f>
        <v>0.3652</v>
      </c>
      <c r="P172" s="10" t="n">
        <f aca="false">IFERROR(VLOOKUP(A172,'Dados-Status-Invest'!$1:$1000,MATCH(P$1,'Dados-Status-Invest'!$2:$2,0),FALSE())/100,"")</f>
        <v>0.237</v>
      </c>
      <c r="Q172" s="10" t="n">
        <f aca="false">IFERROR(VLOOKUP(A172,'Dados-Status-Invest'!$1:$1000,MATCH(Q$1,'Dados-Status-Invest'!$2:$2,0),FALSE())/100,"")</f>
        <v>0.2902</v>
      </c>
      <c r="R172" s="12" t="n">
        <f aca="false">IFERROR(VLOOKUP(A172,'Dados-Status-Invest'!$1:$1000,MATCH(R$1,'Dados-Status-Invest'!$2:$2,0),FALSE()),"")</f>
        <v>10.76</v>
      </c>
      <c r="S172" s="12" t="n">
        <f aca="false">IFERROR(VLOOKUP(A172,'Dados-Status-Invest'!$1:$1000,MATCH(S$1,'Dados-Status-Invest'!$2:$2,0),FALSE()),"")</f>
        <v>3.22</v>
      </c>
      <c r="T172" s="12" t="n">
        <f aca="false">IFERROR(VLOOKUP(A172,'Dados-Status-Invest'!$1:$1000,MATCH(T$1,'Dados-Status-Invest'!$2:$2,0),FALSE()),"")</f>
        <v>11.35</v>
      </c>
      <c r="U172" s="12" t="n">
        <f aca="false">IFERROR(VLOOKUP(A172,'Dados-Status-Invest'!$1:$1000,MATCH(U$1,'Dados-Status-Invest'!$2:$2,0),FALSE()),"")</f>
        <v>6.9</v>
      </c>
      <c r="V172" s="12" t="n">
        <f aca="false">IFERROR(VLOOKUP(A172,'Dados-Status-Invest'!$1:$1000,MATCH(V$1,'Dados-Status-Invest'!$2:$2,0),FALSE()),"")</f>
        <v>-1.89</v>
      </c>
      <c r="W172" s="10" t="n">
        <f aca="false">IFERROR(VLOOKUP(A172,'Dados-Status-Invest'!$1:$1000,MATCH(W$1,'Dados-Status-Invest'!$2:$2,0),FALSE())/100,"")</f>
        <v>0.1593</v>
      </c>
      <c r="X172" s="10" t="n">
        <f aca="false">IFERROR(VLOOKUP(A172,'Dados-Status-Invest'!$1:$1000,MATCH(X$1,'Dados-Status-Invest'!$2:$2,0),FALSE())/100,"")</f>
        <v>0</v>
      </c>
    </row>
    <row r="173" customFormat="false" ht="15.75" hidden="false" customHeight="false" outlineLevel="0" collapsed="false">
      <c r="A173" s="6" t="s">
        <v>204</v>
      </c>
      <c r="B173" s="7" t="str">
        <f aca="false">IFERROR(VLOOKUP(LEFT(A173,4),Setor!A:D,2,FALSE()),"")</f>
        <v>Materiais Básicos</v>
      </c>
      <c r="C173" s="8" t="n">
        <f aca="false">IFERROR(__xludf.dummyfunction("IFERROR(IFERROR(GOOGLEFINANCE(A179,""price""),VLOOKUP(A179,'Dados-Status-Invest'!A:B,2,FALSE)),"""")"),38.04)</f>
        <v>38.04</v>
      </c>
      <c r="D173" s="8" t="n">
        <f aca="false">IFERROR(VLOOKUP(A173,'Dados-Status-Invest'!$1:$1000,MATCH(D$1,'Dados-Status-Invest'!$2:$2,0),FALSE()),"")</f>
        <v>2566851980</v>
      </c>
      <c r="E173" s="8" t="n">
        <f aca="false">IF(D173+H173&gt;0,D173+H173,"")</f>
        <v>2201539461.7</v>
      </c>
      <c r="F173" s="8" t="n">
        <f aca="false">IFERROR(D173/VLOOKUP(A173,'Dados-Status-Invest'!$1:$1000,5,FALSE()),"")</f>
        <v>789800609.3</v>
      </c>
      <c r="G173" s="8" t="n">
        <f aca="false">IFERROR(D173/VLOOKUP(A173,'Dados-Status-Invest'!$1:$1000,6,FALSE()),"")</f>
        <v>1096945291</v>
      </c>
      <c r="H173" s="8" t="n">
        <f aca="false">IFERROR(VLOOKUP(A173,'Dados-Status-Invest'!$1:$1000,12,FALSE())*J173,"")</f>
        <v>-365312518.3</v>
      </c>
      <c r="I173" s="8" t="n">
        <f aca="false">IFERROR(D173/VLOOKUP(A173,'Dados-Status-Invest'!$1:$1000,14,FALSE()),"")</f>
        <v>814873644.5</v>
      </c>
      <c r="J173" s="9" t="n">
        <f aca="false">IFERROR(D173/VLOOKUP(A173,'Dados-Status-Invest'!$1:$1000,10,FALSE()),"")</f>
        <v>193287046.7</v>
      </c>
      <c r="K173" s="10" t="n">
        <f aca="false">IFERROR(VLOOKUP(A173,'Dados-Status-Invest'!$1:$1000,3,FALSE())/100,"")</f>
        <v>0.0167</v>
      </c>
      <c r="L173" s="11" t="n">
        <f aca="false">IFERROR(VLOOKUP(A173,'Dados-Status-Invest'!$1:$1000,MATCH(L$1,'Dados-Status-Invest'!$2:$2,0),FALSE())/100,"")</f>
        <v>0.2992</v>
      </c>
      <c r="M173" s="10" t="n">
        <f aca="false">IFERROR(VLOOKUP(A173,'Dados-Status-Invest'!$1:$1000,MATCH(M$1,'Dados-Status-Invest'!$2:$2,0),FALSE())/100,"")</f>
        <v>0.2155</v>
      </c>
      <c r="N173" s="10" t="n">
        <f aca="false">IFERROR(VLOOKUP(A173,'Dados-Status-Invest'!$1:$1000,MATCH(N$1,'Dados-Status-Invest'!$2:$2,0),FALSE())/100,"")</f>
        <v>0.1816</v>
      </c>
      <c r="O173" s="10" t="n">
        <f aca="false">IFERROR(VLOOKUP(A173,'Dados-Status-Invest'!$1:$1000,MATCH(O$1,'Dados-Status-Invest'!$2:$2,0),FALSE())/100,"")</f>
        <v>0.3652</v>
      </c>
      <c r="P173" s="10" t="n">
        <f aca="false">IFERROR(VLOOKUP(A173,'Dados-Status-Invest'!$1:$1000,MATCH(P$1,'Dados-Status-Invest'!$2:$2,0),FALSE())/100,"")</f>
        <v>0.237</v>
      </c>
      <c r="Q173" s="10" t="n">
        <f aca="false">IFERROR(VLOOKUP(A173,'Dados-Status-Invest'!$1:$1000,MATCH(Q$1,'Dados-Status-Invest'!$2:$2,0),FALSE())/100,"")</f>
        <v>0.2902</v>
      </c>
      <c r="R173" s="12" t="n">
        <f aca="false">IFERROR(VLOOKUP(A173,'Dados-Status-Invest'!$1:$1000,MATCH(R$1,'Dados-Status-Invest'!$2:$2,0),FALSE()),"")</f>
        <v>10.85</v>
      </c>
      <c r="S173" s="12" t="n">
        <f aca="false">IFERROR(VLOOKUP(A173,'Dados-Status-Invest'!$1:$1000,MATCH(S$1,'Dados-Status-Invest'!$2:$2,0),FALSE()),"")</f>
        <v>3.25</v>
      </c>
      <c r="T173" s="12" t="n">
        <f aca="false">IFERROR(VLOOKUP(A173,'Dados-Status-Invest'!$1:$1000,MATCH(T$1,'Dados-Status-Invest'!$2:$2,0),FALSE()),"")</f>
        <v>11.35</v>
      </c>
      <c r="U173" s="12" t="n">
        <f aca="false">IFERROR(VLOOKUP(A173,'Dados-Status-Invest'!$1:$1000,MATCH(U$1,'Dados-Status-Invest'!$2:$2,0),FALSE()),"")</f>
        <v>6.9</v>
      </c>
      <c r="V173" s="12" t="n">
        <f aca="false">IFERROR(VLOOKUP(A173,'Dados-Status-Invest'!$1:$1000,MATCH(V$1,'Dados-Status-Invest'!$2:$2,0),FALSE()),"")</f>
        <v>-1.89</v>
      </c>
      <c r="W173" s="10" t="n">
        <f aca="false">IFERROR(VLOOKUP(A173,'Dados-Status-Invest'!$1:$1000,MATCH(W$1,'Dados-Status-Invest'!$2:$2,0),FALSE())/100,"")</f>
        <v>0.1593</v>
      </c>
      <c r="X173" s="10" t="n">
        <f aca="false">IFERROR(VLOOKUP(A173,'Dados-Status-Invest'!$1:$1000,MATCH(X$1,'Dados-Status-Invest'!$2:$2,0),FALSE())/100,"")</f>
        <v>0</v>
      </c>
    </row>
    <row r="174" customFormat="false" ht="15.75" hidden="false" customHeight="false" outlineLevel="0" collapsed="false">
      <c r="A174" s="6" t="s">
        <v>205</v>
      </c>
      <c r="B174" s="7" t="str">
        <f aca="false">IFERROR(VLOOKUP(LEFT(A174,4),Setor!A:D,2,FALSE()),"")</f>
        <v>Materiais Básicos</v>
      </c>
      <c r="C174" s="8" t="n">
        <f aca="false">IFERROR(__xludf.dummyfunction("IFERROR(IFERROR(GOOGLEFINANCE(A180,""price""),VLOOKUP(A180,'Dados-Status-Invest'!A:B,2,FALSE)),"""")"),39.5)</f>
        <v>39.5</v>
      </c>
      <c r="D174" s="8" t="n">
        <f aca="false">IFERROR(VLOOKUP(A174,'Dados-Status-Invest'!$1:$1000,MATCH(D$1,'Dados-Status-Invest'!$2:$2,0),FALSE()),"")</f>
        <v>2566851980</v>
      </c>
      <c r="E174" s="8" t="n">
        <f aca="false">IF(D174+H174&gt;0,D174+H174,"")</f>
        <v>2206959528.8</v>
      </c>
      <c r="F174" s="8" t="n">
        <f aca="false">IFERROR(D174/VLOOKUP(A174,'Dados-Status-Invest'!$1:$1000,5,FALSE()),"")</f>
        <v>780198170.3</v>
      </c>
      <c r="G174" s="8" t="n">
        <f aca="false">IFERROR(D174/VLOOKUP(A174,'Dados-Status-Invest'!$1:$1000,6,FALSE()),"")</f>
        <v>1083059907</v>
      </c>
      <c r="H174" s="8" t="n">
        <f aca="false">IFERROR(VLOOKUP(A174,'Dados-Status-Invest'!$1:$1000,12,FALSE())*J174,"")</f>
        <v>-359892451.2</v>
      </c>
      <c r="I174" s="8" t="n">
        <f aca="false">IFERROR(D174/VLOOKUP(A174,'Dados-Status-Invest'!$1:$1000,14,FALSE()),"")</f>
        <v>804655793.2</v>
      </c>
      <c r="J174" s="9" t="n">
        <f aca="false">IFERROR(D174/VLOOKUP(A174,'Dados-Status-Invest'!$1:$1000,10,FALSE()),"")</f>
        <v>190419286.4</v>
      </c>
      <c r="K174" s="10" t="n">
        <f aca="false">IFERROR(VLOOKUP(A174,'Dados-Status-Invest'!$1:$1000,3,FALSE())/100,"")</f>
        <v>0.0165</v>
      </c>
      <c r="L174" s="11" t="n">
        <f aca="false">IFERROR(VLOOKUP(A174,'Dados-Status-Invest'!$1:$1000,MATCH(L$1,'Dados-Status-Invest'!$2:$2,0),FALSE())/100,"")</f>
        <v>0.2992</v>
      </c>
      <c r="M174" s="10" t="n">
        <f aca="false">IFERROR(VLOOKUP(A174,'Dados-Status-Invest'!$1:$1000,MATCH(M$1,'Dados-Status-Invest'!$2:$2,0),FALSE())/100,"")</f>
        <v>0.2155</v>
      </c>
      <c r="N174" s="10" t="n">
        <f aca="false">IFERROR(VLOOKUP(A174,'Dados-Status-Invest'!$1:$1000,MATCH(N$1,'Dados-Status-Invest'!$2:$2,0),FALSE())/100,"")</f>
        <v>0.1816</v>
      </c>
      <c r="O174" s="10" t="n">
        <f aca="false">IFERROR(VLOOKUP(A174,'Dados-Status-Invest'!$1:$1000,MATCH(O$1,'Dados-Status-Invest'!$2:$2,0),FALSE())/100,"")</f>
        <v>0.3652</v>
      </c>
      <c r="P174" s="10" t="n">
        <f aca="false">IFERROR(VLOOKUP(A174,'Dados-Status-Invest'!$1:$1000,MATCH(P$1,'Dados-Status-Invest'!$2:$2,0),FALSE())/100,"")</f>
        <v>0.237</v>
      </c>
      <c r="Q174" s="10" t="n">
        <f aca="false">IFERROR(VLOOKUP(A174,'Dados-Status-Invest'!$1:$1000,MATCH(Q$1,'Dados-Status-Invest'!$2:$2,0),FALSE())/100,"")</f>
        <v>0.2902</v>
      </c>
      <c r="R174" s="12" t="n">
        <f aca="false">IFERROR(VLOOKUP(A174,'Dados-Status-Invest'!$1:$1000,MATCH(R$1,'Dados-Status-Invest'!$2:$2,0),FALSE()),"")</f>
        <v>11.01</v>
      </c>
      <c r="S174" s="12" t="n">
        <f aca="false">IFERROR(VLOOKUP(A174,'Dados-Status-Invest'!$1:$1000,MATCH(S$1,'Dados-Status-Invest'!$2:$2,0),FALSE()),"")</f>
        <v>3.29</v>
      </c>
      <c r="T174" s="12" t="n">
        <f aca="false">IFERROR(VLOOKUP(A174,'Dados-Status-Invest'!$1:$1000,MATCH(T$1,'Dados-Status-Invest'!$2:$2,0),FALSE()),"")</f>
        <v>11.35</v>
      </c>
      <c r="U174" s="12" t="n">
        <f aca="false">IFERROR(VLOOKUP(A174,'Dados-Status-Invest'!$1:$1000,MATCH(U$1,'Dados-Status-Invest'!$2:$2,0),FALSE()),"")</f>
        <v>6.9</v>
      </c>
      <c r="V174" s="12" t="n">
        <f aca="false">IFERROR(VLOOKUP(A174,'Dados-Status-Invest'!$1:$1000,MATCH(V$1,'Dados-Status-Invest'!$2:$2,0),FALSE()),"")</f>
        <v>-1.89</v>
      </c>
      <c r="W174" s="10" t="n">
        <f aca="false">IFERROR(VLOOKUP(A174,'Dados-Status-Invest'!$1:$1000,MATCH(W$1,'Dados-Status-Invest'!$2:$2,0),FALSE())/100,"")</f>
        <v>0.1593</v>
      </c>
      <c r="X174" s="10" t="n">
        <f aca="false">IFERROR(VLOOKUP(A174,'Dados-Status-Invest'!$1:$1000,MATCH(X$1,'Dados-Status-Invest'!$2:$2,0),FALSE())/100,"")</f>
        <v>0</v>
      </c>
    </row>
    <row r="175" customFormat="false" ht="15.75" hidden="false" customHeight="false" outlineLevel="0" collapsed="false">
      <c r="A175" s="6" t="s">
        <v>206</v>
      </c>
      <c r="B175" s="7" t="str">
        <f aca="false">IFERROR(VLOOKUP(LEFT(A175,4),Setor!A:D,2,FALSE()),"")</f>
        <v>Financeiro</v>
      </c>
      <c r="C175" s="8" t="n">
        <f aca="false">IFERROR(__xludf.dummyfunction("IFERROR(IFERROR(GOOGLEFINANCE(A181,""price""),VLOOKUP(A181,'Dados-Status-Invest'!A:B,2,FALSE)),"""")"),65)</f>
        <v>65</v>
      </c>
      <c r="D175" s="8" t="n">
        <f aca="false">IFERROR(VLOOKUP(A175,'Dados-Status-Invest'!$1:$1000,MATCH(D$1,'Dados-Status-Invest'!$2:$2,0),FALSE()),"")</f>
        <v>441600000</v>
      </c>
      <c r="E175" s="8" t="n">
        <f aca="false">IF(D175+H175&gt;0,D175+H175,"")</f>
        <v>441600000</v>
      </c>
      <c r="F175" s="8" t="n">
        <f aca="false">IFERROR(D175/VLOOKUP(A175,'Dados-Status-Invest'!$1:$1000,5,FALSE()),"")</f>
        <v>153867595.8</v>
      </c>
      <c r="G175" s="8" t="n">
        <f aca="false">IFERROR(D175/VLOOKUP(A175,'Dados-Status-Invest'!$1:$1000,6,FALSE()),"")</f>
        <v>334545454.5</v>
      </c>
      <c r="H175" s="8" t="n">
        <f aca="false">IFERROR(VLOOKUP(A175,'Dados-Status-Invest'!$1:$1000,12,FALSE())*J175,"")</f>
        <v>0</v>
      </c>
      <c r="I175" s="8" t="n">
        <f aca="false">IFERROR(D175/VLOOKUP(A175,'Dados-Status-Invest'!$1:$1000,14,FALSE()),"")</f>
        <v>2580494.361</v>
      </c>
      <c r="J175" s="9" t="n">
        <f aca="false">IFERROR(D175/VLOOKUP(A175,'Dados-Status-Invest'!$1:$1000,10,FALSE()),"")</f>
        <v>44027916.25</v>
      </c>
      <c r="K175" s="10" t="n">
        <f aca="false">IFERROR(VLOOKUP(A175,'Dados-Status-Invest'!$1:$1000,3,FALSE())/100,"")</f>
        <v>0.0286</v>
      </c>
      <c r="L175" s="11" t="n">
        <f aca="false">IFERROR(VLOOKUP(A175,'Dados-Status-Invest'!$1:$1000,MATCH(L$1,'Dados-Status-Invest'!$2:$2,0),FALSE())/100,"")</f>
        <v>0.296</v>
      </c>
      <c r="M175" s="10" t="n">
        <f aca="false">IFERROR(VLOOKUP(A175,'Dados-Status-Invest'!$1:$1000,MATCH(M$1,'Dados-Status-Invest'!$2:$2,0),FALSE())/100,"")</f>
        <v>0.1363</v>
      </c>
      <c r="N175" s="10" t="n">
        <f aca="false">IFERROR(VLOOKUP(A175,'Dados-Status-Invest'!$1:$1000,MATCH(N$1,'Dados-Status-Invest'!$2:$2,0),FALSE())/100,"")</f>
        <v>0</v>
      </c>
      <c r="O175" s="10" t="n">
        <f aca="false">IFERROR(VLOOKUP(A175,'Dados-Status-Invest'!$1:$1000,MATCH(O$1,'Dados-Status-Invest'!$2:$2,0),FALSE())/100,"")</f>
        <v>2.0675</v>
      </c>
      <c r="P175" s="10" t="n">
        <f aca="false">IFERROR(VLOOKUP(A175,'Dados-Status-Invest'!$1:$1000,MATCH(P$1,'Dados-Status-Invest'!$2:$2,0),FALSE())/100,"")</f>
        <v>17.0597</v>
      </c>
      <c r="Q175" s="10" t="n">
        <f aca="false">IFERROR(VLOOKUP(A175,'Dados-Status-Invest'!$1:$1000,MATCH(Q$1,'Dados-Status-Invest'!$2:$2,0),FALSE())/100,"")</f>
        <v>17.6243</v>
      </c>
      <c r="R175" s="12" t="n">
        <f aca="false">IFERROR(VLOOKUP(A175,'Dados-Status-Invest'!$1:$1000,MATCH(R$1,'Dados-Status-Invest'!$2:$2,0),FALSE()),"")</f>
        <v>9.71</v>
      </c>
      <c r="S175" s="12" t="n">
        <f aca="false">IFERROR(VLOOKUP(A175,'Dados-Status-Invest'!$1:$1000,MATCH(S$1,'Dados-Status-Invest'!$2:$2,0),FALSE()),"")</f>
        <v>2.87</v>
      </c>
      <c r="T175" s="12" t="n">
        <f aca="false">IFERROR(VLOOKUP(A175,'Dados-Status-Invest'!$1:$1000,MATCH(T$1,'Dados-Status-Invest'!$2:$2,0),FALSE()),"")</f>
        <v>8.87</v>
      </c>
      <c r="U175" s="12" t="n">
        <f aca="false">IFERROR(VLOOKUP(A175,'Dados-Status-Invest'!$1:$1000,MATCH(U$1,'Dados-Status-Invest'!$2:$2,0),FALSE()),"")</f>
        <v>2.18</v>
      </c>
      <c r="V175" s="12" t="n">
        <f aca="false">IFERROR(VLOOKUP(A175,'Dados-Status-Invest'!$1:$1000,MATCH(V$1,'Dados-Status-Invest'!$2:$2,0),FALSE()),"")</f>
        <v>0</v>
      </c>
      <c r="W175" s="10" t="n">
        <f aca="false">IFERROR(VLOOKUP(A175,'Dados-Status-Invest'!$1:$1000,MATCH(W$1,'Dados-Status-Invest'!$2:$2,0),FALSE())/100,"")</f>
        <v>-0.4188</v>
      </c>
      <c r="X175" s="10" t="n">
        <f aca="false">IFERROR(VLOOKUP(A175,'Dados-Status-Invest'!$1:$1000,MATCH(X$1,'Dados-Status-Invest'!$2:$2,0),FALSE())/100,"")</f>
        <v>0.0202</v>
      </c>
    </row>
    <row r="176" customFormat="false" ht="15.75" hidden="false" customHeight="false" outlineLevel="0" collapsed="false">
      <c r="A176" s="6" t="s">
        <v>207</v>
      </c>
      <c r="B176" s="7" t="str">
        <f aca="false">IFERROR(VLOOKUP(LEFT(A176,4),Setor!A:D,2,FALSE()),"")</f>
        <v>Financeiro</v>
      </c>
      <c r="C176" s="8" t="n">
        <f aca="false">IFERROR(__xludf.dummyfunction("IFERROR(IFERROR(GOOGLEFINANCE(A182,""price""),VLOOKUP(A182,'Dados-Status-Invest'!A:B,2,FALSE)),"""")"),50)</f>
        <v>50</v>
      </c>
      <c r="D176" s="8" t="n">
        <f aca="false">IFERROR(VLOOKUP(A176,'Dados-Status-Invest'!$1:$1000,MATCH(D$1,'Dados-Status-Invest'!$2:$2,0),FALSE()),"")</f>
        <v>441600000</v>
      </c>
      <c r="E176" s="8" t="n">
        <f aca="false">IF(D176+H176&gt;0,D176+H176,"")</f>
        <v>441600000</v>
      </c>
      <c r="F176" s="8" t="n">
        <f aca="false">IFERROR(D176/VLOOKUP(A176,'Dados-Status-Invest'!$1:$1000,5,FALSE()),"")</f>
        <v>199819004.5</v>
      </c>
      <c r="G176" s="8" t="n">
        <f aca="false">IFERROR(D176/VLOOKUP(A176,'Dados-Status-Invest'!$1:$1000,6,FALSE()),"")</f>
        <v>432941176.5</v>
      </c>
      <c r="H176" s="8" t="n">
        <f aca="false">IFERROR(VLOOKUP(A176,'Dados-Status-Invest'!$1:$1000,12,FALSE())*J176,"")</f>
        <v>0</v>
      </c>
      <c r="I176" s="8" t="n">
        <f aca="false">IFERROR(D176/VLOOKUP(A176,'Dados-Status-Invest'!$1:$1000,14,FALSE()),"")</f>
        <v>3354603.464</v>
      </c>
      <c r="J176" s="9" t="n">
        <f aca="false">IFERROR(D176/VLOOKUP(A176,'Dados-Status-Invest'!$1:$1000,10,FALSE()),"")</f>
        <v>57202072.54</v>
      </c>
      <c r="K176" s="10" t="n">
        <f aca="false">IFERROR(VLOOKUP(A176,'Dados-Status-Invest'!$1:$1000,3,FALSE())/100,"")</f>
        <v>0.0409</v>
      </c>
      <c r="L176" s="11" t="n">
        <f aca="false">IFERROR(VLOOKUP(A176,'Dados-Status-Invest'!$1:$1000,MATCH(L$1,'Dados-Status-Invest'!$2:$2,0),FALSE())/100,"")</f>
        <v>0.296</v>
      </c>
      <c r="M176" s="10" t="n">
        <f aca="false">IFERROR(VLOOKUP(A176,'Dados-Status-Invest'!$1:$1000,MATCH(M$1,'Dados-Status-Invest'!$2:$2,0),FALSE())/100,"")</f>
        <v>0.1363</v>
      </c>
      <c r="N176" s="10" t="n">
        <f aca="false">IFERROR(VLOOKUP(A176,'Dados-Status-Invest'!$1:$1000,MATCH(N$1,'Dados-Status-Invest'!$2:$2,0),FALSE())/100,"")</f>
        <v>0</v>
      </c>
      <c r="O176" s="10" t="n">
        <f aca="false">IFERROR(VLOOKUP(A176,'Dados-Status-Invest'!$1:$1000,MATCH(O$1,'Dados-Status-Invest'!$2:$2,0),FALSE())/100,"")</f>
        <v>2.0675</v>
      </c>
      <c r="P176" s="10" t="n">
        <f aca="false">IFERROR(VLOOKUP(A176,'Dados-Status-Invest'!$1:$1000,MATCH(P$1,'Dados-Status-Invest'!$2:$2,0),FALSE())/100,"")</f>
        <v>17.0597</v>
      </c>
      <c r="Q176" s="10" t="n">
        <f aca="false">IFERROR(VLOOKUP(A176,'Dados-Status-Invest'!$1:$1000,MATCH(Q$1,'Dados-Status-Invest'!$2:$2,0),FALSE())/100,"")</f>
        <v>17.6243</v>
      </c>
      <c r="R176" s="12" t="n">
        <f aca="false">IFERROR(VLOOKUP(A176,'Dados-Status-Invest'!$1:$1000,MATCH(R$1,'Dados-Status-Invest'!$2:$2,0),FALSE()),"")</f>
        <v>7.47</v>
      </c>
      <c r="S176" s="12" t="n">
        <f aca="false">IFERROR(VLOOKUP(A176,'Dados-Status-Invest'!$1:$1000,MATCH(S$1,'Dados-Status-Invest'!$2:$2,0),FALSE()),"")</f>
        <v>2.21</v>
      </c>
      <c r="T176" s="12" t="n">
        <f aca="false">IFERROR(VLOOKUP(A176,'Dados-Status-Invest'!$1:$1000,MATCH(T$1,'Dados-Status-Invest'!$2:$2,0),FALSE()),"")</f>
        <v>8.87</v>
      </c>
      <c r="U176" s="12" t="n">
        <f aca="false">IFERROR(VLOOKUP(A176,'Dados-Status-Invest'!$1:$1000,MATCH(U$1,'Dados-Status-Invest'!$2:$2,0),FALSE()),"")</f>
        <v>2.18</v>
      </c>
      <c r="V176" s="12" t="n">
        <f aca="false">IFERROR(VLOOKUP(A176,'Dados-Status-Invest'!$1:$1000,MATCH(V$1,'Dados-Status-Invest'!$2:$2,0),FALSE()),"")</f>
        <v>0</v>
      </c>
      <c r="W176" s="10" t="n">
        <f aca="false">IFERROR(VLOOKUP(A176,'Dados-Status-Invest'!$1:$1000,MATCH(W$1,'Dados-Status-Invest'!$2:$2,0),FALSE())/100,"")</f>
        <v>-0.4188</v>
      </c>
      <c r="X176" s="10" t="n">
        <f aca="false">IFERROR(VLOOKUP(A176,'Dados-Status-Invest'!$1:$1000,MATCH(X$1,'Dados-Status-Invest'!$2:$2,0),FALSE())/100,"")</f>
        <v>0.0202</v>
      </c>
    </row>
    <row r="177" customFormat="false" ht="15.75" hidden="false" customHeight="false" outlineLevel="0" collapsed="false">
      <c r="A177" s="6" t="s">
        <v>208</v>
      </c>
      <c r="B177" s="7" t="str">
        <f aca="false">IFERROR(VLOOKUP(LEFT(A177,4),Setor!A:D,2,FALSE()),"")</f>
        <v>Petróleo, Gás e Biocombustíveis</v>
      </c>
      <c r="C177" s="8" t="n">
        <f aca="false">IFERROR(__xludf.dummyfunction("IFERROR(IFERROR(GOOGLEFINANCE(A183,""price""),VLOOKUP(A183,'Dados-Status-Invest'!A:B,2,FALSE)),"""")"),19.36)</f>
        <v>19.36</v>
      </c>
      <c r="D177" s="8" t="n">
        <f aca="false">IFERROR(VLOOKUP(A177,'Dados-Status-Invest'!$1:$1000,MATCH(D$1,'Dados-Status-Invest'!$2:$2,0),FALSE()),"")</f>
        <v>44827776693</v>
      </c>
      <c r="E177" s="8" t="n">
        <f aca="false">IF(D177+H177&gt;0,D177+H177,"")</f>
        <v>76537240820</v>
      </c>
      <c r="F177" s="8" t="n">
        <f aca="false">IFERROR(D177/VLOOKUP(A177,'Dados-Status-Invest'!$1:$1000,5,FALSE()),"")</f>
        <v>10073657684</v>
      </c>
      <c r="G177" s="8" t="n">
        <f aca="false">IFERROR(D177/VLOOKUP(A177,'Dados-Status-Invest'!$1:$1000,6,FALSE()),"")</f>
        <v>77289270161</v>
      </c>
      <c r="H177" s="8" t="n">
        <f aca="false">IFERROR(VLOOKUP(A177,'Dados-Status-Invest'!$1:$1000,12,FALSE())*J177,"")</f>
        <v>31709464127</v>
      </c>
      <c r="I177" s="8" t="n">
        <f aca="false">IFERROR(D177/VLOOKUP(A177,'Dados-Status-Invest'!$1:$1000,14,FALSE()),"")</f>
        <v>14697631703</v>
      </c>
      <c r="J177" s="9" t="n">
        <f aca="false">IFERROR(D177/VLOOKUP(A177,'Dados-Status-Invest'!$1:$1000,10,FALSE()),"")</f>
        <v>2750170349</v>
      </c>
      <c r="K177" s="10" t="n">
        <f aca="false">IFERROR(VLOOKUP(A177,'Dados-Status-Invest'!$1:$1000,3,FALSE())/100,"")</f>
        <v>0.0108</v>
      </c>
      <c r="L177" s="11" t="n">
        <f aca="false">IFERROR(VLOOKUP(A177,'Dados-Status-Invest'!$1:$1000,MATCH(L$1,'Dados-Status-Invest'!$2:$2,0),FALSE())/100,"")</f>
        <v>0.1379</v>
      </c>
      <c r="M177" s="10" t="n">
        <f aca="false">IFERROR(VLOOKUP(A177,'Dados-Status-Invest'!$1:$1000,MATCH(M$1,'Dados-Status-Invest'!$2:$2,0),FALSE())/100,"")</f>
        <v>0.018</v>
      </c>
      <c r="N177" s="10" t="n">
        <f aca="false">IFERROR(VLOOKUP(A177,'Dados-Status-Invest'!$1:$1000,MATCH(N$1,'Dados-Status-Invest'!$2:$2,0),FALSE())/100,"")</f>
        <v>0.0411</v>
      </c>
      <c r="O177" s="10" t="n">
        <f aca="false">IFERROR(VLOOKUP(A177,'Dados-Status-Invest'!$1:$1000,MATCH(O$1,'Dados-Status-Invest'!$2:$2,0),FALSE())/100,"")</f>
        <v>0.273</v>
      </c>
      <c r="P177" s="10" t="n">
        <f aca="false">IFERROR(VLOOKUP(A177,'Dados-Status-Invest'!$1:$1000,MATCH(P$1,'Dados-Status-Invest'!$2:$2,0),FALSE())/100,"")</f>
        <v>0.187</v>
      </c>
      <c r="Q177" s="10" t="n">
        <f aca="false">IFERROR(VLOOKUP(A177,'Dados-Status-Invest'!$1:$1000,MATCH(Q$1,'Dados-Status-Invest'!$2:$2,0),FALSE())/100,"")</f>
        <v>0.0943</v>
      </c>
      <c r="R177" s="12" t="n">
        <f aca="false">IFERROR(VLOOKUP(A177,'Dados-Status-Invest'!$1:$1000,MATCH(R$1,'Dados-Status-Invest'!$2:$2,0),FALSE()),"")</f>
        <v>32.3</v>
      </c>
      <c r="S177" s="12" t="n">
        <f aca="false">IFERROR(VLOOKUP(A177,'Dados-Status-Invest'!$1:$1000,MATCH(S$1,'Dados-Status-Invest'!$2:$2,0),FALSE()),"")</f>
        <v>4.45</v>
      </c>
      <c r="T177" s="12" t="n">
        <f aca="false">IFERROR(VLOOKUP(A177,'Dados-Status-Invest'!$1:$1000,MATCH(T$1,'Dados-Status-Invest'!$2:$2,0),FALSE()),"")</f>
        <v>27.82</v>
      </c>
      <c r="U177" s="12" t="n">
        <f aca="false">IFERROR(VLOOKUP(A177,'Dados-Status-Invest'!$1:$1000,MATCH(U$1,'Dados-Status-Invest'!$2:$2,0),FALSE()),"")</f>
        <v>2.16</v>
      </c>
      <c r="V177" s="12" t="n">
        <f aca="false">IFERROR(VLOOKUP(A177,'Dados-Status-Invest'!$1:$1000,MATCH(V$1,'Dados-Status-Invest'!$2:$2,0),FALSE()),"")</f>
        <v>11.53</v>
      </c>
      <c r="W177" s="10" t="n">
        <f aca="false">IFERROR(VLOOKUP(A177,'Dados-Status-Invest'!$1:$1000,MATCH(W$1,'Dados-Status-Invest'!$2:$2,0),FALSE())/100,"")</f>
        <v>0.101</v>
      </c>
      <c r="X177" s="10" t="n">
        <f aca="false">IFERROR(VLOOKUP(A177,'Dados-Status-Invest'!$1:$1000,MATCH(X$1,'Dados-Status-Invest'!$2:$2,0),FALSE())/100,"")</f>
        <v>0.0061</v>
      </c>
    </row>
    <row r="178" customFormat="false" ht="15.75" hidden="false" customHeight="false" outlineLevel="0" collapsed="false">
      <c r="A178" s="6" t="s">
        <v>209</v>
      </c>
      <c r="B178" s="7" t="s">
        <v>38</v>
      </c>
      <c r="C178" s="8" t="n">
        <f aca="false">IFERROR(__xludf.dummyfunction("IFERROR(IFERROR(GOOGLEFINANCE(A184,""price""),VLOOKUP(A184,'Dados-Status-Invest'!A:B,2,FALSE)),"""")"),3.43)</f>
        <v>3.43</v>
      </c>
      <c r="D178" s="8" t="n">
        <f aca="false">IFERROR(VLOOKUP(A178,'Dados-Status-Invest'!$1:$1000,MATCH(D$1,'Dados-Status-Invest'!$2:$2,0),FALSE()),"")</f>
        <v>5746424712</v>
      </c>
      <c r="E178" s="8" t="n">
        <f aca="false">IF(D178+H178&gt;0,D178+H178,"")</f>
        <v>5803299150.13</v>
      </c>
      <c r="F178" s="8" t="n">
        <f aca="false">IFERROR(D178/VLOOKUP(A178,'Dados-Status-Invest'!$1:$1000,5,FALSE()),"")</f>
        <v>1481037297</v>
      </c>
      <c r="G178" s="8" t="n">
        <f aca="false">IFERROR(D178/VLOOKUP(A178,'Dados-Status-Invest'!$1:$1000,6,FALSE()),"")</f>
        <v>4749111332</v>
      </c>
      <c r="H178" s="8" t="n">
        <f aca="false">IFERROR(VLOOKUP(A178,'Dados-Status-Invest'!$1:$1000,12,FALSE())*J178,"")</f>
        <v>56874438.13</v>
      </c>
      <c r="I178" s="8" t="n">
        <f aca="false">IFERROR(D178/VLOOKUP(A178,'Dados-Status-Invest'!$1:$1000,14,FALSE()),"")</f>
        <v>1807051796</v>
      </c>
      <c r="J178" s="9" t="n">
        <f aca="false">IFERROR(D178/VLOOKUP(A178,'Dados-Status-Invest'!$1:$1000,10,FALSE()),"")</f>
        <v>210646067.2</v>
      </c>
      <c r="K178" s="10" t="n">
        <f aca="false">IFERROR(VLOOKUP(A178,'Dados-Status-Invest'!$1:$1000,3,FALSE())/100,"")</f>
        <v>0</v>
      </c>
      <c r="L178" s="11" t="n">
        <f aca="false">IFERROR(VLOOKUP(A178,'Dados-Status-Invest'!$1:$1000,MATCH(L$1,'Dados-Status-Invest'!$2:$2,0),FALSE())/100,"")</f>
        <v>-0.0008</v>
      </c>
      <c r="M178" s="10" t="n">
        <f aca="false">IFERROR(VLOOKUP(A178,'Dados-Status-Invest'!$1:$1000,MATCH(M$1,'Dados-Status-Invest'!$2:$2,0),FALSE())/100,"")</f>
        <v>-0.0003</v>
      </c>
      <c r="N178" s="10" t="n">
        <f aca="false">IFERROR(VLOOKUP(A178,'Dados-Status-Invest'!$1:$1000,MATCH(N$1,'Dados-Status-Invest'!$2:$2,0),FALSE())/100,"")</f>
        <v>0.0724</v>
      </c>
      <c r="O178" s="10" t="n">
        <f aca="false">IFERROR(VLOOKUP(A178,'Dados-Status-Invest'!$1:$1000,MATCH(O$1,'Dados-Status-Invest'!$2:$2,0),FALSE())/100,"")</f>
        <v>0.4917</v>
      </c>
      <c r="P178" s="10" t="n">
        <f aca="false">IFERROR(VLOOKUP(A178,'Dados-Status-Invest'!$1:$1000,MATCH(P$1,'Dados-Status-Invest'!$2:$2,0),FALSE())/100,"")</f>
        <v>0.1164</v>
      </c>
      <c r="Q178" s="10" t="n">
        <f aca="false">IFERROR(VLOOKUP(A178,'Dados-Status-Invest'!$1:$1000,MATCH(Q$1,'Dados-Status-Invest'!$2:$2,0),FALSE())/100,"")</f>
        <v>-0.0007</v>
      </c>
      <c r="R178" s="12" t="n">
        <f aca="false">IFERROR(VLOOKUP(A178,'Dados-Status-Invest'!$1:$1000,MATCH(R$1,'Dados-Status-Invest'!$2:$2,0),FALSE()),"")</f>
        <v>-4592.27</v>
      </c>
      <c r="S178" s="12" t="n">
        <f aca="false">IFERROR(VLOOKUP(A178,'Dados-Status-Invest'!$1:$1000,MATCH(S$1,'Dados-Status-Invest'!$2:$2,0),FALSE()),"")</f>
        <v>3.88</v>
      </c>
      <c r="T178" s="12" t="n">
        <f aca="false">IFERROR(VLOOKUP(A178,'Dados-Status-Invest'!$1:$1000,MATCH(T$1,'Dados-Status-Invest'!$2:$2,0),FALSE()),"")</f>
        <v>27.62</v>
      </c>
      <c r="U178" s="12" t="n">
        <f aca="false">IFERROR(VLOOKUP(A178,'Dados-Status-Invest'!$1:$1000,MATCH(U$1,'Dados-Status-Invest'!$2:$2,0),FALSE()),"")</f>
        <v>2.6</v>
      </c>
      <c r="V178" s="12" t="n">
        <f aca="false">IFERROR(VLOOKUP(A178,'Dados-Status-Invest'!$1:$1000,MATCH(V$1,'Dados-Status-Invest'!$2:$2,0),FALSE()),"")</f>
        <v>0.27</v>
      </c>
      <c r="W178" s="10" t="n">
        <f aca="false">IFERROR(VLOOKUP(A178,'Dados-Status-Invest'!$1:$1000,MATCH(W$1,'Dados-Status-Invest'!$2:$2,0),FALSE())/100,"")</f>
        <v>0</v>
      </c>
      <c r="X178" s="10" t="n">
        <f aca="false">IFERROR(VLOOKUP(A178,'Dados-Status-Invest'!$1:$1000,MATCH(X$1,'Dados-Status-Invest'!$2:$2,0),FALSE())/100,"")</f>
        <v>0</v>
      </c>
    </row>
    <row r="179" customFormat="false" ht="15.75" hidden="false" customHeight="false" outlineLevel="0" collapsed="false">
      <c r="A179" s="6" t="s">
        <v>210</v>
      </c>
      <c r="B179" s="7" t="str">
        <f aca="false">IFERROR(VLOOKUP(LEFT(A179,4),Setor!A:D,2,FALSE()),"")</f>
        <v>Utilidade Pública</v>
      </c>
      <c r="C179" s="8" t="n">
        <f aca="false">IFERROR(__xludf.dummyfunction("IFERROR(IFERROR(GOOGLEFINANCE(A185,""price""),VLOOKUP(A185,'Dados-Status-Invest'!A:B,2,FALSE)),"""")"),12.96)</f>
        <v>12.96</v>
      </c>
      <c r="D179" s="8" t="n">
        <f aca="false">IFERROR(VLOOKUP(A179,'Dados-Status-Invest'!$1:$1000,MATCH(D$1,'Dados-Status-Invest'!$2:$2,0),FALSE()),"")</f>
        <v>5969973183</v>
      </c>
      <c r="E179" s="8" t="n">
        <f aca="false">IF(D179+H179&gt;0,D179+H179,"")</f>
        <v>8639366479</v>
      </c>
      <c r="F179" s="8" t="n">
        <f aca="false">IFERROR(D179/VLOOKUP(A179,'Dados-Status-Invest'!$1:$1000,5,FALSE()),"")</f>
        <v>6633303537</v>
      </c>
      <c r="G179" s="8" t="n">
        <f aca="false">IFERROR(D179/VLOOKUP(A179,'Dados-Status-Invest'!$1:$1000,6,FALSE()),"")</f>
        <v>11939946367</v>
      </c>
      <c r="H179" s="8" t="n">
        <f aca="false">IFERROR(VLOOKUP(A179,'Dados-Status-Invest'!$1:$1000,12,FALSE())*J179,"")</f>
        <v>2669393296</v>
      </c>
      <c r="I179" s="8" t="n">
        <f aca="false">IFERROR(D179/VLOOKUP(A179,'Dados-Status-Invest'!$1:$1000,14,FALSE()),"")</f>
        <v>5427248348</v>
      </c>
      <c r="J179" s="9" t="n">
        <f aca="false">IFERROR(D179/VLOOKUP(A179,'Dados-Status-Invest'!$1:$1000,10,FALSE()),"")</f>
        <v>1314972067</v>
      </c>
      <c r="K179" s="10" t="n">
        <f aca="false">IFERROR(VLOOKUP(A179,'Dados-Status-Invest'!$1:$1000,3,FALSE())/100,"")</f>
        <v>0.1809</v>
      </c>
      <c r="L179" s="11" t="n">
        <f aca="false">IFERROR(VLOOKUP(A179,'Dados-Status-Invest'!$1:$1000,MATCH(L$1,'Dados-Status-Invest'!$2:$2,0),FALSE())/100,"")</f>
        <v>0.1324</v>
      </c>
      <c r="M179" s="10" t="n">
        <f aca="false">IFERROR(VLOOKUP(A179,'Dados-Status-Invest'!$1:$1000,MATCH(M$1,'Dados-Status-Invest'!$2:$2,0),FALSE())/100,"")</f>
        <v>0.0738</v>
      </c>
      <c r="N179" s="10" t="n">
        <f aca="false">IFERROR(VLOOKUP(A179,'Dados-Status-Invest'!$1:$1000,MATCH(N$1,'Dados-Status-Invest'!$2:$2,0),FALSE())/100,"")</f>
        <v>0.0983</v>
      </c>
      <c r="O179" s="10" t="n">
        <f aca="false">IFERROR(VLOOKUP(A179,'Dados-Status-Invest'!$1:$1000,MATCH(O$1,'Dados-Status-Invest'!$2:$2,0),FALSE())/100,"")</f>
        <v>0.4484</v>
      </c>
      <c r="P179" s="10" t="n">
        <f aca="false">IFERROR(VLOOKUP(A179,'Dados-Status-Invest'!$1:$1000,MATCH(P$1,'Dados-Status-Invest'!$2:$2,0),FALSE())/100,"")</f>
        <v>0.242</v>
      </c>
      <c r="Q179" s="10" t="n">
        <f aca="false">IFERROR(VLOOKUP(A179,'Dados-Status-Invest'!$1:$1000,MATCH(Q$1,'Dados-Status-Invest'!$2:$2,0),FALSE())/100,"")</f>
        <v>0.1609</v>
      </c>
      <c r="R179" s="12" t="n">
        <f aca="false">IFERROR(VLOOKUP(A179,'Dados-Status-Invest'!$1:$1000,MATCH(R$1,'Dados-Status-Invest'!$2:$2,0),FALSE()),"")</f>
        <v>6.83</v>
      </c>
      <c r="S179" s="12" t="n">
        <f aca="false">IFERROR(VLOOKUP(A179,'Dados-Status-Invest'!$1:$1000,MATCH(S$1,'Dados-Status-Invest'!$2:$2,0),FALSE()),"")</f>
        <v>0.9</v>
      </c>
      <c r="T179" s="12" t="n">
        <f aca="false">IFERROR(VLOOKUP(A179,'Dados-Status-Invest'!$1:$1000,MATCH(T$1,'Dados-Status-Invest'!$2:$2,0),FALSE()),"")</f>
        <v>6.57</v>
      </c>
      <c r="U179" s="12" t="n">
        <f aca="false">IFERROR(VLOOKUP(A179,'Dados-Status-Invest'!$1:$1000,MATCH(U$1,'Dados-Status-Invest'!$2:$2,0),FALSE()),"")</f>
        <v>1.25</v>
      </c>
      <c r="V179" s="12" t="n">
        <f aca="false">IFERROR(VLOOKUP(A179,'Dados-Status-Invest'!$1:$1000,MATCH(V$1,'Dados-Status-Invest'!$2:$2,0),FALSE()),"")</f>
        <v>2.03</v>
      </c>
      <c r="W179" s="10" t="n">
        <f aca="false">IFERROR(VLOOKUP(A179,'Dados-Status-Invest'!$1:$1000,MATCH(W$1,'Dados-Status-Invest'!$2:$2,0),FALSE())/100,"")</f>
        <v>0.0686</v>
      </c>
      <c r="X179" s="10" t="n">
        <f aca="false">IFERROR(VLOOKUP(A179,'Dados-Status-Invest'!$1:$1000,MATCH(X$1,'Dados-Status-Invest'!$2:$2,0),FALSE())/100,"")</f>
        <v>0</v>
      </c>
    </row>
    <row r="180" customFormat="false" ht="15.75" hidden="false" customHeight="false" outlineLevel="0" collapsed="false">
      <c r="A180" s="6" t="s">
        <v>211</v>
      </c>
      <c r="B180" s="7" t="str">
        <f aca="false">IFERROR(VLOOKUP(LEFT(A180,4),Setor!A:D,2,FALSE()),"")</f>
        <v>Materiais Básicos</v>
      </c>
      <c r="C180" s="8" t="n">
        <f aca="false">IFERROR(__xludf.dummyfunction("IFERROR(IFERROR(GOOGLEFINANCE(A186,""price""),VLOOKUP(A186,'Dados-Status-Invest'!A:B,2,FALSE)),"""")"),20.68)</f>
        <v>20.68</v>
      </c>
      <c r="D180" s="8" t="n">
        <f aca="false">IFERROR(VLOOKUP(A180,'Dados-Status-Invest'!$1:$1000,MATCH(D$1,'Dados-Status-Invest'!$2:$2,0),FALSE()),"")</f>
        <v>61897447737</v>
      </c>
      <c r="E180" s="8" t="n">
        <f aca="false">IF(D180+H180&gt;0,D180+H180,"")</f>
        <v>77949690407</v>
      </c>
      <c r="F180" s="8" t="n">
        <f aca="false">IFERROR(D180/VLOOKUP(A180,'Dados-Status-Invest'!$1:$1000,5,FALSE()),"")</f>
        <v>14428309496</v>
      </c>
      <c r="G180" s="8" t="n">
        <f aca="false">IFERROR(D180/VLOOKUP(A180,'Dados-Status-Invest'!$1:$1000,6,FALSE()),"")</f>
        <v>69547694086</v>
      </c>
      <c r="H180" s="8" t="n">
        <f aca="false">IFERROR(VLOOKUP(A180,'Dados-Status-Invest'!$1:$1000,12,FALSE())*J180,"")</f>
        <v>16052242670</v>
      </c>
      <c r="I180" s="8" t="n">
        <f aca="false">IFERROR(D180/VLOOKUP(A180,'Dados-Status-Invest'!$1:$1000,14,FALSE()),"")</f>
        <v>36843718891</v>
      </c>
      <c r="J180" s="9" t="n">
        <f aca="false">IFERROR(D180/VLOOKUP(A180,'Dados-Status-Invest'!$1:$1000,10,FALSE()),"")</f>
        <v>12841794136</v>
      </c>
      <c r="K180" s="10" t="n">
        <f aca="false">IFERROR(VLOOKUP(A180,'Dados-Status-Invest'!$1:$1000,3,FALSE())/100,"")</f>
        <v>0.0147</v>
      </c>
      <c r="L180" s="11" t="n">
        <f aca="false">IFERROR(VLOOKUP(A180,'Dados-Status-Invest'!$1:$1000,MATCH(L$1,'Dados-Status-Invest'!$2:$2,0),FALSE())/100,"")</f>
        <v>0.7225</v>
      </c>
      <c r="M180" s="10" t="n">
        <f aca="false">IFERROR(VLOOKUP(A180,'Dados-Status-Invest'!$1:$1000,MATCH(M$1,'Dados-Status-Invest'!$2:$2,0),FALSE())/100,"")</f>
        <v>0.1492</v>
      </c>
      <c r="N180" s="10" t="n">
        <f aca="false">IFERROR(VLOOKUP(A180,'Dados-Status-Invest'!$1:$1000,MATCH(N$1,'Dados-Status-Invest'!$2:$2,0),FALSE())/100,"")</f>
        <v>0.2159</v>
      </c>
      <c r="O180" s="10" t="n">
        <f aca="false">IFERROR(VLOOKUP(A180,'Dados-Status-Invest'!$1:$1000,MATCH(O$1,'Dados-Status-Invest'!$2:$2,0),FALSE())/100,"")</f>
        <v>0.4191</v>
      </c>
      <c r="P180" s="10" t="n">
        <f aca="false">IFERROR(VLOOKUP(A180,'Dados-Status-Invest'!$1:$1000,MATCH(P$1,'Dados-Status-Invest'!$2:$2,0),FALSE())/100,"")</f>
        <v>0.3492</v>
      </c>
      <c r="Q180" s="10" t="n">
        <f aca="false">IFERROR(VLOOKUP(A180,'Dados-Status-Invest'!$1:$1000,MATCH(Q$1,'Dados-Status-Invest'!$2:$2,0),FALSE())/100,"")</f>
        <v>0.2837</v>
      </c>
      <c r="R180" s="12" t="n">
        <f aca="false">IFERROR(VLOOKUP(A180,'Dados-Status-Invest'!$1:$1000,MATCH(R$1,'Dados-Status-Invest'!$2:$2,0),FALSE()),"")</f>
        <v>5.93</v>
      </c>
      <c r="S180" s="12" t="n">
        <f aca="false">IFERROR(VLOOKUP(A180,'Dados-Status-Invest'!$1:$1000,MATCH(S$1,'Dados-Status-Invest'!$2:$2,0),FALSE()),"")</f>
        <v>4.29</v>
      </c>
      <c r="T180" s="12" t="n">
        <f aca="false">IFERROR(VLOOKUP(A180,'Dados-Status-Invest'!$1:$1000,MATCH(T$1,'Dados-Status-Invest'!$2:$2,0),FALSE()),"")</f>
        <v>6.08</v>
      </c>
      <c r="U180" s="12" t="n">
        <f aca="false">IFERROR(VLOOKUP(A180,'Dados-Status-Invest'!$1:$1000,MATCH(U$1,'Dados-Status-Invest'!$2:$2,0),FALSE()),"")</f>
        <v>1.8</v>
      </c>
      <c r="V180" s="12" t="n">
        <f aca="false">IFERROR(VLOOKUP(A180,'Dados-Status-Invest'!$1:$1000,MATCH(V$1,'Dados-Status-Invest'!$2:$2,0),FALSE()),"")</f>
        <v>1.25</v>
      </c>
      <c r="W180" s="10" t="n">
        <f aca="false">IFERROR(VLOOKUP(A180,'Dados-Status-Invest'!$1:$1000,MATCH(W$1,'Dados-Status-Invest'!$2:$2,0),FALSE())/100,"")</f>
        <v>0.1452</v>
      </c>
      <c r="X180" s="10" t="n">
        <f aca="false">IFERROR(VLOOKUP(A180,'Dados-Status-Invest'!$1:$1000,MATCH(X$1,'Dados-Status-Invest'!$2:$2,0),FALSE())/100,"")</f>
        <v>0</v>
      </c>
    </row>
    <row r="181" customFormat="false" ht="15.75" hidden="false" customHeight="false" outlineLevel="0" collapsed="false">
      <c r="A181" s="6" t="s">
        <v>212</v>
      </c>
      <c r="B181" s="7" t="str">
        <f aca="false">IFERROR(VLOOKUP(LEFT(A181,4),Setor!A:D,2,FALSE()),"")</f>
        <v>Utilidade Pública</v>
      </c>
      <c r="C181" s="8" t="n">
        <f aca="false">IFERROR(__xludf.dummyfunction("IFERROR(IFERROR(GOOGLEFINANCE(A187,""price""),VLOOKUP(A187,'Dados-Status-Invest'!A:B,2,FALSE)),"""")"),20.75)</f>
        <v>20.75</v>
      </c>
      <c r="D181" s="8" t="n">
        <f aca="false">IFERROR(VLOOKUP(A181,'Dados-Status-Invest'!$1:$1000,MATCH(D$1,'Dados-Status-Invest'!$2:$2,0),FALSE()),"")</f>
        <v>5351301692</v>
      </c>
      <c r="E181" s="8" t="n">
        <f aca="false">IF(D181+H181&gt;0,D181+H181,"")</f>
        <v>7291612005</v>
      </c>
      <c r="F181" s="8" t="n">
        <f aca="false">IFERROR(D181/VLOOKUP(A181,'Dados-Status-Invest'!$1:$1000,5,FALSE()),"")</f>
        <v>1789733007</v>
      </c>
      <c r="G181" s="8" t="n">
        <f aca="false">IFERROR(D181/VLOOKUP(A181,'Dados-Status-Invest'!$1:$1000,6,FALSE()),"")</f>
        <v>6081024650</v>
      </c>
      <c r="H181" s="8" t="n">
        <f aca="false">IFERROR(VLOOKUP(A181,'Dados-Status-Invest'!$1:$1000,12,FALSE())*J181,"")</f>
        <v>1940310313</v>
      </c>
      <c r="I181" s="8" t="n">
        <f aca="false">IFERROR(D181/VLOOKUP(A181,'Dados-Status-Invest'!$1:$1000,14,FALSE()),"")</f>
        <v>3640341287</v>
      </c>
      <c r="J181" s="9" t="n">
        <f aca="false">IFERROR(D181/VLOOKUP(A181,'Dados-Status-Invest'!$1:$1000,10,FALSE()),"")</f>
        <v>617933220.8</v>
      </c>
      <c r="K181" s="10" t="n">
        <f aca="false">IFERROR(VLOOKUP(A181,'Dados-Status-Invest'!$1:$1000,3,FALSE())/100,"")</f>
        <v>0.0666</v>
      </c>
      <c r="L181" s="11" t="n">
        <f aca="false">IFERROR(VLOOKUP(A181,'Dados-Status-Invest'!$1:$1000,MATCH(L$1,'Dados-Status-Invest'!$2:$2,0),FALSE())/100,"")</f>
        <v>0.2601</v>
      </c>
      <c r="M181" s="10" t="n">
        <f aca="false">IFERROR(VLOOKUP(A181,'Dados-Status-Invest'!$1:$1000,MATCH(M$1,'Dados-Status-Invest'!$2:$2,0),FALSE())/100,"")</f>
        <v>0.0769</v>
      </c>
      <c r="N181" s="10" t="n">
        <f aca="false">IFERROR(VLOOKUP(A181,'Dados-Status-Invest'!$1:$1000,MATCH(N$1,'Dados-Status-Invest'!$2:$2,0),FALSE())/100,"")</f>
        <v>0.1244</v>
      </c>
      <c r="O181" s="10" t="n">
        <f aca="false">IFERROR(VLOOKUP(A181,'Dados-Status-Invest'!$1:$1000,MATCH(O$1,'Dados-Status-Invest'!$2:$2,0),FALSE())/100,"")</f>
        <v>0.2269</v>
      </c>
      <c r="P181" s="10" t="n">
        <f aca="false">IFERROR(VLOOKUP(A181,'Dados-Status-Invest'!$1:$1000,MATCH(P$1,'Dados-Status-Invest'!$2:$2,0),FALSE())/100,"")</f>
        <v>0.1701</v>
      </c>
      <c r="Q181" s="10" t="n">
        <f aca="false">IFERROR(VLOOKUP(A181,'Dados-Status-Invest'!$1:$1000,MATCH(Q$1,'Dados-Status-Invest'!$2:$2,0),FALSE())/100,"")</f>
        <v>0.1281</v>
      </c>
      <c r="R181" s="12" t="n">
        <f aca="false">IFERROR(VLOOKUP(A181,'Dados-Status-Invest'!$1:$1000,MATCH(R$1,'Dados-Status-Invest'!$2:$2,0),FALSE()),"")</f>
        <v>11.5</v>
      </c>
      <c r="S181" s="12" t="n">
        <f aca="false">IFERROR(VLOOKUP(A181,'Dados-Status-Invest'!$1:$1000,MATCH(S$1,'Dados-Status-Invest'!$2:$2,0),FALSE()),"")</f>
        <v>2.99</v>
      </c>
      <c r="T181" s="12" t="n">
        <f aca="false">IFERROR(VLOOKUP(A181,'Dados-Status-Invest'!$1:$1000,MATCH(T$1,'Dados-Status-Invest'!$2:$2,0),FALSE()),"")</f>
        <v>13.95</v>
      </c>
      <c r="U181" s="12" t="n">
        <f aca="false">IFERROR(VLOOKUP(A181,'Dados-Status-Invest'!$1:$1000,MATCH(U$1,'Dados-Status-Invest'!$2:$2,0),FALSE()),"")</f>
        <v>1.9</v>
      </c>
      <c r="V181" s="12" t="n">
        <f aca="false">IFERROR(VLOOKUP(A181,'Dados-Status-Invest'!$1:$1000,MATCH(V$1,'Dados-Status-Invest'!$2:$2,0),FALSE()),"")</f>
        <v>3.14</v>
      </c>
      <c r="W181" s="10" t="n">
        <f aca="false">IFERROR(VLOOKUP(A181,'Dados-Status-Invest'!$1:$1000,MATCH(W$1,'Dados-Status-Invest'!$2:$2,0),FALSE())/100,"")</f>
        <v>0.0971</v>
      </c>
      <c r="X181" s="10" t="n">
        <f aca="false">IFERROR(VLOOKUP(A181,'Dados-Status-Invest'!$1:$1000,MATCH(X$1,'Dados-Status-Invest'!$2:$2,0),FALSE())/100,"")</f>
        <v>0.1294</v>
      </c>
    </row>
    <row r="182" customFormat="false" ht="15.75" hidden="false" customHeight="false" outlineLevel="0" collapsed="false">
      <c r="A182" s="6" t="s">
        <v>213</v>
      </c>
      <c r="B182" s="7" t="str">
        <f aca="false">IFERROR(VLOOKUP(LEFT(A182,4),Setor!A:D,2,FALSE()),"")</f>
        <v>Utilidade Pública</v>
      </c>
      <c r="C182" s="8" t="n">
        <f aca="false">IFERROR(__xludf.dummyfunction("IFERROR(IFERROR(GOOGLEFINANCE(A188,""price""),VLOOKUP(A188,'Dados-Status-Invest'!A:B,2,FALSE)),"""")"),18.41)</f>
        <v>18.41</v>
      </c>
      <c r="D182" s="8" t="n">
        <f aca="false">IFERROR(VLOOKUP(A182,'Dados-Status-Invest'!$1:$1000,MATCH(D$1,'Dados-Status-Invest'!$2:$2,0),FALSE()),"")</f>
        <v>5351301692</v>
      </c>
      <c r="E182" s="8" t="n">
        <f aca="false">IF(D182+H182&gt;0,D182+H182,"")</f>
        <v>7413030197</v>
      </c>
      <c r="F182" s="8" t="n">
        <f aca="false">IFERROR(D182/VLOOKUP(A182,'Dados-Status-Invest'!$1:$1000,5,FALSE()),"")</f>
        <v>1904377826</v>
      </c>
      <c r="G182" s="8" t="n">
        <f aca="false">IFERROR(D182/VLOOKUP(A182,'Dados-Status-Invest'!$1:$1000,6,FALSE()),"")</f>
        <v>6447351436</v>
      </c>
      <c r="H182" s="8" t="n">
        <f aca="false">IFERROR(VLOOKUP(A182,'Dados-Status-Invest'!$1:$1000,12,FALSE())*J182,"")</f>
        <v>2061728505</v>
      </c>
      <c r="I182" s="8" t="n">
        <f aca="false">IFERROR(D182/VLOOKUP(A182,'Dados-Status-Invest'!$1:$1000,14,FALSE()),"")</f>
        <v>3849857332</v>
      </c>
      <c r="J182" s="9" t="n">
        <f aca="false">IFERROR(D182/VLOOKUP(A182,'Dados-Status-Invest'!$1:$1000,10,FALSE()),"")</f>
        <v>656601434.6</v>
      </c>
      <c r="K182" s="10" t="n">
        <f aca="false">IFERROR(VLOOKUP(A182,'Dados-Status-Invest'!$1:$1000,3,FALSE())/100,"")</f>
        <v>0.0778</v>
      </c>
      <c r="L182" s="11" t="n">
        <f aca="false">IFERROR(VLOOKUP(A182,'Dados-Status-Invest'!$1:$1000,MATCH(L$1,'Dados-Status-Invest'!$2:$2,0),FALSE())/100,"")</f>
        <v>0.2601</v>
      </c>
      <c r="M182" s="10" t="n">
        <f aca="false">IFERROR(VLOOKUP(A182,'Dados-Status-Invest'!$1:$1000,MATCH(M$1,'Dados-Status-Invest'!$2:$2,0),FALSE())/100,"")</f>
        <v>0.0769</v>
      </c>
      <c r="N182" s="10" t="n">
        <f aca="false">IFERROR(VLOOKUP(A182,'Dados-Status-Invest'!$1:$1000,MATCH(N$1,'Dados-Status-Invest'!$2:$2,0),FALSE())/100,"")</f>
        <v>0.1244</v>
      </c>
      <c r="O182" s="10" t="n">
        <f aca="false">IFERROR(VLOOKUP(A182,'Dados-Status-Invest'!$1:$1000,MATCH(O$1,'Dados-Status-Invest'!$2:$2,0),FALSE())/100,"")</f>
        <v>0.2269</v>
      </c>
      <c r="P182" s="10" t="n">
        <f aca="false">IFERROR(VLOOKUP(A182,'Dados-Status-Invest'!$1:$1000,MATCH(P$1,'Dados-Status-Invest'!$2:$2,0),FALSE())/100,"")</f>
        <v>0.1701</v>
      </c>
      <c r="Q182" s="10" t="n">
        <f aca="false">IFERROR(VLOOKUP(A182,'Dados-Status-Invest'!$1:$1000,MATCH(Q$1,'Dados-Status-Invest'!$2:$2,0),FALSE())/100,"")</f>
        <v>0.1281</v>
      </c>
      <c r="R182" s="12" t="n">
        <f aca="false">IFERROR(VLOOKUP(A182,'Dados-Status-Invest'!$1:$1000,MATCH(R$1,'Dados-Status-Invest'!$2:$2,0),FALSE()),"")</f>
        <v>10.82</v>
      </c>
      <c r="S182" s="12" t="n">
        <f aca="false">IFERROR(VLOOKUP(A182,'Dados-Status-Invest'!$1:$1000,MATCH(S$1,'Dados-Status-Invest'!$2:$2,0),FALSE()),"")</f>
        <v>2.81</v>
      </c>
      <c r="T182" s="12" t="n">
        <f aca="false">IFERROR(VLOOKUP(A182,'Dados-Status-Invest'!$1:$1000,MATCH(T$1,'Dados-Status-Invest'!$2:$2,0),FALSE()),"")</f>
        <v>13.95</v>
      </c>
      <c r="U182" s="12" t="n">
        <f aca="false">IFERROR(VLOOKUP(A182,'Dados-Status-Invest'!$1:$1000,MATCH(U$1,'Dados-Status-Invest'!$2:$2,0),FALSE()),"")</f>
        <v>1.9</v>
      </c>
      <c r="V182" s="12" t="n">
        <f aca="false">IFERROR(VLOOKUP(A182,'Dados-Status-Invest'!$1:$1000,MATCH(V$1,'Dados-Status-Invest'!$2:$2,0),FALSE()),"")</f>
        <v>3.14</v>
      </c>
      <c r="W182" s="10" t="n">
        <f aca="false">IFERROR(VLOOKUP(A182,'Dados-Status-Invest'!$1:$1000,MATCH(W$1,'Dados-Status-Invest'!$2:$2,0),FALSE())/100,"")</f>
        <v>0.0971</v>
      </c>
      <c r="X182" s="10" t="n">
        <f aca="false">IFERROR(VLOOKUP(A182,'Dados-Status-Invest'!$1:$1000,MATCH(X$1,'Dados-Status-Invest'!$2:$2,0),FALSE())/100,"")</f>
        <v>0.1294</v>
      </c>
    </row>
    <row r="183" customFormat="false" ht="15.75" hidden="false" customHeight="false" outlineLevel="0" collapsed="false">
      <c r="A183" s="6" t="s">
        <v>214</v>
      </c>
      <c r="B183" s="7" t="str">
        <f aca="false">IFERROR(VLOOKUP(LEFT(A183,4),Setor!A:D,2,FALSE()),"")</f>
        <v>Utilidade Pública</v>
      </c>
      <c r="C183" s="8" t="n">
        <f aca="false">IFERROR(__xludf.dummyfunction("IFERROR(IFERROR(GOOGLEFINANCE(A189,""price""),VLOOKUP(A189,'Dados-Status-Invest'!A:B,2,FALSE)),"""")"),18.56)</f>
        <v>18.56</v>
      </c>
      <c r="D183" s="8" t="n">
        <f aca="false">IFERROR(VLOOKUP(A183,'Dados-Status-Invest'!$1:$1000,MATCH(D$1,'Dados-Status-Invest'!$2:$2,0),FALSE()),"")</f>
        <v>5351301692</v>
      </c>
      <c r="E183" s="8" t="n">
        <f aca="false">IF(D183+H183&gt;0,D183+H183,"")</f>
        <v>6251306368.6</v>
      </c>
      <c r="F183" s="8" t="n">
        <f aca="false">IFERROR(D183/VLOOKUP(A183,'Dados-Status-Invest'!$1:$1000,5,FALSE()),"")</f>
        <v>829659177</v>
      </c>
      <c r="G183" s="8" t="n">
        <f aca="false">IFERROR(D183/VLOOKUP(A183,'Dados-Status-Invest'!$1:$1000,6,FALSE()),"")</f>
        <v>2801728635</v>
      </c>
      <c r="H183" s="8" t="n">
        <f aca="false">IFERROR(VLOOKUP(A183,'Dados-Status-Invest'!$1:$1000,12,FALSE())*J183,"")</f>
        <v>900004676.6</v>
      </c>
      <c r="I183" s="8" t="n">
        <f aca="false">IFERROR(D183/VLOOKUP(A183,'Dados-Status-Invest'!$1:$1000,14,FALSE()),"")</f>
        <v>1682799274</v>
      </c>
      <c r="J183" s="9" t="n">
        <f aca="false">IFERROR(D183/VLOOKUP(A183,'Dados-Status-Invest'!$1:$1000,10,FALSE()),"")</f>
        <v>286625693.2</v>
      </c>
      <c r="K183" s="10" t="n">
        <f aca="false">IFERROR(VLOOKUP(A183,'Dados-Status-Invest'!$1:$1000,3,FALSE())/100,"")</f>
        <v>0.034</v>
      </c>
      <c r="L183" s="11" t="n">
        <f aca="false">IFERROR(VLOOKUP(A183,'Dados-Status-Invest'!$1:$1000,MATCH(L$1,'Dados-Status-Invest'!$2:$2,0),FALSE())/100,"")</f>
        <v>0.2601</v>
      </c>
      <c r="M183" s="10" t="n">
        <f aca="false">IFERROR(VLOOKUP(A183,'Dados-Status-Invest'!$1:$1000,MATCH(M$1,'Dados-Status-Invest'!$2:$2,0),FALSE())/100,"")</f>
        <v>0.0769</v>
      </c>
      <c r="N183" s="10" t="n">
        <f aca="false">IFERROR(VLOOKUP(A183,'Dados-Status-Invest'!$1:$1000,MATCH(N$1,'Dados-Status-Invest'!$2:$2,0),FALSE())/100,"")</f>
        <v>0.1244</v>
      </c>
      <c r="O183" s="10" t="n">
        <f aca="false">IFERROR(VLOOKUP(A183,'Dados-Status-Invest'!$1:$1000,MATCH(O$1,'Dados-Status-Invest'!$2:$2,0),FALSE())/100,"")</f>
        <v>0.2269</v>
      </c>
      <c r="P183" s="10" t="n">
        <f aca="false">IFERROR(VLOOKUP(A183,'Dados-Status-Invest'!$1:$1000,MATCH(P$1,'Dados-Status-Invest'!$2:$2,0),FALSE())/100,"")</f>
        <v>0.1701</v>
      </c>
      <c r="Q183" s="10" t="n">
        <f aca="false">IFERROR(VLOOKUP(A183,'Dados-Status-Invest'!$1:$1000,MATCH(Q$1,'Dados-Status-Invest'!$2:$2,0),FALSE())/100,"")</f>
        <v>0.1281</v>
      </c>
      <c r="R183" s="12" t="n">
        <f aca="false">IFERROR(VLOOKUP(A183,'Dados-Status-Invest'!$1:$1000,MATCH(R$1,'Dados-Status-Invest'!$2:$2,0),FALSE()),"")</f>
        <v>24.8</v>
      </c>
      <c r="S183" s="12" t="n">
        <f aca="false">IFERROR(VLOOKUP(A183,'Dados-Status-Invest'!$1:$1000,MATCH(S$1,'Dados-Status-Invest'!$2:$2,0),FALSE()),"")</f>
        <v>6.45</v>
      </c>
      <c r="T183" s="12" t="n">
        <f aca="false">IFERROR(VLOOKUP(A183,'Dados-Status-Invest'!$1:$1000,MATCH(T$1,'Dados-Status-Invest'!$2:$2,0),FALSE()),"")</f>
        <v>13.95</v>
      </c>
      <c r="U183" s="12" t="n">
        <f aca="false">IFERROR(VLOOKUP(A183,'Dados-Status-Invest'!$1:$1000,MATCH(U$1,'Dados-Status-Invest'!$2:$2,0),FALSE()),"")</f>
        <v>1.9</v>
      </c>
      <c r="V183" s="12" t="n">
        <f aca="false">IFERROR(VLOOKUP(A183,'Dados-Status-Invest'!$1:$1000,MATCH(V$1,'Dados-Status-Invest'!$2:$2,0),FALSE()),"")</f>
        <v>3.14</v>
      </c>
      <c r="W183" s="10" t="n">
        <f aca="false">IFERROR(VLOOKUP(A183,'Dados-Status-Invest'!$1:$1000,MATCH(W$1,'Dados-Status-Invest'!$2:$2,0),FALSE())/100,"")</f>
        <v>0.0971</v>
      </c>
      <c r="X183" s="10" t="n">
        <f aca="false">IFERROR(VLOOKUP(A183,'Dados-Status-Invest'!$1:$1000,MATCH(X$1,'Dados-Status-Invest'!$2:$2,0),FALSE())/100,"")</f>
        <v>0.1294</v>
      </c>
    </row>
    <row r="184" customFormat="false" ht="15.75" hidden="false" customHeight="false" outlineLevel="0" collapsed="false">
      <c r="A184" s="6" t="s">
        <v>215</v>
      </c>
      <c r="B184" s="7" t="s">
        <v>54</v>
      </c>
      <c r="C184" s="8" t="n">
        <f aca="false">IFERROR(__xludf.dummyfunction("IFERROR(IFERROR(GOOGLEFINANCE(A190,""price""),VLOOKUP(A190,'Dados-Status-Invest'!A:B,2,FALSE)),"""")"),0)</f>
        <v>0</v>
      </c>
      <c r="D184" s="8" t="n">
        <f aca="false">IFERROR(VLOOKUP(A184,'Dados-Status-Invest'!$1:$1000,MATCH(D$1,'Dados-Status-Invest'!$2:$2,0),FALSE()),"")</f>
        <v>0</v>
      </c>
      <c r="E184" s="8" t="str">
        <f aca="false">IF(D184+H184&gt;0,D184+H184,"")</f>
        <v/>
      </c>
      <c r="F184" s="8" t="str">
        <f aca="false">IFERROR(D184/VLOOKUP(A184,'Dados-Status-Invest'!$1:$1000,5,FALSE()),"")</f>
        <v/>
      </c>
      <c r="G184" s="8" t="str">
        <f aca="false">IFERROR(D184/VLOOKUP(A184,'Dados-Status-Invest'!$1:$1000,6,FALSE()),"")</f>
        <v/>
      </c>
      <c r="H184" s="8" t="n">
        <f aca="false">IFERROR(VLOOKUP(A184,'Dados-Status-Invest'!$1:$1000,12,FALSE())*J184,"")</f>
        <v>0</v>
      </c>
      <c r="I184" s="8" t="str">
        <f aca="false">IFERROR(D184/VLOOKUP(A184,'Dados-Status-Invest'!$1:$1000,14,FALSE()),"")</f>
        <v/>
      </c>
      <c r="J184" s="9" t="str">
        <f aca="false">IFERROR(D184/VLOOKUP(A184,'Dados-Status-Invest'!$1:$1000,10,FALSE()),"")</f>
        <v/>
      </c>
      <c r="K184" s="10" t="n">
        <f aca="false">IFERROR(VLOOKUP(A184,'Dados-Status-Invest'!$1:$1000,3,FALSE())/100,"")</f>
        <v>0</v>
      </c>
      <c r="L184" s="11" t="n">
        <f aca="false">IFERROR(VLOOKUP(A184,'Dados-Status-Invest'!$1:$1000,MATCH(L$1,'Dados-Status-Invest'!$2:$2,0),FALSE())/100,"")</f>
        <v>0.1573</v>
      </c>
      <c r="M184" s="10" t="n">
        <f aca="false">IFERROR(VLOOKUP(A184,'Dados-Status-Invest'!$1:$1000,MATCH(M$1,'Dados-Status-Invest'!$2:$2,0),FALSE())/100,"")</f>
        <v>0.1276</v>
      </c>
      <c r="N184" s="10" t="n">
        <f aca="false">IFERROR(VLOOKUP(A184,'Dados-Status-Invest'!$1:$1000,MATCH(N$1,'Dados-Status-Invest'!$2:$2,0),FALSE())/100,"")</f>
        <v>0.1344</v>
      </c>
      <c r="O184" s="10" t="n">
        <f aca="false">IFERROR(VLOOKUP(A184,'Dados-Status-Invest'!$1:$1000,MATCH(O$1,'Dados-Status-Invest'!$2:$2,0),FALSE())/100,"")</f>
        <v>0.6615</v>
      </c>
      <c r="P184" s="10" t="n">
        <f aca="false">IFERROR(VLOOKUP(A184,'Dados-Status-Invest'!$1:$1000,MATCH(P$1,'Dados-Status-Invest'!$2:$2,0),FALSE())/100,"")</f>
        <v>0.4444</v>
      </c>
      <c r="Q184" s="10" t="n">
        <f aca="false">IFERROR(VLOOKUP(A184,'Dados-Status-Invest'!$1:$1000,MATCH(Q$1,'Dados-Status-Invest'!$2:$2,0),FALSE())/100,"")</f>
        <v>0.3207</v>
      </c>
      <c r="R184" s="12" t="n">
        <f aca="false">IFERROR(VLOOKUP(A184,'Dados-Status-Invest'!$1:$1000,MATCH(R$1,'Dados-Status-Invest'!$2:$2,0),FALSE()),"")</f>
        <v>0</v>
      </c>
      <c r="S184" s="12" t="n">
        <f aca="false">IFERROR(VLOOKUP(A184,'Dados-Status-Invest'!$1:$1000,MATCH(S$1,'Dados-Status-Invest'!$2:$2,0),FALSE()),"")</f>
        <v>0</v>
      </c>
      <c r="T184" s="12" t="n">
        <f aca="false">IFERROR(VLOOKUP(A184,'Dados-Status-Invest'!$1:$1000,MATCH(T$1,'Dados-Status-Invest'!$2:$2,0),FALSE()),"")</f>
        <v>-1.67</v>
      </c>
      <c r="U184" s="12" t="n">
        <f aca="false">IFERROR(VLOOKUP(A184,'Dados-Status-Invest'!$1:$1000,MATCH(U$1,'Dados-Status-Invest'!$2:$2,0),FALSE()),"")</f>
        <v>3.28</v>
      </c>
      <c r="V184" s="12" t="n">
        <f aca="false">IFERROR(VLOOKUP(A184,'Dados-Status-Invest'!$1:$1000,MATCH(V$1,'Dados-Status-Invest'!$2:$2,0),FALSE()),"")</f>
        <v>-1.67</v>
      </c>
      <c r="W184" s="10" t="n">
        <f aca="false">IFERROR(VLOOKUP(A184,'Dados-Status-Invest'!$1:$1000,MATCH(W$1,'Dados-Status-Invest'!$2:$2,0),FALSE())/100,"")</f>
        <v>0.3133</v>
      </c>
      <c r="X184" s="10" t="n">
        <f aca="false">IFERROR(VLOOKUP(A184,'Dados-Status-Invest'!$1:$1000,MATCH(X$1,'Dados-Status-Invest'!$2:$2,0),FALSE())/100,"")</f>
        <v>1.3517</v>
      </c>
    </row>
    <row r="185" customFormat="false" ht="15.75" hidden="false" customHeight="false" outlineLevel="0" collapsed="false">
      <c r="A185" s="6" t="s">
        <v>216</v>
      </c>
      <c r="B185" s="7" t="str">
        <f aca="false">IFERROR(VLOOKUP(LEFT(A185,4),Setor!A:D,2,FALSE()),"")</f>
        <v>Consumo Cíclico</v>
      </c>
      <c r="C185" s="8" t="n">
        <f aca="false">IFERROR(__xludf.dummyfunction("IFERROR(IFERROR(GOOGLEFINANCE(A191,""price""),VLOOKUP(A191,'Dados-Status-Invest'!A:B,2,FALSE)),"""")"),27.5)</f>
        <v>27.5</v>
      </c>
      <c r="D185" s="8" t="n">
        <f aca="false">IFERROR(VLOOKUP(A185,'Dados-Status-Invest'!$1:$1000,MATCH(D$1,'Dados-Status-Invest'!$2:$2,0),FALSE()),"")</f>
        <v>164345267.8</v>
      </c>
      <c r="E185" s="8" t="n">
        <f aca="false">IF(D185+H185&gt;0,D185+H185,"")</f>
        <v>639799949.5</v>
      </c>
      <c r="F185" s="8" t="n">
        <f aca="false">IFERROR(D185/VLOOKUP(A185,'Dados-Status-Invest'!$1:$1000,5,FALSE()),"")</f>
        <v>-171192987.3</v>
      </c>
      <c r="G185" s="8" t="n">
        <f aca="false">IFERROR(D185/VLOOKUP(A185,'Dados-Status-Invest'!$1:$1000,6,FALSE()),"")</f>
        <v>498015963</v>
      </c>
      <c r="H185" s="8" t="n">
        <f aca="false">IFERROR(VLOOKUP(A185,'Dados-Status-Invest'!$1:$1000,12,FALSE())*J185,"")</f>
        <v>475454681.7</v>
      </c>
      <c r="I185" s="8" t="n">
        <f aca="false">IFERROR(D185/VLOOKUP(A185,'Dados-Status-Invest'!$1:$1000,14,FALSE()),"")</f>
        <v>382198297.2</v>
      </c>
      <c r="J185" s="9" t="n">
        <f aca="false">IFERROR(D185/VLOOKUP(A185,'Dados-Status-Invest'!$1:$1000,10,FALSE()),"")</f>
        <v>76439659.44</v>
      </c>
      <c r="K185" s="10" t="n">
        <f aca="false">IFERROR(VLOOKUP(A185,'Dados-Status-Invest'!$1:$1000,3,FALSE())/100,"")</f>
        <v>0</v>
      </c>
      <c r="L185" s="11" t="n">
        <f aca="false">IFERROR(VLOOKUP(A185,'Dados-Status-Invest'!$1:$1000,MATCH(L$1,'Dados-Status-Invest'!$2:$2,0),FALSE())/100,"")</f>
        <v>-0.4146</v>
      </c>
      <c r="M185" s="10" t="n">
        <f aca="false">IFERROR(VLOOKUP(A185,'Dados-Status-Invest'!$1:$1000,MATCH(M$1,'Dados-Status-Invest'!$2:$2,0),FALSE())/100,"")</f>
        <v>0.1412</v>
      </c>
      <c r="N185" s="10" t="n">
        <f aca="false">IFERROR(VLOOKUP(A185,'Dados-Status-Invest'!$1:$1000,MATCH(N$1,'Dados-Status-Invest'!$2:$2,0),FALSE())/100,"")</f>
        <v>0.1559</v>
      </c>
      <c r="O185" s="10" t="n">
        <f aca="false">IFERROR(VLOOKUP(A185,'Dados-Status-Invest'!$1:$1000,MATCH(O$1,'Dados-Status-Invest'!$2:$2,0),FALSE())/100,"")</f>
        <v>0.4073</v>
      </c>
      <c r="P185" s="10" t="n">
        <f aca="false">IFERROR(VLOOKUP(A185,'Dados-Status-Invest'!$1:$1000,MATCH(P$1,'Dados-Status-Invest'!$2:$2,0),FALSE())/100,"")</f>
        <v>0.2024</v>
      </c>
      <c r="Q185" s="10" t="n">
        <f aca="false">IFERROR(VLOOKUP(A185,'Dados-Status-Invest'!$1:$1000,MATCH(Q$1,'Dados-Status-Invest'!$2:$2,0),FALSE())/100,"")</f>
        <v>0.1879</v>
      </c>
      <c r="R185" s="12" t="n">
        <f aca="false">IFERROR(VLOOKUP(A185,'Dados-Status-Invest'!$1:$1000,MATCH(R$1,'Dados-Status-Invest'!$2:$2,0),FALSE()),"")</f>
        <v>2.31</v>
      </c>
      <c r="S185" s="12" t="n">
        <f aca="false">IFERROR(VLOOKUP(A185,'Dados-Status-Invest'!$1:$1000,MATCH(S$1,'Dados-Status-Invest'!$2:$2,0),FALSE()),"")</f>
        <v>-0.96</v>
      </c>
      <c r="T185" s="12" t="n">
        <f aca="false">IFERROR(VLOOKUP(A185,'Dados-Status-Invest'!$1:$1000,MATCH(T$1,'Dados-Status-Invest'!$2:$2,0),FALSE()),"")</f>
        <v>8.23</v>
      </c>
      <c r="U185" s="12" t="n">
        <f aca="false">IFERROR(VLOOKUP(A185,'Dados-Status-Invest'!$1:$1000,MATCH(U$1,'Dados-Status-Invest'!$2:$2,0),FALSE()),"")</f>
        <v>1.7</v>
      </c>
      <c r="V185" s="12" t="n">
        <f aca="false">IFERROR(VLOOKUP(A185,'Dados-Status-Invest'!$1:$1000,MATCH(V$1,'Dados-Status-Invest'!$2:$2,0),FALSE()),"")</f>
        <v>6.22</v>
      </c>
      <c r="W185" s="10" t="n">
        <f aca="false">IFERROR(VLOOKUP(A185,'Dados-Status-Invest'!$1:$1000,MATCH(W$1,'Dados-Status-Invest'!$2:$2,0),FALSE())/100,"")</f>
        <v>0.0767</v>
      </c>
      <c r="X185" s="10" t="n">
        <f aca="false">IFERROR(VLOOKUP(A185,'Dados-Status-Invest'!$1:$1000,MATCH(X$1,'Dados-Status-Invest'!$2:$2,0),FALSE())/100,"")</f>
        <v>0</v>
      </c>
    </row>
    <row r="186" customFormat="false" ht="15.75" hidden="false" customHeight="false" outlineLevel="0" collapsed="false">
      <c r="A186" s="6" t="s">
        <v>217</v>
      </c>
      <c r="B186" s="7" t="str">
        <f aca="false">IFERROR(VLOOKUP(LEFT(A186,4),Setor!A:D,2,FALSE()),"")</f>
        <v>Consumo Cíclico</v>
      </c>
      <c r="C186" s="8" t="n">
        <f aca="false">IFERROR(__xludf.dummyfunction("IFERROR(IFERROR(GOOGLEFINANCE(A192,""price""),VLOOKUP(A192,'Dados-Status-Invest'!A:B,2,FALSE)),"""")"),12.38)</f>
        <v>12.38</v>
      </c>
      <c r="D186" s="8" t="n">
        <f aca="false">IFERROR(VLOOKUP(A186,'Dados-Status-Invest'!$1:$1000,MATCH(D$1,'Dados-Status-Invest'!$2:$2,0),FALSE()),"")</f>
        <v>164345267.8</v>
      </c>
      <c r="E186" s="8" t="n">
        <f aca="false">IF(D186+H186&gt;0,D186+H186,"")</f>
        <v>699542946.2</v>
      </c>
      <c r="F186" s="8" t="n">
        <f aca="false">IFERROR(D186/VLOOKUP(A186,'Dados-Status-Invest'!$1:$1000,5,FALSE()),"")</f>
        <v>-193347373.9</v>
      </c>
      <c r="G186" s="8" t="n">
        <f aca="false">IFERROR(D186/VLOOKUP(A186,'Dados-Status-Invest'!$1:$1000,6,FALSE()),"")</f>
        <v>566707820</v>
      </c>
      <c r="H186" s="8" t="n">
        <f aca="false">IFERROR(VLOOKUP(A186,'Dados-Status-Invest'!$1:$1000,12,FALSE())*J186,"")</f>
        <v>535197678.4</v>
      </c>
      <c r="I186" s="8" t="n">
        <f aca="false">IFERROR(D186/VLOOKUP(A186,'Dados-Status-Invest'!$1:$1000,14,FALSE()),"")</f>
        <v>421398122.6</v>
      </c>
      <c r="J186" s="9" t="n">
        <f aca="false">IFERROR(D186/VLOOKUP(A186,'Dados-Status-Invest'!$1:$1000,10,FALSE()),"")</f>
        <v>86044642.83</v>
      </c>
      <c r="K186" s="10" t="n">
        <f aca="false">IFERROR(VLOOKUP(A186,'Dados-Status-Invest'!$1:$1000,3,FALSE())/100,"")</f>
        <v>0</v>
      </c>
      <c r="L186" s="11" t="n">
        <f aca="false">IFERROR(VLOOKUP(A186,'Dados-Status-Invest'!$1:$1000,MATCH(L$1,'Dados-Status-Invest'!$2:$2,0),FALSE())/100,"")</f>
        <v>-0.4146</v>
      </c>
      <c r="M186" s="10" t="n">
        <f aca="false">IFERROR(VLOOKUP(A186,'Dados-Status-Invest'!$1:$1000,MATCH(M$1,'Dados-Status-Invest'!$2:$2,0),FALSE())/100,"")</f>
        <v>0.1412</v>
      </c>
      <c r="N186" s="10" t="n">
        <f aca="false">IFERROR(VLOOKUP(A186,'Dados-Status-Invest'!$1:$1000,MATCH(N$1,'Dados-Status-Invest'!$2:$2,0),FALSE())/100,"")</f>
        <v>0.1559</v>
      </c>
      <c r="O186" s="10" t="n">
        <f aca="false">IFERROR(VLOOKUP(A186,'Dados-Status-Invest'!$1:$1000,MATCH(O$1,'Dados-Status-Invest'!$2:$2,0),FALSE())/100,"")</f>
        <v>0.4073</v>
      </c>
      <c r="P186" s="10" t="n">
        <f aca="false">IFERROR(VLOOKUP(A186,'Dados-Status-Invest'!$1:$1000,MATCH(P$1,'Dados-Status-Invest'!$2:$2,0),FALSE())/100,"")</f>
        <v>0.2024</v>
      </c>
      <c r="Q186" s="10" t="n">
        <f aca="false">IFERROR(VLOOKUP(A186,'Dados-Status-Invest'!$1:$1000,MATCH(Q$1,'Dados-Status-Invest'!$2:$2,0),FALSE())/100,"")</f>
        <v>0.1879</v>
      </c>
      <c r="R186" s="12" t="n">
        <f aca="false">IFERROR(VLOOKUP(A186,'Dados-Status-Invest'!$1:$1000,MATCH(R$1,'Dados-Status-Invest'!$2:$2,0),FALSE()),"")</f>
        <v>2.05</v>
      </c>
      <c r="S186" s="12" t="n">
        <f aca="false">IFERROR(VLOOKUP(A186,'Dados-Status-Invest'!$1:$1000,MATCH(S$1,'Dados-Status-Invest'!$2:$2,0),FALSE()),"")</f>
        <v>-0.85</v>
      </c>
      <c r="T186" s="12" t="n">
        <f aca="false">IFERROR(VLOOKUP(A186,'Dados-Status-Invest'!$1:$1000,MATCH(T$1,'Dados-Status-Invest'!$2:$2,0),FALSE()),"")</f>
        <v>8.23</v>
      </c>
      <c r="U186" s="12" t="n">
        <f aca="false">IFERROR(VLOOKUP(A186,'Dados-Status-Invest'!$1:$1000,MATCH(U$1,'Dados-Status-Invest'!$2:$2,0),FALSE()),"")</f>
        <v>1.7</v>
      </c>
      <c r="V186" s="12" t="n">
        <f aca="false">IFERROR(VLOOKUP(A186,'Dados-Status-Invest'!$1:$1000,MATCH(V$1,'Dados-Status-Invest'!$2:$2,0),FALSE()),"")</f>
        <v>6.22</v>
      </c>
      <c r="W186" s="10" t="n">
        <f aca="false">IFERROR(VLOOKUP(A186,'Dados-Status-Invest'!$1:$1000,MATCH(W$1,'Dados-Status-Invest'!$2:$2,0),FALSE())/100,"")</f>
        <v>0.0767</v>
      </c>
      <c r="X186" s="10" t="n">
        <f aca="false">IFERROR(VLOOKUP(A186,'Dados-Status-Invest'!$1:$1000,MATCH(X$1,'Dados-Status-Invest'!$2:$2,0),FALSE())/100,"")</f>
        <v>0</v>
      </c>
    </row>
    <row r="187" customFormat="false" ht="15.75" hidden="false" customHeight="false" outlineLevel="0" collapsed="false">
      <c r="A187" s="6" t="s">
        <v>218</v>
      </c>
      <c r="B187" s="7" t="str">
        <f aca="false">IFERROR(VLOOKUP(LEFT(A187,4),Setor!A:D,2,FALSE()),"")</f>
        <v>Consumo Cíclico</v>
      </c>
      <c r="C187" s="8" t="n">
        <f aca="false">IFERROR(__xludf.dummyfunction("IFERROR(IFERROR(GOOGLEFINANCE(A193,""price""),VLOOKUP(A193,'Dados-Status-Invest'!A:B,2,FALSE)),"""")"),8.99)</f>
        <v>8.99</v>
      </c>
      <c r="D187" s="8" t="n">
        <f aca="false">IFERROR(VLOOKUP(A187,'Dados-Status-Invest'!$1:$1000,MATCH(D$1,'Dados-Status-Invest'!$2:$2,0),FALSE()),"")</f>
        <v>288440356.7</v>
      </c>
      <c r="E187" s="8" t="n">
        <f aca="false">IF(D187+H187&gt;0,D187+H187,"")</f>
        <v>1284093736.2</v>
      </c>
      <c r="F187" s="8" t="n">
        <f aca="false">IFERROR(D187/VLOOKUP(A187,'Dados-Status-Invest'!$1:$1000,5,FALSE()),"")</f>
        <v>627044253.8</v>
      </c>
      <c r="G187" s="8" t="n">
        <f aca="false">IFERROR(D187/VLOOKUP(A187,'Dados-Status-Invest'!$1:$1000,6,FALSE()),"")</f>
        <v>3204892853</v>
      </c>
      <c r="H187" s="8" t="n">
        <f aca="false">IFERROR(VLOOKUP(A187,'Dados-Status-Invest'!$1:$1000,12,FALSE())*J187,"")</f>
        <v>995653379.5</v>
      </c>
      <c r="I187" s="8" t="n">
        <f aca="false">IFERROR(D187/VLOOKUP(A187,'Dados-Status-Invest'!$1:$1000,14,FALSE()),"")</f>
        <v>1602446426</v>
      </c>
      <c r="J187" s="9" t="n">
        <f aca="false">IFERROR(D187/VLOOKUP(A187,'Dados-Status-Invest'!$1:$1000,10,FALSE()),"")</f>
        <v>106829761.8</v>
      </c>
      <c r="K187" s="10" t="n">
        <f aca="false">IFERROR(VLOOKUP(A187,'Dados-Status-Invest'!$1:$1000,3,FALSE())/100,"")</f>
        <v>0</v>
      </c>
      <c r="L187" s="11" t="n">
        <f aca="false">IFERROR(VLOOKUP(A187,'Dados-Status-Invest'!$1:$1000,MATCH(L$1,'Dados-Status-Invest'!$2:$2,0),FALSE())/100,"")</f>
        <v>-0.1267</v>
      </c>
      <c r="M187" s="10" t="n">
        <f aca="false">IFERROR(VLOOKUP(A187,'Dados-Status-Invest'!$1:$1000,MATCH(M$1,'Dados-Status-Invest'!$2:$2,0),FALSE())/100,"")</f>
        <v>-0.0241</v>
      </c>
      <c r="N187" s="10" t="n">
        <f aca="false">IFERROR(VLOOKUP(A187,'Dados-Status-Invest'!$1:$1000,MATCH(N$1,'Dados-Status-Invest'!$2:$2,0),FALSE())/100,"")</f>
        <v>0.046</v>
      </c>
      <c r="O187" s="10" t="n">
        <f aca="false">IFERROR(VLOOKUP(A187,'Dados-Status-Invest'!$1:$1000,MATCH(O$1,'Dados-Status-Invest'!$2:$2,0),FALSE())/100,"")</f>
        <v>0.3019</v>
      </c>
      <c r="P187" s="10" t="n">
        <f aca="false">IFERROR(VLOOKUP(A187,'Dados-Status-Invest'!$1:$1000,MATCH(P$1,'Dados-Status-Invest'!$2:$2,0),FALSE())/100,"")</f>
        <v>0.0663</v>
      </c>
      <c r="Q187" s="10" t="n">
        <f aca="false">IFERROR(VLOOKUP(A187,'Dados-Status-Invest'!$1:$1000,MATCH(Q$1,'Dados-Status-Invest'!$2:$2,0),FALSE())/100,"")</f>
        <v>-0.0494</v>
      </c>
      <c r="R187" s="12" t="n">
        <f aca="false">IFERROR(VLOOKUP(A187,'Dados-Status-Invest'!$1:$1000,MATCH(R$1,'Dados-Status-Invest'!$2:$2,0),FALSE()),"")</f>
        <v>-3.62</v>
      </c>
      <c r="S187" s="12" t="n">
        <f aca="false">IFERROR(VLOOKUP(A187,'Dados-Status-Invest'!$1:$1000,MATCH(S$1,'Dados-Status-Invest'!$2:$2,0),FALSE()),"")</f>
        <v>0.46</v>
      </c>
      <c r="T187" s="12" t="n">
        <f aca="false">IFERROR(VLOOKUP(A187,'Dados-Status-Invest'!$1:$1000,MATCH(T$1,'Dados-Status-Invest'!$2:$2,0),FALSE()),"")</f>
        <v>11.36</v>
      </c>
      <c r="U187" s="12" t="n">
        <f aca="false">IFERROR(VLOOKUP(A187,'Dados-Status-Invest'!$1:$1000,MATCH(U$1,'Dados-Status-Invest'!$2:$2,0),FALSE()),"")</f>
        <v>1.09</v>
      </c>
      <c r="V187" s="12" t="n">
        <f aca="false">IFERROR(VLOOKUP(A187,'Dados-Status-Invest'!$1:$1000,MATCH(V$1,'Dados-Status-Invest'!$2:$2,0),FALSE()),"")</f>
        <v>9.32</v>
      </c>
      <c r="W187" s="10" t="n">
        <f aca="false">IFERROR(VLOOKUP(A187,'Dados-Status-Invest'!$1:$1000,MATCH(W$1,'Dados-Status-Invest'!$2:$2,0),FALSE())/100,"")</f>
        <v>-0.0517</v>
      </c>
      <c r="X187" s="10" t="n">
        <f aca="false">IFERROR(VLOOKUP(A187,'Dados-Status-Invest'!$1:$1000,MATCH(X$1,'Dados-Status-Invest'!$2:$2,0),FALSE())/100,"")</f>
        <v>0</v>
      </c>
    </row>
    <row r="188" customFormat="false" ht="15.75" hidden="false" customHeight="false" outlineLevel="0" collapsed="false">
      <c r="A188" s="6" t="s">
        <v>219</v>
      </c>
      <c r="B188" s="7" t="str">
        <f aca="false">IFERROR(VLOOKUP(LEFT(A188,4),Setor!A:D,2,FALSE()),"")</f>
        <v>Consumo Cíclico</v>
      </c>
      <c r="C188" s="8" t="n">
        <f aca="false">IFERROR(__xludf.dummyfunction("IFERROR(IFERROR(GOOGLEFINANCE(A194,""price""),VLOOKUP(A194,'Dados-Status-Invest'!A:B,2,FALSE)),"""")"),2.65)</f>
        <v>2.65</v>
      </c>
      <c r="D188" s="8" t="n">
        <f aca="false">IFERROR(VLOOKUP(A188,'Dados-Status-Invest'!$1:$1000,MATCH(D$1,'Dados-Status-Invest'!$2:$2,0),FALSE()),"")</f>
        <v>288440356.7</v>
      </c>
      <c r="E188" s="8" t="n">
        <f aca="false">IF(D188+H188&gt;0,D188+H188,"")</f>
        <v>2092644467.7</v>
      </c>
      <c r="F188" s="8" t="n">
        <f aca="false">IFERROR(D188/VLOOKUP(A188,'Dados-Status-Invest'!$1:$1000,5,FALSE()),"")</f>
        <v>1153761427</v>
      </c>
      <c r="G188" s="8" t="n">
        <f aca="false">IFERROR(D188/VLOOKUP(A188,'Dados-Status-Invest'!$1:$1000,6,FALSE()),"")</f>
        <v>5768807135</v>
      </c>
      <c r="H188" s="8" t="n">
        <f aca="false">IFERROR(VLOOKUP(A188,'Dados-Status-Invest'!$1:$1000,12,FALSE())*J188,"")</f>
        <v>1804204111</v>
      </c>
      <c r="I188" s="8" t="n">
        <f aca="false">IFERROR(D188/VLOOKUP(A188,'Dados-Status-Invest'!$1:$1000,14,FALSE()),"")</f>
        <v>2884403567</v>
      </c>
      <c r="J188" s="9" t="n">
        <f aca="false">IFERROR(D188/VLOOKUP(A188,'Dados-Status-Invest'!$1:$1000,10,FALSE()),"")</f>
        <v>193584132</v>
      </c>
      <c r="K188" s="10" t="n">
        <f aca="false">IFERROR(VLOOKUP(A188,'Dados-Status-Invest'!$1:$1000,3,FALSE())/100,"")</f>
        <v>0</v>
      </c>
      <c r="L188" s="11" t="n">
        <f aca="false">IFERROR(VLOOKUP(A188,'Dados-Status-Invest'!$1:$1000,MATCH(L$1,'Dados-Status-Invest'!$2:$2,0),FALSE())/100,"")</f>
        <v>-0.1267</v>
      </c>
      <c r="M188" s="10" t="n">
        <f aca="false">IFERROR(VLOOKUP(A188,'Dados-Status-Invest'!$1:$1000,MATCH(M$1,'Dados-Status-Invest'!$2:$2,0),FALSE())/100,"")</f>
        <v>-0.0241</v>
      </c>
      <c r="N188" s="10" t="n">
        <f aca="false">IFERROR(VLOOKUP(A188,'Dados-Status-Invest'!$1:$1000,MATCH(N$1,'Dados-Status-Invest'!$2:$2,0),FALSE())/100,"")</f>
        <v>0.046</v>
      </c>
      <c r="O188" s="10" t="n">
        <f aca="false">IFERROR(VLOOKUP(A188,'Dados-Status-Invest'!$1:$1000,MATCH(O$1,'Dados-Status-Invest'!$2:$2,0),FALSE())/100,"")</f>
        <v>0.3019</v>
      </c>
      <c r="P188" s="10" t="n">
        <f aca="false">IFERROR(VLOOKUP(A188,'Dados-Status-Invest'!$1:$1000,MATCH(P$1,'Dados-Status-Invest'!$2:$2,0),FALSE())/100,"")</f>
        <v>0.0663</v>
      </c>
      <c r="Q188" s="10" t="n">
        <f aca="false">IFERROR(VLOOKUP(A188,'Dados-Status-Invest'!$1:$1000,MATCH(Q$1,'Dados-Status-Invest'!$2:$2,0),FALSE())/100,"")</f>
        <v>-0.0494</v>
      </c>
      <c r="R188" s="12" t="n">
        <f aca="false">IFERROR(VLOOKUP(A188,'Dados-Status-Invest'!$1:$1000,MATCH(R$1,'Dados-Status-Invest'!$2:$2,0),FALSE()),"")</f>
        <v>-2.01</v>
      </c>
      <c r="S188" s="12" t="n">
        <f aca="false">IFERROR(VLOOKUP(A188,'Dados-Status-Invest'!$1:$1000,MATCH(S$1,'Dados-Status-Invest'!$2:$2,0),FALSE()),"")</f>
        <v>0.25</v>
      </c>
      <c r="T188" s="12" t="n">
        <f aca="false">IFERROR(VLOOKUP(A188,'Dados-Status-Invest'!$1:$1000,MATCH(T$1,'Dados-Status-Invest'!$2:$2,0),FALSE()),"")</f>
        <v>11.36</v>
      </c>
      <c r="U188" s="12" t="n">
        <f aca="false">IFERROR(VLOOKUP(A188,'Dados-Status-Invest'!$1:$1000,MATCH(U$1,'Dados-Status-Invest'!$2:$2,0),FALSE()),"")</f>
        <v>1.09</v>
      </c>
      <c r="V188" s="12" t="n">
        <f aca="false">IFERROR(VLOOKUP(A188,'Dados-Status-Invest'!$1:$1000,MATCH(V$1,'Dados-Status-Invest'!$2:$2,0),FALSE()),"")</f>
        <v>9.32</v>
      </c>
      <c r="W188" s="10" t="n">
        <f aca="false">IFERROR(VLOOKUP(A188,'Dados-Status-Invest'!$1:$1000,MATCH(W$1,'Dados-Status-Invest'!$2:$2,0),FALSE())/100,"")</f>
        <v>-0.0517</v>
      </c>
      <c r="X188" s="10" t="n">
        <f aca="false">IFERROR(VLOOKUP(A188,'Dados-Status-Invest'!$1:$1000,MATCH(X$1,'Dados-Status-Invest'!$2:$2,0),FALSE())/100,"")</f>
        <v>0</v>
      </c>
    </row>
    <row r="189" customFormat="false" ht="15.75" hidden="false" customHeight="false" outlineLevel="0" collapsed="false">
      <c r="A189" s="6" t="s">
        <v>220</v>
      </c>
      <c r="B189" s="7" t="str">
        <f aca="false">IFERROR(VLOOKUP(LEFT(A189,4),Setor!A:D,2,FALSE()),"")</f>
        <v>Consumo Cíclico</v>
      </c>
      <c r="C189" s="8" t="n">
        <f aca="false">IFERROR(__xludf.dummyfunction("IFERROR(IFERROR(GOOGLEFINANCE(A195,""price""),VLOOKUP(A195,'Dados-Status-Invest'!A:B,2,FALSE)),"""")"),1.71)</f>
        <v>1.71</v>
      </c>
      <c r="D189" s="8" t="n">
        <f aca="false">IFERROR(VLOOKUP(A189,'Dados-Status-Invest'!$1:$1000,MATCH(D$1,'Dados-Status-Invest'!$2:$2,0),FALSE()),"")</f>
        <v>350592259.5</v>
      </c>
      <c r="E189" s="8" t="n">
        <f aca="false">IF(D189+H189&gt;0,D189+H189,"")</f>
        <v>581946630.7</v>
      </c>
      <c r="F189" s="8" t="n">
        <f aca="false">IFERROR(D189/VLOOKUP(A189,'Dados-Status-Invest'!$1:$1000,5,FALSE()),"")</f>
        <v>289745669</v>
      </c>
      <c r="G189" s="8" t="n">
        <f aca="false">IFERROR(D189/VLOOKUP(A189,'Dados-Status-Invest'!$1:$1000,6,FALSE()),"")</f>
        <v>730400540.6</v>
      </c>
      <c r="H189" s="8" t="n">
        <f aca="false">IFERROR(VLOOKUP(A189,'Dados-Status-Invest'!$1:$1000,12,FALSE())*J189,"")</f>
        <v>231354371.2</v>
      </c>
      <c r="I189" s="8" t="n">
        <f aca="false">IFERROR(D189/VLOOKUP(A189,'Dados-Status-Invest'!$1:$1000,14,FALSE()),"")</f>
        <v>508104723.9</v>
      </c>
      <c r="J189" s="9" t="n">
        <f aca="false">IFERROR(D189/VLOOKUP(A189,'Dados-Status-Invest'!$1:$1000,10,FALSE()),"")</f>
        <v>18260013.52</v>
      </c>
      <c r="K189" s="10" t="n">
        <f aca="false">IFERROR(VLOOKUP(A189,'Dados-Status-Invest'!$1:$1000,3,FALSE())/100,"")</f>
        <v>0.0098</v>
      </c>
      <c r="L189" s="11" t="n">
        <f aca="false">IFERROR(VLOOKUP(A189,'Dados-Status-Invest'!$1:$1000,MATCH(L$1,'Dados-Status-Invest'!$2:$2,0),FALSE())/100,"")</f>
        <v>-0.0143</v>
      </c>
      <c r="M189" s="10" t="n">
        <f aca="false">IFERROR(VLOOKUP(A189,'Dados-Status-Invest'!$1:$1000,MATCH(M$1,'Dados-Status-Invest'!$2:$2,0),FALSE())/100,"")</f>
        <v>-0.0057</v>
      </c>
      <c r="N189" s="10" t="n">
        <f aca="false">IFERROR(VLOOKUP(A189,'Dados-Status-Invest'!$1:$1000,MATCH(N$1,'Dados-Status-Invest'!$2:$2,0),FALSE())/100,"")</f>
        <v>0.026</v>
      </c>
      <c r="O189" s="10" t="n">
        <f aca="false">IFERROR(VLOOKUP(A189,'Dados-Status-Invest'!$1:$1000,MATCH(O$1,'Dados-Status-Invest'!$2:$2,0),FALSE())/100,"")</f>
        <v>0.1443</v>
      </c>
      <c r="P189" s="10" t="n">
        <f aca="false">IFERROR(VLOOKUP(A189,'Dados-Status-Invest'!$1:$1000,MATCH(P$1,'Dados-Status-Invest'!$2:$2,0),FALSE())/100,"")</f>
        <v>0.0361</v>
      </c>
      <c r="Q189" s="10" t="n">
        <f aca="false">IFERROR(VLOOKUP(A189,'Dados-Status-Invest'!$1:$1000,MATCH(Q$1,'Dados-Status-Invest'!$2:$2,0),FALSE())/100,"")</f>
        <v>-0.0082</v>
      </c>
      <c r="R189" s="12" t="n">
        <f aca="false">IFERROR(VLOOKUP(A189,'Dados-Status-Invest'!$1:$1000,MATCH(R$1,'Dados-Status-Invest'!$2:$2,0),FALSE()),"")</f>
        <v>-84.17</v>
      </c>
      <c r="S189" s="12" t="n">
        <f aca="false">IFERROR(VLOOKUP(A189,'Dados-Status-Invest'!$1:$1000,MATCH(S$1,'Dados-Status-Invest'!$2:$2,0),FALSE()),"")</f>
        <v>1.21</v>
      </c>
      <c r="T189" s="12" t="n">
        <f aca="false">IFERROR(VLOOKUP(A189,'Dados-Status-Invest'!$1:$1000,MATCH(T$1,'Dados-Status-Invest'!$2:$2,0),FALSE()),"")</f>
        <v>32.18</v>
      </c>
      <c r="U189" s="12" t="n">
        <f aca="false">IFERROR(VLOOKUP(A189,'Dados-Status-Invest'!$1:$1000,MATCH(U$1,'Dados-Status-Invest'!$2:$2,0),FALSE()),"")</f>
        <v>0.93</v>
      </c>
      <c r="V189" s="12" t="n">
        <f aca="false">IFERROR(VLOOKUP(A189,'Dados-Status-Invest'!$1:$1000,MATCH(V$1,'Dados-Status-Invest'!$2:$2,0),FALSE()),"")</f>
        <v>12.67</v>
      </c>
      <c r="W189" s="10" t="n">
        <f aca="false">IFERROR(VLOOKUP(A189,'Dados-Status-Invest'!$1:$1000,MATCH(W$1,'Dados-Status-Invest'!$2:$2,0),FALSE())/100,"")</f>
        <v>0.0686</v>
      </c>
      <c r="X189" s="10" t="n">
        <f aca="false">IFERROR(VLOOKUP(A189,'Dados-Status-Invest'!$1:$1000,MATCH(X$1,'Dados-Status-Invest'!$2:$2,0),FALSE())/100,"")</f>
        <v>0</v>
      </c>
    </row>
    <row r="190" customFormat="false" ht="15.75" hidden="false" customHeight="false" outlineLevel="0" collapsed="false">
      <c r="A190" s="6" t="s">
        <v>221</v>
      </c>
      <c r="B190" s="7" t="str">
        <f aca="false">IFERROR(VLOOKUP(LEFT(A190,4),Setor!A:D,2,FALSE()),"")</f>
        <v>Consumo Cíclico</v>
      </c>
      <c r="C190" s="8" t="n">
        <f aca="false">IFERROR(__xludf.dummyfunction("IFERROR(IFERROR(GOOGLEFINANCE(A196,""price""),VLOOKUP(A196,'Dados-Status-Invest'!A:B,2,FALSE)),"""")"),0.96)</f>
        <v>0.96</v>
      </c>
      <c r="D190" s="8" t="n">
        <f aca="false">IFERROR(VLOOKUP(A190,'Dados-Status-Invest'!$1:$1000,MATCH(D$1,'Dados-Status-Invest'!$2:$2,0),FALSE()),"")</f>
        <v>350592259.5</v>
      </c>
      <c r="E190" s="8" t="n">
        <f aca="false">IF(D190+H190&gt;0,D190+H190,"")</f>
        <v>589666744.3</v>
      </c>
      <c r="F190" s="8" t="n">
        <f aca="false">IFERROR(D190/VLOOKUP(A190,'Dados-Status-Invest'!$1:$1000,5,FALSE()),"")</f>
        <v>299651503.8</v>
      </c>
      <c r="G190" s="8" t="n">
        <f aca="false">IFERROR(D190/VLOOKUP(A190,'Dados-Status-Invest'!$1:$1000,6,FALSE()),"")</f>
        <v>745940977.7</v>
      </c>
      <c r="H190" s="8" t="n">
        <f aca="false">IFERROR(VLOOKUP(A190,'Dados-Status-Invest'!$1:$1000,12,FALSE())*J190,"")</f>
        <v>239074484.8</v>
      </c>
      <c r="I190" s="8" t="n">
        <f aca="false">IFERROR(D190/VLOOKUP(A190,'Dados-Status-Invest'!$1:$1000,14,FALSE()),"")</f>
        <v>523272029.1</v>
      </c>
      <c r="J190" s="9" t="n">
        <f aca="false">IFERROR(D190/VLOOKUP(A190,'Dados-Status-Invest'!$1:$1000,10,FALSE()),"")</f>
        <v>18869335.82</v>
      </c>
      <c r="K190" s="10" t="n">
        <f aca="false">IFERROR(VLOOKUP(A190,'Dados-Status-Invest'!$1:$1000,3,FALSE())/100,"")</f>
        <v>0.0101</v>
      </c>
      <c r="L190" s="11" t="n">
        <f aca="false">IFERROR(VLOOKUP(A190,'Dados-Status-Invest'!$1:$1000,MATCH(L$1,'Dados-Status-Invest'!$2:$2,0),FALSE())/100,"")</f>
        <v>-0.0143</v>
      </c>
      <c r="M190" s="10" t="n">
        <f aca="false">IFERROR(VLOOKUP(A190,'Dados-Status-Invest'!$1:$1000,MATCH(M$1,'Dados-Status-Invest'!$2:$2,0),FALSE())/100,"")</f>
        <v>-0.0057</v>
      </c>
      <c r="N190" s="10" t="n">
        <f aca="false">IFERROR(VLOOKUP(A190,'Dados-Status-Invest'!$1:$1000,MATCH(N$1,'Dados-Status-Invest'!$2:$2,0),FALSE())/100,"")</f>
        <v>0.026</v>
      </c>
      <c r="O190" s="10" t="n">
        <f aca="false">IFERROR(VLOOKUP(A190,'Dados-Status-Invest'!$1:$1000,MATCH(O$1,'Dados-Status-Invest'!$2:$2,0),FALSE())/100,"")</f>
        <v>0.1443</v>
      </c>
      <c r="P190" s="10" t="n">
        <f aca="false">IFERROR(VLOOKUP(A190,'Dados-Status-Invest'!$1:$1000,MATCH(P$1,'Dados-Status-Invest'!$2:$2,0),FALSE())/100,"")</f>
        <v>0.0361</v>
      </c>
      <c r="Q190" s="10" t="n">
        <f aca="false">IFERROR(VLOOKUP(A190,'Dados-Status-Invest'!$1:$1000,MATCH(Q$1,'Dados-Status-Invest'!$2:$2,0),FALSE())/100,"")</f>
        <v>-0.0082</v>
      </c>
      <c r="R190" s="12" t="n">
        <f aca="false">IFERROR(VLOOKUP(A190,'Dados-Status-Invest'!$1:$1000,MATCH(R$1,'Dados-Status-Invest'!$2:$2,0),FALSE()),"")</f>
        <v>-81.46</v>
      </c>
      <c r="S190" s="12" t="n">
        <f aca="false">IFERROR(VLOOKUP(A190,'Dados-Status-Invest'!$1:$1000,MATCH(S$1,'Dados-Status-Invest'!$2:$2,0),FALSE()),"")</f>
        <v>1.17</v>
      </c>
      <c r="T190" s="12" t="n">
        <f aca="false">IFERROR(VLOOKUP(A190,'Dados-Status-Invest'!$1:$1000,MATCH(T$1,'Dados-Status-Invest'!$2:$2,0),FALSE()),"")</f>
        <v>32.18</v>
      </c>
      <c r="U190" s="12" t="n">
        <f aca="false">IFERROR(VLOOKUP(A190,'Dados-Status-Invest'!$1:$1000,MATCH(U$1,'Dados-Status-Invest'!$2:$2,0),FALSE()),"")</f>
        <v>0.93</v>
      </c>
      <c r="V190" s="12" t="n">
        <f aca="false">IFERROR(VLOOKUP(A190,'Dados-Status-Invest'!$1:$1000,MATCH(V$1,'Dados-Status-Invest'!$2:$2,0),FALSE()),"")</f>
        <v>12.67</v>
      </c>
      <c r="W190" s="10" t="n">
        <f aca="false">IFERROR(VLOOKUP(A190,'Dados-Status-Invest'!$1:$1000,MATCH(W$1,'Dados-Status-Invest'!$2:$2,0),FALSE())/100,"")</f>
        <v>0.0686</v>
      </c>
      <c r="X190" s="10" t="n">
        <f aca="false">IFERROR(VLOOKUP(A190,'Dados-Status-Invest'!$1:$1000,MATCH(X$1,'Dados-Status-Invest'!$2:$2,0),FALSE())/100,"")</f>
        <v>0</v>
      </c>
    </row>
    <row r="191" customFormat="false" ht="15.75" hidden="false" customHeight="false" outlineLevel="0" collapsed="false">
      <c r="A191" s="6" t="s">
        <v>222</v>
      </c>
      <c r="B191" s="7" t="str">
        <f aca="false">IFERROR(VLOOKUP(LEFT(A191,4),Setor!A:D,2,FALSE()),"")</f>
        <v>Consumo Cíclico</v>
      </c>
      <c r="C191" s="8" t="n">
        <f aca="false">IFERROR(__xludf.dummyfunction("IFERROR(IFERROR(GOOGLEFINANCE(A197,""price""),VLOOKUP(A197,'Dados-Status-Invest'!A:B,2,FALSE)),"""")"),0)</f>
        <v>0</v>
      </c>
      <c r="D191" s="8" t="n">
        <f aca="false">IFERROR(VLOOKUP(A191,'Dados-Status-Invest'!$1:$1000,MATCH(D$1,'Dados-Status-Invest'!$2:$2,0),FALSE()),"")</f>
        <v>350592259.5</v>
      </c>
      <c r="E191" s="8" t="n">
        <f aca="false">IF(D191+H191&gt;0,D191+H191,"")</f>
        <v>350592259.5</v>
      </c>
      <c r="F191" s="8" t="str">
        <f aca="false">IFERROR(D191/VLOOKUP(A191,'Dados-Status-Invest'!$1:$1000,5,FALSE()),"")</f>
        <v/>
      </c>
      <c r="G191" s="8" t="str">
        <f aca="false">IFERROR(D191/VLOOKUP(A191,'Dados-Status-Invest'!$1:$1000,6,FALSE()),"")</f>
        <v/>
      </c>
      <c r="H191" s="8" t="n">
        <f aca="false">IFERROR(VLOOKUP(A191,'Dados-Status-Invest'!$1:$1000,12,FALSE())*J191,"")</f>
        <v>0</v>
      </c>
      <c r="I191" s="8" t="str">
        <f aca="false">IFERROR(D191/VLOOKUP(A191,'Dados-Status-Invest'!$1:$1000,14,FALSE()),"")</f>
        <v/>
      </c>
      <c r="J191" s="9" t="str">
        <f aca="false">IFERROR(D191/VLOOKUP(A191,'Dados-Status-Invest'!$1:$1000,10,FALSE()),"")</f>
        <v/>
      </c>
      <c r="K191" s="10" t="n">
        <f aca="false">IFERROR(VLOOKUP(A191,'Dados-Status-Invest'!$1:$1000,3,FALSE())/100,"")</f>
        <v>0</v>
      </c>
      <c r="L191" s="11" t="n">
        <f aca="false">IFERROR(VLOOKUP(A191,'Dados-Status-Invest'!$1:$1000,MATCH(L$1,'Dados-Status-Invest'!$2:$2,0),FALSE())/100,"")</f>
        <v>-0.0143</v>
      </c>
      <c r="M191" s="10" t="n">
        <f aca="false">IFERROR(VLOOKUP(A191,'Dados-Status-Invest'!$1:$1000,MATCH(M$1,'Dados-Status-Invest'!$2:$2,0),FALSE())/100,"")</f>
        <v>-0.0057</v>
      </c>
      <c r="N191" s="10" t="n">
        <f aca="false">IFERROR(VLOOKUP(A191,'Dados-Status-Invest'!$1:$1000,MATCH(N$1,'Dados-Status-Invest'!$2:$2,0),FALSE())/100,"")</f>
        <v>0.026</v>
      </c>
      <c r="O191" s="10" t="n">
        <f aca="false">IFERROR(VLOOKUP(A191,'Dados-Status-Invest'!$1:$1000,MATCH(O$1,'Dados-Status-Invest'!$2:$2,0),FALSE())/100,"")</f>
        <v>0.1443</v>
      </c>
      <c r="P191" s="10" t="n">
        <f aca="false">IFERROR(VLOOKUP(A191,'Dados-Status-Invest'!$1:$1000,MATCH(P$1,'Dados-Status-Invest'!$2:$2,0),FALSE())/100,"")</f>
        <v>0.0361</v>
      </c>
      <c r="Q191" s="10" t="n">
        <f aca="false">IFERROR(VLOOKUP(A191,'Dados-Status-Invest'!$1:$1000,MATCH(Q$1,'Dados-Status-Invest'!$2:$2,0),FALSE())/100,"")</f>
        <v>-0.0082</v>
      </c>
      <c r="R191" s="12" t="n">
        <f aca="false">IFERROR(VLOOKUP(A191,'Dados-Status-Invest'!$1:$1000,MATCH(R$1,'Dados-Status-Invest'!$2:$2,0),FALSE()),"")</f>
        <v>0</v>
      </c>
      <c r="S191" s="12" t="n">
        <f aca="false">IFERROR(VLOOKUP(A191,'Dados-Status-Invest'!$1:$1000,MATCH(S$1,'Dados-Status-Invest'!$2:$2,0),FALSE()),"")</f>
        <v>0</v>
      </c>
      <c r="T191" s="12" t="n">
        <f aca="false">IFERROR(VLOOKUP(A191,'Dados-Status-Invest'!$1:$1000,MATCH(T$1,'Dados-Status-Invest'!$2:$2,0),FALSE()),"")</f>
        <v>32.18</v>
      </c>
      <c r="U191" s="12" t="n">
        <f aca="false">IFERROR(VLOOKUP(A191,'Dados-Status-Invest'!$1:$1000,MATCH(U$1,'Dados-Status-Invest'!$2:$2,0),FALSE()),"")</f>
        <v>0.93</v>
      </c>
      <c r="V191" s="12" t="n">
        <f aca="false">IFERROR(VLOOKUP(A191,'Dados-Status-Invest'!$1:$1000,MATCH(V$1,'Dados-Status-Invest'!$2:$2,0),FALSE()),"")</f>
        <v>12.67</v>
      </c>
      <c r="W191" s="10" t="n">
        <f aca="false">IFERROR(VLOOKUP(A191,'Dados-Status-Invest'!$1:$1000,MATCH(W$1,'Dados-Status-Invest'!$2:$2,0),FALSE())/100,"")</f>
        <v>0.0686</v>
      </c>
      <c r="X191" s="10" t="n">
        <f aca="false">IFERROR(VLOOKUP(A191,'Dados-Status-Invest'!$1:$1000,MATCH(X$1,'Dados-Status-Invest'!$2:$2,0),FALSE())/100,"")</f>
        <v>0</v>
      </c>
    </row>
    <row r="192" customFormat="false" ht="15.75" hidden="false" customHeight="false" outlineLevel="0" collapsed="false">
      <c r="A192" s="6" t="s">
        <v>223</v>
      </c>
      <c r="B192" s="7" t="str">
        <f aca="false">IFERROR(VLOOKUP(LEFT(A192,4),Setor!A:D,2,FALSE()),"")</f>
        <v>Consumo Cíclico</v>
      </c>
      <c r="C192" s="8" t="n">
        <f aca="false">IFERROR(__xludf.dummyfunction("IFERROR(IFERROR(GOOGLEFINANCE(A198,""price""),VLOOKUP(A198,'Dados-Status-Invest'!A:B,2,FALSE)),"""")"),6.3)</f>
        <v>6.3</v>
      </c>
      <c r="D192" s="8" t="n">
        <f aca="false">IFERROR(VLOOKUP(A192,'Dados-Status-Invest'!$1:$1000,MATCH(D$1,'Dados-Status-Invest'!$2:$2,0),FALSE()),"")</f>
        <v>2959613392</v>
      </c>
      <c r="E192" s="8" t="n">
        <f aca="false">IF(D192+H192&gt;0,D192+H192,"")</f>
        <v>2803104758.2</v>
      </c>
      <c r="F192" s="8" t="n">
        <f aca="false">IFERROR(D192/VLOOKUP(A192,'Dados-Status-Invest'!$1:$1000,5,FALSE()),"")</f>
        <v>542053734.9</v>
      </c>
      <c r="G192" s="8" t="n">
        <f aca="false">IFERROR(D192/VLOOKUP(A192,'Dados-Status-Invest'!$1:$1000,6,FALSE()),"")</f>
        <v>1921826878</v>
      </c>
      <c r="H192" s="8" t="n">
        <f aca="false">IFERROR(VLOOKUP(A192,'Dados-Status-Invest'!$1:$1000,12,FALSE())*J192,"")</f>
        <v>-156508633.8</v>
      </c>
      <c r="I192" s="8" t="n">
        <f aca="false">IFERROR(D192/VLOOKUP(A192,'Dados-Status-Invest'!$1:$1000,14,FALSE()),"")</f>
        <v>113569201.5</v>
      </c>
      <c r="J192" s="9" t="n">
        <f aca="false">IFERROR(D192/VLOOKUP(A192,'Dados-Status-Invest'!$1:$1000,10,FALSE()),"")</f>
        <v>39029584.5</v>
      </c>
      <c r="K192" s="10" t="n">
        <f aca="false">IFERROR(VLOOKUP(A192,'Dados-Status-Invest'!$1:$1000,3,FALSE())/100,"")</f>
        <v>0.039</v>
      </c>
      <c r="L192" s="11" t="n">
        <f aca="false">IFERROR(VLOOKUP(A192,'Dados-Status-Invest'!$1:$1000,MATCH(L$1,'Dados-Status-Invest'!$2:$2,0),FALSE())/100,"")</f>
        <v>0.0809</v>
      </c>
      <c r="M192" s="10" t="n">
        <f aca="false">IFERROR(VLOOKUP(A192,'Dados-Status-Invest'!$1:$1000,MATCH(M$1,'Dados-Status-Invest'!$2:$2,0),FALSE())/100,"")</f>
        <v>0.0228</v>
      </c>
      <c r="N192" s="10" t="n">
        <f aca="false">IFERROR(VLOOKUP(A192,'Dados-Status-Invest'!$1:$1000,MATCH(N$1,'Dados-Status-Invest'!$2:$2,0),FALSE())/100,"")</f>
        <v>0.039</v>
      </c>
      <c r="O192" s="10" t="n">
        <f aca="false">IFERROR(VLOOKUP(A192,'Dados-Status-Invest'!$1:$1000,MATCH(O$1,'Dados-Status-Invest'!$2:$2,0),FALSE())/100,"")</f>
        <v>0.3769</v>
      </c>
      <c r="P192" s="10" t="n">
        <f aca="false">IFERROR(VLOOKUP(A192,'Dados-Status-Invest'!$1:$1000,MATCH(P$1,'Dados-Status-Invest'!$2:$2,0),FALSE())/100,"")</f>
        <v>0.3437</v>
      </c>
      <c r="Q192" s="10" t="n">
        <f aca="false">IFERROR(VLOOKUP(A192,'Dados-Status-Invest'!$1:$1000,MATCH(Q$1,'Dados-Status-Invest'!$2:$2,0),FALSE())/100,"")</f>
        <v>0.3859</v>
      </c>
      <c r="R192" s="12" t="n">
        <f aca="false">IFERROR(VLOOKUP(A192,'Dados-Status-Invest'!$1:$1000,MATCH(R$1,'Dados-Status-Invest'!$2:$2,0),FALSE()),"")</f>
        <v>67.53</v>
      </c>
      <c r="S192" s="12" t="n">
        <f aca="false">IFERROR(VLOOKUP(A192,'Dados-Status-Invest'!$1:$1000,MATCH(S$1,'Dados-Status-Invest'!$2:$2,0),FALSE()),"")</f>
        <v>5.46</v>
      </c>
      <c r="T192" s="12" t="n">
        <f aca="false">IFERROR(VLOOKUP(A192,'Dados-Status-Invest'!$1:$1000,MATCH(T$1,'Dados-Status-Invest'!$2:$2,0),FALSE()),"")</f>
        <v>72.12</v>
      </c>
      <c r="U192" s="12" t="n">
        <f aca="false">IFERROR(VLOOKUP(A192,'Dados-Status-Invest'!$1:$1000,MATCH(U$1,'Dados-Status-Invest'!$2:$2,0),FALSE()),"")</f>
        <v>2.18</v>
      </c>
      <c r="V192" s="12" t="n">
        <f aca="false">IFERROR(VLOOKUP(A192,'Dados-Status-Invest'!$1:$1000,MATCH(V$1,'Dados-Status-Invest'!$2:$2,0),FALSE()),"")</f>
        <v>-4.01</v>
      </c>
      <c r="W192" s="10" t="n">
        <f aca="false">IFERROR(VLOOKUP(A192,'Dados-Status-Invest'!$1:$1000,MATCH(W$1,'Dados-Status-Invest'!$2:$2,0),FALSE())/100,"")</f>
        <v>0</v>
      </c>
      <c r="X192" s="10" t="n">
        <f aca="false">IFERROR(VLOOKUP(A192,'Dados-Status-Invest'!$1:$1000,MATCH(X$1,'Dados-Status-Invest'!$2:$2,0),FALSE())/100,"")</f>
        <v>0</v>
      </c>
    </row>
    <row r="193" customFormat="false" ht="15.75" hidden="false" customHeight="false" outlineLevel="0" collapsed="false">
      <c r="A193" s="6" t="s">
        <v>224</v>
      </c>
      <c r="B193" s="7" t="str">
        <f aca="false">IFERROR(VLOOKUP(LEFT(A193,4),Setor!A:D,2,FALSE()),"")</f>
        <v>Consumo Cíclico</v>
      </c>
      <c r="C193" s="8" t="n">
        <f aca="false">IFERROR(__xludf.dummyfunction("IFERROR(IFERROR(GOOGLEFINANCE(A199,""price""),VLOOKUP(A199,'Dados-Status-Invest'!A:B,2,FALSE)),"""")"),11.39)</f>
        <v>11.39</v>
      </c>
      <c r="D193" s="8" t="n">
        <f aca="false">IFERROR(VLOOKUP(A193,'Dados-Status-Invest'!$1:$1000,MATCH(D$1,'Dados-Status-Invest'!$2:$2,0),FALSE()),"")</f>
        <v>5534386368</v>
      </c>
      <c r="E193" s="8" t="n">
        <f aca="false">IF(D193+H193&gt;0,D193+H193,"")</f>
        <v>5967759369.8</v>
      </c>
      <c r="F193" s="8" t="n">
        <f aca="false">IFERROR(D193/VLOOKUP(A193,'Dados-Status-Invest'!$1:$1000,5,FALSE()),"")</f>
        <v>345899148</v>
      </c>
      <c r="G193" s="8" t="n">
        <f aca="false">IFERROR(D193/VLOOKUP(A193,'Dados-Status-Invest'!$1:$1000,6,FALSE()),"")</f>
        <v>4812509885</v>
      </c>
      <c r="H193" s="8" t="n">
        <f aca="false">IFERROR(VLOOKUP(A193,'Dados-Status-Invest'!$1:$1000,12,FALSE())*J193,"")</f>
        <v>433373001.8</v>
      </c>
      <c r="I193" s="8" t="n">
        <f aca="false">IFERROR(D193/VLOOKUP(A193,'Dados-Status-Invest'!$1:$1000,14,FALSE()),"")</f>
        <v>391676317.6</v>
      </c>
      <c r="J193" s="9" t="n">
        <f aca="false">IFERROR(D193/VLOOKUP(A193,'Dados-Status-Invest'!$1:$1000,10,FALSE()),"")</f>
        <v>-710447544</v>
      </c>
      <c r="K193" s="10" t="n">
        <f aca="false">IFERROR(VLOOKUP(A193,'Dados-Status-Invest'!$1:$1000,3,FALSE())/100,"")</f>
        <v>0</v>
      </c>
      <c r="L193" s="11" t="n">
        <f aca="false">IFERROR(VLOOKUP(A193,'Dados-Status-Invest'!$1:$1000,MATCH(L$1,'Dados-Status-Invest'!$2:$2,0),FALSE())/100,"")</f>
        <v>-0.3967</v>
      </c>
      <c r="M193" s="10" t="n">
        <f aca="false">IFERROR(VLOOKUP(A193,'Dados-Status-Invest'!$1:$1000,MATCH(M$1,'Dados-Status-Invest'!$2:$2,0),FALSE())/100,"")</f>
        <v>-0.0286</v>
      </c>
      <c r="N193" s="10" t="n">
        <f aca="false">IFERROR(VLOOKUP(A193,'Dados-Status-Invest'!$1:$1000,MATCH(N$1,'Dados-Status-Invest'!$2:$2,0),FALSE())/100,"")</f>
        <v>-0.8885</v>
      </c>
      <c r="O193" s="10" t="n">
        <f aca="false">IFERROR(VLOOKUP(A193,'Dados-Status-Invest'!$1:$1000,MATCH(O$1,'Dados-Status-Invest'!$2:$2,0),FALSE())/100,"")</f>
        <v>1</v>
      </c>
      <c r="P193" s="10" t="n">
        <f aca="false">IFERROR(VLOOKUP(A193,'Dados-Status-Invest'!$1:$1000,MATCH(P$1,'Dados-Status-Invest'!$2:$2,0),FALSE())/100,"")</f>
        <v>-1.8131</v>
      </c>
      <c r="Q193" s="10" t="n">
        <f aca="false">IFERROR(VLOOKUP(A193,'Dados-Status-Invest'!$1:$1000,MATCH(Q$1,'Dados-Status-Invest'!$2:$2,0),FALSE())/100,"")</f>
        <v>-0.3503</v>
      </c>
      <c r="R193" s="12" t="n">
        <f aca="false">IFERROR(VLOOKUP(A193,'Dados-Status-Invest'!$1:$1000,MATCH(R$1,'Dados-Status-Invest'!$2:$2,0),FALSE()),"")</f>
        <v>-40.33</v>
      </c>
      <c r="S193" s="12" t="n">
        <f aca="false">IFERROR(VLOOKUP(A193,'Dados-Status-Invest'!$1:$1000,MATCH(S$1,'Dados-Status-Invest'!$2:$2,0),FALSE()),"")</f>
        <v>16</v>
      </c>
      <c r="T193" s="12" t="n">
        <f aca="false">IFERROR(VLOOKUP(A193,'Dados-Status-Invest'!$1:$1000,MATCH(T$1,'Dados-Status-Invest'!$2:$2,0),FALSE()),"")</f>
        <v>-8.36</v>
      </c>
      <c r="U193" s="12" t="n">
        <f aca="false">IFERROR(VLOOKUP(A193,'Dados-Status-Invest'!$1:$1000,MATCH(U$1,'Dados-Status-Invest'!$2:$2,0),FALSE()),"")</f>
        <v>1.04</v>
      </c>
      <c r="V193" s="12" t="n">
        <f aca="false">IFERROR(VLOOKUP(A193,'Dados-Status-Invest'!$1:$1000,MATCH(V$1,'Dados-Status-Invest'!$2:$2,0),FALSE()),"")</f>
        <v>-0.61</v>
      </c>
      <c r="W193" s="10" t="n">
        <f aca="false">IFERROR(VLOOKUP(A193,'Dados-Status-Invest'!$1:$1000,MATCH(W$1,'Dados-Status-Invest'!$2:$2,0),FALSE())/100,"")</f>
        <v>-0.0666</v>
      </c>
      <c r="X193" s="10" t="n">
        <f aca="false">IFERROR(VLOOKUP(A193,'Dados-Status-Invest'!$1:$1000,MATCH(X$1,'Dados-Status-Invest'!$2:$2,0),FALSE())/100,"")</f>
        <v>0</v>
      </c>
    </row>
    <row r="194" customFormat="false" ht="15.75" hidden="false" customHeight="false" outlineLevel="0" collapsed="false">
      <c r="A194" s="6" t="s">
        <v>225</v>
      </c>
      <c r="B194" s="7" t="s">
        <v>109</v>
      </c>
      <c r="C194" s="8" t="n">
        <f aca="false">IFERROR(__xludf.dummyfunction("IFERROR(IFERROR(GOOGLEFINANCE(A200,""price""),VLOOKUP(A200,'Dados-Status-Invest'!A:B,2,FALSE)),"""")"),7.62)</f>
        <v>7.62</v>
      </c>
      <c r="D194" s="8" t="n">
        <f aca="false">IFERROR(VLOOKUP(A194,'Dados-Status-Invest'!$1:$1000,MATCH(D$1,'Dados-Status-Invest'!$2:$2,0),FALSE()),"")</f>
        <v>38430000000</v>
      </c>
      <c r="E194" s="8" t="n">
        <f aca="false">IF(D194+H194&gt;0,D194+H194,"")</f>
        <v>38033327598.9</v>
      </c>
      <c r="F194" s="8" t="n">
        <f aca="false">IFERROR(D194/VLOOKUP(A194,'Dados-Status-Invest'!$1:$1000,5,FALSE()),"")</f>
        <v>9981818182</v>
      </c>
      <c r="G194" s="8" t="n">
        <f aca="false">IFERROR(D194/VLOOKUP(A194,'Dados-Status-Invest'!$1:$1000,6,FALSE()),"")</f>
        <v>10825352113</v>
      </c>
      <c r="H194" s="8" t="n">
        <f aca="false">IFERROR(VLOOKUP(A194,'Dados-Status-Invest'!$1:$1000,12,FALSE())*J194,"")</f>
        <v>-396672401.1</v>
      </c>
      <c r="I194" s="8" t="str">
        <f aca="false">IFERROR(D194/VLOOKUP(A194,'Dados-Status-Invest'!$1:$1000,14,FALSE()),"")</f>
        <v/>
      </c>
      <c r="J194" s="9" t="n">
        <f aca="false">IFERROR(D194/VLOOKUP(A194,'Dados-Status-Invest'!$1:$1000,10,FALSE()),"")</f>
        <v>944458097.8</v>
      </c>
      <c r="K194" s="10" t="n">
        <f aca="false">IFERROR(VLOOKUP(A194,'Dados-Status-Invest'!$1:$1000,3,FALSE())/100,"")</f>
        <v>0</v>
      </c>
      <c r="L194" s="11" t="n">
        <f aca="false">IFERROR(VLOOKUP(A194,'Dados-Status-Invest'!$1:$1000,MATCH(L$1,'Dados-Status-Invest'!$2:$2,0),FALSE())/100,"")</f>
        <v>0.0842</v>
      </c>
      <c r="M194" s="10" t="n">
        <f aca="false">IFERROR(VLOOKUP(A194,'Dados-Status-Invest'!$1:$1000,MATCH(M$1,'Dados-Status-Invest'!$2:$2,0),FALSE())/100,"")</f>
        <v>0.0778</v>
      </c>
      <c r="N194" s="10" t="n">
        <f aca="false">IFERROR(VLOOKUP(A194,'Dados-Status-Invest'!$1:$1000,MATCH(N$1,'Dados-Status-Invest'!$2:$2,0),FALSE())/100,"")</f>
        <v>0.0838</v>
      </c>
      <c r="O194" s="10" t="n">
        <f aca="false">IFERROR(VLOOKUP(A194,'Dados-Status-Invest'!$1:$1000,MATCH(O$1,'Dados-Status-Invest'!$2:$2,0),FALSE())/100,"")</f>
        <v>0</v>
      </c>
      <c r="P194" s="10" t="n">
        <f aca="false">IFERROR(VLOOKUP(A194,'Dados-Status-Invest'!$1:$1000,MATCH(P$1,'Dados-Status-Invest'!$2:$2,0),FALSE())/100,"")</f>
        <v>0</v>
      </c>
      <c r="Q194" s="10" t="n">
        <f aca="false">IFERROR(VLOOKUP(A194,'Dados-Status-Invest'!$1:$1000,MATCH(Q$1,'Dados-Status-Invest'!$2:$2,0),FALSE())/100,"")</f>
        <v>0</v>
      </c>
      <c r="R194" s="12" t="n">
        <f aca="false">IFERROR(VLOOKUP(A194,'Dados-Status-Invest'!$1:$1000,MATCH(R$1,'Dados-Status-Invest'!$2:$2,0),FALSE()),"")</f>
        <v>45.66</v>
      </c>
      <c r="S194" s="12" t="n">
        <f aca="false">IFERROR(VLOOKUP(A194,'Dados-Status-Invest'!$1:$1000,MATCH(S$1,'Dados-Status-Invest'!$2:$2,0),FALSE()),"")</f>
        <v>3.85</v>
      </c>
      <c r="T194" s="12" t="n">
        <f aca="false">IFERROR(VLOOKUP(A194,'Dados-Status-Invest'!$1:$1000,MATCH(T$1,'Dados-Status-Invest'!$2:$2,0),FALSE()),"")</f>
        <v>40.08</v>
      </c>
      <c r="U194" s="12" t="n">
        <f aca="false">IFERROR(VLOOKUP(A194,'Dados-Status-Invest'!$1:$1000,MATCH(U$1,'Dados-Status-Invest'!$2:$2,0),FALSE()),"")</f>
        <v>1.45</v>
      </c>
      <c r="V194" s="12" t="n">
        <f aca="false">IFERROR(VLOOKUP(A194,'Dados-Status-Invest'!$1:$1000,MATCH(V$1,'Dados-Status-Invest'!$2:$2,0),FALSE()),"")</f>
        <v>-0.42</v>
      </c>
      <c r="W194" s="10" t="n">
        <f aca="false">IFERROR(VLOOKUP(A194,'Dados-Status-Invest'!$1:$1000,MATCH(W$1,'Dados-Status-Invest'!$2:$2,0),FALSE())/100,"")</f>
        <v>0</v>
      </c>
      <c r="X194" s="10" t="n">
        <f aca="false">IFERROR(VLOOKUP(A194,'Dados-Status-Invest'!$1:$1000,MATCH(X$1,'Dados-Status-Invest'!$2:$2,0),FALSE())/100,"")</f>
        <v>0</v>
      </c>
    </row>
    <row r="195" customFormat="false" ht="15.75" hidden="false" customHeight="false" outlineLevel="0" collapsed="false">
      <c r="A195" s="6" t="s">
        <v>226</v>
      </c>
      <c r="B195" s="7" t="str">
        <f aca="false">IFERROR(VLOOKUP(LEFT(A195,4),Setor!A:D,2,FALSE()),"")</f>
        <v>Consumo Cíclico</v>
      </c>
      <c r="C195" s="8" t="n">
        <f aca="false">IFERROR(__xludf.dummyfunction("IFERROR(IFERROR(GOOGLEFINANCE(A201,""price""),VLOOKUP(A201,'Dados-Status-Invest'!A:B,2,FALSE)),"""")"),14.4)</f>
        <v>14.4</v>
      </c>
      <c r="D195" s="8" t="n">
        <f aca="false">IFERROR(VLOOKUP(A195,'Dados-Status-Invest'!$1:$1000,MATCH(D$1,'Dados-Status-Invest'!$2:$2,0),FALSE()),"")</f>
        <v>9014200117</v>
      </c>
      <c r="E195" s="8" t="n">
        <f aca="false">IF(D195+H195&gt;0,D195+H195,"")</f>
        <v>9788857939.6</v>
      </c>
      <c r="F195" s="8" t="n">
        <f aca="false">IFERROR(D195/VLOOKUP(A195,'Dados-Status-Invest'!$1:$1000,5,FALSE()),"")</f>
        <v>5669308250</v>
      </c>
      <c r="G195" s="8" t="n">
        <f aca="false">IFERROR(D195/VLOOKUP(A195,'Dados-Status-Invest'!$1:$1000,6,FALSE()),"")</f>
        <v>11556666817</v>
      </c>
      <c r="H195" s="8" t="n">
        <f aca="false">IFERROR(VLOOKUP(A195,'Dados-Status-Invest'!$1:$1000,12,FALSE())*J195,"")</f>
        <v>774657822.6</v>
      </c>
      <c r="I195" s="8" t="n">
        <f aca="false">IFERROR(D195/VLOOKUP(A195,'Dados-Status-Invest'!$1:$1000,14,FALSE()),"")</f>
        <v>4042242205</v>
      </c>
      <c r="J195" s="9" t="n">
        <f aca="false">IFERROR(D195/VLOOKUP(A195,'Dados-Status-Invest'!$1:$1000,10,FALSE()),"")</f>
        <v>2347447947</v>
      </c>
      <c r="K195" s="10" t="n">
        <f aca="false">IFERROR(VLOOKUP(A195,'Dados-Status-Invest'!$1:$1000,3,FALSE())/100,"")</f>
        <v>0.1282</v>
      </c>
      <c r="L195" s="11" t="n">
        <f aca="false">IFERROR(VLOOKUP(A195,'Dados-Status-Invest'!$1:$1000,MATCH(L$1,'Dados-Status-Invest'!$2:$2,0),FALSE())/100,"")</f>
        <v>0.3379</v>
      </c>
      <c r="M195" s="10" t="n">
        <f aca="false">IFERROR(VLOOKUP(A195,'Dados-Status-Invest'!$1:$1000,MATCH(M$1,'Dados-Status-Invest'!$2:$2,0),FALSE())/100,"")</f>
        <v>0.1651</v>
      </c>
      <c r="N195" s="10" t="n">
        <f aca="false">IFERROR(VLOOKUP(A195,'Dados-Status-Invest'!$1:$1000,MATCH(N$1,'Dados-Status-Invest'!$2:$2,0),FALSE())/100,"")</f>
        <v>0.2187</v>
      </c>
      <c r="O195" s="10" t="n">
        <f aca="false">IFERROR(VLOOKUP(A195,'Dados-Status-Invest'!$1:$1000,MATCH(O$1,'Dados-Status-Invest'!$2:$2,0),FALSE())/100,"")</f>
        <v>0.3289</v>
      </c>
      <c r="P195" s="10" t="n">
        <f aca="false">IFERROR(VLOOKUP(A195,'Dados-Status-Invest'!$1:$1000,MATCH(P$1,'Dados-Status-Invest'!$2:$2,0),FALSE())/100,"")</f>
        <v>0.5805</v>
      </c>
      <c r="Q195" s="10" t="n">
        <f aca="false">IFERROR(VLOOKUP(A195,'Dados-Status-Invest'!$1:$1000,MATCH(Q$1,'Dados-Status-Invest'!$2:$2,0),FALSE())/100,"")</f>
        <v>0.4737</v>
      </c>
      <c r="R195" s="12" t="n">
        <f aca="false">IFERROR(VLOOKUP(A195,'Dados-Status-Invest'!$1:$1000,MATCH(R$1,'Dados-Status-Invest'!$2:$2,0),FALSE()),"")</f>
        <v>4.7</v>
      </c>
      <c r="S195" s="12" t="n">
        <f aca="false">IFERROR(VLOOKUP(A195,'Dados-Status-Invest'!$1:$1000,MATCH(S$1,'Dados-Status-Invest'!$2:$2,0),FALSE()),"")</f>
        <v>1.59</v>
      </c>
      <c r="T195" s="12" t="n">
        <f aca="false">IFERROR(VLOOKUP(A195,'Dados-Status-Invest'!$1:$1000,MATCH(T$1,'Dados-Status-Invest'!$2:$2,0),FALSE()),"")</f>
        <v>4.16</v>
      </c>
      <c r="U195" s="12" t="n">
        <f aca="false">IFERROR(VLOOKUP(A195,'Dados-Status-Invest'!$1:$1000,MATCH(U$1,'Dados-Status-Invest'!$2:$2,0),FALSE()),"")</f>
        <v>2.78</v>
      </c>
      <c r="V195" s="12" t="n">
        <f aca="false">IFERROR(VLOOKUP(A195,'Dados-Status-Invest'!$1:$1000,MATCH(V$1,'Dados-Status-Invest'!$2:$2,0),FALSE()),"")</f>
        <v>0.33</v>
      </c>
      <c r="W195" s="10" t="n">
        <f aca="false">IFERROR(VLOOKUP(A195,'Dados-Status-Invest'!$1:$1000,MATCH(W$1,'Dados-Status-Invest'!$2:$2,0),FALSE())/100,"")</f>
        <v>-0.0251</v>
      </c>
      <c r="X195" s="10" t="n">
        <f aca="false">IFERROR(VLOOKUP(A195,'Dados-Status-Invest'!$1:$1000,MATCH(X$1,'Dados-Status-Invest'!$2:$2,0),FALSE())/100,"")</f>
        <v>0.2527</v>
      </c>
    </row>
    <row r="196" customFormat="false" ht="15.75" hidden="false" customHeight="false" outlineLevel="0" collapsed="false">
      <c r="A196" s="6" t="s">
        <v>227</v>
      </c>
      <c r="B196" s="7" t="str">
        <f aca="false">IFERROR(VLOOKUP(LEFT(A196,4),Setor!A:D,2,FALSE()),"")</f>
        <v>Saúde</v>
      </c>
      <c r="C196" s="8" t="n">
        <f aca="false">IFERROR(__xludf.dummyfunction("IFERROR(IFERROR(GOOGLEFINANCE(A202,""price""),VLOOKUP(A202,'Dados-Status-Invest'!A:B,2,FALSE)),"""")"),18.56)</f>
        <v>18.56</v>
      </c>
      <c r="D196" s="8" t="n">
        <f aca="false">IFERROR(VLOOKUP(A196,'Dados-Status-Invest'!$1:$1000,MATCH(D$1,'Dados-Status-Invest'!$2:$2,0),FALSE()),"")</f>
        <v>32806556066</v>
      </c>
      <c r="E196" s="8" t="n">
        <f aca="false">IF(D196+H196&gt;0,D196+H196,"")</f>
        <v>37071307006</v>
      </c>
      <c r="F196" s="8" t="n">
        <f aca="false">IFERROR(D196/VLOOKUP(A196,'Dados-Status-Invest'!$1:$1000,5,FALSE()),"")</f>
        <v>3527586674</v>
      </c>
      <c r="G196" s="8" t="n">
        <f aca="false">IFERROR(D196/VLOOKUP(A196,'Dados-Status-Invest'!$1:$1000,6,FALSE()),"")</f>
        <v>14019895755</v>
      </c>
      <c r="H196" s="8" t="n">
        <f aca="false">IFERROR(VLOOKUP(A196,'Dados-Status-Invest'!$1:$1000,12,FALSE())*J196,"")</f>
        <v>4264750940</v>
      </c>
      <c r="I196" s="8" t="n">
        <f aca="false">IFERROR(D196/VLOOKUP(A196,'Dados-Status-Invest'!$1:$1000,14,FALSE()),"")</f>
        <v>7962756327</v>
      </c>
      <c r="J196" s="9" t="n">
        <f aca="false">IFERROR(D196/VLOOKUP(A196,'Dados-Status-Invest'!$1:$1000,10,FALSE()),"")</f>
        <v>202697288</v>
      </c>
      <c r="K196" s="10" t="n">
        <f aca="false">IFERROR(VLOOKUP(A196,'Dados-Status-Invest'!$1:$1000,3,FALSE())/100,"")</f>
        <v>0.0048</v>
      </c>
      <c r="L196" s="11" t="n">
        <f aca="false">IFERROR(VLOOKUP(A196,'Dados-Status-Invest'!$1:$1000,MATCH(L$1,'Dados-Status-Invest'!$2:$2,0),FALSE())/100,"")</f>
        <v>-0.0241</v>
      </c>
      <c r="M196" s="10" t="n">
        <f aca="false">IFERROR(VLOOKUP(A196,'Dados-Status-Invest'!$1:$1000,MATCH(M$1,'Dados-Status-Invest'!$2:$2,0),FALSE())/100,"")</f>
        <v>-0.0061</v>
      </c>
      <c r="N196" s="10" t="n">
        <f aca="false">IFERROR(VLOOKUP(A196,'Dados-Status-Invest'!$1:$1000,MATCH(N$1,'Dados-Status-Invest'!$2:$2,0),FALSE())/100,"")</f>
        <v>0.0124</v>
      </c>
      <c r="O196" s="10" t="n">
        <f aca="false">IFERROR(VLOOKUP(A196,'Dados-Status-Invest'!$1:$1000,MATCH(O$1,'Dados-Status-Invest'!$2:$2,0),FALSE())/100,"")</f>
        <v>0.2613</v>
      </c>
      <c r="P196" s="10" t="n">
        <f aca="false">IFERROR(VLOOKUP(A196,'Dados-Status-Invest'!$1:$1000,MATCH(P$1,'Dados-Status-Invest'!$2:$2,0),FALSE())/100,"")</f>
        <v>0.0255</v>
      </c>
      <c r="Q196" s="10" t="n">
        <f aca="false">IFERROR(VLOOKUP(A196,'Dados-Status-Invest'!$1:$1000,MATCH(Q$1,'Dados-Status-Invest'!$2:$2,0),FALSE())/100,"")</f>
        <v>-0.0107</v>
      </c>
      <c r="R196" s="12" t="n">
        <f aca="false">IFERROR(VLOOKUP(A196,'Dados-Status-Invest'!$1:$1000,MATCH(R$1,'Dados-Status-Invest'!$2:$2,0),FALSE()),"")</f>
        <v>-385.72</v>
      </c>
      <c r="S196" s="12" t="n">
        <f aca="false">IFERROR(VLOOKUP(A196,'Dados-Status-Invest'!$1:$1000,MATCH(S$1,'Dados-Status-Invest'!$2:$2,0),FALSE()),"")</f>
        <v>9.3</v>
      </c>
      <c r="T196" s="12" t="n">
        <f aca="false">IFERROR(VLOOKUP(A196,'Dados-Status-Invest'!$1:$1000,MATCH(T$1,'Dados-Status-Invest'!$2:$2,0),FALSE()),"")</f>
        <v>182.92</v>
      </c>
      <c r="U196" s="12" t="n">
        <f aca="false">IFERROR(VLOOKUP(A196,'Dados-Status-Invest'!$1:$1000,MATCH(U$1,'Dados-Status-Invest'!$2:$2,0),FALSE()),"")</f>
        <v>1.13</v>
      </c>
      <c r="V196" s="12" t="n">
        <f aca="false">IFERROR(VLOOKUP(A196,'Dados-Status-Invest'!$1:$1000,MATCH(V$1,'Dados-Status-Invest'!$2:$2,0),FALSE()),"")</f>
        <v>21.04</v>
      </c>
      <c r="W196" s="10" t="n">
        <f aca="false">IFERROR(VLOOKUP(A196,'Dados-Status-Invest'!$1:$1000,MATCH(W$1,'Dados-Status-Invest'!$2:$2,0),FALSE())/100,"")</f>
        <v>0.203</v>
      </c>
      <c r="X196" s="10" t="n">
        <f aca="false">IFERROR(VLOOKUP(A196,'Dados-Status-Invest'!$1:$1000,MATCH(X$1,'Dados-Status-Invest'!$2:$2,0),FALSE())/100,"")</f>
        <v>0</v>
      </c>
    </row>
    <row r="197" customFormat="false" ht="15.75" hidden="false" customHeight="false" outlineLevel="0" collapsed="false">
      <c r="A197" s="6" t="s">
        <v>228</v>
      </c>
      <c r="B197" s="7" t="s">
        <v>58</v>
      </c>
      <c r="C197" s="8" t="n">
        <f aca="false">IFERROR(__xludf.dummyfunction("IFERROR(IFERROR(GOOGLEFINANCE(A203,""price""),VLOOKUP(A203,'Dados-Status-Invest'!A:B,2,FALSE)),"""")"),9.09)</f>
        <v>9.09</v>
      </c>
      <c r="D197" s="8" t="n">
        <f aca="false">IFERROR(VLOOKUP(A197,'Dados-Status-Invest'!$1:$1000,MATCH(D$1,'Dados-Status-Invest'!$2:$2,0),FALSE()),"")</f>
        <v>1326730374</v>
      </c>
      <c r="E197" s="8" t="n">
        <f aca="false">IF(D197+H197&gt;0,D197+H197,"")</f>
        <v>1418597372.54</v>
      </c>
      <c r="F197" s="8" t="n">
        <f aca="false">IFERROR(D197/VLOOKUP(A197,'Dados-Status-Invest'!$1:$1000,5,FALSE()),"")</f>
        <v>320466274</v>
      </c>
      <c r="G197" s="8" t="n">
        <f aca="false">IFERROR(D197/VLOOKUP(A197,'Dados-Status-Invest'!$1:$1000,6,FALSE()),"")</f>
        <v>934317164.9</v>
      </c>
      <c r="H197" s="8" t="n">
        <f aca="false">IFERROR(VLOOKUP(A197,'Dados-Status-Invest'!$1:$1000,12,FALSE())*J197,"")</f>
        <v>91866998.54</v>
      </c>
      <c r="I197" s="8" t="n">
        <f aca="false">IFERROR(D197/VLOOKUP(A197,'Dados-Status-Invest'!$1:$1000,14,FALSE()),"")</f>
        <v>1105608645</v>
      </c>
      <c r="J197" s="9" t="n">
        <f aca="false">IFERROR(D197/VLOOKUP(A197,'Dados-Status-Invest'!$1:$1000,10,FALSE()),"")</f>
        <v>213644182.6</v>
      </c>
      <c r="K197" s="10" t="n">
        <f aca="false">IFERROR(VLOOKUP(A197,'Dados-Status-Invest'!$1:$1000,3,FALSE())/100,"")</f>
        <v>0.0271</v>
      </c>
      <c r="L197" s="11" t="n">
        <f aca="false">IFERROR(VLOOKUP(A197,'Dados-Status-Invest'!$1:$1000,MATCH(L$1,'Dados-Status-Invest'!$2:$2,0),FALSE())/100,"")</f>
        <v>0.4607</v>
      </c>
      <c r="M197" s="10" t="n">
        <f aca="false">IFERROR(VLOOKUP(A197,'Dados-Status-Invest'!$1:$1000,MATCH(M$1,'Dados-Status-Invest'!$2:$2,0),FALSE())/100,"")</f>
        <v>0.1585</v>
      </c>
      <c r="N197" s="10" t="n">
        <f aca="false">IFERROR(VLOOKUP(A197,'Dados-Status-Invest'!$1:$1000,MATCH(N$1,'Dados-Status-Invest'!$2:$2,0),FALSE())/100,"")</f>
        <v>0.3447</v>
      </c>
      <c r="O197" s="10" t="n">
        <f aca="false">IFERROR(VLOOKUP(A197,'Dados-Status-Invest'!$1:$1000,MATCH(O$1,'Dados-Status-Invest'!$2:$2,0),FALSE())/100,"")</f>
        <v>0.2207</v>
      </c>
      <c r="P197" s="10" t="n">
        <f aca="false">IFERROR(VLOOKUP(A197,'Dados-Status-Invest'!$1:$1000,MATCH(P$1,'Dados-Status-Invest'!$2:$2,0),FALSE())/100,"")</f>
        <v>0.1928</v>
      </c>
      <c r="Q197" s="10" t="n">
        <f aca="false">IFERROR(VLOOKUP(A197,'Dados-Status-Invest'!$1:$1000,MATCH(Q$1,'Dados-Status-Invest'!$2:$2,0),FALSE())/100,"")</f>
        <v>0.1335</v>
      </c>
      <c r="R197" s="12" t="n">
        <f aca="false">IFERROR(VLOOKUP(A197,'Dados-Status-Invest'!$1:$1000,MATCH(R$1,'Dados-Status-Invest'!$2:$2,0),FALSE()),"")</f>
        <v>8.98</v>
      </c>
      <c r="S197" s="12" t="n">
        <f aca="false">IFERROR(VLOOKUP(A197,'Dados-Status-Invest'!$1:$1000,MATCH(S$1,'Dados-Status-Invest'!$2:$2,0),FALSE()),"")</f>
        <v>4.14</v>
      </c>
      <c r="T197" s="12" t="n">
        <f aca="false">IFERROR(VLOOKUP(A197,'Dados-Status-Invest'!$1:$1000,MATCH(T$1,'Dados-Status-Invest'!$2:$2,0),FALSE()),"")</f>
        <v>6.64</v>
      </c>
      <c r="U197" s="12" t="n">
        <f aca="false">IFERROR(VLOOKUP(A197,'Dados-Status-Invest'!$1:$1000,MATCH(U$1,'Dados-Status-Invest'!$2:$2,0),FALSE()),"")</f>
        <v>1.65</v>
      </c>
      <c r="V197" s="12" t="n">
        <f aca="false">IFERROR(VLOOKUP(A197,'Dados-Status-Invest'!$1:$1000,MATCH(V$1,'Dados-Status-Invest'!$2:$2,0),FALSE()),"")</f>
        <v>0.43</v>
      </c>
      <c r="W197" s="10" t="n">
        <f aca="false">IFERROR(VLOOKUP(A197,'Dados-Status-Invest'!$1:$1000,MATCH(W$1,'Dados-Status-Invest'!$2:$2,0),FALSE())/100,"")</f>
        <v>0.2013</v>
      </c>
      <c r="X197" s="10" t="n">
        <f aca="false">IFERROR(VLOOKUP(A197,'Dados-Status-Invest'!$1:$1000,MATCH(X$1,'Dados-Status-Invest'!$2:$2,0),FALSE())/100,"")</f>
        <v>0</v>
      </c>
    </row>
    <row r="198" customFormat="false" ht="15.75" hidden="false" customHeight="false" outlineLevel="0" collapsed="false">
      <c r="A198" s="6" t="s">
        <v>229</v>
      </c>
      <c r="B198" s="7" t="s">
        <v>58</v>
      </c>
      <c r="C198" s="8" t="n">
        <f aca="false">IFERROR(__xludf.dummyfunction("IFERROR(IFERROR(GOOGLEFINANCE(A204,""price""),VLOOKUP(A204,'Dados-Status-Invest'!A:B,2,FALSE)),"""")"),8.48)</f>
        <v>8.48</v>
      </c>
      <c r="D198" s="8" t="n">
        <f aca="false">IFERROR(VLOOKUP(A198,'Dados-Status-Invest'!$1:$1000,MATCH(D$1,'Dados-Status-Invest'!$2:$2,0),FALSE()),"")</f>
        <v>1326730374</v>
      </c>
      <c r="E198" s="8" t="n">
        <f aca="false">IF(D198+H198&gt;0,D198+H198,"")</f>
        <v>1429153006.1</v>
      </c>
      <c r="F198" s="8" t="n">
        <f aca="false">IFERROR(D198/VLOOKUP(A198,'Dados-Status-Invest'!$1:$1000,5,FALSE()),"")</f>
        <v>357609265.3</v>
      </c>
      <c r="G198" s="8" t="n">
        <f aca="false">IFERROR(D198/VLOOKUP(A198,'Dados-Status-Invest'!$1:$1000,6,FALSE()),"")</f>
        <v>1044669586</v>
      </c>
      <c r="H198" s="8" t="n">
        <f aca="false">IFERROR(VLOOKUP(A198,'Dados-Status-Invest'!$1:$1000,12,FALSE())*J198,"")</f>
        <v>102422632.1</v>
      </c>
      <c r="I198" s="8" t="n">
        <f aca="false">IFERROR(D198/VLOOKUP(A198,'Dados-Status-Invest'!$1:$1000,14,FALSE()),"")</f>
        <v>1239934929</v>
      </c>
      <c r="J198" s="9" t="n">
        <f aca="false">IFERROR(D198/VLOOKUP(A198,'Dados-Status-Invest'!$1:$1000,10,FALSE()),"")</f>
        <v>238192167.7</v>
      </c>
      <c r="K198" s="10" t="n">
        <f aca="false">IFERROR(VLOOKUP(A198,'Dados-Status-Invest'!$1:$1000,3,FALSE())/100,"")</f>
        <v>0.0646</v>
      </c>
      <c r="L198" s="11" t="n">
        <f aca="false">IFERROR(VLOOKUP(A198,'Dados-Status-Invest'!$1:$1000,MATCH(L$1,'Dados-Status-Invest'!$2:$2,0),FALSE())/100,"")</f>
        <v>0.4607</v>
      </c>
      <c r="M198" s="10" t="n">
        <f aca="false">IFERROR(VLOOKUP(A198,'Dados-Status-Invest'!$1:$1000,MATCH(M$1,'Dados-Status-Invest'!$2:$2,0),FALSE())/100,"")</f>
        <v>0.1585</v>
      </c>
      <c r="N198" s="10" t="n">
        <f aca="false">IFERROR(VLOOKUP(A198,'Dados-Status-Invest'!$1:$1000,MATCH(N$1,'Dados-Status-Invest'!$2:$2,0),FALSE())/100,"")</f>
        <v>0.3447</v>
      </c>
      <c r="O198" s="10" t="n">
        <f aca="false">IFERROR(VLOOKUP(A198,'Dados-Status-Invest'!$1:$1000,MATCH(O$1,'Dados-Status-Invest'!$2:$2,0),FALSE())/100,"")</f>
        <v>0.2207</v>
      </c>
      <c r="P198" s="10" t="n">
        <f aca="false">IFERROR(VLOOKUP(A198,'Dados-Status-Invest'!$1:$1000,MATCH(P$1,'Dados-Status-Invest'!$2:$2,0),FALSE())/100,"")</f>
        <v>0.1928</v>
      </c>
      <c r="Q198" s="10" t="n">
        <f aca="false">IFERROR(VLOOKUP(A198,'Dados-Status-Invest'!$1:$1000,MATCH(Q$1,'Dados-Status-Invest'!$2:$2,0),FALSE())/100,"")</f>
        <v>0.1335</v>
      </c>
      <c r="R198" s="12" t="n">
        <f aca="false">IFERROR(VLOOKUP(A198,'Dados-Status-Invest'!$1:$1000,MATCH(R$1,'Dados-Status-Invest'!$2:$2,0),FALSE()),"")</f>
        <v>8.04</v>
      </c>
      <c r="S198" s="12" t="n">
        <f aca="false">IFERROR(VLOOKUP(A198,'Dados-Status-Invest'!$1:$1000,MATCH(S$1,'Dados-Status-Invest'!$2:$2,0),FALSE()),"")</f>
        <v>3.71</v>
      </c>
      <c r="T198" s="12" t="n">
        <f aca="false">IFERROR(VLOOKUP(A198,'Dados-Status-Invest'!$1:$1000,MATCH(T$1,'Dados-Status-Invest'!$2:$2,0),FALSE()),"")</f>
        <v>6.64</v>
      </c>
      <c r="U198" s="12" t="n">
        <f aca="false">IFERROR(VLOOKUP(A198,'Dados-Status-Invest'!$1:$1000,MATCH(U$1,'Dados-Status-Invest'!$2:$2,0),FALSE()),"")</f>
        <v>1.65</v>
      </c>
      <c r="V198" s="12" t="n">
        <f aca="false">IFERROR(VLOOKUP(A198,'Dados-Status-Invest'!$1:$1000,MATCH(V$1,'Dados-Status-Invest'!$2:$2,0),FALSE()),"")</f>
        <v>0.43</v>
      </c>
      <c r="W198" s="10" t="n">
        <f aca="false">IFERROR(VLOOKUP(A198,'Dados-Status-Invest'!$1:$1000,MATCH(W$1,'Dados-Status-Invest'!$2:$2,0),FALSE())/100,"")</f>
        <v>0.2013</v>
      </c>
      <c r="X198" s="10" t="n">
        <f aca="false">IFERROR(VLOOKUP(A198,'Dados-Status-Invest'!$1:$1000,MATCH(X$1,'Dados-Status-Invest'!$2:$2,0),FALSE())/100,"")</f>
        <v>0</v>
      </c>
    </row>
    <row r="199" customFormat="false" ht="15.75" hidden="false" customHeight="false" outlineLevel="0" collapsed="false">
      <c r="A199" s="6" t="s">
        <v>230</v>
      </c>
      <c r="B199" s="7" t="str">
        <f aca="false">IFERROR(VLOOKUP(LEFT(A199,4),Setor!A:D,2,FALSE()),"")</f>
        <v>Consumo Cíclico</v>
      </c>
      <c r="C199" s="8" t="n">
        <f aca="false">IFERROR(__xludf.dummyfunction("IFERROR(IFERROR(GOOGLEFINANCE(A205,""price""),VLOOKUP(A205,'Dados-Status-Invest'!A:B,2,FALSE)),"""")"),10.73)</f>
        <v>10.73</v>
      </c>
      <c r="D199" s="8" t="n">
        <f aca="false">IFERROR(VLOOKUP(A199,'Dados-Status-Invest'!$1:$1000,MATCH(D$1,'Dados-Status-Invest'!$2:$2,0),FALSE()),"")</f>
        <v>2095500000</v>
      </c>
      <c r="E199" s="8" t="n">
        <f aca="false">IF(D199+H199&gt;0,D199+H199,"")</f>
        <v>2236373949.6</v>
      </c>
      <c r="F199" s="8" t="n">
        <f aca="false">IFERROR(D199/VLOOKUP(A199,'Dados-Status-Invest'!$1:$1000,5,FALSE()),"")</f>
        <v>1232647059</v>
      </c>
      <c r="G199" s="8" t="n">
        <f aca="false">IFERROR(D199/VLOOKUP(A199,'Dados-Status-Invest'!$1:$1000,6,FALSE()),"")</f>
        <v>5110975610</v>
      </c>
      <c r="H199" s="8" t="n">
        <f aca="false">IFERROR(VLOOKUP(A199,'Dados-Status-Invest'!$1:$1000,12,FALSE())*J199,"")</f>
        <v>140873949.6</v>
      </c>
      <c r="I199" s="8" t="n">
        <f aca="false">IFERROR(D199/VLOOKUP(A199,'Dados-Status-Invest'!$1:$1000,14,FALSE()),"")</f>
        <v>1624418605</v>
      </c>
      <c r="J199" s="9" t="n">
        <f aca="false">IFERROR(D199/VLOOKUP(A199,'Dados-Status-Invest'!$1:$1000,10,FALSE()),"")</f>
        <v>251560624.2</v>
      </c>
      <c r="K199" s="10" t="n">
        <f aca="false">IFERROR(VLOOKUP(A199,'Dados-Status-Invest'!$1:$1000,3,FALSE())/100,"")</f>
        <v>0.1075</v>
      </c>
      <c r="L199" s="11" t="n">
        <f aca="false">IFERROR(VLOOKUP(A199,'Dados-Status-Invest'!$1:$1000,MATCH(L$1,'Dados-Status-Invest'!$2:$2,0),FALSE())/100,"")</f>
        <v>0.1055</v>
      </c>
      <c r="M199" s="10" t="n">
        <f aca="false">IFERROR(VLOOKUP(A199,'Dados-Status-Invest'!$1:$1000,MATCH(M$1,'Dados-Status-Invest'!$2:$2,0),FALSE())/100,"")</f>
        <v>0.0253</v>
      </c>
      <c r="N199" s="10" t="n">
        <f aca="false">IFERROR(VLOOKUP(A199,'Dados-Status-Invest'!$1:$1000,MATCH(N$1,'Dados-Status-Invest'!$2:$2,0),FALSE())/100,"")</f>
        <v>0.0886</v>
      </c>
      <c r="O199" s="10" t="n">
        <f aca="false">IFERROR(VLOOKUP(A199,'Dados-Status-Invest'!$1:$1000,MATCH(O$1,'Dados-Status-Invest'!$2:$2,0),FALSE())/100,"")</f>
        <v>0.3488</v>
      </c>
      <c r="P199" s="10" t="n">
        <f aca="false">IFERROR(VLOOKUP(A199,'Dados-Status-Invest'!$1:$1000,MATCH(P$1,'Dados-Status-Invest'!$2:$2,0),FALSE())/100,"")</f>
        <v>0.1549</v>
      </c>
      <c r="Q199" s="10" t="n">
        <f aca="false">IFERROR(VLOOKUP(A199,'Dados-Status-Invest'!$1:$1000,MATCH(Q$1,'Dados-Status-Invest'!$2:$2,0),FALSE())/100,"")</f>
        <v>0.0802</v>
      </c>
      <c r="R199" s="12" t="n">
        <f aca="false">IFERROR(VLOOKUP(A199,'Dados-Status-Invest'!$1:$1000,MATCH(R$1,'Dados-Status-Invest'!$2:$2,0),FALSE()),"")</f>
        <v>16.09</v>
      </c>
      <c r="S199" s="12" t="n">
        <f aca="false">IFERROR(VLOOKUP(A199,'Dados-Status-Invest'!$1:$1000,MATCH(S$1,'Dados-Status-Invest'!$2:$2,0),FALSE()),"")</f>
        <v>1.7</v>
      </c>
      <c r="T199" s="12" t="n">
        <f aca="false">IFERROR(VLOOKUP(A199,'Dados-Status-Invest'!$1:$1000,MATCH(T$1,'Dados-Status-Invest'!$2:$2,0),FALSE()),"")</f>
        <v>8.89</v>
      </c>
      <c r="U199" s="12" t="n">
        <f aca="false">IFERROR(VLOOKUP(A199,'Dados-Status-Invest'!$1:$1000,MATCH(U$1,'Dados-Status-Invest'!$2:$2,0),FALSE()),"")</f>
        <v>4.92</v>
      </c>
      <c r="V199" s="12" t="n">
        <f aca="false">IFERROR(VLOOKUP(A199,'Dados-Status-Invest'!$1:$1000,MATCH(V$1,'Dados-Status-Invest'!$2:$2,0),FALSE()),"")</f>
        <v>0.56</v>
      </c>
      <c r="W199" s="10" t="n">
        <f aca="false">IFERROR(VLOOKUP(A199,'Dados-Status-Invest'!$1:$1000,MATCH(W$1,'Dados-Status-Invest'!$2:$2,0),FALSE())/100,"")</f>
        <v>-0.0089</v>
      </c>
      <c r="X199" s="10" t="n">
        <f aca="false">IFERROR(VLOOKUP(A199,'Dados-Status-Invest'!$1:$1000,MATCH(X$1,'Dados-Status-Invest'!$2:$2,0),FALSE())/100,"")</f>
        <v>-0.0079</v>
      </c>
    </row>
    <row r="200" customFormat="false" ht="15.75" hidden="false" customHeight="false" outlineLevel="0" collapsed="false">
      <c r="A200" s="6" t="s">
        <v>231</v>
      </c>
      <c r="B200" s="7" t="str">
        <f aca="false">IFERROR(VLOOKUP(LEFT(A200,4),Setor!A:D,2,FALSE()),"")</f>
        <v>Petróleo, Gás e Biocombustíveis</v>
      </c>
      <c r="C200" s="8" t="n">
        <f aca="false">IFERROR(__xludf.dummyfunction("IFERROR(IFERROR(GOOGLEFINANCE(A206,""price""),VLOOKUP(A206,'Dados-Status-Invest'!A:B,2,FALSE)),"""")"),1.33)</f>
        <v>1.33</v>
      </c>
      <c r="D200" s="8" t="n">
        <f aca="false">IFERROR(VLOOKUP(A200,'Dados-Status-Invest'!$1:$1000,MATCH(D$1,'Dados-Status-Invest'!$2:$2,0),FALSE()),"")</f>
        <v>288386555.1</v>
      </c>
      <c r="E200" s="8" t="n">
        <f aca="false">IF(D200+H200&gt;0,D200+H200,"")</f>
        <v>254080347.8</v>
      </c>
      <c r="F200" s="8" t="n">
        <f aca="false">IFERROR(D200/VLOOKUP(A200,'Dados-Status-Invest'!$1:$1000,5,FALSE()),"")</f>
        <v>-758911987.1</v>
      </c>
      <c r="G200" s="8" t="n">
        <f aca="false">IFERROR(D200/VLOOKUP(A200,'Dados-Status-Invest'!$1:$1000,6,FALSE()),"")</f>
        <v>228878218.3</v>
      </c>
      <c r="H200" s="8" t="n">
        <f aca="false">IFERROR(VLOOKUP(A200,'Dados-Status-Invest'!$1:$1000,12,FALSE())*J200,"")</f>
        <v>-34306207.3</v>
      </c>
      <c r="I200" s="8" t="n">
        <f aca="false">IFERROR(D200/VLOOKUP(A200,'Dados-Status-Invest'!$1:$1000,14,FALSE()),"")</f>
        <v>259807707.3</v>
      </c>
      <c r="J200" s="9" t="n">
        <f aca="false">IFERROR(D200/VLOOKUP(A200,'Dados-Status-Invest'!$1:$1000,10,FALSE()),"")</f>
        <v>107206897.8</v>
      </c>
      <c r="K200" s="10" t="n">
        <f aca="false">IFERROR(VLOOKUP(A200,'Dados-Status-Invest'!$1:$1000,3,FALSE())/100,"")</f>
        <v>0</v>
      </c>
      <c r="L200" s="11" t="n">
        <f aca="false">IFERROR(VLOOKUP(A200,'Dados-Status-Invest'!$1:$1000,MATCH(L$1,'Dados-Status-Invest'!$2:$2,0),FALSE())/100,"")</f>
        <v>-0.0703</v>
      </c>
      <c r="M200" s="10" t="n">
        <f aca="false">IFERROR(VLOOKUP(A200,'Dados-Status-Invest'!$1:$1000,MATCH(M$1,'Dados-Status-Invest'!$2:$2,0),FALSE())/100,"")</f>
        <v>0.235</v>
      </c>
      <c r="N200" s="10" t="n">
        <f aca="false">IFERROR(VLOOKUP(A200,'Dados-Status-Invest'!$1:$1000,MATCH(N$1,'Dados-Status-Invest'!$2:$2,0),FALSE())/100,"")</f>
        <v>-0.1407</v>
      </c>
      <c r="O200" s="10" t="n">
        <f aca="false">IFERROR(VLOOKUP(A200,'Dados-Status-Invest'!$1:$1000,MATCH(O$1,'Dados-Status-Invest'!$2:$2,0),FALSE())/100,"")</f>
        <v>0.0944</v>
      </c>
      <c r="P200" s="10" t="n">
        <f aca="false">IFERROR(VLOOKUP(A200,'Dados-Status-Invest'!$1:$1000,MATCH(P$1,'Dados-Status-Invest'!$2:$2,0),FALSE())/100,"")</f>
        <v>0.4109</v>
      </c>
      <c r="Q200" s="10" t="n">
        <f aca="false">IFERROR(VLOOKUP(A200,'Dados-Status-Invest'!$1:$1000,MATCH(Q$1,'Dados-Status-Invest'!$2:$2,0),FALSE())/100,"")</f>
        <v>0.2065</v>
      </c>
      <c r="R200" s="12" t="n">
        <f aca="false">IFERROR(VLOOKUP(A200,'Dados-Status-Invest'!$1:$1000,MATCH(R$1,'Dados-Status-Invest'!$2:$2,0),FALSE()),"")</f>
        <v>5.35</v>
      </c>
      <c r="S200" s="12" t="n">
        <f aca="false">IFERROR(VLOOKUP(A200,'Dados-Status-Invest'!$1:$1000,MATCH(S$1,'Dados-Status-Invest'!$2:$2,0),FALSE()),"")</f>
        <v>-0.38</v>
      </c>
      <c r="T200" s="12" t="n">
        <f aca="false">IFERROR(VLOOKUP(A200,'Dados-Status-Invest'!$1:$1000,MATCH(T$1,'Dados-Status-Invest'!$2:$2,0),FALSE()),"")</f>
        <v>2.4</v>
      </c>
      <c r="U200" s="12" t="n">
        <f aca="false">IFERROR(VLOOKUP(A200,'Dados-Status-Invest'!$1:$1000,MATCH(U$1,'Dados-Status-Invest'!$2:$2,0),FALSE()),"")</f>
        <v>0.33</v>
      </c>
      <c r="V200" s="12" t="n">
        <f aca="false">IFERROR(VLOOKUP(A200,'Dados-Status-Invest'!$1:$1000,MATCH(V$1,'Dados-Status-Invest'!$2:$2,0),FALSE()),"")</f>
        <v>-0.32</v>
      </c>
      <c r="W200" s="10" t="n">
        <f aca="false">IFERROR(VLOOKUP(A200,'Dados-Status-Invest'!$1:$1000,MATCH(W$1,'Dados-Status-Invest'!$2:$2,0),FALSE())/100,"")</f>
        <v>-0.1063</v>
      </c>
      <c r="X200" s="10" t="n">
        <f aca="false">IFERROR(VLOOKUP(A200,'Dados-Status-Invest'!$1:$1000,MATCH(X$1,'Dados-Status-Invest'!$2:$2,0),FALSE())/100,"")</f>
        <v>0</v>
      </c>
    </row>
    <row r="201" customFormat="false" ht="15.75" hidden="false" customHeight="false" outlineLevel="0" collapsed="false">
      <c r="A201" s="6" t="s">
        <v>232</v>
      </c>
      <c r="B201" s="7" t="str">
        <f aca="false">IFERROR(VLOOKUP(LEFT(A201,4),Setor!A:D,2,FALSE()),"")</f>
        <v>Saúde</v>
      </c>
      <c r="C201" s="8" t="n">
        <f aca="false">IFERROR(__xludf.dummyfunction("IFERROR(IFERROR(GOOGLEFINANCE(A207,""price""),VLOOKUP(A207,'Dados-Status-Invest'!A:B,2,FALSE)),"""")"),3.9)</f>
        <v>3.9</v>
      </c>
      <c r="D201" s="8" t="n">
        <f aca="false">IFERROR(VLOOKUP(A201,'Dados-Status-Invest'!$1:$1000,MATCH(D$1,'Dados-Status-Invest'!$2:$2,0),FALSE()),"")</f>
        <v>482245084.3</v>
      </c>
      <c r="E201" s="8" t="n">
        <f aca="false">IF(D201+H201&gt;0,D201+H201,"")</f>
        <v>441881312.56</v>
      </c>
      <c r="F201" s="8" t="n">
        <f aca="false">IFERROR(D201/VLOOKUP(A201,'Dados-Status-Invest'!$1:$1000,5,FALSE()),"")</f>
        <v>831457041.8</v>
      </c>
      <c r="G201" s="8" t="n">
        <f aca="false">IFERROR(D201/VLOOKUP(A201,'Dados-Status-Invest'!$1:$1000,6,FALSE()),"")</f>
        <v>1418367895</v>
      </c>
      <c r="H201" s="8" t="n">
        <f aca="false">IFERROR(VLOOKUP(A201,'Dados-Status-Invest'!$1:$1000,12,FALSE())*J201,"")</f>
        <v>-40363771.74</v>
      </c>
      <c r="I201" s="8" t="n">
        <f aca="false">IFERROR(D201/VLOOKUP(A201,'Dados-Status-Invest'!$1:$1000,14,FALSE()),"")</f>
        <v>984173641.3</v>
      </c>
      <c r="J201" s="9" t="n">
        <f aca="false">IFERROR(D201/VLOOKUP(A201,'Dados-Status-Invest'!$1:$1000,10,FALSE()),"")</f>
        <v>69926.67003</v>
      </c>
      <c r="K201" s="10" t="n">
        <f aca="false">IFERROR(VLOOKUP(A201,'Dados-Status-Invest'!$1:$1000,3,FALSE())/100,"")</f>
        <v>0</v>
      </c>
      <c r="L201" s="11" t="n">
        <f aca="false">IFERROR(VLOOKUP(A201,'Dados-Status-Invest'!$1:$1000,MATCH(L$1,'Dados-Status-Invest'!$2:$2,0),FALSE())/100,"")</f>
        <v>-0.0025</v>
      </c>
      <c r="M201" s="10" t="n">
        <f aca="false">IFERROR(VLOOKUP(A201,'Dados-Status-Invest'!$1:$1000,MATCH(M$1,'Dados-Status-Invest'!$2:$2,0),FALSE())/100,"")</f>
        <v>-0.0014</v>
      </c>
      <c r="N201" s="10" t="n">
        <f aca="false">IFERROR(VLOOKUP(A201,'Dados-Status-Invest'!$1:$1000,MATCH(N$1,'Dados-Status-Invest'!$2:$2,0),FALSE())/100,"")</f>
        <v>-0.0189</v>
      </c>
      <c r="O201" s="10" t="n">
        <f aca="false">IFERROR(VLOOKUP(A201,'Dados-Status-Invest'!$1:$1000,MATCH(O$1,'Dados-Status-Invest'!$2:$2,0),FALSE())/100,"")</f>
        <v>0.332</v>
      </c>
      <c r="P201" s="10" t="n">
        <f aca="false">IFERROR(VLOOKUP(A201,'Dados-Status-Invest'!$1:$1000,MATCH(P$1,'Dados-Status-Invest'!$2:$2,0),FALSE())/100,"")</f>
        <v>0.0001</v>
      </c>
      <c r="Q201" s="10" t="n">
        <f aca="false">IFERROR(VLOOKUP(A201,'Dados-Status-Invest'!$1:$1000,MATCH(Q$1,'Dados-Status-Invest'!$2:$2,0),FALSE())/100,"")</f>
        <v>-0.0021</v>
      </c>
      <c r="R201" s="12" t="n">
        <f aca="false">IFERROR(VLOOKUP(A201,'Dados-Status-Invest'!$1:$1000,MATCH(R$1,'Dados-Status-Invest'!$2:$2,0),FALSE()),"")</f>
        <v>-235.83</v>
      </c>
      <c r="S201" s="12" t="n">
        <f aca="false">IFERROR(VLOOKUP(A201,'Dados-Status-Invest'!$1:$1000,MATCH(S$1,'Dados-Status-Invest'!$2:$2,0),FALSE()),"")</f>
        <v>0.58</v>
      </c>
      <c r="T201" s="12" t="n">
        <f aca="false">IFERROR(VLOOKUP(A201,'Dados-Status-Invest'!$1:$1000,MATCH(T$1,'Dados-Status-Invest'!$2:$2,0),FALSE()),"")</f>
        <v>6311.99</v>
      </c>
      <c r="U201" s="12" t="n">
        <f aca="false">IFERROR(VLOOKUP(A201,'Dados-Status-Invest'!$1:$1000,MATCH(U$1,'Dados-Status-Invest'!$2:$2,0),FALSE()),"")</f>
        <v>1.41</v>
      </c>
      <c r="V201" s="12" t="n">
        <f aca="false">IFERROR(VLOOKUP(A201,'Dados-Status-Invest'!$1:$1000,MATCH(V$1,'Dados-Status-Invest'!$2:$2,0),FALSE()),"")</f>
        <v>-577.23</v>
      </c>
      <c r="W201" s="10" t="n">
        <f aca="false">IFERROR(VLOOKUP(A201,'Dados-Status-Invest'!$1:$1000,MATCH(W$1,'Dados-Status-Invest'!$2:$2,0),FALSE())/100,"")</f>
        <v>0</v>
      </c>
      <c r="X201" s="10" t="n">
        <f aca="false">IFERROR(VLOOKUP(A201,'Dados-Status-Invest'!$1:$1000,MATCH(X$1,'Dados-Status-Invest'!$2:$2,0),FALSE())/100,"")</f>
        <v>0</v>
      </c>
    </row>
    <row r="202" customFormat="false" ht="15.75" hidden="false" customHeight="false" outlineLevel="0" collapsed="false">
      <c r="A202" s="6" t="s">
        <v>233</v>
      </c>
      <c r="B202" s="7" t="str">
        <f aca="false">IFERROR(VLOOKUP(LEFT(A202,4),Setor!A:D,2,FALSE()),"")</f>
        <v>Consumo Cíclico</v>
      </c>
      <c r="C202" s="8" t="n">
        <f aca="false">IFERROR(__xludf.dummyfunction("IFERROR(IFERROR(GOOGLEFINANCE(A208,""price""),VLOOKUP(A208,'Dados-Status-Invest'!A:B,2,FALSE)),"""")"),19)</f>
        <v>19</v>
      </c>
      <c r="D202" s="8" t="n">
        <f aca="false">IFERROR(VLOOKUP(A202,'Dados-Status-Invest'!$1:$1000,MATCH(D$1,'Dados-Status-Invest'!$2:$2,0),FALSE()),"")</f>
        <v>1662659426</v>
      </c>
      <c r="E202" s="8" t="n">
        <f aca="false">IF(D202+H202&gt;0,D202+H202,"")</f>
        <v>1623072296.82</v>
      </c>
      <c r="F202" s="8" t="n">
        <f aca="false">IFERROR(D202/VLOOKUP(A202,'Dados-Status-Invest'!$1:$1000,5,FALSE()),"")</f>
        <v>531201094.5</v>
      </c>
      <c r="G202" s="8" t="n">
        <f aca="false">IFERROR(D202/VLOOKUP(A202,'Dados-Status-Invest'!$1:$1000,6,FALSE()),"")</f>
        <v>707514649.2</v>
      </c>
      <c r="H202" s="8" t="n">
        <f aca="false">IFERROR(VLOOKUP(A202,'Dados-Status-Invest'!$1:$1000,12,FALSE())*J202,"")</f>
        <v>-39587129.18</v>
      </c>
      <c r="I202" s="8" t="n">
        <f aca="false">IFERROR(D202/VLOOKUP(A202,'Dados-Status-Invest'!$1:$1000,14,FALSE()),"")</f>
        <v>453040715.4</v>
      </c>
      <c r="J202" s="9" t="n">
        <f aca="false">IFERROR(D202/VLOOKUP(A202,'Dados-Status-Invest'!$1:$1000,10,FALSE()),"")</f>
        <v>70691302.11</v>
      </c>
      <c r="K202" s="10" t="n">
        <f aca="false">IFERROR(VLOOKUP(A202,'Dados-Status-Invest'!$1:$1000,3,FALSE())/100,"")</f>
        <v>0.0156</v>
      </c>
      <c r="L202" s="11" t="n">
        <f aca="false">IFERROR(VLOOKUP(A202,'Dados-Status-Invest'!$1:$1000,MATCH(L$1,'Dados-Status-Invest'!$2:$2,0),FALSE())/100,"")</f>
        <v>0.154</v>
      </c>
      <c r="M202" s="10" t="n">
        <f aca="false">IFERROR(VLOOKUP(A202,'Dados-Status-Invest'!$1:$1000,MATCH(M$1,'Dados-Status-Invest'!$2:$2,0),FALSE())/100,"")</f>
        <v>0.1156</v>
      </c>
      <c r="N202" s="10" t="n">
        <f aca="false">IFERROR(VLOOKUP(A202,'Dados-Status-Invest'!$1:$1000,MATCH(N$1,'Dados-Status-Invest'!$2:$2,0),FALSE())/100,"")</f>
        <v>0.0922</v>
      </c>
      <c r="O202" s="10" t="n">
        <f aca="false">IFERROR(VLOOKUP(A202,'Dados-Status-Invest'!$1:$1000,MATCH(O$1,'Dados-Status-Invest'!$2:$2,0),FALSE())/100,"")</f>
        <v>0.3043</v>
      </c>
      <c r="P202" s="10" t="n">
        <f aca="false">IFERROR(VLOOKUP(A202,'Dados-Status-Invest'!$1:$1000,MATCH(P$1,'Dados-Status-Invest'!$2:$2,0),FALSE())/100,"")</f>
        <v>0.1562</v>
      </c>
      <c r="Q202" s="10" t="n">
        <f aca="false">IFERROR(VLOOKUP(A202,'Dados-Status-Invest'!$1:$1000,MATCH(Q$1,'Dados-Status-Invest'!$2:$2,0),FALSE())/100,"")</f>
        <v>0.1807</v>
      </c>
      <c r="R202" s="12" t="n">
        <f aca="false">IFERROR(VLOOKUP(A202,'Dados-Status-Invest'!$1:$1000,MATCH(R$1,'Dados-Status-Invest'!$2:$2,0),FALSE()),"")</f>
        <v>20.33</v>
      </c>
      <c r="S202" s="12" t="n">
        <f aca="false">IFERROR(VLOOKUP(A202,'Dados-Status-Invest'!$1:$1000,MATCH(S$1,'Dados-Status-Invest'!$2:$2,0),FALSE()),"")</f>
        <v>3.13</v>
      </c>
      <c r="T202" s="12" t="n">
        <f aca="false">IFERROR(VLOOKUP(A202,'Dados-Status-Invest'!$1:$1000,MATCH(T$1,'Dados-Status-Invest'!$2:$2,0),FALSE()),"")</f>
        <v>18.03</v>
      </c>
      <c r="U202" s="12" t="n">
        <f aca="false">IFERROR(VLOOKUP(A202,'Dados-Status-Invest'!$1:$1000,MATCH(U$1,'Dados-Status-Invest'!$2:$2,0),FALSE()),"")</f>
        <v>4.76</v>
      </c>
      <c r="V202" s="12" t="n">
        <f aca="false">IFERROR(VLOOKUP(A202,'Dados-Status-Invest'!$1:$1000,MATCH(V$1,'Dados-Status-Invest'!$2:$2,0),FALSE()),"")</f>
        <v>-0.56</v>
      </c>
      <c r="W202" s="10" t="n">
        <f aca="false">IFERROR(VLOOKUP(A202,'Dados-Status-Invest'!$1:$1000,MATCH(W$1,'Dados-Status-Invest'!$2:$2,0),FALSE())/100,"")</f>
        <v>0.0555</v>
      </c>
      <c r="X202" s="10" t="n">
        <f aca="false">IFERROR(VLOOKUP(A202,'Dados-Status-Invest'!$1:$1000,MATCH(X$1,'Dados-Status-Invest'!$2:$2,0),FALSE())/100,"")</f>
        <v>0.2438</v>
      </c>
    </row>
    <row r="203" customFormat="false" ht="15.75" hidden="false" customHeight="false" outlineLevel="0" collapsed="false">
      <c r="A203" s="6" t="s">
        <v>234</v>
      </c>
      <c r="B203" s="7" t="str">
        <f aca="false">IFERROR(VLOOKUP(LEFT(A203,4),Setor!A:D,2,FALSE()),"")</f>
        <v>Consumo Cíclico</v>
      </c>
      <c r="C203" s="8" t="n">
        <f aca="false">IFERROR(__xludf.dummyfunction("IFERROR(IFERROR(GOOGLEFINANCE(A209,""price""),VLOOKUP(A209,'Dados-Status-Invest'!A:B,2,FALSE)),"""")"),5.59)</f>
        <v>5.59</v>
      </c>
      <c r="D203" s="8" t="n">
        <f aca="false">IFERROR(VLOOKUP(A203,'Dados-Status-Invest'!$1:$1000,MATCH(D$1,'Dados-Status-Invest'!$2:$2,0),FALSE()),"")</f>
        <v>1662659426</v>
      </c>
      <c r="E203" s="8" t="n">
        <f aca="false">IF(D203+H203&gt;0,D203+H203,"")</f>
        <v>1504847683.9</v>
      </c>
      <c r="F203" s="8" t="n">
        <f aca="false">IFERROR(D203/VLOOKUP(A203,'Dados-Status-Invest'!$1:$1000,5,FALSE()),"")</f>
        <v>2131614648</v>
      </c>
      <c r="G203" s="8" t="n">
        <f aca="false">IFERROR(D203/VLOOKUP(A203,'Dados-Status-Invest'!$1:$1000,6,FALSE()),"")</f>
        <v>2818066823</v>
      </c>
      <c r="H203" s="8" t="n">
        <f aca="false">IFERROR(VLOOKUP(A203,'Dados-Status-Invest'!$1:$1000,12,FALSE())*J203,"")</f>
        <v>-157811742.1</v>
      </c>
      <c r="I203" s="8" t="n">
        <f aca="false">IFERROR(D203/VLOOKUP(A203,'Dados-Status-Invest'!$1:$1000,14,FALSE()),"")</f>
        <v>1807238506</v>
      </c>
      <c r="J203" s="9" t="n">
        <f aca="false">IFERROR(D203/VLOOKUP(A203,'Dados-Status-Invest'!$1:$1000,10,FALSE()),"")</f>
        <v>281806682.3</v>
      </c>
      <c r="K203" s="10" t="n">
        <f aca="false">IFERROR(VLOOKUP(A203,'Dados-Status-Invest'!$1:$1000,3,FALSE())/100,"")</f>
        <v>0.0683</v>
      </c>
      <c r="L203" s="11" t="n">
        <f aca="false">IFERROR(VLOOKUP(A203,'Dados-Status-Invest'!$1:$1000,MATCH(L$1,'Dados-Status-Invest'!$2:$2,0),FALSE())/100,"")</f>
        <v>0.154</v>
      </c>
      <c r="M203" s="10" t="n">
        <f aca="false">IFERROR(VLOOKUP(A203,'Dados-Status-Invest'!$1:$1000,MATCH(M$1,'Dados-Status-Invest'!$2:$2,0),FALSE())/100,"")</f>
        <v>0.1156</v>
      </c>
      <c r="N203" s="10" t="n">
        <f aca="false">IFERROR(VLOOKUP(A203,'Dados-Status-Invest'!$1:$1000,MATCH(N$1,'Dados-Status-Invest'!$2:$2,0),FALSE())/100,"")</f>
        <v>0.0922</v>
      </c>
      <c r="O203" s="10" t="n">
        <f aca="false">IFERROR(VLOOKUP(A203,'Dados-Status-Invest'!$1:$1000,MATCH(O$1,'Dados-Status-Invest'!$2:$2,0),FALSE())/100,"")</f>
        <v>0.3043</v>
      </c>
      <c r="P203" s="10" t="n">
        <f aca="false">IFERROR(VLOOKUP(A203,'Dados-Status-Invest'!$1:$1000,MATCH(P$1,'Dados-Status-Invest'!$2:$2,0),FALSE())/100,"")</f>
        <v>0.1562</v>
      </c>
      <c r="Q203" s="10" t="n">
        <f aca="false">IFERROR(VLOOKUP(A203,'Dados-Status-Invest'!$1:$1000,MATCH(Q$1,'Dados-Status-Invest'!$2:$2,0),FALSE())/100,"")</f>
        <v>0.1807</v>
      </c>
      <c r="R203" s="12" t="n">
        <f aca="false">IFERROR(VLOOKUP(A203,'Dados-Status-Invest'!$1:$1000,MATCH(R$1,'Dados-Status-Invest'!$2:$2,0),FALSE()),"")</f>
        <v>5.1</v>
      </c>
      <c r="S203" s="12" t="n">
        <f aca="false">IFERROR(VLOOKUP(A203,'Dados-Status-Invest'!$1:$1000,MATCH(S$1,'Dados-Status-Invest'!$2:$2,0),FALSE()),"")</f>
        <v>0.78</v>
      </c>
      <c r="T203" s="12" t="n">
        <f aca="false">IFERROR(VLOOKUP(A203,'Dados-Status-Invest'!$1:$1000,MATCH(T$1,'Dados-Status-Invest'!$2:$2,0),FALSE()),"")</f>
        <v>18.03</v>
      </c>
      <c r="U203" s="12" t="n">
        <f aca="false">IFERROR(VLOOKUP(A203,'Dados-Status-Invest'!$1:$1000,MATCH(U$1,'Dados-Status-Invest'!$2:$2,0),FALSE()),"")</f>
        <v>4.76</v>
      </c>
      <c r="V203" s="12" t="n">
        <f aca="false">IFERROR(VLOOKUP(A203,'Dados-Status-Invest'!$1:$1000,MATCH(V$1,'Dados-Status-Invest'!$2:$2,0),FALSE()),"")</f>
        <v>-0.56</v>
      </c>
      <c r="W203" s="10" t="n">
        <f aca="false">IFERROR(VLOOKUP(A203,'Dados-Status-Invest'!$1:$1000,MATCH(W$1,'Dados-Status-Invest'!$2:$2,0),FALSE())/100,"")</f>
        <v>0.0555</v>
      </c>
      <c r="X203" s="10" t="n">
        <f aca="false">IFERROR(VLOOKUP(A203,'Dados-Status-Invest'!$1:$1000,MATCH(X$1,'Dados-Status-Invest'!$2:$2,0),FALSE())/100,"")</f>
        <v>0.2438</v>
      </c>
    </row>
    <row r="204" customFormat="false" ht="15.75" hidden="false" customHeight="false" outlineLevel="0" collapsed="false">
      <c r="A204" s="6" t="s">
        <v>235</v>
      </c>
      <c r="B204" s="7" t="s">
        <v>98</v>
      </c>
      <c r="C204" s="8" t="n">
        <f aca="false">IFERROR(__xludf.dummyfunction("IFERROR(IFERROR(GOOGLEFINANCE(A210,""price""),VLOOKUP(A210,'Dados-Status-Invest'!A:B,2,FALSE)),"""")"),3.44)</f>
        <v>3.44</v>
      </c>
      <c r="D204" s="8" t="n">
        <f aca="false">IFERROR(VLOOKUP(A204,'Dados-Status-Invest'!$1:$1000,MATCH(D$1,'Dados-Status-Invest'!$2:$2,0),FALSE()),"")</f>
        <v>1774923345</v>
      </c>
      <c r="E204" s="8" t="n">
        <f aca="false">IF(D204+H204&gt;0,D204+H204,"")</f>
        <v>1774923345</v>
      </c>
      <c r="F204" s="8" t="str">
        <f aca="false">IFERROR(D204/VLOOKUP(A204,'Dados-Status-Invest'!$1:$1000,5,FALSE()),"")</f>
        <v/>
      </c>
      <c r="G204" s="8" t="str">
        <f aca="false">IFERROR(D204/VLOOKUP(A204,'Dados-Status-Invest'!$1:$1000,6,FALSE()),"")</f>
        <v/>
      </c>
      <c r="H204" s="8" t="n">
        <f aca="false">IFERROR(VLOOKUP(A204,'Dados-Status-Invest'!$1:$1000,12,FALSE())*J204,"")</f>
        <v>0</v>
      </c>
      <c r="I204" s="8" t="n">
        <f aca="false">IFERROR(D204/VLOOKUP(A204,'Dados-Status-Invest'!$1:$1000,14,FALSE()),"")</f>
        <v>50784645.07</v>
      </c>
      <c r="J204" s="9" t="n">
        <f aca="false">IFERROR(D204/VLOOKUP(A204,'Dados-Status-Invest'!$1:$1000,10,FALSE()),"")</f>
        <v>-21423335.49</v>
      </c>
      <c r="K204" s="10" t="n">
        <f aca="false">IFERROR(VLOOKUP(A204,'Dados-Status-Invest'!$1:$1000,3,FALSE())/100,"")</f>
        <v>0</v>
      </c>
      <c r="L204" s="11" t="n">
        <f aca="false">IFERROR(VLOOKUP(A204,'Dados-Status-Invest'!$1:$1000,MATCH(L$1,'Dados-Status-Invest'!$2:$2,0),FALSE())/100,"")</f>
        <v>0</v>
      </c>
      <c r="M204" s="10" t="n">
        <f aca="false">IFERROR(VLOOKUP(A204,'Dados-Status-Invest'!$1:$1000,MATCH(M$1,'Dados-Status-Invest'!$2:$2,0),FALSE())/100,"")</f>
        <v>0</v>
      </c>
      <c r="N204" s="10" t="n">
        <f aca="false">IFERROR(VLOOKUP(A204,'Dados-Status-Invest'!$1:$1000,MATCH(N$1,'Dados-Status-Invest'!$2:$2,0),FALSE())/100,"")</f>
        <v>0</v>
      </c>
      <c r="O204" s="10" t="n">
        <f aca="false">IFERROR(VLOOKUP(A204,'Dados-Status-Invest'!$1:$1000,MATCH(O$1,'Dados-Status-Invest'!$2:$2,0),FALSE())/100,"")</f>
        <v>0.8905</v>
      </c>
      <c r="P204" s="10" t="n">
        <f aca="false">IFERROR(VLOOKUP(A204,'Dados-Status-Invest'!$1:$1000,MATCH(P$1,'Dados-Status-Invest'!$2:$2,0),FALSE())/100,"")</f>
        <v>-0.4218</v>
      </c>
      <c r="Q204" s="10" t="n">
        <f aca="false">IFERROR(VLOOKUP(A204,'Dados-Status-Invest'!$1:$1000,MATCH(Q$1,'Dados-Status-Invest'!$2:$2,0),FALSE())/100,"")</f>
        <v>-0.9666</v>
      </c>
      <c r="R204" s="12" t="n">
        <f aca="false">IFERROR(VLOOKUP(A204,'Dados-Status-Invest'!$1:$1000,MATCH(R$1,'Dados-Status-Invest'!$2:$2,0),FALSE()),"")</f>
        <v>-36.15</v>
      </c>
      <c r="S204" s="12" t="n">
        <f aca="false">IFERROR(VLOOKUP(A204,'Dados-Status-Invest'!$1:$1000,MATCH(S$1,'Dados-Status-Invest'!$2:$2,0),FALSE()),"")</f>
        <v>0</v>
      </c>
      <c r="T204" s="12" t="n">
        <f aca="false">IFERROR(VLOOKUP(A204,'Dados-Status-Invest'!$1:$1000,MATCH(T$1,'Dados-Status-Invest'!$2:$2,0),FALSE()),"")</f>
        <v>-82.91</v>
      </c>
      <c r="U204" s="12" t="n">
        <f aca="false">IFERROR(VLOOKUP(A204,'Dados-Status-Invest'!$1:$1000,MATCH(U$1,'Dados-Status-Invest'!$2:$2,0),FALSE()),"")</f>
        <v>0</v>
      </c>
      <c r="V204" s="12" t="n">
        <f aca="false">IFERROR(VLOOKUP(A204,'Dados-Status-Invest'!$1:$1000,MATCH(V$1,'Dados-Status-Invest'!$2:$2,0),FALSE()),"")</f>
        <v>0</v>
      </c>
      <c r="W204" s="10" t="n">
        <f aca="false">IFERROR(VLOOKUP(A204,'Dados-Status-Invest'!$1:$1000,MATCH(W$1,'Dados-Status-Invest'!$2:$2,0),FALSE())/100,"")</f>
        <v>0</v>
      </c>
      <c r="X204" s="10" t="n">
        <f aca="false">IFERROR(VLOOKUP(A204,'Dados-Status-Invest'!$1:$1000,MATCH(X$1,'Dados-Status-Invest'!$2:$2,0),FALSE())/100,"")</f>
        <v>0</v>
      </c>
    </row>
    <row r="205" customFormat="false" ht="15.75" hidden="false" customHeight="false" outlineLevel="0" collapsed="false">
      <c r="A205" s="6" t="s">
        <v>236</v>
      </c>
      <c r="B205" s="7" t="str">
        <f aca="false">IFERROR(VLOOKUP(LEFT(A205,4),Setor!A:D,2,FALSE()),"")</f>
        <v>Bens Industriais</v>
      </c>
      <c r="C205" s="8" t="n">
        <f aca="false">IFERROR(__xludf.dummyfunction("IFERROR(IFERROR(GOOGLEFINANCE(A211,""price""),VLOOKUP(A211,'Dados-Status-Invest'!A:B,2,FALSE)),"""")"),7.85)</f>
        <v>7.85</v>
      </c>
      <c r="D205" s="8" t="n">
        <f aca="false">IFERROR(VLOOKUP(A205,'Dados-Status-Invest'!$1:$1000,MATCH(D$1,'Dados-Status-Invest'!$2:$2,0),FALSE()),"")</f>
        <v>155629081.7</v>
      </c>
      <c r="E205" s="8" t="n">
        <f aca="false">IF(D205+H205&gt;0,D205+H205,"")</f>
        <v>157804709.08</v>
      </c>
      <c r="F205" s="8" t="n">
        <f aca="false">IFERROR(D205/VLOOKUP(A205,'Dados-Status-Invest'!$1:$1000,5,FALSE()),"")</f>
        <v>5481827.463</v>
      </c>
      <c r="G205" s="8" t="n">
        <f aca="false">IFERROR(D205/VLOOKUP(A205,'Dados-Status-Invest'!$1:$1000,6,FALSE()),"")</f>
        <v>26832600.29</v>
      </c>
      <c r="H205" s="8" t="n">
        <f aca="false">IFERROR(VLOOKUP(A205,'Dados-Status-Invest'!$1:$1000,12,FALSE())*J205,"")</f>
        <v>2175627.38</v>
      </c>
      <c r="I205" s="8" t="n">
        <f aca="false">IFERROR(D205/VLOOKUP(A205,'Dados-Status-Invest'!$1:$1000,14,FALSE()),"")</f>
        <v>14737602.43</v>
      </c>
      <c r="J205" s="9" t="n">
        <f aca="false">IFERROR(D205/VLOOKUP(A205,'Dados-Status-Invest'!$1:$1000,10,FALSE()),"")</f>
        <v>-597699.8298</v>
      </c>
      <c r="K205" s="10" t="n">
        <f aca="false">IFERROR(VLOOKUP(A205,'Dados-Status-Invest'!$1:$1000,3,FALSE())/100,"")</f>
        <v>0</v>
      </c>
      <c r="L205" s="11" t="n">
        <f aca="false">IFERROR(VLOOKUP(A205,'Dados-Status-Invest'!$1:$1000,MATCH(L$1,'Dados-Status-Invest'!$2:$2,0),FALSE())/100,"")</f>
        <v>-0.3158</v>
      </c>
      <c r="M205" s="10" t="n">
        <f aca="false">IFERROR(VLOOKUP(A205,'Dados-Status-Invest'!$1:$1000,MATCH(M$1,'Dados-Status-Invest'!$2:$2,0),FALSE())/100,"")</f>
        <v>-0.0645</v>
      </c>
      <c r="N205" s="10" t="n">
        <f aca="false">IFERROR(VLOOKUP(A205,'Dados-Status-Invest'!$1:$1000,MATCH(N$1,'Dados-Status-Invest'!$2:$2,0),FALSE())/100,"")</f>
        <v>-0.072</v>
      </c>
      <c r="O205" s="10" t="n">
        <f aca="false">IFERROR(VLOOKUP(A205,'Dados-Status-Invest'!$1:$1000,MATCH(O$1,'Dados-Status-Invest'!$2:$2,0),FALSE())/100,"")</f>
        <v>0.2611</v>
      </c>
      <c r="P205" s="10" t="n">
        <f aca="false">IFERROR(VLOOKUP(A205,'Dados-Status-Invest'!$1:$1000,MATCH(P$1,'Dados-Status-Invest'!$2:$2,0),FALSE())/100,"")</f>
        <v>-0.0406</v>
      </c>
      <c r="Q205" s="10" t="n">
        <f aca="false">IFERROR(VLOOKUP(A205,'Dados-Status-Invest'!$1:$1000,MATCH(Q$1,'Dados-Status-Invest'!$2:$2,0),FALSE())/100,"")</f>
        <v>-0.1174</v>
      </c>
      <c r="R205" s="12" t="n">
        <f aca="false">IFERROR(VLOOKUP(A205,'Dados-Status-Invest'!$1:$1000,MATCH(R$1,'Dados-Status-Invest'!$2:$2,0),FALSE()),"")</f>
        <v>-89.91</v>
      </c>
      <c r="S205" s="12" t="n">
        <f aca="false">IFERROR(VLOOKUP(A205,'Dados-Status-Invest'!$1:$1000,MATCH(S$1,'Dados-Status-Invest'!$2:$2,0),FALSE()),"")</f>
        <v>28.39</v>
      </c>
      <c r="T205" s="12" t="n">
        <f aca="false">IFERROR(VLOOKUP(A205,'Dados-Status-Invest'!$1:$1000,MATCH(T$1,'Dados-Status-Invest'!$2:$2,0),FALSE()),"")</f>
        <v>-308.79</v>
      </c>
      <c r="U205" s="12" t="n">
        <f aca="false">IFERROR(VLOOKUP(A205,'Dados-Status-Invest'!$1:$1000,MATCH(U$1,'Dados-Status-Invest'!$2:$2,0),FALSE()),"")</f>
        <v>0.5</v>
      </c>
      <c r="V205" s="12" t="n">
        <f aca="false">IFERROR(VLOOKUP(A205,'Dados-Status-Invest'!$1:$1000,MATCH(V$1,'Dados-Status-Invest'!$2:$2,0),FALSE()),"")</f>
        <v>-3.64</v>
      </c>
      <c r="W205" s="10" t="n">
        <f aca="false">IFERROR(VLOOKUP(A205,'Dados-Status-Invest'!$1:$1000,MATCH(W$1,'Dados-Status-Invest'!$2:$2,0),FALSE())/100,"")</f>
        <v>0.0404</v>
      </c>
      <c r="X205" s="10" t="n">
        <f aca="false">IFERROR(VLOOKUP(A205,'Dados-Status-Invest'!$1:$1000,MATCH(X$1,'Dados-Status-Invest'!$2:$2,0),FALSE())/100,"")</f>
        <v>0</v>
      </c>
    </row>
    <row r="206" customFormat="false" ht="15.75" hidden="false" customHeight="false" outlineLevel="0" collapsed="false">
      <c r="A206" s="6" t="s">
        <v>237</v>
      </c>
      <c r="B206" s="7" t="str">
        <f aca="false">IFERROR(VLOOKUP(LEFT(A206,4),Setor!A:D,2,FALSE()),"")</f>
        <v>Bens Industriais</v>
      </c>
      <c r="C206" s="8" t="n">
        <f aca="false">IFERROR(__xludf.dummyfunction("IFERROR(IFERROR(GOOGLEFINANCE(A212,""price""),VLOOKUP(A212,'Dados-Status-Invest'!A:B,2,FALSE)),"""")"),0)</f>
        <v>0</v>
      </c>
      <c r="D206" s="8" t="n">
        <f aca="false">IFERROR(VLOOKUP(A206,'Dados-Status-Invest'!$1:$1000,MATCH(D$1,'Dados-Status-Invest'!$2:$2,0),FALSE()),"")</f>
        <v>155629081.7</v>
      </c>
      <c r="E206" s="8" t="n">
        <f aca="false">IF(D206+H206&gt;0,D206+H206,"")</f>
        <v>156043700.7467</v>
      </c>
      <c r="F206" s="8" t="n">
        <f aca="false">IFERROR(D206/VLOOKUP(A206,'Dados-Status-Invest'!$1:$1000,5,FALSE()),"")</f>
        <v>1044560.586</v>
      </c>
      <c r="G206" s="8" t="n">
        <f aca="false">IFERROR(D206/VLOOKUP(A206,'Dados-Status-Invest'!$1:$1000,6,FALSE()),"")</f>
        <v>5110971.484</v>
      </c>
      <c r="H206" s="8" t="n">
        <f aca="false">IFERROR(VLOOKUP(A206,'Dados-Status-Invest'!$1:$1000,12,FALSE())*J206,"")</f>
        <v>414619.0467</v>
      </c>
      <c r="I206" s="8" t="n">
        <f aca="false">IFERROR(D206/VLOOKUP(A206,'Dados-Status-Invest'!$1:$1000,14,FALSE()),"")</f>
        <v>2808682.218</v>
      </c>
      <c r="J206" s="9" t="n">
        <f aca="false">IFERROR(D206/VLOOKUP(A206,'Dados-Status-Invest'!$1:$1000,10,FALSE()),"")</f>
        <v>-113906.3315</v>
      </c>
      <c r="K206" s="10" t="n">
        <f aca="false">IFERROR(VLOOKUP(A206,'Dados-Status-Invest'!$1:$1000,3,FALSE())/100,"")</f>
        <v>0</v>
      </c>
      <c r="L206" s="11" t="n">
        <f aca="false">IFERROR(VLOOKUP(A206,'Dados-Status-Invest'!$1:$1000,MATCH(L$1,'Dados-Status-Invest'!$2:$2,0),FALSE())/100,"")</f>
        <v>-0.3158</v>
      </c>
      <c r="M206" s="10" t="n">
        <f aca="false">IFERROR(VLOOKUP(A206,'Dados-Status-Invest'!$1:$1000,MATCH(M$1,'Dados-Status-Invest'!$2:$2,0),FALSE())/100,"")</f>
        <v>-0.0645</v>
      </c>
      <c r="N206" s="10" t="n">
        <f aca="false">IFERROR(VLOOKUP(A206,'Dados-Status-Invest'!$1:$1000,MATCH(N$1,'Dados-Status-Invest'!$2:$2,0),FALSE())/100,"")</f>
        <v>-0.072</v>
      </c>
      <c r="O206" s="10" t="n">
        <f aca="false">IFERROR(VLOOKUP(A206,'Dados-Status-Invest'!$1:$1000,MATCH(O$1,'Dados-Status-Invest'!$2:$2,0),FALSE())/100,"")</f>
        <v>0.2611</v>
      </c>
      <c r="P206" s="10" t="n">
        <f aca="false">IFERROR(VLOOKUP(A206,'Dados-Status-Invest'!$1:$1000,MATCH(P$1,'Dados-Status-Invest'!$2:$2,0),FALSE())/100,"")</f>
        <v>-0.0406</v>
      </c>
      <c r="Q206" s="10" t="n">
        <f aca="false">IFERROR(VLOOKUP(A206,'Dados-Status-Invest'!$1:$1000,MATCH(Q$1,'Dados-Status-Invest'!$2:$2,0),FALSE())/100,"")</f>
        <v>-0.1174</v>
      </c>
      <c r="R206" s="12" t="n">
        <f aca="false">IFERROR(VLOOKUP(A206,'Dados-Status-Invest'!$1:$1000,MATCH(R$1,'Dados-Status-Invest'!$2:$2,0),FALSE()),"")</f>
        <v>-471.77</v>
      </c>
      <c r="S206" s="12" t="n">
        <f aca="false">IFERROR(VLOOKUP(A206,'Dados-Status-Invest'!$1:$1000,MATCH(S$1,'Dados-Status-Invest'!$2:$2,0),FALSE()),"")</f>
        <v>148.99</v>
      </c>
      <c r="T206" s="12" t="n">
        <f aca="false">IFERROR(VLOOKUP(A206,'Dados-Status-Invest'!$1:$1000,MATCH(T$1,'Dados-Status-Invest'!$2:$2,0),FALSE()),"")</f>
        <v>-308.79</v>
      </c>
      <c r="U206" s="12" t="n">
        <f aca="false">IFERROR(VLOOKUP(A206,'Dados-Status-Invest'!$1:$1000,MATCH(U$1,'Dados-Status-Invest'!$2:$2,0),FALSE()),"")</f>
        <v>0.5</v>
      </c>
      <c r="V206" s="12" t="n">
        <f aca="false">IFERROR(VLOOKUP(A206,'Dados-Status-Invest'!$1:$1000,MATCH(V$1,'Dados-Status-Invest'!$2:$2,0),FALSE()),"")</f>
        <v>-3.64</v>
      </c>
      <c r="W206" s="10" t="n">
        <f aca="false">IFERROR(VLOOKUP(A206,'Dados-Status-Invest'!$1:$1000,MATCH(W$1,'Dados-Status-Invest'!$2:$2,0),FALSE())/100,"")</f>
        <v>0.0404</v>
      </c>
      <c r="X206" s="10" t="n">
        <f aca="false">IFERROR(VLOOKUP(A206,'Dados-Status-Invest'!$1:$1000,MATCH(X$1,'Dados-Status-Invest'!$2:$2,0),FALSE())/100,"")</f>
        <v>0</v>
      </c>
    </row>
    <row r="207" customFormat="false" ht="15.75" hidden="false" customHeight="false" outlineLevel="0" collapsed="false">
      <c r="A207" s="6" t="s">
        <v>238</v>
      </c>
      <c r="B207" s="7" t="str">
        <f aca="false">IFERROR(VLOOKUP(LEFT(A207,4),Setor!A:D,2,FALSE()),"")</f>
        <v>Materiais Básicos</v>
      </c>
      <c r="C207" s="8" t="n">
        <f aca="false">IFERROR(__xludf.dummyfunction("IFERROR(IFERROR(GOOGLEFINANCE(A213,""price""),VLOOKUP(A213,'Dados-Status-Invest'!A:B,2,FALSE)),"""")"),23)</f>
        <v>23</v>
      </c>
      <c r="D207" s="8" t="n">
        <f aca="false">IFERROR(VLOOKUP(A207,'Dados-Status-Invest'!$1:$1000,MATCH(D$1,'Dados-Status-Invest'!$2:$2,0),FALSE()),"")</f>
        <v>15869536453</v>
      </c>
      <c r="E207" s="8" t="n">
        <f aca="false">IF(D207+H207&gt;0,D207+H207,"")</f>
        <v>17735560687</v>
      </c>
      <c r="F207" s="8" t="n">
        <f aca="false">IFERROR(D207/VLOOKUP(A207,'Dados-Status-Invest'!$1:$1000,5,FALSE()),"")</f>
        <v>5006162919</v>
      </c>
      <c r="G207" s="8" t="n">
        <f aca="false">IFERROR(D207/VLOOKUP(A207,'Dados-Status-Invest'!$1:$1000,6,FALSE()),"")</f>
        <v>11175729896</v>
      </c>
      <c r="H207" s="8" t="n">
        <f aca="false">IFERROR(VLOOKUP(A207,'Dados-Status-Invest'!$1:$1000,12,FALSE())*J207,"")</f>
        <v>1866024234</v>
      </c>
      <c r="I207" s="8" t="n">
        <f aca="false">IFERROR(D207/VLOOKUP(A207,'Dados-Status-Invest'!$1:$1000,14,FALSE()),"")</f>
        <v>6477361818</v>
      </c>
      <c r="J207" s="9" t="n">
        <f aca="false">IFERROR(D207/VLOOKUP(A207,'Dados-Status-Invest'!$1:$1000,10,FALSE()),"")</f>
        <v>833046533</v>
      </c>
      <c r="K207" s="10" t="n">
        <f aca="false">IFERROR(VLOOKUP(A207,'Dados-Status-Invest'!$1:$1000,3,FALSE())/100,"")</f>
        <v>0.0326</v>
      </c>
      <c r="L207" s="11" t="n">
        <f aca="false">IFERROR(VLOOKUP(A207,'Dados-Status-Invest'!$1:$1000,MATCH(L$1,'Dados-Status-Invest'!$2:$2,0),FALSE())/100,"")</f>
        <v>0.1144</v>
      </c>
      <c r="M207" s="10" t="n">
        <f aca="false">IFERROR(VLOOKUP(A207,'Dados-Status-Invest'!$1:$1000,MATCH(M$1,'Dados-Status-Invest'!$2:$2,0),FALSE())/100,"")</f>
        <v>0.0512</v>
      </c>
      <c r="N207" s="10" t="n">
        <f aca="false">IFERROR(VLOOKUP(A207,'Dados-Status-Invest'!$1:$1000,MATCH(N$1,'Dados-Status-Invest'!$2:$2,0),FALSE())/100,"")</f>
        <v>0.0844</v>
      </c>
      <c r="O207" s="10" t="n">
        <f aca="false">IFERROR(VLOOKUP(A207,'Dados-Status-Invest'!$1:$1000,MATCH(O$1,'Dados-Status-Invest'!$2:$2,0),FALSE())/100,"")</f>
        <v>0.3191</v>
      </c>
      <c r="P207" s="10" t="n">
        <f aca="false">IFERROR(VLOOKUP(A207,'Dados-Status-Invest'!$1:$1000,MATCH(P$1,'Dados-Status-Invest'!$2:$2,0),FALSE())/100,"")</f>
        <v>0.1288</v>
      </c>
      <c r="Q207" s="10" t="n">
        <f aca="false">IFERROR(VLOOKUP(A207,'Dados-Status-Invest'!$1:$1000,MATCH(Q$1,'Dados-Status-Invest'!$2:$2,0),FALSE())/100,"")</f>
        <v>0.0886</v>
      </c>
      <c r="R207" s="12" t="n">
        <f aca="false">IFERROR(VLOOKUP(A207,'Dados-Status-Invest'!$1:$1000,MATCH(R$1,'Dados-Status-Invest'!$2:$2,0),FALSE()),"")</f>
        <v>27.7</v>
      </c>
      <c r="S207" s="12" t="n">
        <f aca="false">IFERROR(VLOOKUP(A207,'Dados-Status-Invest'!$1:$1000,MATCH(S$1,'Dados-Status-Invest'!$2:$2,0),FALSE()),"")</f>
        <v>3.17</v>
      </c>
      <c r="T207" s="12" t="n">
        <f aca="false">IFERROR(VLOOKUP(A207,'Dados-Status-Invest'!$1:$1000,MATCH(T$1,'Dados-Status-Invest'!$2:$2,0),FALSE()),"")</f>
        <v>21.23</v>
      </c>
      <c r="U207" s="12" t="n">
        <f aca="false">IFERROR(VLOOKUP(A207,'Dados-Status-Invest'!$1:$1000,MATCH(U$1,'Dados-Status-Invest'!$2:$2,0),FALSE()),"")</f>
        <v>1.69</v>
      </c>
      <c r="V207" s="12" t="n">
        <f aca="false">IFERROR(VLOOKUP(A207,'Dados-Status-Invest'!$1:$1000,MATCH(V$1,'Dados-Status-Invest'!$2:$2,0),FALSE()),"")</f>
        <v>2.24</v>
      </c>
      <c r="W207" s="10" t="n">
        <f aca="false">IFERROR(VLOOKUP(A207,'Dados-Status-Invest'!$1:$1000,MATCH(W$1,'Dados-Status-Invest'!$2:$2,0),FALSE())/100,"")</f>
        <v>0.0821</v>
      </c>
      <c r="X207" s="10" t="n">
        <f aca="false">IFERROR(VLOOKUP(A207,'Dados-Status-Invest'!$1:$1000,MATCH(X$1,'Dados-Status-Invest'!$2:$2,0),FALSE())/100,"")</f>
        <v>0.1881</v>
      </c>
    </row>
    <row r="208" customFormat="false" ht="15.75" hidden="false" customHeight="false" outlineLevel="0" collapsed="false">
      <c r="A208" s="6" t="s">
        <v>239</v>
      </c>
      <c r="B208" s="7" t="str">
        <f aca="false">IFERROR(VLOOKUP(LEFT(A208,4),Setor!A:D,2,FALSE()),"")</f>
        <v>Bens Industriais</v>
      </c>
      <c r="C208" s="8" t="n">
        <f aca="false">IFERROR(__xludf.dummyfunction("IFERROR(IFERROR(GOOGLEFINANCE(A214,""price""),VLOOKUP(A214,'Dados-Status-Invest'!A:B,2,FALSE)),"""")"),9.4)</f>
        <v>9.4</v>
      </c>
      <c r="D208" s="8" t="n">
        <f aca="false">IFERROR(VLOOKUP(A208,'Dados-Status-Invest'!$1:$1000,MATCH(D$1,'Dados-Status-Invest'!$2:$2,0),FALSE()),"")</f>
        <v>231240000</v>
      </c>
      <c r="E208" s="8" t="n">
        <f aca="false">IF(D208+H208&gt;0,D208+H208,"")</f>
        <v>274311758.58</v>
      </c>
      <c r="F208" s="8" t="n">
        <f aca="false">IFERROR(D208/VLOOKUP(A208,'Dados-Status-Invest'!$1:$1000,5,FALSE()),"")</f>
        <v>127054945.1</v>
      </c>
      <c r="G208" s="8" t="n">
        <f aca="false">IFERROR(D208/VLOOKUP(A208,'Dados-Status-Invest'!$1:$1000,6,FALSE()),"")</f>
        <v>316767123.3</v>
      </c>
      <c r="H208" s="8" t="n">
        <f aca="false">IFERROR(VLOOKUP(A208,'Dados-Status-Invest'!$1:$1000,12,FALSE())*J208,"")</f>
        <v>43071758.58</v>
      </c>
      <c r="I208" s="8" t="n">
        <f aca="false">IFERROR(D208/VLOOKUP(A208,'Dados-Status-Invest'!$1:$1000,14,FALSE()),"")</f>
        <v>186483871</v>
      </c>
      <c r="J208" s="9" t="n">
        <f aca="false">IFERROR(D208/VLOOKUP(A208,'Dados-Status-Invest'!$1:$1000,10,FALSE()),"")</f>
        <v>24062434.96</v>
      </c>
      <c r="K208" s="10" t="n">
        <f aca="false">IFERROR(VLOOKUP(A208,'Dados-Status-Invest'!$1:$1000,3,FALSE())/100,"")</f>
        <v>0.0191</v>
      </c>
      <c r="L208" s="11" t="n">
        <f aca="false">IFERROR(VLOOKUP(A208,'Dados-Status-Invest'!$1:$1000,MATCH(L$1,'Dados-Status-Invest'!$2:$2,0),FALSE())/100,"")</f>
        <v>0.1457</v>
      </c>
      <c r="M208" s="10" t="n">
        <f aca="false">IFERROR(VLOOKUP(A208,'Dados-Status-Invest'!$1:$1000,MATCH(M$1,'Dados-Status-Invest'!$2:$2,0),FALSE())/100,"")</f>
        <v>0.0586</v>
      </c>
      <c r="N208" s="10" t="n">
        <f aca="false">IFERROR(VLOOKUP(A208,'Dados-Status-Invest'!$1:$1000,MATCH(N$1,'Dados-Status-Invest'!$2:$2,0),FALSE())/100,"")</f>
        <v>0.0887</v>
      </c>
      <c r="O208" s="10" t="n">
        <f aca="false">IFERROR(VLOOKUP(A208,'Dados-Status-Invest'!$1:$1000,MATCH(O$1,'Dados-Status-Invest'!$2:$2,0),FALSE())/100,"")</f>
        <v>0.2587</v>
      </c>
      <c r="P208" s="10" t="n">
        <f aca="false">IFERROR(VLOOKUP(A208,'Dados-Status-Invest'!$1:$1000,MATCH(P$1,'Dados-Status-Invest'!$2:$2,0),FALSE())/100,"")</f>
        <v>0.1286</v>
      </c>
      <c r="Q208" s="10" t="n">
        <f aca="false">IFERROR(VLOOKUP(A208,'Dados-Status-Invest'!$1:$1000,MATCH(Q$1,'Dados-Status-Invest'!$2:$2,0),FALSE())/100,"")</f>
        <v>0.0991</v>
      </c>
      <c r="R208" s="12" t="n">
        <f aca="false">IFERROR(VLOOKUP(A208,'Dados-Status-Invest'!$1:$1000,MATCH(R$1,'Dados-Status-Invest'!$2:$2,0),FALSE()),"")</f>
        <v>12.47</v>
      </c>
      <c r="S208" s="12" t="n">
        <f aca="false">IFERROR(VLOOKUP(A208,'Dados-Status-Invest'!$1:$1000,MATCH(S$1,'Dados-Status-Invest'!$2:$2,0),FALSE()),"")</f>
        <v>1.82</v>
      </c>
      <c r="T208" s="12" t="n">
        <f aca="false">IFERROR(VLOOKUP(A208,'Dados-Status-Invest'!$1:$1000,MATCH(T$1,'Dados-Status-Invest'!$2:$2,0),FALSE()),"")</f>
        <v>8.57</v>
      </c>
      <c r="U208" s="12" t="n">
        <f aca="false">IFERROR(VLOOKUP(A208,'Dados-Status-Invest'!$1:$1000,MATCH(U$1,'Dados-Status-Invest'!$2:$2,0),FALSE()),"")</f>
        <v>1.16</v>
      </c>
      <c r="V208" s="12" t="n">
        <f aca="false">IFERROR(VLOOKUP(A208,'Dados-Status-Invest'!$1:$1000,MATCH(V$1,'Dados-Status-Invest'!$2:$2,0),FALSE()),"")</f>
        <v>1.79</v>
      </c>
      <c r="W208" s="10" t="n">
        <f aca="false">IFERROR(VLOOKUP(A208,'Dados-Status-Invest'!$1:$1000,MATCH(W$1,'Dados-Status-Invest'!$2:$2,0),FALSE())/100,"")</f>
        <v>0.1142</v>
      </c>
      <c r="X208" s="10" t="n">
        <f aca="false">IFERROR(VLOOKUP(A208,'Dados-Status-Invest'!$1:$1000,MATCH(X$1,'Dados-Status-Invest'!$2:$2,0),FALSE())/100,"")</f>
        <v>1.905</v>
      </c>
    </row>
    <row r="209" customFormat="false" ht="15.75" hidden="false" customHeight="false" outlineLevel="0" collapsed="false">
      <c r="A209" s="6" t="s">
        <v>240</v>
      </c>
      <c r="B209" s="7" t="str">
        <f aca="false">IFERROR(VLOOKUP(LEFT(A209,4),Setor!A:D,2,FALSE()),"")</f>
        <v>Bens Industriais</v>
      </c>
      <c r="C209" s="8" t="n">
        <f aca="false">IFERROR(__xludf.dummyfunction("IFERROR(IFERROR(GOOGLEFINANCE(A215,""price""),VLOOKUP(A215,'Dados-Status-Invest'!A:B,2,FALSE)),"""")"),7.06)</f>
        <v>7.06</v>
      </c>
      <c r="D209" s="8" t="n">
        <f aca="false">IFERROR(VLOOKUP(A209,'Dados-Status-Invest'!$1:$1000,MATCH(D$1,'Dados-Status-Invest'!$2:$2,0),FALSE()),"")</f>
        <v>231240000</v>
      </c>
      <c r="E209" s="8" t="n">
        <f aca="false">IF(D209+H209&gt;0,D209+H209,"")</f>
        <v>319495778.25</v>
      </c>
      <c r="F209" s="8" t="n">
        <f aca="false">IFERROR(D209/VLOOKUP(A209,'Dados-Status-Invest'!$1:$1000,5,FALSE()),"")</f>
        <v>259820224.7</v>
      </c>
      <c r="G209" s="8" t="n">
        <f aca="false">IFERROR(D209/VLOOKUP(A209,'Dados-Status-Invest'!$1:$1000,6,FALSE()),"")</f>
        <v>642333333.3</v>
      </c>
      <c r="H209" s="8" t="n">
        <f aca="false">IFERROR(VLOOKUP(A209,'Dados-Status-Invest'!$1:$1000,12,FALSE())*J209,"")</f>
        <v>88255778.25</v>
      </c>
      <c r="I209" s="8" t="n">
        <f aca="false">IFERROR(D209/VLOOKUP(A209,'Dados-Status-Invest'!$1:$1000,14,FALSE()),"")</f>
        <v>385400000</v>
      </c>
      <c r="J209" s="9" t="n">
        <f aca="false">IFERROR(D209/VLOOKUP(A209,'Dados-Status-Invest'!$1:$1000,10,FALSE()),"")</f>
        <v>49304904.05</v>
      </c>
      <c r="K209" s="10" t="n">
        <f aca="false">IFERROR(VLOOKUP(A209,'Dados-Status-Invest'!$1:$1000,3,FALSE())/100,"")</f>
        <v>0.0431</v>
      </c>
      <c r="L209" s="11" t="n">
        <f aca="false">IFERROR(VLOOKUP(A209,'Dados-Status-Invest'!$1:$1000,MATCH(L$1,'Dados-Status-Invest'!$2:$2,0),FALSE())/100,"")</f>
        <v>0.1457</v>
      </c>
      <c r="M209" s="10" t="n">
        <f aca="false">IFERROR(VLOOKUP(A209,'Dados-Status-Invest'!$1:$1000,MATCH(M$1,'Dados-Status-Invest'!$2:$2,0),FALSE())/100,"")</f>
        <v>0.0586</v>
      </c>
      <c r="N209" s="10" t="n">
        <f aca="false">IFERROR(VLOOKUP(A209,'Dados-Status-Invest'!$1:$1000,MATCH(N$1,'Dados-Status-Invest'!$2:$2,0),FALSE())/100,"")</f>
        <v>0.0887</v>
      </c>
      <c r="O209" s="10" t="n">
        <f aca="false">IFERROR(VLOOKUP(A209,'Dados-Status-Invest'!$1:$1000,MATCH(O$1,'Dados-Status-Invest'!$2:$2,0),FALSE())/100,"")</f>
        <v>0.2587</v>
      </c>
      <c r="P209" s="10" t="n">
        <f aca="false">IFERROR(VLOOKUP(A209,'Dados-Status-Invest'!$1:$1000,MATCH(P$1,'Dados-Status-Invest'!$2:$2,0),FALSE())/100,"")</f>
        <v>0.1286</v>
      </c>
      <c r="Q209" s="10" t="n">
        <f aca="false">IFERROR(VLOOKUP(A209,'Dados-Status-Invest'!$1:$1000,MATCH(Q$1,'Dados-Status-Invest'!$2:$2,0),FALSE())/100,"")</f>
        <v>0.0991</v>
      </c>
      <c r="R209" s="12" t="n">
        <f aca="false">IFERROR(VLOOKUP(A209,'Dados-Status-Invest'!$1:$1000,MATCH(R$1,'Dados-Status-Invest'!$2:$2,0),FALSE()),"")</f>
        <v>6.08</v>
      </c>
      <c r="S209" s="12" t="n">
        <f aca="false">IFERROR(VLOOKUP(A209,'Dados-Status-Invest'!$1:$1000,MATCH(S$1,'Dados-Status-Invest'!$2:$2,0),FALSE()),"")</f>
        <v>0.89</v>
      </c>
      <c r="T209" s="12" t="n">
        <f aca="false">IFERROR(VLOOKUP(A209,'Dados-Status-Invest'!$1:$1000,MATCH(T$1,'Dados-Status-Invest'!$2:$2,0),FALSE()),"")</f>
        <v>8.57</v>
      </c>
      <c r="U209" s="12" t="n">
        <f aca="false">IFERROR(VLOOKUP(A209,'Dados-Status-Invest'!$1:$1000,MATCH(U$1,'Dados-Status-Invest'!$2:$2,0),FALSE()),"")</f>
        <v>1.16</v>
      </c>
      <c r="V209" s="12" t="n">
        <f aca="false">IFERROR(VLOOKUP(A209,'Dados-Status-Invest'!$1:$1000,MATCH(V$1,'Dados-Status-Invest'!$2:$2,0),FALSE()),"")</f>
        <v>1.79</v>
      </c>
      <c r="W209" s="10" t="n">
        <f aca="false">IFERROR(VLOOKUP(A209,'Dados-Status-Invest'!$1:$1000,MATCH(W$1,'Dados-Status-Invest'!$2:$2,0),FALSE())/100,"")</f>
        <v>0.1142</v>
      </c>
      <c r="X209" s="10" t="n">
        <f aca="false">IFERROR(VLOOKUP(A209,'Dados-Status-Invest'!$1:$1000,MATCH(X$1,'Dados-Status-Invest'!$2:$2,0),FALSE())/100,"")</f>
        <v>1.905</v>
      </c>
    </row>
    <row r="210" customFormat="false" ht="15.75" hidden="false" customHeight="false" outlineLevel="0" collapsed="false">
      <c r="A210" s="6" t="s">
        <v>241</v>
      </c>
      <c r="B210" s="7" t="str">
        <f aca="false">IFERROR(VLOOKUP(LEFT(A210,4),Setor!A:D,2,FALSE()),"")</f>
        <v>Bens Industriais</v>
      </c>
      <c r="C210" s="8" t="n">
        <f aca="false">IFERROR(__xludf.dummyfunction("IFERROR(IFERROR(GOOGLEFINANCE(A216,""price""),VLOOKUP(A216,'Dados-Status-Invest'!A:B,2,FALSE)),"""")"),6.95)</f>
        <v>6.95</v>
      </c>
      <c r="D210" s="8" t="n">
        <f aca="false">IFERROR(VLOOKUP(A210,'Dados-Status-Invest'!$1:$1000,MATCH(D$1,'Dados-Status-Invest'!$2:$2,0),FALSE()),"")</f>
        <v>8181927132</v>
      </c>
      <c r="E210" s="8" t="n">
        <f aca="false">IF(D210+H210&gt;0,D210+H210,"")</f>
        <v>15161146091</v>
      </c>
      <c r="F210" s="8" t="n">
        <f aca="false">IFERROR(D210/VLOOKUP(A210,'Dados-Status-Invest'!$1:$1000,5,FALSE()),"")</f>
        <v>143542581.3</v>
      </c>
      <c r="G210" s="8" t="n">
        <f aca="false">IFERROR(D210/VLOOKUP(A210,'Dados-Status-Invest'!$1:$1000,6,FALSE()),"")</f>
        <v>11363787683</v>
      </c>
      <c r="H210" s="8" t="n">
        <f aca="false">IFERROR(VLOOKUP(A210,'Dados-Status-Invest'!$1:$1000,12,FALSE())*J210,"")</f>
        <v>6979218959</v>
      </c>
      <c r="I210" s="8" t="n">
        <f aca="false">IFERROR(D210/VLOOKUP(A210,'Dados-Status-Invest'!$1:$1000,14,FALSE()),"")</f>
        <v>4010748594</v>
      </c>
      <c r="J210" s="9" t="n">
        <f aca="false">IFERROR(D210/VLOOKUP(A210,'Dados-Status-Invest'!$1:$1000,10,FALSE()),"")</f>
        <v>877889177.3</v>
      </c>
      <c r="K210" s="10" t="n">
        <f aca="false">IFERROR(VLOOKUP(A210,'Dados-Status-Invest'!$1:$1000,3,FALSE())/100,"")</f>
        <v>0</v>
      </c>
      <c r="L210" s="11" t="n">
        <f aca="false">IFERROR(VLOOKUP(A210,'Dados-Status-Invest'!$1:$1000,MATCH(L$1,'Dados-Status-Invest'!$2:$2,0),FALSE())/100,"")</f>
        <v>-3.0232</v>
      </c>
      <c r="M210" s="10" t="n">
        <f aca="false">IFERROR(VLOOKUP(A210,'Dados-Status-Invest'!$1:$1000,MATCH(M$1,'Dados-Status-Invest'!$2:$2,0),FALSE())/100,"")</f>
        <v>-0.0384</v>
      </c>
      <c r="N210" s="10" t="n">
        <f aca="false">IFERROR(VLOOKUP(A210,'Dados-Status-Invest'!$1:$1000,MATCH(N$1,'Dados-Status-Invest'!$2:$2,0),FALSE())/100,"")</f>
        <v>0.0466</v>
      </c>
      <c r="O210" s="10" t="n">
        <f aca="false">IFERROR(VLOOKUP(A210,'Dados-Status-Invest'!$1:$1000,MATCH(O$1,'Dados-Status-Invest'!$2:$2,0),FALSE())/100,"")</f>
        <v>0.4087</v>
      </c>
      <c r="P210" s="10" t="n">
        <f aca="false">IFERROR(VLOOKUP(A210,'Dados-Status-Invest'!$1:$1000,MATCH(P$1,'Dados-Status-Invest'!$2:$2,0),FALSE())/100,"")</f>
        <v>0.2184</v>
      </c>
      <c r="Q210" s="10" t="n">
        <f aca="false">IFERROR(VLOOKUP(A210,'Dados-Status-Invest'!$1:$1000,MATCH(Q$1,'Dados-Status-Invest'!$2:$2,0),FALSE())/100,"")</f>
        <v>-0.108</v>
      </c>
      <c r="R210" s="12" t="n">
        <f aca="false">IFERROR(VLOOKUP(A210,'Dados-Status-Invest'!$1:$1000,MATCH(R$1,'Dados-Status-Invest'!$2:$2,0),FALSE()),"")</f>
        <v>-18.85</v>
      </c>
      <c r="S210" s="12" t="n">
        <f aca="false">IFERROR(VLOOKUP(A210,'Dados-Status-Invest'!$1:$1000,MATCH(S$1,'Dados-Status-Invest'!$2:$2,0),FALSE()),"")</f>
        <v>57</v>
      </c>
      <c r="T210" s="12" t="n">
        <f aca="false">IFERROR(VLOOKUP(A210,'Dados-Status-Invest'!$1:$1000,MATCH(T$1,'Dados-Status-Invest'!$2:$2,0),FALSE()),"")</f>
        <v>17.24</v>
      </c>
      <c r="U210" s="12" t="n">
        <f aca="false">IFERROR(VLOOKUP(A210,'Dados-Status-Invest'!$1:$1000,MATCH(U$1,'Dados-Status-Invest'!$2:$2,0),FALSE()),"")</f>
        <v>0.75</v>
      </c>
      <c r="V210" s="12" t="n">
        <f aca="false">IFERROR(VLOOKUP(A210,'Dados-Status-Invest'!$1:$1000,MATCH(V$1,'Dados-Status-Invest'!$2:$2,0),FALSE()),"")</f>
        <v>7.95</v>
      </c>
      <c r="W210" s="10" t="n">
        <f aca="false">IFERROR(VLOOKUP(A210,'Dados-Status-Invest'!$1:$1000,MATCH(W$1,'Dados-Status-Invest'!$2:$2,0),FALSE())/100,"")</f>
        <v>0.0789</v>
      </c>
      <c r="X210" s="10" t="n">
        <f aca="false">IFERROR(VLOOKUP(A210,'Dados-Status-Invest'!$1:$1000,MATCH(X$1,'Dados-Status-Invest'!$2:$2,0),FALSE())/100,"")</f>
        <v>0</v>
      </c>
    </row>
    <row r="211" customFormat="false" ht="15.75" hidden="false" customHeight="false" outlineLevel="0" collapsed="false">
      <c r="A211" s="6" t="s">
        <v>242</v>
      </c>
      <c r="B211" s="7" t="str">
        <f aca="false">IFERROR(VLOOKUP(LEFT(A211,4),Setor!A:D,2,FALSE()),"")</f>
        <v>Consumo Cíclico</v>
      </c>
      <c r="C211" s="8" t="n">
        <f aca="false">IFERROR(__xludf.dummyfunction("IFERROR(IFERROR(GOOGLEFINANCE(A217,""price""),VLOOKUP(A217,'Dados-Status-Invest'!A:B,2,FALSE)),"""")"),90.25)</f>
        <v>90.25</v>
      </c>
      <c r="D211" s="8" t="n">
        <f aca="false">IFERROR(VLOOKUP(A211,'Dados-Status-Invest'!$1:$1000,MATCH(D$1,'Dados-Status-Invest'!$2:$2,0),FALSE()),"")</f>
        <v>166309475.2</v>
      </c>
      <c r="E211" s="8" t="n">
        <f aca="false">IF(D211+H211&gt;0,D211+H211,"")</f>
        <v>166043592.7456</v>
      </c>
      <c r="F211" s="8" t="n">
        <f aca="false">IFERROR(D211/VLOOKUP(A211,'Dados-Status-Invest'!$1:$1000,5,FALSE()),"")</f>
        <v>159912956.9</v>
      </c>
      <c r="G211" s="8" t="n">
        <f aca="false">IFERROR(D211/VLOOKUP(A211,'Dados-Status-Invest'!$1:$1000,6,FALSE()),"")</f>
        <v>286740474.5</v>
      </c>
      <c r="H211" s="8" t="n">
        <f aca="false">IFERROR(VLOOKUP(A211,'Dados-Status-Invest'!$1:$1000,12,FALSE())*J211,"")</f>
        <v>-265882.4544</v>
      </c>
      <c r="I211" s="8" t="str">
        <f aca="false">IFERROR(D211/VLOOKUP(A211,'Dados-Status-Invest'!$1:$1000,14,FALSE()),"")</f>
        <v/>
      </c>
      <c r="J211" s="9" t="n">
        <f aca="false">IFERROR(D211/VLOOKUP(A211,'Dados-Status-Invest'!$1:$1000,10,FALSE()),"")</f>
        <v>-13294122.72</v>
      </c>
      <c r="K211" s="10" t="n">
        <f aca="false">IFERROR(VLOOKUP(A211,'Dados-Status-Invest'!$1:$1000,3,FALSE())/100,"")</f>
        <v>0</v>
      </c>
      <c r="L211" s="11" t="n">
        <f aca="false">IFERROR(VLOOKUP(A211,'Dados-Status-Invest'!$1:$1000,MATCH(L$1,'Dados-Status-Invest'!$2:$2,0),FALSE())/100,"")</f>
        <v>-0.1288</v>
      </c>
      <c r="M211" s="10" t="n">
        <f aca="false">IFERROR(VLOOKUP(A211,'Dados-Status-Invest'!$1:$1000,MATCH(M$1,'Dados-Status-Invest'!$2:$2,0),FALSE())/100,"")</f>
        <v>-0.0719</v>
      </c>
      <c r="N211" s="10" t="n">
        <f aca="false">IFERROR(VLOOKUP(A211,'Dados-Status-Invest'!$1:$1000,MATCH(N$1,'Dados-Status-Invest'!$2:$2,0),FALSE())/100,"")</f>
        <v>-0.0853</v>
      </c>
      <c r="O211" s="10" t="n">
        <f aca="false">IFERROR(VLOOKUP(A211,'Dados-Status-Invest'!$1:$1000,MATCH(O$1,'Dados-Status-Invest'!$2:$2,0),FALSE())/100,"")</f>
        <v>0</v>
      </c>
      <c r="P211" s="10" t="n">
        <f aca="false">IFERROR(VLOOKUP(A211,'Dados-Status-Invest'!$1:$1000,MATCH(P$1,'Dados-Status-Invest'!$2:$2,0),FALSE())/100,"")</f>
        <v>0</v>
      </c>
      <c r="Q211" s="10" t="n">
        <f aca="false">IFERROR(VLOOKUP(A211,'Dados-Status-Invest'!$1:$1000,MATCH(Q$1,'Dados-Status-Invest'!$2:$2,0),FALSE())/100,"")</f>
        <v>0</v>
      </c>
      <c r="R211" s="12" t="n">
        <f aca="false">IFERROR(VLOOKUP(A211,'Dados-Status-Invest'!$1:$1000,MATCH(R$1,'Dados-Status-Invest'!$2:$2,0),FALSE()),"")</f>
        <v>-8.09</v>
      </c>
      <c r="S211" s="12" t="n">
        <f aca="false">IFERROR(VLOOKUP(A211,'Dados-Status-Invest'!$1:$1000,MATCH(S$1,'Dados-Status-Invest'!$2:$2,0),FALSE()),"")</f>
        <v>1.04</v>
      </c>
      <c r="T211" s="12" t="n">
        <f aca="false">IFERROR(VLOOKUP(A211,'Dados-Status-Invest'!$1:$1000,MATCH(T$1,'Dados-Status-Invest'!$2:$2,0),FALSE()),"")</f>
        <v>-12.28</v>
      </c>
      <c r="U211" s="12" t="n">
        <f aca="false">IFERROR(VLOOKUP(A211,'Dados-Status-Invest'!$1:$1000,MATCH(U$1,'Dados-Status-Invest'!$2:$2,0),FALSE()),"")</f>
        <v>1.12</v>
      </c>
      <c r="V211" s="12" t="n">
        <f aca="false">IFERROR(VLOOKUP(A211,'Dados-Status-Invest'!$1:$1000,MATCH(V$1,'Dados-Status-Invest'!$2:$2,0),FALSE()),"")</f>
        <v>0.02</v>
      </c>
      <c r="W211" s="10" t="n">
        <f aca="false">IFERROR(VLOOKUP(A211,'Dados-Status-Invest'!$1:$1000,MATCH(W$1,'Dados-Status-Invest'!$2:$2,0),FALSE())/100,"")</f>
        <v>0</v>
      </c>
      <c r="X211" s="10" t="n">
        <f aca="false">IFERROR(VLOOKUP(A211,'Dados-Status-Invest'!$1:$1000,MATCH(X$1,'Dados-Status-Invest'!$2:$2,0),FALSE())/100,"")</f>
        <v>0</v>
      </c>
    </row>
    <row r="212" customFormat="false" ht="15.75" hidden="false" customHeight="false" outlineLevel="0" collapsed="false">
      <c r="A212" s="6" t="s">
        <v>243</v>
      </c>
      <c r="B212" s="7" t="str">
        <f aca="false">IFERROR(VLOOKUP(LEFT(A212,4),Setor!A:D,2,FALSE()),"")</f>
        <v>Consumo Cíclico</v>
      </c>
      <c r="C212" s="8" t="n">
        <f aca="false">IFERROR(__xludf.dummyfunction("IFERROR(IFERROR(GOOGLEFINANCE(A218,""price""),VLOOKUP(A218,'Dados-Status-Invest'!A:B,2,FALSE)),"""")"),90.74)</f>
        <v>90.74</v>
      </c>
      <c r="D212" s="8" t="n">
        <f aca="false">IFERROR(VLOOKUP(A212,'Dados-Status-Invest'!$1:$1000,MATCH(D$1,'Dados-Status-Invest'!$2:$2,0),FALSE()),"")</f>
        <v>166309475.2</v>
      </c>
      <c r="E212" s="8" t="n">
        <f aca="false">IF(D212+H212&gt;0,D212+H212,"")</f>
        <v>166033671.7585</v>
      </c>
      <c r="F212" s="8" t="n">
        <f aca="false">IFERROR(D212/VLOOKUP(A212,'Dados-Status-Invest'!$1:$1000,5,FALSE()),"")</f>
        <v>166309475.2</v>
      </c>
      <c r="G212" s="8" t="n">
        <f aca="false">IFERROR(D212/VLOOKUP(A212,'Dados-Status-Invest'!$1:$1000,6,FALSE()),"")</f>
        <v>296981205.7</v>
      </c>
      <c r="H212" s="8" t="n">
        <f aca="false">IFERROR(VLOOKUP(A212,'Dados-Status-Invest'!$1:$1000,12,FALSE())*J212,"")</f>
        <v>-275803.4415</v>
      </c>
      <c r="I212" s="8" t="str">
        <f aca="false">IFERROR(D212/VLOOKUP(A212,'Dados-Status-Invest'!$1:$1000,14,FALSE()),"")</f>
        <v/>
      </c>
      <c r="J212" s="9" t="n">
        <f aca="false">IFERROR(D212/VLOOKUP(A212,'Dados-Status-Invest'!$1:$1000,10,FALSE()),"")</f>
        <v>-13790172.07</v>
      </c>
      <c r="K212" s="10" t="n">
        <f aca="false">IFERROR(VLOOKUP(A212,'Dados-Status-Invest'!$1:$1000,3,FALSE())/100,"")</f>
        <v>0</v>
      </c>
      <c r="L212" s="11" t="n">
        <f aca="false">IFERROR(VLOOKUP(A212,'Dados-Status-Invest'!$1:$1000,MATCH(L$1,'Dados-Status-Invest'!$2:$2,0),FALSE())/100,"")</f>
        <v>-0.1288</v>
      </c>
      <c r="M212" s="10" t="n">
        <f aca="false">IFERROR(VLOOKUP(A212,'Dados-Status-Invest'!$1:$1000,MATCH(M$1,'Dados-Status-Invest'!$2:$2,0),FALSE())/100,"")</f>
        <v>-0.0719</v>
      </c>
      <c r="N212" s="10" t="n">
        <f aca="false">IFERROR(VLOOKUP(A212,'Dados-Status-Invest'!$1:$1000,MATCH(N$1,'Dados-Status-Invest'!$2:$2,0),FALSE())/100,"")</f>
        <v>-0.0853</v>
      </c>
      <c r="O212" s="10" t="n">
        <f aca="false">IFERROR(VLOOKUP(A212,'Dados-Status-Invest'!$1:$1000,MATCH(O$1,'Dados-Status-Invest'!$2:$2,0),FALSE())/100,"")</f>
        <v>0</v>
      </c>
      <c r="P212" s="10" t="n">
        <f aca="false">IFERROR(VLOOKUP(A212,'Dados-Status-Invest'!$1:$1000,MATCH(P$1,'Dados-Status-Invest'!$2:$2,0),FALSE())/100,"")</f>
        <v>0</v>
      </c>
      <c r="Q212" s="10" t="n">
        <f aca="false">IFERROR(VLOOKUP(A212,'Dados-Status-Invest'!$1:$1000,MATCH(Q$1,'Dados-Status-Invest'!$2:$2,0),FALSE())/100,"")</f>
        <v>0</v>
      </c>
      <c r="R212" s="12" t="n">
        <f aca="false">IFERROR(VLOOKUP(A212,'Dados-Status-Invest'!$1:$1000,MATCH(R$1,'Dados-Status-Invest'!$2:$2,0),FALSE()),"")</f>
        <v>-7.8</v>
      </c>
      <c r="S212" s="12" t="n">
        <f aca="false">IFERROR(VLOOKUP(A212,'Dados-Status-Invest'!$1:$1000,MATCH(S$1,'Dados-Status-Invest'!$2:$2,0),FALSE()),"")</f>
        <v>1</v>
      </c>
      <c r="T212" s="12" t="n">
        <f aca="false">IFERROR(VLOOKUP(A212,'Dados-Status-Invest'!$1:$1000,MATCH(T$1,'Dados-Status-Invest'!$2:$2,0),FALSE()),"")</f>
        <v>-12.28</v>
      </c>
      <c r="U212" s="12" t="n">
        <f aca="false">IFERROR(VLOOKUP(A212,'Dados-Status-Invest'!$1:$1000,MATCH(U$1,'Dados-Status-Invest'!$2:$2,0),FALSE()),"")</f>
        <v>1.12</v>
      </c>
      <c r="V212" s="12" t="n">
        <f aca="false">IFERROR(VLOOKUP(A212,'Dados-Status-Invest'!$1:$1000,MATCH(V$1,'Dados-Status-Invest'!$2:$2,0),FALSE()),"")</f>
        <v>0.02</v>
      </c>
      <c r="W212" s="10" t="n">
        <f aca="false">IFERROR(VLOOKUP(A212,'Dados-Status-Invest'!$1:$1000,MATCH(W$1,'Dados-Status-Invest'!$2:$2,0),FALSE())/100,"")</f>
        <v>0</v>
      </c>
      <c r="X212" s="10" t="n">
        <f aca="false">IFERROR(VLOOKUP(A212,'Dados-Status-Invest'!$1:$1000,MATCH(X$1,'Dados-Status-Invest'!$2:$2,0),FALSE())/100,"")</f>
        <v>0</v>
      </c>
    </row>
    <row r="213" customFormat="false" ht="15.75" hidden="false" customHeight="false" outlineLevel="0" collapsed="false">
      <c r="A213" s="6" t="s">
        <v>244</v>
      </c>
      <c r="B213" s="7" t="str">
        <f aca="false">IFERROR(VLOOKUP(LEFT(A213,4),Setor!A:D,2,FALSE()),"")</f>
        <v>Utilidade Pública</v>
      </c>
      <c r="C213" s="8" t="n">
        <f aca="false">IFERROR(__xludf.dummyfunction("IFERROR(IFERROR(GOOGLEFINANCE(A219,""price""),VLOOKUP(A219,'Dados-Status-Invest'!A:B,2,FALSE)),"""")"),421.01)</f>
        <v>421.01</v>
      </c>
      <c r="D213" s="8" t="n">
        <f aca="false">IFERROR(VLOOKUP(A213,'Dados-Status-Invest'!$1:$1000,MATCH(D$1,'Dados-Status-Invest'!$2:$2,0),FALSE()),"")</f>
        <v>5202081276</v>
      </c>
      <c r="E213" s="8" t="n">
        <f aca="false">IF(D213+H213&gt;0,D213+H213,"")</f>
        <v>5102451812.44</v>
      </c>
      <c r="F213" s="8" t="n">
        <f aca="false">IFERROR(D213/VLOOKUP(A213,'Dados-Status-Invest'!$1:$1000,5,FALSE()),"")</f>
        <v>2667733988</v>
      </c>
      <c r="G213" s="8" t="n">
        <f aca="false">IFERROR(D213/VLOOKUP(A213,'Dados-Status-Invest'!$1:$1000,6,FALSE()),"")</f>
        <v>5780090306</v>
      </c>
      <c r="H213" s="8" t="n">
        <f aca="false">IFERROR(VLOOKUP(A213,'Dados-Status-Invest'!$1:$1000,12,FALSE())*J213,"")</f>
        <v>-99629463.56</v>
      </c>
      <c r="I213" s="8" t="n">
        <f aca="false">IFERROR(D213/VLOOKUP(A213,'Dados-Status-Invest'!$1:$1000,14,FALSE()),"")</f>
        <v>1539077301</v>
      </c>
      <c r="J213" s="9" t="n">
        <f aca="false">IFERROR(D213/VLOOKUP(A213,'Dados-Status-Invest'!$1:$1000,10,FALSE()),"")</f>
        <v>711639025.4</v>
      </c>
      <c r="K213" s="10" t="n">
        <f aca="false">IFERROR(VLOOKUP(A213,'Dados-Status-Invest'!$1:$1000,3,FALSE())/100,"")</f>
        <v>0.0706</v>
      </c>
      <c r="L213" s="11" t="n">
        <f aca="false">IFERROR(VLOOKUP(A213,'Dados-Status-Invest'!$1:$1000,MATCH(L$1,'Dados-Status-Invest'!$2:$2,0),FALSE())/100,"")</f>
        <v>0.1871</v>
      </c>
      <c r="M213" s="10" t="n">
        <f aca="false">IFERROR(VLOOKUP(A213,'Dados-Status-Invest'!$1:$1000,MATCH(M$1,'Dados-Status-Invest'!$2:$2,0),FALSE())/100,"")</f>
        <v>0.0862</v>
      </c>
      <c r="N213" s="10" t="n">
        <f aca="false">IFERROR(VLOOKUP(A213,'Dados-Status-Invest'!$1:$1000,MATCH(N$1,'Dados-Status-Invest'!$2:$2,0),FALSE())/100,"")</f>
        <v>0.1725</v>
      </c>
      <c r="O213" s="10" t="n">
        <f aca="false">IFERROR(VLOOKUP(A213,'Dados-Status-Invest'!$1:$1000,MATCH(O$1,'Dados-Status-Invest'!$2:$2,0),FALSE())/100,"")</f>
        <v>0.5703</v>
      </c>
      <c r="P213" s="10" t="n">
        <f aca="false">IFERROR(VLOOKUP(A213,'Dados-Status-Invest'!$1:$1000,MATCH(P$1,'Dados-Status-Invest'!$2:$2,0),FALSE())/100,"")</f>
        <v>0.4622</v>
      </c>
      <c r="Q213" s="10" t="n">
        <f aca="false">IFERROR(VLOOKUP(A213,'Dados-Status-Invest'!$1:$1000,MATCH(Q$1,'Dados-Status-Invest'!$2:$2,0),FALSE())/100,"")</f>
        <v>0.3235</v>
      </c>
      <c r="R213" s="12" t="n">
        <f aca="false">IFERROR(VLOOKUP(A213,'Dados-Status-Invest'!$1:$1000,MATCH(R$1,'Dados-Status-Invest'!$2:$2,0),FALSE()),"")</f>
        <v>10.44</v>
      </c>
      <c r="S213" s="12" t="n">
        <f aca="false">IFERROR(VLOOKUP(A213,'Dados-Status-Invest'!$1:$1000,MATCH(S$1,'Dados-Status-Invest'!$2:$2,0),FALSE()),"")</f>
        <v>1.95</v>
      </c>
      <c r="T213" s="12" t="n">
        <f aca="false">IFERROR(VLOOKUP(A213,'Dados-Status-Invest'!$1:$1000,MATCH(T$1,'Dados-Status-Invest'!$2:$2,0),FALSE()),"")</f>
        <v>7.19</v>
      </c>
      <c r="U213" s="12" t="n">
        <f aca="false">IFERROR(VLOOKUP(A213,'Dados-Status-Invest'!$1:$1000,MATCH(U$1,'Dados-Status-Invest'!$2:$2,0),FALSE()),"")</f>
        <v>3.41</v>
      </c>
      <c r="V213" s="12" t="n">
        <f aca="false">IFERROR(VLOOKUP(A213,'Dados-Status-Invest'!$1:$1000,MATCH(V$1,'Dados-Status-Invest'!$2:$2,0),FALSE()),"")</f>
        <v>-0.14</v>
      </c>
      <c r="W213" s="10" t="n">
        <f aca="false">IFERROR(VLOOKUP(A213,'Dados-Status-Invest'!$1:$1000,MATCH(W$1,'Dados-Status-Invest'!$2:$2,0),FALSE())/100,"")</f>
        <v>0.1495</v>
      </c>
      <c r="X213" s="10" t="n">
        <f aca="false">IFERROR(VLOOKUP(A213,'Dados-Status-Invest'!$1:$1000,MATCH(X$1,'Dados-Status-Invest'!$2:$2,0),FALSE())/100,"")</f>
        <v>0.2666</v>
      </c>
    </row>
    <row r="214" customFormat="false" ht="15.75" hidden="false" customHeight="false" outlineLevel="0" collapsed="false">
      <c r="A214" s="6" t="s">
        <v>245</v>
      </c>
      <c r="B214" s="7" t="str">
        <f aca="false">IFERROR(VLOOKUP(LEFT(A214,4),Setor!A:D,2,FALSE()),"")</f>
        <v>Utilidade Pública</v>
      </c>
      <c r="C214" s="8" t="n">
        <f aca="false">IFERROR(__xludf.dummyfunction("IFERROR(IFERROR(GOOGLEFINANCE(A220,""price""),VLOOKUP(A220,'Dados-Status-Invest'!A:B,2,FALSE)),"""")"),410)</f>
        <v>410</v>
      </c>
      <c r="D214" s="8" t="n">
        <f aca="false">IFERROR(VLOOKUP(A214,'Dados-Status-Invest'!$1:$1000,MATCH(D$1,'Dados-Status-Invest'!$2:$2,0),FALSE()),"")</f>
        <v>5202081276</v>
      </c>
      <c r="E214" s="8" t="n">
        <f aca="false">IF(D214+H214&gt;0,D214+H214,"")</f>
        <v>5122660187.82</v>
      </c>
      <c r="F214" s="8" t="n">
        <f aca="false">IFERROR(D214/VLOOKUP(A214,'Dados-Status-Invest'!$1:$1000,5,FALSE()),"")</f>
        <v>2123298480</v>
      </c>
      <c r="G214" s="8" t="n">
        <f aca="false">IFERROR(D214/VLOOKUP(A214,'Dados-Status-Invest'!$1:$1000,6,FALSE()),"")</f>
        <v>4603611748</v>
      </c>
      <c r="H214" s="8" t="n">
        <f aca="false">IFERROR(VLOOKUP(A214,'Dados-Status-Invest'!$1:$1000,12,FALSE())*J214,"")</f>
        <v>-79421088.18</v>
      </c>
      <c r="I214" s="8" t="n">
        <f aca="false">IFERROR(D214/VLOOKUP(A214,'Dados-Status-Invest'!$1:$1000,14,FALSE()),"")</f>
        <v>1226905961</v>
      </c>
      <c r="J214" s="9" t="n">
        <f aca="false">IFERROR(D214/VLOOKUP(A214,'Dados-Status-Invest'!$1:$1000,10,FALSE()),"")</f>
        <v>567293487</v>
      </c>
      <c r="K214" s="10" t="n">
        <f aca="false">IFERROR(VLOOKUP(A214,'Dados-Status-Invest'!$1:$1000,3,FALSE())/100,"")</f>
        <v>0.0766</v>
      </c>
      <c r="L214" s="11" t="n">
        <f aca="false">IFERROR(VLOOKUP(A214,'Dados-Status-Invest'!$1:$1000,MATCH(L$1,'Dados-Status-Invest'!$2:$2,0),FALSE())/100,"")</f>
        <v>0.1871</v>
      </c>
      <c r="M214" s="10" t="n">
        <f aca="false">IFERROR(VLOOKUP(A214,'Dados-Status-Invest'!$1:$1000,MATCH(M$1,'Dados-Status-Invest'!$2:$2,0),FALSE())/100,"")</f>
        <v>0.0862</v>
      </c>
      <c r="N214" s="10" t="n">
        <f aca="false">IFERROR(VLOOKUP(A214,'Dados-Status-Invest'!$1:$1000,MATCH(N$1,'Dados-Status-Invest'!$2:$2,0),FALSE())/100,"")</f>
        <v>0.1725</v>
      </c>
      <c r="O214" s="10" t="n">
        <f aca="false">IFERROR(VLOOKUP(A214,'Dados-Status-Invest'!$1:$1000,MATCH(O$1,'Dados-Status-Invest'!$2:$2,0),FALSE())/100,"")</f>
        <v>0.5703</v>
      </c>
      <c r="P214" s="10" t="n">
        <f aca="false">IFERROR(VLOOKUP(A214,'Dados-Status-Invest'!$1:$1000,MATCH(P$1,'Dados-Status-Invest'!$2:$2,0),FALSE())/100,"")</f>
        <v>0.4622</v>
      </c>
      <c r="Q214" s="10" t="n">
        <f aca="false">IFERROR(VLOOKUP(A214,'Dados-Status-Invest'!$1:$1000,MATCH(Q$1,'Dados-Status-Invest'!$2:$2,0),FALSE())/100,"")</f>
        <v>0.3235</v>
      </c>
      <c r="R214" s="12" t="n">
        <f aca="false">IFERROR(VLOOKUP(A214,'Dados-Status-Invest'!$1:$1000,MATCH(R$1,'Dados-Status-Invest'!$2:$2,0),FALSE()),"")</f>
        <v>13.1</v>
      </c>
      <c r="S214" s="12" t="n">
        <f aca="false">IFERROR(VLOOKUP(A214,'Dados-Status-Invest'!$1:$1000,MATCH(S$1,'Dados-Status-Invest'!$2:$2,0),FALSE()),"")</f>
        <v>2.45</v>
      </c>
      <c r="T214" s="12" t="n">
        <f aca="false">IFERROR(VLOOKUP(A214,'Dados-Status-Invest'!$1:$1000,MATCH(T$1,'Dados-Status-Invest'!$2:$2,0),FALSE()),"")</f>
        <v>7.19</v>
      </c>
      <c r="U214" s="12" t="n">
        <f aca="false">IFERROR(VLOOKUP(A214,'Dados-Status-Invest'!$1:$1000,MATCH(U$1,'Dados-Status-Invest'!$2:$2,0),FALSE()),"")</f>
        <v>3.41</v>
      </c>
      <c r="V214" s="12" t="n">
        <f aca="false">IFERROR(VLOOKUP(A214,'Dados-Status-Invest'!$1:$1000,MATCH(V$1,'Dados-Status-Invest'!$2:$2,0),FALSE()),"")</f>
        <v>-0.14</v>
      </c>
      <c r="W214" s="10" t="n">
        <f aca="false">IFERROR(VLOOKUP(A214,'Dados-Status-Invest'!$1:$1000,MATCH(W$1,'Dados-Status-Invest'!$2:$2,0),FALSE())/100,"")</f>
        <v>0.1495</v>
      </c>
      <c r="X214" s="10" t="n">
        <f aca="false">IFERROR(VLOOKUP(A214,'Dados-Status-Invest'!$1:$1000,MATCH(X$1,'Dados-Status-Invest'!$2:$2,0),FALSE())/100,"")</f>
        <v>0.2666</v>
      </c>
    </row>
    <row r="215" customFormat="false" ht="15.75" hidden="false" customHeight="false" outlineLevel="0" collapsed="false">
      <c r="A215" s="6" t="s">
        <v>246</v>
      </c>
      <c r="B215" s="7" t="str">
        <f aca="false">IFERROR(VLOOKUP(LEFT(A215,4),Setor!A:D,2,FALSE()),"")</f>
        <v>Utilidade Pública</v>
      </c>
      <c r="C215" s="8" t="n">
        <f aca="false">IFERROR(__xludf.dummyfunction("IFERROR(IFERROR(GOOGLEFINANCE(A221,""price""),VLOOKUP(A221,'Dados-Status-Invest'!A:B,2,FALSE)),"""")"),44.41)</f>
        <v>44.41</v>
      </c>
      <c r="D215" s="8" t="n">
        <f aca="false">IFERROR(VLOOKUP(A215,'Dados-Status-Invest'!$1:$1000,MATCH(D$1,'Dados-Status-Invest'!$2:$2,0),FALSE()),"")</f>
        <v>32131234401</v>
      </c>
      <c r="E215" s="8" t="n">
        <f aca="false">IF(D215+H215&gt;0,D215+H215,"")</f>
        <v>46192389120</v>
      </c>
      <c r="F215" s="8" t="n">
        <f aca="false">IFERROR(D215/VLOOKUP(A215,'Dados-Status-Invest'!$1:$1000,5,FALSE()),"")</f>
        <v>8093509925</v>
      </c>
      <c r="G215" s="8" t="n">
        <f aca="false">IFERROR(D215/VLOOKUP(A215,'Dados-Status-Invest'!$1:$1000,6,FALSE()),"")</f>
        <v>36102510563</v>
      </c>
      <c r="H215" s="8" t="n">
        <f aca="false">IFERROR(VLOOKUP(A215,'Dados-Status-Invest'!$1:$1000,12,FALSE())*J215,"")</f>
        <v>14061154719</v>
      </c>
      <c r="I215" s="8" t="n">
        <f aca="false">IFERROR(D215/VLOOKUP(A215,'Dados-Status-Invest'!$1:$1000,14,FALSE()),"")</f>
        <v>12904110201</v>
      </c>
      <c r="J215" s="9" t="n">
        <f aca="false">IFERROR(D215/VLOOKUP(A215,'Dados-Status-Invest'!$1:$1000,10,FALSE()),"")</f>
        <v>5983470093</v>
      </c>
      <c r="K215" s="10" t="n">
        <f aca="false">IFERROR(VLOOKUP(A215,'Dados-Status-Invest'!$1:$1000,3,FALSE())/100,"")</f>
        <v>0.0628</v>
      </c>
      <c r="L215" s="11" t="n">
        <f aca="false">IFERROR(VLOOKUP(A215,'Dados-Status-Invest'!$1:$1000,MATCH(L$1,'Dados-Status-Invest'!$2:$2,0),FALSE())/100,"")</f>
        <v>0.3479</v>
      </c>
      <c r="M215" s="10" t="n">
        <f aca="false">IFERROR(VLOOKUP(A215,'Dados-Status-Invest'!$1:$1000,MATCH(M$1,'Dados-Status-Invest'!$2:$2,0),FALSE())/100,"")</f>
        <v>0.0783</v>
      </c>
      <c r="N215" s="10" t="n">
        <f aca="false">IFERROR(VLOOKUP(A215,'Dados-Status-Invest'!$1:$1000,MATCH(N$1,'Dados-Status-Invest'!$2:$2,0),FALSE())/100,"")</f>
        <v>0.1943</v>
      </c>
      <c r="O215" s="10" t="n">
        <f aca="false">IFERROR(VLOOKUP(A215,'Dados-Status-Invest'!$1:$1000,MATCH(O$1,'Dados-Status-Invest'!$2:$2,0),FALSE())/100,"")</f>
        <v>0.45</v>
      </c>
      <c r="P215" s="10" t="n">
        <f aca="false">IFERROR(VLOOKUP(A215,'Dados-Status-Invest'!$1:$1000,MATCH(P$1,'Dados-Status-Invest'!$2:$2,0),FALSE())/100,"")</f>
        <v>0.4631</v>
      </c>
      <c r="Q215" s="10" t="n">
        <f aca="false">IFERROR(VLOOKUP(A215,'Dados-Status-Invest'!$1:$1000,MATCH(Q$1,'Dados-Status-Invest'!$2:$2,0),FALSE())/100,"")</f>
        <v>0.2179</v>
      </c>
      <c r="R215" s="12" t="n">
        <f aca="false">IFERROR(VLOOKUP(A215,'Dados-Status-Invest'!$1:$1000,MATCH(R$1,'Dados-Status-Invest'!$2:$2,0),FALSE()),"")</f>
        <v>11.41</v>
      </c>
      <c r="S215" s="12" t="n">
        <f aca="false">IFERROR(VLOOKUP(A215,'Dados-Status-Invest'!$1:$1000,MATCH(S$1,'Dados-Status-Invest'!$2:$2,0),FALSE()),"")</f>
        <v>3.97</v>
      </c>
      <c r="T215" s="12" t="n">
        <f aca="false">IFERROR(VLOOKUP(A215,'Dados-Status-Invest'!$1:$1000,MATCH(T$1,'Dados-Status-Invest'!$2:$2,0),FALSE()),"")</f>
        <v>7.72</v>
      </c>
      <c r="U215" s="12" t="n">
        <f aca="false">IFERROR(VLOOKUP(A215,'Dados-Status-Invest'!$1:$1000,MATCH(U$1,'Dados-Status-Invest'!$2:$2,0),FALSE()),"")</f>
        <v>1.79</v>
      </c>
      <c r="V215" s="12" t="n">
        <f aca="false">IFERROR(VLOOKUP(A215,'Dados-Status-Invest'!$1:$1000,MATCH(V$1,'Dados-Status-Invest'!$2:$2,0),FALSE()),"")</f>
        <v>2.35</v>
      </c>
      <c r="W215" s="10" t="n">
        <f aca="false">IFERROR(VLOOKUP(A215,'Dados-Status-Invest'!$1:$1000,MATCH(W$1,'Dados-Status-Invest'!$2:$2,0),FALSE())/100,"")</f>
        <v>0.1349</v>
      </c>
      <c r="X215" s="10" t="n">
        <f aca="false">IFERROR(VLOOKUP(A215,'Dados-Status-Invest'!$1:$1000,MATCH(X$1,'Dados-Status-Invest'!$2:$2,0),FALSE())/100,"")</f>
        <v>0.1325</v>
      </c>
    </row>
    <row r="216" customFormat="false" ht="15.75" hidden="false" customHeight="false" outlineLevel="0" collapsed="false">
      <c r="A216" s="6" t="s">
        <v>247</v>
      </c>
      <c r="B216" s="7" t="str">
        <f aca="false">IFERROR(VLOOKUP(LEFT(A216,4),Setor!A:D,2,FALSE()),"")</f>
        <v>Utilidade Pública</v>
      </c>
      <c r="C216" s="8" t="n">
        <f aca="false">IFERROR(__xludf.dummyfunction("IFERROR(IFERROR(GOOGLEFINANCE(A222,""price""),VLOOKUP(A222,'Dados-Status-Invest'!A:B,2,FALSE)),"""")"),28.4)</f>
        <v>28.4</v>
      </c>
      <c r="D216" s="8" t="n">
        <f aca="false">IFERROR(VLOOKUP(A216,'Dados-Status-Invest'!$1:$1000,MATCH(D$1,'Dados-Status-Invest'!$2:$2,0),FALSE()),"")</f>
        <v>5873648176</v>
      </c>
      <c r="E216" s="8" t="n">
        <f aca="false">IF(D216+H216&gt;0,D216+H216,"")</f>
        <v>9005640953</v>
      </c>
      <c r="F216" s="8" t="n">
        <f aca="false">IFERROR(D216/VLOOKUP(A216,'Dados-Status-Invest'!$1:$1000,5,FALSE()),"")</f>
        <v>2837511196</v>
      </c>
      <c r="G216" s="8" t="n">
        <f aca="false">IFERROR(D216/VLOOKUP(A216,'Dados-Status-Invest'!$1:$1000,6,FALSE()),"")</f>
        <v>8046093392</v>
      </c>
      <c r="H216" s="8" t="n">
        <f aca="false">IFERROR(VLOOKUP(A216,'Dados-Status-Invest'!$1:$1000,12,FALSE())*J216,"")</f>
        <v>3131992777</v>
      </c>
      <c r="I216" s="8" t="n">
        <f aca="false">IFERROR(D216/VLOOKUP(A216,'Dados-Status-Invest'!$1:$1000,14,FALSE()),"")</f>
        <v>6384400191</v>
      </c>
      <c r="J216" s="9" t="n">
        <f aca="false">IFERROR(D216/VLOOKUP(A216,'Dados-Status-Invest'!$1:$1000,10,FALSE()),"")</f>
        <v>929374711.4</v>
      </c>
      <c r="K216" s="10" t="n">
        <f aca="false">IFERROR(VLOOKUP(A216,'Dados-Status-Invest'!$1:$1000,3,FALSE())/100,"")</f>
        <v>0.0854</v>
      </c>
      <c r="L216" s="11" t="n">
        <f aca="false">IFERROR(VLOOKUP(A216,'Dados-Status-Invest'!$1:$1000,MATCH(L$1,'Dados-Status-Invest'!$2:$2,0),FALSE())/100,"")</f>
        <v>0.2066</v>
      </c>
      <c r="M216" s="10" t="n">
        <f aca="false">IFERROR(VLOOKUP(A216,'Dados-Status-Invest'!$1:$1000,MATCH(M$1,'Dados-Status-Invest'!$2:$2,0),FALSE())/100,"")</f>
        <v>0.0727</v>
      </c>
      <c r="N216" s="10" t="n">
        <f aca="false">IFERROR(VLOOKUP(A216,'Dados-Status-Invest'!$1:$1000,MATCH(N$1,'Dados-Status-Invest'!$2:$2,0),FALSE())/100,"")</f>
        <v>0.1088</v>
      </c>
      <c r="O216" s="10" t="n">
        <f aca="false">IFERROR(VLOOKUP(A216,'Dados-Status-Invest'!$1:$1000,MATCH(O$1,'Dados-Status-Invest'!$2:$2,0),FALSE())/100,"")</f>
        <v>0.2019</v>
      </c>
      <c r="P216" s="10" t="n">
        <f aca="false">IFERROR(VLOOKUP(A216,'Dados-Status-Invest'!$1:$1000,MATCH(P$1,'Dados-Status-Invest'!$2:$2,0),FALSE())/100,"")</f>
        <v>0.1452</v>
      </c>
      <c r="Q216" s="10" t="n">
        <f aca="false">IFERROR(VLOOKUP(A216,'Dados-Status-Invest'!$1:$1000,MATCH(Q$1,'Dados-Status-Invest'!$2:$2,0),FALSE())/100,"")</f>
        <v>0.0917</v>
      </c>
      <c r="R216" s="12" t="n">
        <f aca="false">IFERROR(VLOOKUP(A216,'Dados-Status-Invest'!$1:$1000,MATCH(R$1,'Dados-Status-Invest'!$2:$2,0),FALSE()),"")</f>
        <v>10.01</v>
      </c>
      <c r="S216" s="12" t="n">
        <f aca="false">IFERROR(VLOOKUP(A216,'Dados-Status-Invest'!$1:$1000,MATCH(S$1,'Dados-Status-Invest'!$2:$2,0),FALSE()),"")</f>
        <v>2.07</v>
      </c>
      <c r="T216" s="12" t="n">
        <f aca="false">IFERROR(VLOOKUP(A216,'Dados-Status-Invest'!$1:$1000,MATCH(T$1,'Dados-Status-Invest'!$2:$2,0),FALSE()),"")</f>
        <v>9.01</v>
      </c>
      <c r="U216" s="12" t="n">
        <f aca="false">IFERROR(VLOOKUP(A216,'Dados-Status-Invest'!$1:$1000,MATCH(U$1,'Dados-Status-Invest'!$2:$2,0),FALSE()),"")</f>
        <v>1.19</v>
      </c>
      <c r="V216" s="12" t="n">
        <f aca="false">IFERROR(VLOOKUP(A216,'Dados-Status-Invest'!$1:$1000,MATCH(V$1,'Dados-Status-Invest'!$2:$2,0),FALSE()),"")</f>
        <v>3.37</v>
      </c>
      <c r="W216" s="10" t="n">
        <f aca="false">IFERROR(VLOOKUP(A216,'Dados-Status-Invest'!$1:$1000,MATCH(W$1,'Dados-Status-Invest'!$2:$2,0),FALSE())/100,"")</f>
        <v>0.0401</v>
      </c>
      <c r="X216" s="10" t="n">
        <f aca="false">IFERROR(VLOOKUP(A216,'Dados-Status-Invest'!$1:$1000,MATCH(X$1,'Dados-Status-Invest'!$2:$2,0),FALSE())/100,"")</f>
        <v>0.0979</v>
      </c>
    </row>
    <row r="217" customFormat="false" ht="15.75" hidden="false" customHeight="false" outlineLevel="0" collapsed="false">
      <c r="A217" s="6" t="s">
        <v>248</v>
      </c>
      <c r="B217" s="7" t="str">
        <f aca="false">IFERROR(VLOOKUP(LEFT(A217,4),Setor!A:D,2,FALSE()),"")</f>
        <v>Utilidade Pública</v>
      </c>
      <c r="C217" s="8" t="n">
        <f aca="false">IFERROR(__xludf.dummyfunction("IFERROR(IFERROR(GOOGLEFINANCE(A223,""price""),VLOOKUP(A223,'Dados-Status-Invest'!A:B,2,FALSE)),"""")"),28.4)</f>
        <v>28.4</v>
      </c>
      <c r="D217" s="8" t="n">
        <f aca="false">IFERROR(VLOOKUP(A217,'Dados-Status-Invest'!$1:$1000,MATCH(D$1,'Dados-Status-Invest'!$2:$2,0),FALSE()),"")</f>
        <v>5873648176</v>
      </c>
      <c r="E217" s="8" t="n">
        <f aca="false">IF(D217+H217&gt;0,D217+H217,"")</f>
        <v>9816714780</v>
      </c>
      <c r="F217" s="8" t="n">
        <f aca="false">IFERROR(D217/VLOOKUP(A217,'Dados-Status-Invest'!$1:$1000,5,FALSE()),"")</f>
        <v>3581492790</v>
      </c>
      <c r="G217" s="8" t="n">
        <f aca="false">IFERROR(D217/VLOOKUP(A217,'Dados-Status-Invest'!$1:$1000,6,FALSE()),"")</f>
        <v>10126979614</v>
      </c>
      <c r="H217" s="8" t="n">
        <f aca="false">IFERROR(VLOOKUP(A217,'Dados-Status-Invest'!$1:$1000,12,FALSE())*J217,"")</f>
        <v>3943066604</v>
      </c>
      <c r="I217" s="8" t="n">
        <f aca="false">IFERROR(D217/VLOOKUP(A217,'Dados-Status-Invest'!$1:$1000,14,FALSE()),"")</f>
        <v>8046093392</v>
      </c>
      <c r="J217" s="9" t="n">
        <f aca="false">IFERROR(D217/VLOOKUP(A217,'Dados-Status-Invest'!$1:$1000,10,FALSE()),"")</f>
        <v>1170049437</v>
      </c>
      <c r="K217" s="10" t="n">
        <f aca="false">IFERROR(VLOOKUP(A217,'Dados-Status-Invest'!$1:$1000,3,FALSE())/100,"")</f>
        <v>0.1184</v>
      </c>
      <c r="L217" s="11" t="n">
        <f aca="false">IFERROR(VLOOKUP(A217,'Dados-Status-Invest'!$1:$1000,MATCH(L$1,'Dados-Status-Invest'!$2:$2,0),FALSE())/100,"")</f>
        <v>0.2066</v>
      </c>
      <c r="M217" s="10" t="n">
        <f aca="false">IFERROR(VLOOKUP(A217,'Dados-Status-Invest'!$1:$1000,MATCH(M$1,'Dados-Status-Invest'!$2:$2,0),FALSE())/100,"")</f>
        <v>0.0727</v>
      </c>
      <c r="N217" s="10" t="n">
        <f aca="false">IFERROR(VLOOKUP(A217,'Dados-Status-Invest'!$1:$1000,MATCH(N$1,'Dados-Status-Invest'!$2:$2,0),FALSE())/100,"")</f>
        <v>0.1088</v>
      </c>
      <c r="O217" s="10" t="n">
        <f aca="false">IFERROR(VLOOKUP(A217,'Dados-Status-Invest'!$1:$1000,MATCH(O$1,'Dados-Status-Invest'!$2:$2,0),FALSE())/100,"")</f>
        <v>0.2019</v>
      </c>
      <c r="P217" s="10" t="n">
        <f aca="false">IFERROR(VLOOKUP(A217,'Dados-Status-Invest'!$1:$1000,MATCH(P$1,'Dados-Status-Invest'!$2:$2,0),FALSE())/100,"")</f>
        <v>0.1452</v>
      </c>
      <c r="Q217" s="10" t="n">
        <f aca="false">IFERROR(VLOOKUP(A217,'Dados-Status-Invest'!$1:$1000,MATCH(Q$1,'Dados-Status-Invest'!$2:$2,0),FALSE())/100,"")</f>
        <v>0.0917</v>
      </c>
      <c r="R217" s="12" t="n">
        <f aca="false">IFERROR(VLOOKUP(A217,'Dados-Status-Invest'!$1:$1000,MATCH(R$1,'Dados-Status-Invest'!$2:$2,0),FALSE()),"")</f>
        <v>7.94</v>
      </c>
      <c r="S217" s="12" t="n">
        <f aca="false">IFERROR(VLOOKUP(A217,'Dados-Status-Invest'!$1:$1000,MATCH(S$1,'Dados-Status-Invest'!$2:$2,0),FALSE()),"")</f>
        <v>1.64</v>
      </c>
      <c r="T217" s="12" t="n">
        <f aca="false">IFERROR(VLOOKUP(A217,'Dados-Status-Invest'!$1:$1000,MATCH(T$1,'Dados-Status-Invest'!$2:$2,0),FALSE()),"")</f>
        <v>9.01</v>
      </c>
      <c r="U217" s="12" t="n">
        <f aca="false">IFERROR(VLOOKUP(A217,'Dados-Status-Invest'!$1:$1000,MATCH(U$1,'Dados-Status-Invest'!$2:$2,0),FALSE()),"")</f>
        <v>1.19</v>
      </c>
      <c r="V217" s="12" t="n">
        <f aca="false">IFERROR(VLOOKUP(A217,'Dados-Status-Invest'!$1:$1000,MATCH(V$1,'Dados-Status-Invest'!$2:$2,0),FALSE()),"")</f>
        <v>3.37</v>
      </c>
      <c r="W217" s="10" t="n">
        <f aca="false">IFERROR(VLOOKUP(A217,'Dados-Status-Invest'!$1:$1000,MATCH(W$1,'Dados-Status-Invest'!$2:$2,0),FALSE())/100,"")</f>
        <v>0.0401</v>
      </c>
      <c r="X217" s="10" t="n">
        <f aca="false">IFERROR(VLOOKUP(A217,'Dados-Status-Invest'!$1:$1000,MATCH(X$1,'Dados-Status-Invest'!$2:$2,0),FALSE())/100,"")</f>
        <v>0.0979</v>
      </c>
    </row>
    <row r="218" customFormat="false" ht="15.75" hidden="false" customHeight="false" outlineLevel="0" collapsed="false">
      <c r="A218" s="6" t="s">
        <v>249</v>
      </c>
      <c r="B218" s="7" t="str">
        <f aca="false">IFERROR(VLOOKUP(LEFT(A218,4),Setor!A:D,2,FALSE()),"")</f>
        <v>Materiais Básicos</v>
      </c>
      <c r="C218" s="8" t="n">
        <f aca="false">IFERROR(__xludf.dummyfunction("IFERROR(IFERROR(GOOGLEFINANCE(A224,""price""),VLOOKUP(A224,'Dados-Status-Invest'!A:B,2,FALSE)),"""")"),19.11)</f>
        <v>19.11</v>
      </c>
      <c r="D218" s="8" t="n">
        <f aca="false">IFERROR(VLOOKUP(A218,'Dados-Status-Invest'!$1:$1000,MATCH(D$1,'Dados-Status-Invest'!$2:$2,0),FALSE()),"")</f>
        <v>905051916.3</v>
      </c>
      <c r="E218" s="8" t="n">
        <f aca="false">IF(D218+H218&gt;0,D218+H218,"")</f>
        <v>1142246470.5</v>
      </c>
      <c r="F218" s="8" t="n">
        <f aca="false">IFERROR(D218/VLOOKUP(A218,'Dados-Status-Invest'!$1:$1000,5,FALSE()),"")</f>
        <v>340245081.3</v>
      </c>
      <c r="G218" s="8" t="n">
        <f aca="false">IFERROR(D218/VLOOKUP(A218,'Dados-Status-Invest'!$1:$1000,6,FALSE()),"")</f>
        <v>845842912.4</v>
      </c>
      <c r="H218" s="8" t="n">
        <f aca="false">IFERROR(VLOOKUP(A218,'Dados-Status-Invest'!$1:$1000,12,FALSE())*J218,"")</f>
        <v>237194554.2</v>
      </c>
      <c r="I218" s="8" t="n">
        <f aca="false">IFERROR(D218/VLOOKUP(A218,'Dados-Status-Invest'!$1:$1000,14,FALSE()),"")</f>
        <v>1459761155</v>
      </c>
      <c r="J218" s="9" t="n">
        <f aca="false">IFERROR(D218/VLOOKUP(A218,'Dados-Status-Invest'!$1:$1000,10,FALSE()),"")</f>
        <v>41251226.81</v>
      </c>
      <c r="K218" s="10" t="n">
        <f aca="false">IFERROR(VLOOKUP(A218,'Dados-Status-Invest'!$1:$1000,3,FALSE())/100,"")</f>
        <v>0</v>
      </c>
      <c r="L218" s="11" t="n">
        <f aca="false">IFERROR(VLOOKUP(A218,'Dados-Status-Invest'!$1:$1000,MATCH(L$1,'Dados-Status-Invest'!$2:$2,0),FALSE())/100,"")</f>
        <v>0.1087</v>
      </c>
      <c r="M218" s="10" t="n">
        <f aca="false">IFERROR(VLOOKUP(A218,'Dados-Status-Invest'!$1:$1000,MATCH(M$1,'Dados-Status-Invest'!$2:$2,0),FALSE())/100,"")</f>
        <v>0.0436</v>
      </c>
      <c r="N218" s="10" t="n">
        <f aca="false">IFERROR(VLOOKUP(A218,'Dados-Status-Invest'!$1:$1000,MATCH(N$1,'Dados-Status-Invest'!$2:$2,0),FALSE())/100,"")</f>
        <v>0.0438</v>
      </c>
      <c r="O218" s="10" t="n">
        <f aca="false">IFERROR(VLOOKUP(A218,'Dados-Status-Invest'!$1:$1000,MATCH(O$1,'Dados-Status-Invest'!$2:$2,0),FALSE())/100,"")</f>
        <v>0.1139</v>
      </c>
      <c r="P218" s="10" t="n">
        <f aca="false">IFERROR(VLOOKUP(A218,'Dados-Status-Invest'!$1:$1000,MATCH(P$1,'Dados-Status-Invest'!$2:$2,0),FALSE())/100,"")</f>
        <v>0.0282</v>
      </c>
      <c r="Q218" s="10" t="n">
        <f aca="false">IFERROR(VLOOKUP(A218,'Dados-Status-Invest'!$1:$1000,MATCH(Q$1,'Dados-Status-Invest'!$2:$2,0),FALSE())/100,"")</f>
        <v>0.0253</v>
      </c>
      <c r="R218" s="12" t="n">
        <f aca="false">IFERROR(VLOOKUP(A218,'Dados-Status-Invest'!$1:$1000,MATCH(R$1,'Dados-Status-Invest'!$2:$2,0),FALSE()),"")</f>
        <v>24.46</v>
      </c>
      <c r="S218" s="12" t="n">
        <f aca="false">IFERROR(VLOOKUP(A218,'Dados-Status-Invest'!$1:$1000,MATCH(S$1,'Dados-Status-Invest'!$2:$2,0),FALSE()),"")</f>
        <v>2.66</v>
      </c>
      <c r="T218" s="12" t="n">
        <f aca="false">IFERROR(VLOOKUP(A218,'Dados-Status-Invest'!$1:$1000,MATCH(T$1,'Dados-Status-Invest'!$2:$2,0),FALSE()),"")</f>
        <v>38.76</v>
      </c>
      <c r="U218" s="12" t="n">
        <f aca="false">IFERROR(VLOOKUP(A218,'Dados-Status-Invest'!$1:$1000,MATCH(U$1,'Dados-Status-Invest'!$2:$2,0),FALSE()),"")</f>
        <v>1.94</v>
      </c>
      <c r="V218" s="12" t="n">
        <f aca="false">IFERROR(VLOOKUP(A218,'Dados-Status-Invest'!$1:$1000,MATCH(V$1,'Dados-Status-Invest'!$2:$2,0),FALSE()),"")</f>
        <v>5.75</v>
      </c>
      <c r="W218" s="10" t="n">
        <f aca="false">IFERROR(VLOOKUP(A218,'Dados-Status-Invest'!$1:$1000,MATCH(W$1,'Dados-Status-Invest'!$2:$2,0),FALSE())/100,"")</f>
        <v>0.0148</v>
      </c>
      <c r="X218" s="10" t="n">
        <f aca="false">IFERROR(VLOOKUP(A218,'Dados-Status-Invest'!$1:$1000,MATCH(X$1,'Dados-Status-Invest'!$2:$2,0),FALSE())/100,"")</f>
        <v>0</v>
      </c>
    </row>
    <row r="219" customFormat="false" ht="15.75" hidden="false" customHeight="false" outlineLevel="0" collapsed="false">
      <c r="A219" s="6" t="s">
        <v>250</v>
      </c>
      <c r="B219" s="7" t="str">
        <f aca="false">IFERROR(VLOOKUP(LEFT(A219,4),Setor!A:D,2,FALSE()),"")</f>
        <v>Materiais Básicos</v>
      </c>
      <c r="C219" s="8" t="n">
        <f aca="false">IFERROR(__xludf.dummyfunction("IFERROR(IFERROR(GOOGLEFINANCE(A225,""price""),VLOOKUP(A225,'Dados-Status-Invest'!A:B,2,FALSE)),"""")"),36.99)</f>
        <v>36.99</v>
      </c>
      <c r="D219" s="8" t="n">
        <f aca="false">IFERROR(VLOOKUP(A219,'Dados-Status-Invest'!$1:$1000,MATCH(D$1,'Dados-Status-Invest'!$2:$2,0),FALSE()),"")</f>
        <v>905051916.3</v>
      </c>
      <c r="E219" s="8" t="n">
        <f aca="false">IF(D219+H219&gt;0,D219+H219,"")</f>
        <v>1027557766.6</v>
      </c>
      <c r="F219" s="8" t="n">
        <f aca="false">IFERROR(D219/VLOOKUP(A219,'Dados-Status-Invest'!$1:$1000,5,FALSE()),"")</f>
        <v>175738236.2</v>
      </c>
      <c r="G219" s="8" t="n">
        <f aca="false">IFERROR(D219/VLOOKUP(A219,'Dados-Status-Invest'!$1:$1000,6,FALSE()),"")</f>
        <v>437223148</v>
      </c>
      <c r="H219" s="8" t="n">
        <f aca="false">IFERROR(VLOOKUP(A219,'Dados-Status-Invest'!$1:$1000,12,FALSE())*J219,"")</f>
        <v>122505850.3</v>
      </c>
      <c r="I219" s="8" t="n">
        <f aca="false">IFERROR(D219/VLOOKUP(A219,'Dados-Status-Invest'!$1:$1000,14,FALSE()),"")</f>
        <v>754209930.3</v>
      </c>
      <c r="J219" s="9" t="n">
        <f aca="false">IFERROR(D219/VLOOKUP(A219,'Dados-Status-Invest'!$1:$1000,10,FALSE()),"")</f>
        <v>21305365.26</v>
      </c>
      <c r="K219" s="10" t="n">
        <f aca="false">IFERROR(VLOOKUP(A219,'Dados-Status-Invest'!$1:$1000,3,FALSE())/100,"")</f>
        <v>0</v>
      </c>
      <c r="L219" s="11" t="n">
        <f aca="false">IFERROR(VLOOKUP(A219,'Dados-Status-Invest'!$1:$1000,MATCH(L$1,'Dados-Status-Invest'!$2:$2,0),FALSE())/100,"")</f>
        <v>0.1087</v>
      </c>
      <c r="M219" s="10" t="n">
        <f aca="false">IFERROR(VLOOKUP(A219,'Dados-Status-Invest'!$1:$1000,MATCH(M$1,'Dados-Status-Invest'!$2:$2,0),FALSE())/100,"")</f>
        <v>0.0436</v>
      </c>
      <c r="N219" s="10" t="n">
        <f aca="false">IFERROR(VLOOKUP(A219,'Dados-Status-Invest'!$1:$1000,MATCH(N$1,'Dados-Status-Invest'!$2:$2,0),FALSE())/100,"")</f>
        <v>0.0438</v>
      </c>
      <c r="O219" s="10" t="n">
        <f aca="false">IFERROR(VLOOKUP(A219,'Dados-Status-Invest'!$1:$1000,MATCH(O$1,'Dados-Status-Invest'!$2:$2,0),FALSE())/100,"")</f>
        <v>0.1139</v>
      </c>
      <c r="P219" s="10" t="n">
        <f aca="false">IFERROR(VLOOKUP(A219,'Dados-Status-Invest'!$1:$1000,MATCH(P$1,'Dados-Status-Invest'!$2:$2,0),FALSE())/100,"")</f>
        <v>0.0282</v>
      </c>
      <c r="Q219" s="10" t="n">
        <f aca="false">IFERROR(VLOOKUP(A219,'Dados-Status-Invest'!$1:$1000,MATCH(Q$1,'Dados-Status-Invest'!$2:$2,0),FALSE())/100,"")</f>
        <v>0.0253</v>
      </c>
      <c r="R219" s="12" t="n">
        <f aca="false">IFERROR(VLOOKUP(A219,'Dados-Status-Invest'!$1:$1000,MATCH(R$1,'Dados-Status-Invest'!$2:$2,0),FALSE()),"")</f>
        <v>47.34</v>
      </c>
      <c r="S219" s="12" t="n">
        <f aca="false">IFERROR(VLOOKUP(A219,'Dados-Status-Invest'!$1:$1000,MATCH(S$1,'Dados-Status-Invest'!$2:$2,0),FALSE()),"")</f>
        <v>5.15</v>
      </c>
      <c r="T219" s="12" t="n">
        <f aca="false">IFERROR(VLOOKUP(A219,'Dados-Status-Invest'!$1:$1000,MATCH(T$1,'Dados-Status-Invest'!$2:$2,0),FALSE()),"")</f>
        <v>38.76</v>
      </c>
      <c r="U219" s="12" t="n">
        <f aca="false">IFERROR(VLOOKUP(A219,'Dados-Status-Invest'!$1:$1000,MATCH(U$1,'Dados-Status-Invest'!$2:$2,0),FALSE()),"")</f>
        <v>1.94</v>
      </c>
      <c r="V219" s="12" t="n">
        <f aca="false">IFERROR(VLOOKUP(A219,'Dados-Status-Invest'!$1:$1000,MATCH(V$1,'Dados-Status-Invest'!$2:$2,0),FALSE()),"")</f>
        <v>5.75</v>
      </c>
      <c r="W219" s="10" t="n">
        <f aca="false">IFERROR(VLOOKUP(A219,'Dados-Status-Invest'!$1:$1000,MATCH(W$1,'Dados-Status-Invest'!$2:$2,0),FALSE())/100,"")</f>
        <v>0.0148</v>
      </c>
      <c r="X219" s="10" t="n">
        <f aca="false">IFERROR(VLOOKUP(A219,'Dados-Status-Invest'!$1:$1000,MATCH(X$1,'Dados-Status-Invest'!$2:$2,0),FALSE())/100,"")</f>
        <v>0</v>
      </c>
    </row>
    <row r="220" customFormat="false" ht="15.75" hidden="false" customHeight="false" outlineLevel="0" collapsed="false">
      <c r="A220" s="6" t="s">
        <v>251</v>
      </c>
      <c r="B220" s="7" t="str">
        <f aca="false">IFERROR(VLOOKUP(LEFT(A220,4),Setor!A:D,2,FALSE()),"")</f>
        <v>Utilidade Pública</v>
      </c>
      <c r="C220" s="8" t="n">
        <f aca="false">IFERROR(__xludf.dummyfunction("IFERROR(IFERROR(GOOGLEFINANCE(A226,""price""),VLOOKUP(A226,'Dados-Status-Invest'!A:B,2,FALSE)),"""")"),43.76)</f>
        <v>43.76</v>
      </c>
      <c r="D220" s="8" t="n">
        <f aca="false">IFERROR(VLOOKUP(A220,'Dados-Status-Invest'!$1:$1000,MATCH(D$1,'Dados-Status-Invest'!$2:$2,0),FALSE()),"")</f>
        <v>69135498544</v>
      </c>
      <c r="E220" s="8" t="n">
        <f aca="false">IF(D220+H220&gt;0,D220+H220,"")</f>
        <v>98240093036</v>
      </c>
      <c r="F220" s="8" t="n">
        <f aca="false">IFERROR(D220/VLOOKUP(A220,'Dados-Status-Invest'!$1:$1000,5,FALSE()),"")</f>
        <v>72774208994</v>
      </c>
      <c r="G220" s="8" t="n">
        <f aca="false">IFERROR(D220/VLOOKUP(A220,'Dados-Status-Invest'!$1:$1000,6,FALSE()),"")</f>
        <v>177270509087</v>
      </c>
      <c r="H220" s="8" t="n">
        <f aca="false">IFERROR(VLOOKUP(A220,'Dados-Status-Invest'!$1:$1000,12,FALSE())*J220,"")</f>
        <v>29104594492</v>
      </c>
      <c r="I220" s="8" t="n">
        <f aca="false">IFERROR(D220/VLOOKUP(A220,'Dados-Status-Invest'!$1:$1000,14,FALSE()),"")</f>
        <v>30322587081</v>
      </c>
      <c r="J220" s="9" t="n">
        <f aca="false">IFERROR(D220/VLOOKUP(A220,'Dados-Status-Invest'!$1:$1000,10,FALSE()),"")</f>
        <v>9669300496</v>
      </c>
      <c r="K220" s="10" t="n">
        <f aca="false">IFERROR(VLOOKUP(A220,'Dados-Status-Invest'!$1:$1000,3,FALSE())/100,"")</f>
        <v>0.0907</v>
      </c>
      <c r="L220" s="11" t="n">
        <f aca="false">IFERROR(VLOOKUP(A220,'Dados-Status-Invest'!$1:$1000,MATCH(L$1,'Dados-Status-Invest'!$2:$2,0),FALSE())/100,"")</f>
        <v>0.1049</v>
      </c>
      <c r="M220" s="10" t="n">
        <f aca="false">IFERROR(VLOOKUP(A220,'Dados-Status-Invest'!$1:$1000,MATCH(M$1,'Dados-Status-Invest'!$2:$2,0),FALSE())/100,"")</f>
        <v>0.0431</v>
      </c>
      <c r="N220" s="10" t="n">
        <f aca="false">IFERROR(VLOOKUP(A220,'Dados-Status-Invest'!$1:$1000,MATCH(N$1,'Dados-Status-Invest'!$2:$2,0),FALSE())/100,"")</f>
        <v>0.0699</v>
      </c>
      <c r="O220" s="10" t="n">
        <f aca="false">IFERROR(VLOOKUP(A220,'Dados-Status-Invest'!$1:$1000,MATCH(O$1,'Dados-Status-Invest'!$2:$2,0),FALSE())/100,"")</f>
        <v>0.6985</v>
      </c>
      <c r="P220" s="10" t="n">
        <f aca="false">IFERROR(VLOOKUP(A220,'Dados-Status-Invest'!$1:$1000,MATCH(P$1,'Dados-Status-Invest'!$2:$2,0),FALSE())/100,"")</f>
        <v>0.3195</v>
      </c>
      <c r="Q220" s="10" t="n">
        <f aca="false">IFERROR(VLOOKUP(A220,'Dados-Status-Invest'!$1:$1000,MATCH(Q$1,'Dados-Status-Invest'!$2:$2,0),FALSE())/100,"")</f>
        <v>0.2519</v>
      </c>
      <c r="R220" s="12" t="n">
        <f aca="false">IFERROR(VLOOKUP(A220,'Dados-Status-Invest'!$1:$1000,MATCH(R$1,'Dados-Status-Invest'!$2:$2,0),FALSE()),"")</f>
        <v>9.07</v>
      </c>
      <c r="S220" s="12" t="n">
        <f aca="false">IFERROR(VLOOKUP(A220,'Dados-Status-Invest'!$1:$1000,MATCH(S$1,'Dados-Status-Invest'!$2:$2,0),FALSE()),"")</f>
        <v>0.95</v>
      </c>
      <c r="T220" s="12" t="n">
        <f aca="false">IFERROR(VLOOKUP(A220,'Dados-Status-Invest'!$1:$1000,MATCH(T$1,'Dados-Status-Invest'!$2:$2,0),FALSE()),"")</f>
        <v>10.14</v>
      </c>
      <c r="U220" s="12" t="n">
        <f aca="false">IFERROR(VLOOKUP(A220,'Dados-Status-Invest'!$1:$1000,MATCH(U$1,'Dados-Status-Invest'!$2:$2,0),FALSE()),"")</f>
        <v>1.79</v>
      </c>
      <c r="V220" s="12" t="n">
        <f aca="false">IFERROR(VLOOKUP(A220,'Dados-Status-Invest'!$1:$1000,MATCH(V$1,'Dados-Status-Invest'!$2:$2,0),FALSE()),"")</f>
        <v>3.01</v>
      </c>
      <c r="W220" s="10" t="n">
        <f aca="false">IFERROR(VLOOKUP(A220,'Dados-Status-Invest'!$1:$1000,MATCH(W$1,'Dados-Status-Invest'!$2:$2,0),FALSE())/100,"")</f>
        <v>-0.0225</v>
      </c>
      <c r="X220" s="10" t="n">
        <f aca="false">IFERROR(VLOOKUP(A220,'Dados-Status-Invest'!$1:$1000,MATCH(X$1,'Dados-Status-Invest'!$2:$2,0),FALSE())/100,"")</f>
        <v>0</v>
      </c>
    </row>
    <row r="221" customFormat="false" ht="15.75" hidden="false" customHeight="false" outlineLevel="0" collapsed="false">
      <c r="A221" s="6" t="s">
        <v>252</v>
      </c>
      <c r="B221" s="7" t="str">
        <f aca="false">IFERROR(VLOOKUP(LEFT(A221,4),Setor!A:D,2,FALSE()),"")</f>
        <v>Utilidade Pública</v>
      </c>
      <c r="C221" s="8" t="n">
        <f aca="false">IFERROR(__xludf.dummyfunction("IFERROR(IFERROR(GOOGLEFINANCE(A227,""price""),VLOOKUP(A227,'Dados-Status-Invest'!A:B,2,FALSE)),"""")"),64.5)</f>
        <v>64.5</v>
      </c>
      <c r="D221" s="8" t="n">
        <f aca="false">IFERROR(VLOOKUP(A221,'Dados-Status-Invest'!$1:$1000,MATCH(D$1,'Dados-Status-Invest'!$2:$2,0),FALSE()),"")</f>
        <v>69135498544</v>
      </c>
      <c r="E221" s="8" t="n">
        <f aca="false">IF(D221+H221&gt;0,D221+H221,"")</f>
        <v>88036302415</v>
      </c>
      <c r="F221" s="8" t="n">
        <f aca="false">IFERROR(D221/VLOOKUP(A221,'Dados-Status-Invest'!$1:$1000,5,FALSE()),"")</f>
        <v>47030951390</v>
      </c>
      <c r="G221" s="8" t="n">
        <f aca="false">IFERROR(D221/VLOOKUP(A221,'Dados-Status-Invest'!$1:$1000,6,FALSE()),"")</f>
        <v>115225830907</v>
      </c>
      <c r="H221" s="8" t="n">
        <f aca="false">IFERROR(VLOOKUP(A221,'Dados-Status-Invest'!$1:$1000,12,FALSE())*J221,"")</f>
        <v>18900803871</v>
      </c>
      <c r="I221" s="8" t="n">
        <f aca="false">IFERROR(D221/VLOOKUP(A221,'Dados-Status-Invest'!$1:$1000,14,FALSE()),"")</f>
        <v>19640766632</v>
      </c>
      <c r="J221" s="9" t="n">
        <f aca="false">IFERROR(D221/VLOOKUP(A221,'Dados-Status-Invest'!$1:$1000,10,FALSE()),"")</f>
        <v>6279336834</v>
      </c>
      <c r="K221" s="10" t="n">
        <f aca="false">IFERROR(VLOOKUP(A221,'Dados-Status-Invest'!$1:$1000,3,FALSE())/100,"")</f>
        <v>0.0796</v>
      </c>
      <c r="L221" s="11" t="n">
        <f aca="false">IFERROR(VLOOKUP(A221,'Dados-Status-Invest'!$1:$1000,MATCH(L$1,'Dados-Status-Invest'!$2:$2,0),FALSE())/100,"")</f>
        <v>0.1049</v>
      </c>
      <c r="M221" s="10" t="n">
        <f aca="false">IFERROR(VLOOKUP(A221,'Dados-Status-Invest'!$1:$1000,MATCH(M$1,'Dados-Status-Invest'!$2:$2,0),FALSE())/100,"")</f>
        <v>0.0431</v>
      </c>
      <c r="N221" s="10" t="n">
        <f aca="false">IFERROR(VLOOKUP(A221,'Dados-Status-Invest'!$1:$1000,MATCH(N$1,'Dados-Status-Invest'!$2:$2,0),FALSE())/100,"")</f>
        <v>0.0699</v>
      </c>
      <c r="O221" s="10" t="n">
        <f aca="false">IFERROR(VLOOKUP(A221,'Dados-Status-Invest'!$1:$1000,MATCH(O$1,'Dados-Status-Invest'!$2:$2,0),FALSE())/100,"")</f>
        <v>0.6985</v>
      </c>
      <c r="P221" s="10" t="n">
        <f aca="false">IFERROR(VLOOKUP(A221,'Dados-Status-Invest'!$1:$1000,MATCH(P$1,'Dados-Status-Invest'!$2:$2,0),FALSE())/100,"")</f>
        <v>0.3195</v>
      </c>
      <c r="Q221" s="10" t="n">
        <f aca="false">IFERROR(VLOOKUP(A221,'Dados-Status-Invest'!$1:$1000,MATCH(Q$1,'Dados-Status-Invest'!$2:$2,0),FALSE())/100,"")</f>
        <v>0.2519</v>
      </c>
      <c r="R221" s="12" t="n">
        <f aca="false">IFERROR(VLOOKUP(A221,'Dados-Status-Invest'!$1:$1000,MATCH(R$1,'Dados-Status-Invest'!$2:$2,0),FALSE()),"")</f>
        <v>13.96</v>
      </c>
      <c r="S221" s="12" t="n">
        <f aca="false">IFERROR(VLOOKUP(A221,'Dados-Status-Invest'!$1:$1000,MATCH(S$1,'Dados-Status-Invest'!$2:$2,0),FALSE()),"")</f>
        <v>1.47</v>
      </c>
      <c r="T221" s="12" t="n">
        <f aca="false">IFERROR(VLOOKUP(A221,'Dados-Status-Invest'!$1:$1000,MATCH(T$1,'Dados-Status-Invest'!$2:$2,0),FALSE()),"")</f>
        <v>10.14</v>
      </c>
      <c r="U221" s="12" t="n">
        <f aca="false">IFERROR(VLOOKUP(A221,'Dados-Status-Invest'!$1:$1000,MATCH(U$1,'Dados-Status-Invest'!$2:$2,0),FALSE()),"")</f>
        <v>1.79</v>
      </c>
      <c r="V221" s="12" t="n">
        <f aca="false">IFERROR(VLOOKUP(A221,'Dados-Status-Invest'!$1:$1000,MATCH(V$1,'Dados-Status-Invest'!$2:$2,0),FALSE()),"")</f>
        <v>3.01</v>
      </c>
      <c r="W221" s="10" t="n">
        <f aca="false">IFERROR(VLOOKUP(A221,'Dados-Status-Invest'!$1:$1000,MATCH(W$1,'Dados-Status-Invest'!$2:$2,0),FALSE())/100,"")</f>
        <v>-0.0225</v>
      </c>
      <c r="X221" s="10" t="n">
        <f aca="false">IFERROR(VLOOKUP(A221,'Dados-Status-Invest'!$1:$1000,MATCH(X$1,'Dados-Status-Invest'!$2:$2,0),FALSE())/100,"")</f>
        <v>0</v>
      </c>
    </row>
    <row r="222" customFormat="false" ht="15.75" hidden="false" customHeight="false" outlineLevel="0" collapsed="false">
      <c r="A222" s="6" t="s">
        <v>253</v>
      </c>
      <c r="B222" s="7" t="str">
        <f aca="false">IFERROR(VLOOKUP(LEFT(A222,4),Setor!A:D,2,FALSE()),"")</f>
        <v>Utilidade Pública</v>
      </c>
      <c r="C222" s="8" t="n">
        <f aca="false">IFERROR(__xludf.dummyfunction("IFERROR(IFERROR(GOOGLEFINANCE(A228,""price""),VLOOKUP(A228,'Dados-Status-Invest'!A:B,2,FALSE)),"""")"),42.57)</f>
        <v>42.57</v>
      </c>
      <c r="D222" s="8" t="n">
        <f aca="false">IFERROR(VLOOKUP(A222,'Dados-Status-Invest'!$1:$1000,MATCH(D$1,'Dados-Status-Invest'!$2:$2,0),FALSE()),"")</f>
        <v>69135498544</v>
      </c>
      <c r="E222" s="8" t="n">
        <f aca="false">IF(D222+H222&gt;0,D222+H222,"")</f>
        <v>98240093036</v>
      </c>
      <c r="F222" s="8" t="n">
        <f aca="false">IFERROR(D222/VLOOKUP(A222,'Dados-Status-Invest'!$1:$1000,5,FALSE()),"")</f>
        <v>72774208994</v>
      </c>
      <c r="G222" s="8" t="n">
        <f aca="false">IFERROR(D222/VLOOKUP(A222,'Dados-Status-Invest'!$1:$1000,6,FALSE()),"")</f>
        <v>177270509087</v>
      </c>
      <c r="H222" s="8" t="n">
        <f aca="false">IFERROR(VLOOKUP(A222,'Dados-Status-Invest'!$1:$1000,12,FALSE())*J222,"")</f>
        <v>29104594492</v>
      </c>
      <c r="I222" s="8" t="n">
        <f aca="false">IFERROR(D222/VLOOKUP(A222,'Dados-Status-Invest'!$1:$1000,14,FALSE()),"")</f>
        <v>30322587081</v>
      </c>
      <c r="J222" s="9" t="n">
        <f aca="false">IFERROR(D222/VLOOKUP(A222,'Dados-Status-Invest'!$1:$1000,10,FALSE()),"")</f>
        <v>9669300496</v>
      </c>
      <c r="K222" s="10" t="n">
        <f aca="false">IFERROR(VLOOKUP(A222,'Dados-Status-Invest'!$1:$1000,3,FALSE())/100,"")</f>
        <v>0.0998</v>
      </c>
      <c r="L222" s="11" t="n">
        <f aca="false">IFERROR(VLOOKUP(A222,'Dados-Status-Invest'!$1:$1000,MATCH(L$1,'Dados-Status-Invest'!$2:$2,0),FALSE())/100,"")</f>
        <v>0.1049</v>
      </c>
      <c r="M222" s="10" t="n">
        <f aca="false">IFERROR(VLOOKUP(A222,'Dados-Status-Invest'!$1:$1000,MATCH(M$1,'Dados-Status-Invest'!$2:$2,0),FALSE())/100,"")</f>
        <v>0.0431</v>
      </c>
      <c r="N222" s="10" t="n">
        <f aca="false">IFERROR(VLOOKUP(A222,'Dados-Status-Invest'!$1:$1000,MATCH(N$1,'Dados-Status-Invest'!$2:$2,0),FALSE())/100,"")</f>
        <v>0.0699</v>
      </c>
      <c r="O222" s="10" t="n">
        <f aca="false">IFERROR(VLOOKUP(A222,'Dados-Status-Invest'!$1:$1000,MATCH(O$1,'Dados-Status-Invest'!$2:$2,0),FALSE())/100,"")</f>
        <v>0.6985</v>
      </c>
      <c r="P222" s="10" t="n">
        <f aca="false">IFERROR(VLOOKUP(A222,'Dados-Status-Invest'!$1:$1000,MATCH(P$1,'Dados-Status-Invest'!$2:$2,0),FALSE())/100,"")</f>
        <v>0.3195</v>
      </c>
      <c r="Q222" s="10" t="n">
        <f aca="false">IFERROR(VLOOKUP(A222,'Dados-Status-Invest'!$1:$1000,MATCH(Q$1,'Dados-Status-Invest'!$2:$2,0),FALSE())/100,"")</f>
        <v>0.2519</v>
      </c>
      <c r="R222" s="12" t="n">
        <f aca="false">IFERROR(VLOOKUP(A222,'Dados-Status-Invest'!$1:$1000,MATCH(R$1,'Dados-Status-Invest'!$2:$2,0),FALSE()),"")</f>
        <v>9.07</v>
      </c>
      <c r="S222" s="12" t="n">
        <f aca="false">IFERROR(VLOOKUP(A222,'Dados-Status-Invest'!$1:$1000,MATCH(S$1,'Dados-Status-Invest'!$2:$2,0),FALSE()),"")</f>
        <v>0.95</v>
      </c>
      <c r="T222" s="12" t="n">
        <f aca="false">IFERROR(VLOOKUP(A222,'Dados-Status-Invest'!$1:$1000,MATCH(T$1,'Dados-Status-Invest'!$2:$2,0),FALSE()),"")</f>
        <v>10.14</v>
      </c>
      <c r="U222" s="12" t="n">
        <f aca="false">IFERROR(VLOOKUP(A222,'Dados-Status-Invest'!$1:$1000,MATCH(U$1,'Dados-Status-Invest'!$2:$2,0),FALSE()),"")</f>
        <v>1.79</v>
      </c>
      <c r="V222" s="12" t="n">
        <f aca="false">IFERROR(VLOOKUP(A222,'Dados-Status-Invest'!$1:$1000,MATCH(V$1,'Dados-Status-Invest'!$2:$2,0),FALSE()),"")</f>
        <v>3.01</v>
      </c>
      <c r="W222" s="10" t="n">
        <f aca="false">IFERROR(VLOOKUP(A222,'Dados-Status-Invest'!$1:$1000,MATCH(W$1,'Dados-Status-Invest'!$2:$2,0),FALSE())/100,"")</f>
        <v>-0.0225</v>
      </c>
      <c r="X222" s="10" t="n">
        <f aca="false">IFERROR(VLOOKUP(A222,'Dados-Status-Invest'!$1:$1000,MATCH(X$1,'Dados-Status-Invest'!$2:$2,0),FALSE())/100,"")</f>
        <v>0</v>
      </c>
    </row>
    <row r="223" customFormat="false" ht="15.75" hidden="false" customHeight="false" outlineLevel="0" collapsed="false">
      <c r="A223" s="6" t="s">
        <v>254</v>
      </c>
      <c r="B223" s="7" t="s">
        <v>255</v>
      </c>
      <c r="C223" s="8" t="n">
        <f aca="false">IFERROR(__xludf.dummyfunction("IFERROR(IFERROR(GOOGLEFINANCE(A229,""price""),VLOOKUP(A229,'Dados-Status-Invest'!A:B,2,FALSE)),"""")"),15.04)</f>
        <v>15.04</v>
      </c>
      <c r="D223" s="8" t="n">
        <f aca="false">IFERROR(VLOOKUP(A223,'Dados-Status-Invest'!$1:$1000,MATCH(D$1,'Dados-Status-Invest'!$2:$2,0),FALSE()),"")</f>
        <v>2537787952</v>
      </c>
      <c r="E223" s="8" t="n">
        <f aca="false">IF(D223+H223&gt;0,D223+H223,"")</f>
        <v>2500345178.93</v>
      </c>
      <c r="F223" s="8" t="n">
        <f aca="false">IFERROR(D223/VLOOKUP(A223,'Dados-Status-Invest'!$1:$1000,5,FALSE()),"")</f>
        <v>750824838</v>
      </c>
      <c r="G223" s="8" t="n">
        <f aca="false">IFERROR(D223/VLOOKUP(A223,'Dados-Status-Invest'!$1:$1000,6,FALSE()),"")</f>
        <v>1637282550</v>
      </c>
      <c r="H223" s="8" t="n">
        <f aca="false">IFERROR(VLOOKUP(A223,'Dados-Status-Invest'!$1:$1000,12,FALSE())*J223,"")</f>
        <v>-37442773.07</v>
      </c>
      <c r="I223" s="8" t="n">
        <f aca="false">IFERROR(D223/VLOOKUP(A223,'Dados-Status-Invest'!$1:$1000,14,FALSE()),"")</f>
        <v>220869273.5</v>
      </c>
      <c r="J223" s="9" t="n">
        <f aca="false">IFERROR(D223/VLOOKUP(A223,'Dados-Status-Invest'!$1:$1000,10,FALSE()),"")</f>
        <v>-104007703</v>
      </c>
      <c r="K223" s="10" t="n">
        <f aca="false">IFERROR(VLOOKUP(A223,'Dados-Status-Invest'!$1:$1000,3,FALSE())/100,"")</f>
        <v>0</v>
      </c>
      <c r="L223" s="11" t="n">
        <f aca="false">IFERROR(VLOOKUP(A223,'Dados-Status-Invest'!$1:$1000,MATCH(L$1,'Dados-Status-Invest'!$2:$2,0),FALSE())/100,"")</f>
        <v>-0.1194</v>
      </c>
      <c r="M223" s="10" t="n">
        <f aca="false">IFERROR(VLOOKUP(A223,'Dados-Status-Invest'!$1:$1000,MATCH(M$1,'Dados-Status-Invest'!$2:$2,0),FALSE())/100,"")</f>
        <v>-0.0549</v>
      </c>
      <c r="N223" s="10" t="n">
        <f aca="false">IFERROR(VLOOKUP(A223,'Dados-Status-Invest'!$1:$1000,MATCH(N$1,'Dados-Status-Invest'!$2:$2,0),FALSE())/100,"")</f>
        <v>-0.1077</v>
      </c>
      <c r="O223" s="10" t="n">
        <f aca="false">IFERROR(VLOOKUP(A223,'Dados-Status-Invest'!$1:$1000,MATCH(O$1,'Dados-Status-Invest'!$2:$2,0),FALSE())/100,"")</f>
        <v>0.2223</v>
      </c>
      <c r="P223" s="10" t="n">
        <f aca="false">IFERROR(VLOOKUP(A223,'Dados-Status-Invest'!$1:$1000,MATCH(P$1,'Dados-Status-Invest'!$2:$2,0),FALSE())/100,"")</f>
        <v>-0.4708</v>
      </c>
      <c r="Q223" s="10" t="n">
        <f aca="false">IFERROR(VLOOKUP(A223,'Dados-Status-Invest'!$1:$1000,MATCH(Q$1,'Dados-Status-Invest'!$2:$2,0),FALSE())/100,"")</f>
        <v>-0.4059</v>
      </c>
      <c r="R223" s="12" t="n">
        <f aca="false">IFERROR(VLOOKUP(A223,'Dados-Status-Invest'!$1:$1000,MATCH(R$1,'Dados-Status-Invest'!$2:$2,0),FALSE()),"")</f>
        <v>-28.31</v>
      </c>
      <c r="S223" s="12" t="n">
        <f aca="false">IFERROR(VLOOKUP(A223,'Dados-Status-Invest'!$1:$1000,MATCH(S$1,'Dados-Status-Invest'!$2:$2,0),FALSE()),"")</f>
        <v>3.38</v>
      </c>
      <c r="T223" s="12" t="n">
        <f aca="false">IFERROR(VLOOKUP(A223,'Dados-Status-Invest'!$1:$1000,MATCH(T$1,'Dados-Status-Invest'!$2:$2,0),FALSE()),"")</f>
        <v>-24.1</v>
      </c>
      <c r="U223" s="12" t="n">
        <f aca="false">IFERROR(VLOOKUP(A223,'Dados-Status-Invest'!$1:$1000,MATCH(U$1,'Dados-Status-Invest'!$2:$2,0),FALSE()),"")</f>
        <v>2.53</v>
      </c>
      <c r="V223" s="12" t="n">
        <f aca="false">IFERROR(VLOOKUP(A223,'Dados-Status-Invest'!$1:$1000,MATCH(V$1,'Dados-Status-Invest'!$2:$2,0),FALSE()),"")</f>
        <v>0.36</v>
      </c>
      <c r="W223" s="10" t="n">
        <f aca="false">IFERROR(VLOOKUP(A223,'Dados-Status-Invest'!$1:$1000,MATCH(W$1,'Dados-Status-Invest'!$2:$2,0),FALSE())/100,"")</f>
        <v>0</v>
      </c>
      <c r="X223" s="10" t="n">
        <f aca="false">IFERROR(VLOOKUP(A223,'Dados-Status-Invest'!$1:$1000,MATCH(X$1,'Dados-Status-Invest'!$2:$2,0),FALSE())/100,"")</f>
        <v>0</v>
      </c>
    </row>
    <row r="224" customFormat="false" ht="15.75" hidden="false" customHeight="false" outlineLevel="0" collapsed="false">
      <c r="A224" s="6" t="s">
        <v>256</v>
      </c>
      <c r="B224" s="7" t="s">
        <v>31</v>
      </c>
      <c r="C224" s="8" t="n">
        <f aca="false">IFERROR(__xludf.dummyfunction("IFERROR(IFERROR(GOOGLEFINANCE(A230,""price""),VLOOKUP(A230,'Dados-Status-Invest'!A:B,2,FALSE)),"""")"),8.41)</f>
        <v>8.41</v>
      </c>
      <c r="D224" s="8" t="n">
        <f aca="false">IFERROR(VLOOKUP(A224,'Dados-Status-Invest'!$1:$1000,MATCH(D$1,'Dados-Status-Invest'!$2:$2,0),FALSE()),"")</f>
        <v>1660696309</v>
      </c>
      <c r="E224" s="8" t="n">
        <f aca="false">IF(D224+H224&gt;0,D224+H224,"")</f>
        <v>6061541529</v>
      </c>
      <c r="F224" s="8" t="n">
        <f aca="false">IFERROR(D224/VLOOKUP(A224,'Dados-Status-Invest'!$1:$1000,5,FALSE()),"")</f>
        <v>2636025888</v>
      </c>
      <c r="G224" s="8" t="n">
        <f aca="false">IFERROR(D224/VLOOKUP(A224,'Dados-Status-Invest'!$1:$1000,6,FALSE()),"")</f>
        <v>27678271824</v>
      </c>
      <c r="H224" s="8" t="n">
        <f aca="false">IFERROR(VLOOKUP(A224,'Dados-Status-Invest'!$1:$1000,12,FALSE())*J224,"")</f>
        <v>4400845220</v>
      </c>
      <c r="I224" s="8" t="n">
        <f aca="false">IFERROR(D224/VLOOKUP(A224,'Dados-Status-Invest'!$1:$1000,14,FALSE()),"")</f>
        <v>16606963094</v>
      </c>
      <c r="J224" s="9" t="n">
        <f aca="false">IFERROR(D224/VLOOKUP(A224,'Dados-Status-Invest'!$1:$1000,10,FALSE()),"")</f>
        <v>2075870387</v>
      </c>
      <c r="K224" s="10" t="n">
        <f aca="false">IFERROR(VLOOKUP(A224,'Dados-Status-Invest'!$1:$1000,3,FALSE())/100,"")</f>
        <v>0</v>
      </c>
      <c r="L224" s="11" t="n">
        <f aca="false">IFERROR(VLOOKUP(A224,'Dados-Status-Invest'!$1:$1000,MATCH(L$1,'Dados-Status-Invest'!$2:$2,0),FALSE())/100,"")</f>
        <v>0.3621</v>
      </c>
      <c r="M224" s="10" t="n">
        <f aca="false">IFERROR(VLOOKUP(A224,'Dados-Status-Invest'!$1:$1000,MATCH(M$1,'Dados-Status-Invest'!$2:$2,0),FALSE())/100,"")</f>
        <v>0.0327</v>
      </c>
      <c r="N224" s="10" t="n">
        <f aca="false">IFERROR(VLOOKUP(A224,'Dados-Status-Invest'!$1:$1000,MATCH(N$1,'Dados-Status-Invest'!$2:$2,0),FALSE())/100,"")</f>
        <v>0.2102</v>
      </c>
      <c r="O224" s="10" t="n">
        <f aca="false">IFERROR(VLOOKUP(A224,'Dados-Status-Invest'!$1:$1000,MATCH(O$1,'Dados-Status-Invest'!$2:$2,0),FALSE())/100,"")</f>
        <v>0.1391</v>
      </c>
      <c r="P224" s="10" t="n">
        <f aca="false">IFERROR(VLOOKUP(A224,'Dados-Status-Invest'!$1:$1000,MATCH(P$1,'Dados-Status-Invest'!$2:$2,0),FALSE())/100,"")</f>
        <v>0.1289</v>
      </c>
      <c r="Q224" s="10" t="n">
        <f aca="false">IFERROR(VLOOKUP(A224,'Dados-Status-Invest'!$1:$1000,MATCH(Q$1,'Dados-Status-Invest'!$2:$2,0),FALSE())/100,"")</f>
        <v>0.0595</v>
      </c>
      <c r="R224" s="12" t="n">
        <f aca="false">IFERROR(VLOOKUP(A224,'Dados-Status-Invest'!$1:$1000,MATCH(R$1,'Dados-Status-Invest'!$2:$2,0),FALSE()),"")</f>
        <v>1.73</v>
      </c>
      <c r="S224" s="12" t="n">
        <f aca="false">IFERROR(VLOOKUP(A224,'Dados-Status-Invest'!$1:$1000,MATCH(S$1,'Dados-Status-Invest'!$2:$2,0),FALSE()),"")</f>
        <v>0.63</v>
      </c>
      <c r="T224" s="12" t="n">
        <f aca="false">IFERROR(VLOOKUP(A224,'Dados-Status-Invest'!$1:$1000,MATCH(T$1,'Dados-Status-Invest'!$2:$2,0),FALSE()),"")</f>
        <v>2.91</v>
      </c>
      <c r="U224" s="12" t="n">
        <f aca="false">IFERROR(VLOOKUP(A224,'Dados-Status-Invest'!$1:$1000,MATCH(U$1,'Dados-Status-Invest'!$2:$2,0),FALSE()),"")</f>
        <v>0.98</v>
      </c>
      <c r="V224" s="12" t="n">
        <f aca="false">IFERROR(VLOOKUP(A224,'Dados-Status-Invest'!$1:$1000,MATCH(V$1,'Dados-Status-Invest'!$2:$2,0),FALSE()),"")</f>
        <v>2.12</v>
      </c>
      <c r="W224" s="10" t="n">
        <f aca="false">IFERROR(VLOOKUP(A224,'Dados-Status-Invest'!$1:$1000,MATCH(W$1,'Dados-Status-Invest'!$2:$2,0),FALSE())/100,"")</f>
        <v>0.0254</v>
      </c>
      <c r="X224" s="10" t="n">
        <f aca="false">IFERROR(VLOOKUP(A224,'Dados-Status-Invest'!$1:$1000,MATCH(X$1,'Dados-Status-Invest'!$2:$2,0),FALSE())/100,"")</f>
        <v>0.5752</v>
      </c>
    </row>
    <row r="225" customFormat="false" ht="15.75" hidden="false" customHeight="false" outlineLevel="0" collapsed="false">
      <c r="A225" s="6" t="s">
        <v>257</v>
      </c>
      <c r="B225" s="7" t="str">
        <f aca="false">IFERROR(VLOOKUP(LEFT(A225,4),Setor!A:D,2,FALSE()),"")</f>
        <v>Utilidade Pública</v>
      </c>
      <c r="C225" s="8" t="n">
        <f aca="false">IFERROR(__xludf.dummyfunction("IFERROR(IFERROR(GOOGLEFINANCE(A231,""price""),VLOOKUP(A231,'Dados-Status-Invest'!A:B,2,FALSE)),"""")"),0)</f>
        <v>0</v>
      </c>
      <c r="D225" s="8" t="n">
        <f aca="false">IFERROR(VLOOKUP(A225,'Dados-Status-Invest'!$1:$1000,MATCH(D$1,'Dados-Status-Invest'!$2:$2,0),FALSE()),"")</f>
        <v>2409010046</v>
      </c>
      <c r="E225" s="8" t="n">
        <f aca="false">IF(D225+H225&gt;0,D225+H225,"")</f>
        <v>1752792255.6</v>
      </c>
      <c r="F225" s="8" t="n">
        <f aca="false">IFERROR(D225/VLOOKUP(A225,'Dados-Status-Invest'!$1:$1000,5,FALSE()),"")</f>
        <v>1974598399</v>
      </c>
      <c r="G225" s="8" t="n">
        <f aca="false">IFERROR(D225/VLOOKUP(A225,'Dados-Status-Invest'!$1:$1000,6,FALSE()),"")</f>
        <v>3885500075</v>
      </c>
      <c r="H225" s="8" t="n">
        <f aca="false">IFERROR(VLOOKUP(A225,'Dados-Status-Invest'!$1:$1000,12,FALSE())*J225,"")</f>
        <v>-656217790.4</v>
      </c>
      <c r="I225" s="8" t="n">
        <f aca="false">IFERROR(D225/VLOOKUP(A225,'Dados-Status-Invest'!$1:$1000,14,FALSE()),"")</f>
        <v>1186704456</v>
      </c>
      <c r="J225" s="9" t="n">
        <f aca="false">IFERROR(D225/VLOOKUP(A225,'Dados-Status-Invest'!$1:$1000,10,FALSE()),"")</f>
        <v>431722230.5</v>
      </c>
      <c r="K225" s="10" t="n">
        <f aca="false">IFERROR(VLOOKUP(A225,'Dados-Status-Invest'!$1:$1000,3,FALSE())/100,"")</f>
        <v>0.3082</v>
      </c>
      <c r="L225" s="11" t="n">
        <f aca="false">IFERROR(VLOOKUP(A225,'Dados-Status-Invest'!$1:$1000,MATCH(L$1,'Dados-Status-Invest'!$2:$2,0),FALSE())/100,"")</f>
        <v>0.3079</v>
      </c>
      <c r="M225" s="10" t="n">
        <f aca="false">IFERROR(VLOOKUP(A225,'Dados-Status-Invest'!$1:$1000,MATCH(M$1,'Dados-Status-Invest'!$2:$2,0),FALSE())/100,"")</f>
        <v>0.157</v>
      </c>
      <c r="N225" s="10" t="n">
        <f aca="false">IFERROR(VLOOKUP(A225,'Dados-Status-Invest'!$1:$1000,MATCH(N$1,'Dados-Status-Invest'!$2:$2,0),FALSE())/100,"")</f>
        <v>0.1052</v>
      </c>
      <c r="O225" s="10" t="n">
        <f aca="false">IFERROR(VLOOKUP(A225,'Dados-Status-Invest'!$1:$1000,MATCH(O$1,'Dados-Status-Invest'!$2:$2,0),FALSE())/100,"")</f>
        <v>0.4788</v>
      </c>
      <c r="P225" s="10" t="n">
        <f aca="false">IFERROR(VLOOKUP(A225,'Dados-Status-Invest'!$1:$1000,MATCH(P$1,'Dados-Status-Invest'!$2:$2,0),FALSE())/100,"")</f>
        <v>0.3645</v>
      </c>
      <c r="Q225" s="10" t="n">
        <f aca="false">IFERROR(VLOOKUP(A225,'Dados-Status-Invest'!$1:$1000,MATCH(Q$1,'Dados-Status-Invest'!$2:$2,0),FALSE())/100,"")</f>
        <v>0.5117</v>
      </c>
      <c r="R225" s="12" t="n">
        <f aca="false">IFERROR(VLOOKUP(A225,'Dados-Status-Invest'!$1:$1000,MATCH(R$1,'Dados-Status-Invest'!$2:$2,0),FALSE()),"")</f>
        <v>3.97</v>
      </c>
      <c r="S225" s="12" t="n">
        <f aca="false">IFERROR(VLOOKUP(A225,'Dados-Status-Invest'!$1:$1000,MATCH(S$1,'Dados-Status-Invest'!$2:$2,0),FALSE()),"")</f>
        <v>1.22</v>
      </c>
      <c r="T225" s="12" t="n">
        <f aca="false">IFERROR(VLOOKUP(A225,'Dados-Status-Invest'!$1:$1000,MATCH(T$1,'Dados-Status-Invest'!$2:$2,0),FALSE()),"")</f>
        <v>12.82</v>
      </c>
      <c r="U225" s="12" t="n">
        <f aca="false">IFERROR(VLOOKUP(A225,'Dados-Status-Invest'!$1:$1000,MATCH(U$1,'Dados-Status-Invest'!$2:$2,0),FALSE()),"")</f>
        <v>3.18</v>
      </c>
      <c r="V225" s="12" t="n">
        <f aca="false">IFERROR(VLOOKUP(A225,'Dados-Status-Invest'!$1:$1000,MATCH(V$1,'Dados-Status-Invest'!$2:$2,0),FALSE()),"")</f>
        <v>-1.52</v>
      </c>
      <c r="W225" s="10" t="n">
        <f aca="false">IFERROR(VLOOKUP(A225,'Dados-Status-Invest'!$1:$1000,MATCH(W$1,'Dados-Status-Invest'!$2:$2,0),FALSE())/100,"")</f>
        <v>0.1764</v>
      </c>
      <c r="X225" s="10" t="n">
        <f aca="false">IFERROR(VLOOKUP(A225,'Dados-Status-Invest'!$1:$1000,MATCH(X$1,'Dados-Status-Invest'!$2:$2,0),FALSE())/100,"")</f>
        <v>0.2712</v>
      </c>
    </row>
    <row r="226" customFormat="false" ht="15.75" hidden="false" customHeight="false" outlineLevel="0" collapsed="false">
      <c r="A226" s="6" t="s">
        <v>258</v>
      </c>
      <c r="B226" s="7" t="str">
        <f aca="false">IFERROR(VLOOKUP(LEFT(A226,4),Setor!A:D,2,FALSE()),"")</f>
        <v>Utilidade Pública</v>
      </c>
      <c r="C226" s="8" t="n">
        <f aca="false">IFERROR(__xludf.dummyfunction("IFERROR(IFERROR(GOOGLEFINANCE(A232,""price""),VLOOKUP(A232,'Dados-Status-Invest'!A:B,2,FALSE)),"""")"),32.67)</f>
        <v>32.67</v>
      </c>
      <c r="D226" s="8" t="n">
        <f aca="false">IFERROR(VLOOKUP(A226,'Dados-Status-Invest'!$1:$1000,MATCH(D$1,'Dados-Status-Invest'!$2:$2,0),FALSE()),"")</f>
        <v>2409010046</v>
      </c>
      <c r="E226" s="8" t="n">
        <f aca="false">IF(D226+H226&gt;0,D226+H226,"")</f>
        <v>2227197967</v>
      </c>
      <c r="F226" s="8" t="n">
        <f aca="false">IFERROR(D226/VLOOKUP(A226,'Dados-Status-Invest'!$1:$1000,5,FALSE()),"")</f>
        <v>545024897.3</v>
      </c>
      <c r="G226" s="8" t="n">
        <f aca="false">IFERROR(D226/VLOOKUP(A226,'Dados-Status-Invest'!$1:$1000,6,FALSE()),"")</f>
        <v>1070671132</v>
      </c>
      <c r="H226" s="8" t="n">
        <f aca="false">IFERROR(VLOOKUP(A226,'Dados-Status-Invest'!$1:$1000,12,FALSE())*J226,"")</f>
        <v>-181812079</v>
      </c>
      <c r="I226" s="8" t="n">
        <f aca="false">IFERROR(D226/VLOOKUP(A226,'Dados-Status-Invest'!$1:$1000,14,FALSE()),"")</f>
        <v>328203003.6</v>
      </c>
      <c r="J226" s="9" t="n">
        <f aca="false">IFERROR(D226/VLOOKUP(A226,'Dados-Status-Invest'!$1:$1000,10,FALSE()),"")</f>
        <v>119613209.8</v>
      </c>
      <c r="K226" s="10" t="n">
        <f aca="false">IFERROR(VLOOKUP(A226,'Dados-Status-Invest'!$1:$1000,3,FALSE())/100,"")</f>
        <v>0.0939</v>
      </c>
      <c r="L226" s="11" t="n">
        <f aca="false">IFERROR(VLOOKUP(A226,'Dados-Status-Invest'!$1:$1000,MATCH(L$1,'Dados-Status-Invest'!$2:$2,0),FALSE())/100,"")</f>
        <v>0.3079</v>
      </c>
      <c r="M226" s="10" t="n">
        <f aca="false">IFERROR(VLOOKUP(A226,'Dados-Status-Invest'!$1:$1000,MATCH(M$1,'Dados-Status-Invest'!$2:$2,0),FALSE())/100,"")</f>
        <v>0.157</v>
      </c>
      <c r="N226" s="10" t="n">
        <f aca="false">IFERROR(VLOOKUP(A226,'Dados-Status-Invest'!$1:$1000,MATCH(N$1,'Dados-Status-Invest'!$2:$2,0),FALSE())/100,"")</f>
        <v>0.1052</v>
      </c>
      <c r="O226" s="10" t="n">
        <f aca="false">IFERROR(VLOOKUP(A226,'Dados-Status-Invest'!$1:$1000,MATCH(O$1,'Dados-Status-Invest'!$2:$2,0),FALSE())/100,"")</f>
        <v>0.4788</v>
      </c>
      <c r="P226" s="10" t="n">
        <f aca="false">IFERROR(VLOOKUP(A226,'Dados-Status-Invest'!$1:$1000,MATCH(P$1,'Dados-Status-Invest'!$2:$2,0),FALSE())/100,"")</f>
        <v>0.3645</v>
      </c>
      <c r="Q226" s="10" t="n">
        <f aca="false">IFERROR(VLOOKUP(A226,'Dados-Status-Invest'!$1:$1000,MATCH(Q$1,'Dados-Status-Invest'!$2:$2,0),FALSE())/100,"")</f>
        <v>0.5117</v>
      </c>
      <c r="R226" s="12" t="n">
        <f aca="false">IFERROR(VLOOKUP(A226,'Dados-Status-Invest'!$1:$1000,MATCH(R$1,'Dados-Status-Invest'!$2:$2,0),FALSE()),"")</f>
        <v>14.35</v>
      </c>
      <c r="S226" s="12" t="n">
        <f aca="false">IFERROR(VLOOKUP(A226,'Dados-Status-Invest'!$1:$1000,MATCH(S$1,'Dados-Status-Invest'!$2:$2,0),FALSE()),"")</f>
        <v>4.42</v>
      </c>
      <c r="T226" s="12" t="n">
        <f aca="false">IFERROR(VLOOKUP(A226,'Dados-Status-Invest'!$1:$1000,MATCH(T$1,'Dados-Status-Invest'!$2:$2,0),FALSE()),"")</f>
        <v>12.82</v>
      </c>
      <c r="U226" s="12" t="n">
        <f aca="false">IFERROR(VLOOKUP(A226,'Dados-Status-Invest'!$1:$1000,MATCH(U$1,'Dados-Status-Invest'!$2:$2,0),FALSE()),"")</f>
        <v>3.18</v>
      </c>
      <c r="V226" s="12" t="n">
        <f aca="false">IFERROR(VLOOKUP(A226,'Dados-Status-Invest'!$1:$1000,MATCH(V$1,'Dados-Status-Invest'!$2:$2,0),FALSE()),"")</f>
        <v>-1.52</v>
      </c>
      <c r="W226" s="10" t="n">
        <f aca="false">IFERROR(VLOOKUP(A226,'Dados-Status-Invest'!$1:$1000,MATCH(W$1,'Dados-Status-Invest'!$2:$2,0),FALSE())/100,"")</f>
        <v>0.1764</v>
      </c>
      <c r="X226" s="10" t="n">
        <f aca="false">IFERROR(VLOOKUP(A226,'Dados-Status-Invest'!$1:$1000,MATCH(X$1,'Dados-Status-Invest'!$2:$2,0),FALSE())/100,"")</f>
        <v>0.2712</v>
      </c>
    </row>
    <row r="227" customFormat="false" ht="15.75" hidden="false" customHeight="false" outlineLevel="0" collapsed="false">
      <c r="A227" s="6" t="s">
        <v>259</v>
      </c>
      <c r="B227" s="7" t="str">
        <f aca="false">IFERROR(VLOOKUP(LEFT(A227,4),Setor!A:D,2,FALSE()),"")</f>
        <v>Bens Industriais</v>
      </c>
      <c r="C227" s="8" t="n">
        <f aca="false">IFERROR(__xludf.dummyfunction("IFERROR(IFERROR(GOOGLEFINANCE(A233,""price""),VLOOKUP(A233,'Dados-Status-Invest'!A:B,2,FALSE)),"""")"),12.02)</f>
        <v>12.02</v>
      </c>
      <c r="D227" s="8" t="n">
        <f aca="false">IFERROR(VLOOKUP(A227,'Dados-Status-Invest'!$1:$1000,MATCH(D$1,'Dados-Status-Invest'!$2:$2,0),FALSE()),"")</f>
        <v>13713412615</v>
      </c>
      <c r="E227" s="8" t="n">
        <f aca="false">IF(D227+H227&gt;0,D227+H227,"")</f>
        <v>24853212177</v>
      </c>
      <c r="F227" s="8" t="n">
        <f aca="false">IFERROR(D227/VLOOKUP(A227,'Dados-Status-Invest'!$1:$1000,5,FALSE()),"")</f>
        <v>15237125128</v>
      </c>
      <c r="G227" s="8" t="n">
        <f aca="false">IFERROR(D227/VLOOKUP(A227,'Dados-Status-Invest'!$1:$1000,6,FALSE()),"")</f>
        <v>59623533108</v>
      </c>
      <c r="H227" s="8" t="n">
        <f aca="false">IFERROR(VLOOKUP(A227,'Dados-Status-Invest'!$1:$1000,12,FALSE())*J227,"")</f>
        <v>11139799562</v>
      </c>
      <c r="I227" s="8" t="n">
        <f aca="false">IFERROR(D227/VLOOKUP(A227,'Dados-Status-Invest'!$1:$1000,14,FALSE()),"")</f>
        <v>22481004287</v>
      </c>
      <c r="J227" s="9" t="n">
        <f aca="false">IFERROR(D227/VLOOKUP(A227,'Dados-Status-Invest'!$1:$1000,10,FALSE()),"")</f>
        <v>-1878549673</v>
      </c>
      <c r="K227" s="10" t="n">
        <f aca="false">IFERROR(VLOOKUP(A227,'Dados-Status-Invest'!$1:$1000,3,FALSE())/100,"")</f>
        <v>0</v>
      </c>
      <c r="L227" s="11" t="n">
        <f aca="false">IFERROR(VLOOKUP(A227,'Dados-Status-Invest'!$1:$1000,MATCH(L$1,'Dados-Status-Invest'!$2:$2,0),FALSE())/100,"")</f>
        <v>-0.1848</v>
      </c>
      <c r="M227" s="10" t="n">
        <f aca="false">IFERROR(VLOOKUP(A227,'Dados-Status-Invest'!$1:$1000,MATCH(M$1,'Dados-Status-Invest'!$2:$2,0),FALSE())/100,"")</f>
        <v>-0.0482</v>
      </c>
      <c r="N227" s="10" t="n">
        <f aca="false">IFERROR(VLOOKUP(A227,'Dados-Status-Invest'!$1:$1000,MATCH(N$1,'Dados-Status-Invest'!$2:$2,0),FALSE())/100,"")</f>
        <v>-0.061</v>
      </c>
      <c r="O227" s="10" t="n">
        <f aca="false">IFERROR(VLOOKUP(A227,'Dados-Status-Invest'!$1:$1000,MATCH(O$1,'Dados-Status-Invest'!$2:$2,0),FALSE())/100,"")</f>
        <v>0.107</v>
      </c>
      <c r="P227" s="10" t="n">
        <f aca="false">IFERROR(VLOOKUP(A227,'Dados-Status-Invest'!$1:$1000,MATCH(P$1,'Dados-Status-Invest'!$2:$2,0),FALSE())/100,"")</f>
        <v>-0.0838</v>
      </c>
      <c r="Q227" s="10" t="n">
        <f aca="false">IFERROR(VLOOKUP(A227,'Dados-Status-Invest'!$1:$1000,MATCH(Q$1,'Dados-Status-Invest'!$2:$2,0),FALSE())/100,"")</f>
        <v>-0.1263</v>
      </c>
      <c r="R227" s="12" t="n">
        <f aca="false">IFERROR(VLOOKUP(A227,'Dados-Status-Invest'!$1:$1000,MATCH(R$1,'Dados-Status-Invest'!$2:$2,0),FALSE()),"")</f>
        <v>-4.85</v>
      </c>
      <c r="S227" s="12" t="n">
        <f aca="false">IFERROR(VLOOKUP(A227,'Dados-Status-Invest'!$1:$1000,MATCH(S$1,'Dados-Status-Invest'!$2:$2,0),FALSE()),"")</f>
        <v>0.9</v>
      </c>
      <c r="T227" s="12" t="n">
        <f aca="false">IFERROR(VLOOKUP(A227,'Dados-Status-Invest'!$1:$1000,MATCH(T$1,'Dados-Status-Invest'!$2:$2,0),FALSE()),"")</f>
        <v>-13.23</v>
      </c>
      <c r="U227" s="12" t="n">
        <f aca="false">IFERROR(VLOOKUP(A227,'Dados-Status-Invest'!$1:$1000,MATCH(U$1,'Dados-Status-Invest'!$2:$2,0),FALSE()),"")</f>
        <v>2.45</v>
      </c>
      <c r="V227" s="12" t="n">
        <f aca="false">IFERROR(VLOOKUP(A227,'Dados-Status-Invest'!$1:$1000,MATCH(V$1,'Dados-Status-Invest'!$2:$2,0),FALSE()),"")</f>
        <v>-5.93</v>
      </c>
      <c r="W227" s="10" t="n">
        <f aca="false">IFERROR(VLOOKUP(A227,'Dados-Status-Invest'!$1:$1000,MATCH(W$1,'Dados-Status-Invest'!$2:$2,0),FALSE())/100,"")</f>
        <v>-0.0066</v>
      </c>
      <c r="X227" s="10" t="n">
        <f aca="false">IFERROR(VLOOKUP(A227,'Dados-Status-Invest'!$1:$1000,MATCH(X$1,'Dados-Status-Invest'!$2:$2,0),FALSE())/100,"")</f>
        <v>0</v>
      </c>
    </row>
    <row r="228" customFormat="false" ht="15.75" hidden="false" customHeight="false" outlineLevel="0" collapsed="false">
      <c r="A228" s="6" t="s">
        <v>260</v>
      </c>
      <c r="B228" s="7" t="str">
        <f aca="false">IFERROR(VLOOKUP(LEFT(A228,4),Setor!A:D,2,FALSE()),"")</f>
        <v>Petróleo, Gás e Biocombustíveis</v>
      </c>
      <c r="C228" s="8" t="n">
        <f aca="false">IFERROR(__xludf.dummyfunction("IFERROR(IFERROR(GOOGLEFINANCE(A234,""price""),VLOOKUP(A234,'Dados-Status-Invest'!A:B,2,FALSE)),"""")"),21.21)</f>
        <v>21.21</v>
      </c>
      <c r="D228" s="8" t="n">
        <f aca="false">IFERROR(VLOOKUP(A228,'Dados-Status-Invest'!$1:$1000,MATCH(D$1,'Dados-Status-Invest'!$2:$2,0),FALSE()),"")</f>
        <v>4521375454</v>
      </c>
      <c r="E228" s="8" t="n">
        <f aca="false">IF(D228+H228&gt;0,D228+H228,"")</f>
        <v>3507291245</v>
      </c>
      <c r="F228" s="8" t="n">
        <f aca="false">IFERROR(D228/VLOOKUP(A228,'Dados-Status-Invest'!$1:$1000,5,FALSE()),"")</f>
        <v>2707410452</v>
      </c>
      <c r="G228" s="8" t="n">
        <f aca="false">IFERROR(D228/VLOOKUP(A228,'Dados-Status-Invest'!$1:$1000,6,FALSE()),"")</f>
        <v>4306071861</v>
      </c>
      <c r="H228" s="8" t="n">
        <f aca="false">IFERROR(VLOOKUP(A228,'Dados-Status-Invest'!$1:$1000,12,FALSE())*J228,"")</f>
        <v>-1014084209</v>
      </c>
      <c r="I228" s="8" t="n">
        <f aca="false">IFERROR(D228/VLOOKUP(A228,'Dados-Status-Invest'!$1:$1000,14,FALSE()),"")</f>
        <v>819089756.2</v>
      </c>
      <c r="J228" s="9" t="n">
        <f aca="false">IFERROR(D228/VLOOKUP(A228,'Dados-Status-Invest'!$1:$1000,10,FALSE()),"")</f>
        <v>300024914</v>
      </c>
      <c r="K228" s="10" t="n">
        <f aca="false">IFERROR(VLOOKUP(A228,'Dados-Status-Invest'!$1:$1000,3,FALSE())/100,"")</f>
        <v>0.0112</v>
      </c>
      <c r="L228" s="11" t="n">
        <f aca="false">IFERROR(VLOOKUP(A228,'Dados-Status-Invest'!$1:$1000,MATCH(L$1,'Dados-Status-Invest'!$2:$2,0),FALSE())/100,"")</f>
        <v>0.0077</v>
      </c>
      <c r="M228" s="10" t="n">
        <f aca="false">IFERROR(VLOOKUP(A228,'Dados-Status-Invest'!$1:$1000,MATCH(M$1,'Dados-Status-Invest'!$2:$2,0),FALSE())/100,"")</f>
        <v>0.0048</v>
      </c>
      <c r="N228" s="10" t="n">
        <f aca="false">IFERROR(VLOOKUP(A228,'Dados-Status-Invest'!$1:$1000,MATCH(N$1,'Dados-Status-Invest'!$2:$2,0),FALSE())/100,"")</f>
        <v>0.0797</v>
      </c>
      <c r="O228" s="10" t="n">
        <f aca="false">IFERROR(VLOOKUP(A228,'Dados-Status-Invest'!$1:$1000,MATCH(O$1,'Dados-Status-Invest'!$2:$2,0),FALSE())/100,"")</f>
        <v>0.3655</v>
      </c>
      <c r="P228" s="10" t="n">
        <f aca="false">IFERROR(VLOOKUP(A228,'Dados-Status-Invest'!$1:$1000,MATCH(P$1,'Dados-Status-Invest'!$2:$2,0),FALSE())/100,"")</f>
        <v>0.3662</v>
      </c>
      <c r="Q228" s="10" t="n">
        <f aca="false">IFERROR(VLOOKUP(A228,'Dados-Status-Invest'!$1:$1000,MATCH(Q$1,'Dados-Status-Invest'!$2:$2,0),FALSE())/100,"")</f>
        <v>0.0256</v>
      </c>
      <c r="R228" s="12" t="n">
        <f aca="false">IFERROR(VLOOKUP(A228,'Dados-Status-Invest'!$1:$1000,MATCH(R$1,'Dados-Status-Invest'!$2:$2,0),FALSE()),"")</f>
        <v>216</v>
      </c>
      <c r="S228" s="12" t="n">
        <f aca="false">IFERROR(VLOOKUP(A228,'Dados-Status-Invest'!$1:$1000,MATCH(S$1,'Dados-Status-Invest'!$2:$2,0),FALSE()),"")</f>
        <v>1.67</v>
      </c>
      <c r="T228" s="12" t="n">
        <f aca="false">IFERROR(VLOOKUP(A228,'Dados-Status-Invest'!$1:$1000,MATCH(T$1,'Dados-Status-Invest'!$2:$2,0),FALSE()),"")</f>
        <v>11.39</v>
      </c>
      <c r="U228" s="12" t="n">
        <f aca="false">IFERROR(VLOOKUP(A228,'Dados-Status-Invest'!$1:$1000,MATCH(U$1,'Dados-Status-Invest'!$2:$2,0),FALSE()),"")</f>
        <v>3.6</v>
      </c>
      <c r="V228" s="12" t="n">
        <f aca="false">IFERROR(VLOOKUP(A228,'Dados-Status-Invest'!$1:$1000,MATCH(V$1,'Dados-Status-Invest'!$2:$2,0),FALSE()),"")</f>
        <v>-3.38</v>
      </c>
      <c r="W228" s="10" t="n">
        <f aca="false">IFERROR(VLOOKUP(A228,'Dados-Status-Invest'!$1:$1000,MATCH(W$1,'Dados-Status-Invest'!$2:$2,0),FALSE())/100,"")</f>
        <v>0.1376</v>
      </c>
      <c r="X228" s="10" t="n">
        <f aca="false">IFERROR(VLOOKUP(A228,'Dados-Status-Invest'!$1:$1000,MATCH(X$1,'Dados-Status-Invest'!$2:$2,0),FALSE())/100,"")</f>
        <v>0.0578</v>
      </c>
    </row>
    <row r="229" customFormat="false" ht="15.75" hidden="false" customHeight="false" outlineLevel="0" collapsed="false">
      <c r="A229" s="6" t="s">
        <v>261</v>
      </c>
      <c r="B229" s="7" t="str">
        <f aca="false">IFERROR(VLOOKUP(LEFT(A229,4),Setor!A:D,2,FALSE()),"")</f>
        <v>Utilidade Pública</v>
      </c>
      <c r="C229" s="8" t="n">
        <f aca="false">IFERROR(__xludf.dummyfunction("IFERROR(IFERROR(GOOGLEFINANCE(A235,""price""),VLOOKUP(A235,'Dados-Status-Invest'!A:B,2,FALSE)),"""")"),22.29)</f>
        <v>22.29</v>
      </c>
      <c r="D229" s="8" t="n">
        <f aca="false">IFERROR(VLOOKUP(A229,'Dados-Status-Invest'!$1:$1000,MATCH(D$1,'Dados-Status-Invest'!$2:$2,0),FALSE()),"")</f>
        <v>10832279533</v>
      </c>
      <c r="E229" s="8" t="n">
        <f aca="false">IF(D229+H229&gt;0,D229+H229,"")</f>
        <v>17678794490</v>
      </c>
      <c r="F229" s="8" t="n">
        <f aca="false">IFERROR(D229/VLOOKUP(A229,'Dados-Status-Invest'!$1:$1000,5,FALSE()),"")</f>
        <v>10316456698</v>
      </c>
      <c r="G229" s="8" t="n">
        <f aca="false">IFERROR(D229/VLOOKUP(A229,'Dados-Status-Invest'!$1:$1000,6,FALSE()),"")</f>
        <v>30949370094</v>
      </c>
      <c r="H229" s="8" t="n">
        <f aca="false">IFERROR(VLOOKUP(A229,'Dados-Status-Invest'!$1:$1000,12,FALSE())*J229,"")</f>
        <v>6846514957</v>
      </c>
      <c r="I229" s="8" t="n">
        <f aca="false">IFERROR(D229/VLOOKUP(A229,'Dados-Status-Invest'!$1:$1000,14,FALSE()),"")</f>
        <v>15474685047</v>
      </c>
      <c r="J229" s="9" t="n">
        <f aca="false">IFERROR(D229/VLOOKUP(A229,'Dados-Status-Invest'!$1:$1000,10,FALSE()),"")</f>
        <v>3214326271</v>
      </c>
      <c r="K229" s="10" t="n">
        <f aca="false">IFERROR(VLOOKUP(A229,'Dados-Status-Invest'!$1:$1000,3,FALSE())/100,"")</f>
        <v>0.056</v>
      </c>
      <c r="L229" s="11" t="n">
        <f aca="false">IFERROR(VLOOKUP(A229,'Dados-Status-Invest'!$1:$1000,MATCH(L$1,'Dados-Status-Invest'!$2:$2,0),FALSE())/100,"")</f>
        <v>0.1674</v>
      </c>
      <c r="M229" s="10" t="n">
        <f aca="false">IFERROR(VLOOKUP(A229,'Dados-Status-Invest'!$1:$1000,MATCH(M$1,'Dados-Status-Invest'!$2:$2,0),FALSE())/100,"")</f>
        <v>0.0559</v>
      </c>
      <c r="N229" s="10" t="n">
        <f aca="false">IFERROR(VLOOKUP(A229,'Dados-Status-Invest'!$1:$1000,MATCH(N$1,'Dados-Status-Invest'!$2:$2,0),FALSE())/100,"")</f>
        <v>0.1161</v>
      </c>
      <c r="O229" s="10" t="n">
        <f aca="false">IFERROR(VLOOKUP(A229,'Dados-Status-Invest'!$1:$1000,MATCH(O$1,'Dados-Status-Invest'!$2:$2,0),FALSE())/100,"")</f>
        <v>0.255</v>
      </c>
      <c r="P229" s="10" t="n">
        <f aca="false">IFERROR(VLOOKUP(A229,'Dados-Status-Invest'!$1:$1000,MATCH(P$1,'Dados-Status-Invest'!$2:$2,0),FALSE())/100,"")</f>
        <v>0.2092</v>
      </c>
      <c r="Q229" s="10" t="n">
        <f aca="false">IFERROR(VLOOKUP(A229,'Dados-Status-Invest'!$1:$1000,MATCH(Q$1,'Dados-Status-Invest'!$2:$2,0),FALSE())/100,"")</f>
        <v>0.1126</v>
      </c>
      <c r="R229" s="12" t="n">
        <f aca="false">IFERROR(VLOOKUP(A229,'Dados-Status-Invest'!$1:$1000,MATCH(R$1,'Dados-Status-Invest'!$2:$2,0),FALSE()),"")</f>
        <v>6.26</v>
      </c>
      <c r="S229" s="12" t="n">
        <f aca="false">IFERROR(VLOOKUP(A229,'Dados-Status-Invest'!$1:$1000,MATCH(S$1,'Dados-Status-Invest'!$2:$2,0),FALSE()),"")</f>
        <v>1.05</v>
      </c>
      <c r="T229" s="12" t="n">
        <f aca="false">IFERROR(VLOOKUP(A229,'Dados-Status-Invest'!$1:$1000,MATCH(T$1,'Dados-Status-Invest'!$2:$2,0),FALSE()),"")</f>
        <v>5.5</v>
      </c>
      <c r="U229" s="12" t="n">
        <f aca="false">IFERROR(VLOOKUP(A229,'Dados-Status-Invest'!$1:$1000,MATCH(U$1,'Dados-Status-Invest'!$2:$2,0),FALSE()),"")</f>
        <v>1.16</v>
      </c>
      <c r="V229" s="12" t="n">
        <f aca="false">IFERROR(VLOOKUP(A229,'Dados-Status-Invest'!$1:$1000,MATCH(V$1,'Dados-Status-Invest'!$2:$2,0),FALSE()),"")</f>
        <v>2.13</v>
      </c>
      <c r="W229" s="10" t="n">
        <f aca="false">IFERROR(VLOOKUP(A229,'Dados-Status-Invest'!$1:$1000,MATCH(W$1,'Dados-Status-Invest'!$2:$2,0),FALSE())/100,"")</f>
        <v>0.0787</v>
      </c>
      <c r="X229" s="10" t="n">
        <f aca="false">IFERROR(VLOOKUP(A229,'Dados-Status-Invest'!$1:$1000,MATCH(X$1,'Dados-Status-Invest'!$2:$2,0),FALSE())/100,"")</f>
        <v>0.0403</v>
      </c>
    </row>
    <row r="230" customFormat="false" ht="15.75" hidden="false" customHeight="false" outlineLevel="0" collapsed="false">
      <c r="A230" s="6" t="s">
        <v>262</v>
      </c>
      <c r="B230" s="7" t="str">
        <f aca="false">IFERROR(VLOOKUP(LEFT(A230,4),Setor!A:D,2,FALSE()),"")</f>
        <v>Utilidade Pública</v>
      </c>
      <c r="C230" s="8" t="n">
        <f aca="false">IFERROR(__xludf.dummyfunction("IFERROR(IFERROR(GOOGLEFINANCE(A236,""price""),VLOOKUP(A236,'Dados-Status-Invest'!A:B,2,FALSE)),"""")"),14.78)</f>
        <v>14.78</v>
      </c>
      <c r="D230" s="8" t="n">
        <f aca="false">IFERROR(VLOOKUP(A230,'Dados-Status-Invest'!$1:$1000,MATCH(D$1,'Dados-Status-Invest'!$2:$2,0),FALSE()),"")</f>
        <v>21737876220</v>
      </c>
      <c r="E230" s="8" t="n">
        <f aca="false">IF(D230+H230&gt;0,D230+H230,"")</f>
        <v>26954966513</v>
      </c>
      <c r="F230" s="8" t="n">
        <f aca="false">IFERROR(D230/VLOOKUP(A230,'Dados-Status-Invest'!$1:$1000,5,FALSE()),"")</f>
        <v>8051065267</v>
      </c>
      <c r="G230" s="8" t="n">
        <f aca="false">IFERROR(D230/VLOOKUP(A230,'Dados-Status-Invest'!$1:$1000,6,FALSE()),"")</f>
        <v>16344267835</v>
      </c>
      <c r="H230" s="8" t="n">
        <f aca="false">IFERROR(VLOOKUP(A230,'Dados-Status-Invest'!$1:$1000,12,FALSE())*J230,"")</f>
        <v>5217090293</v>
      </c>
      <c r="I230" s="8" t="n">
        <f aca="false">IFERROR(D230/VLOOKUP(A230,'Dados-Status-Invest'!$1:$1000,14,FALSE()),"")</f>
        <v>3244459137</v>
      </c>
      <c r="J230" s="9" t="n">
        <f aca="false">IFERROR(D230/VLOOKUP(A230,'Dados-Status-Invest'!$1:$1000,10,FALSE()),"")</f>
        <v>1100651961</v>
      </c>
      <c r="K230" s="10" t="n">
        <f aca="false">IFERROR(VLOOKUP(A230,'Dados-Status-Invest'!$1:$1000,3,FALSE())/100,"")</f>
        <v>0</v>
      </c>
      <c r="L230" s="11" t="n">
        <f aca="false">IFERROR(VLOOKUP(A230,'Dados-Status-Invest'!$1:$1000,MATCH(L$1,'Dados-Status-Invest'!$2:$2,0),FALSE())/100,"")</f>
        <v>0.1277</v>
      </c>
      <c r="M230" s="10" t="n">
        <f aca="false">IFERROR(VLOOKUP(A230,'Dados-Status-Invest'!$1:$1000,MATCH(M$1,'Dados-Status-Invest'!$2:$2,0),FALSE())/100,"")</f>
        <v>0.0629</v>
      </c>
      <c r="N230" s="10" t="n">
        <f aca="false">IFERROR(VLOOKUP(A230,'Dados-Status-Invest'!$1:$1000,MATCH(N$1,'Dados-Status-Invest'!$2:$2,0),FALSE())/100,"")</f>
        <v>0.0588</v>
      </c>
      <c r="O230" s="10" t="n">
        <f aca="false">IFERROR(VLOOKUP(A230,'Dados-Status-Invest'!$1:$1000,MATCH(O$1,'Dados-Status-Invest'!$2:$2,0),FALSE())/100,"")</f>
        <v>0.4463</v>
      </c>
      <c r="P230" s="10" t="n">
        <f aca="false">IFERROR(VLOOKUP(A230,'Dados-Status-Invest'!$1:$1000,MATCH(P$1,'Dados-Status-Invest'!$2:$2,0),FALSE())/100,"")</f>
        <v>0.3393</v>
      </c>
      <c r="Q230" s="10" t="n">
        <f aca="false">IFERROR(VLOOKUP(A230,'Dados-Status-Invest'!$1:$1000,MATCH(Q$1,'Dados-Status-Invest'!$2:$2,0),FALSE())/100,"")</f>
        <v>0.3167</v>
      </c>
      <c r="R230" s="12" t="n">
        <f aca="false">IFERROR(VLOOKUP(A230,'Dados-Status-Invest'!$1:$1000,MATCH(R$1,'Dados-Status-Invest'!$2:$2,0),FALSE()),"")</f>
        <v>21.16</v>
      </c>
      <c r="S230" s="12" t="n">
        <f aca="false">IFERROR(VLOOKUP(A230,'Dados-Status-Invest'!$1:$1000,MATCH(S$1,'Dados-Status-Invest'!$2:$2,0),FALSE()),"")</f>
        <v>2.7</v>
      </c>
      <c r="T230" s="12" t="n">
        <f aca="false">IFERROR(VLOOKUP(A230,'Dados-Status-Invest'!$1:$1000,MATCH(T$1,'Dados-Status-Invest'!$2:$2,0),FALSE()),"")</f>
        <v>24.42</v>
      </c>
      <c r="U230" s="12" t="n">
        <f aca="false">IFERROR(VLOOKUP(A230,'Dados-Status-Invest'!$1:$1000,MATCH(U$1,'Dados-Status-Invest'!$2:$2,0),FALSE()),"")</f>
        <v>3.13</v>
      </c>
      <c r="V230" s="12" t="n">
        <f aca="false">IFERROR(VLOOKUP(A230,'Dados-Status-Invest'!$1:$1000,MATCH(V$1,'Dados-Status-Invest'!$2:$2,0),FALSE()),"")</f>
        <v>4.74</v>
      </c>
      <c r="W230" s="10" t="n">
        <f aca="false">IFERROR(VLOOKUP(A230,'Dados-Status-Invest'!$1:$1000,MATCH(W$1,'Dados-Status-Invest'!$2:$2,0),FALSE())/100,"")</f>
        <v>0.1639</v>
      </c>
      <c r="X230" s="10" t="n">
        <f aca="false">IFERROR(VLOOKUP(A230,'Dados-Status-Invest'!$1:$1000,MATCH(X$1,'Dados-Status-Invest'!$2:$2,0),FALSE())/100,"")</f>
        <v>0.4899</v>
      </c>
    </row>
    <row r="231" customFormat="false" ht="15.75" hidden="false" customHeight="false" outlineLevel="0" collapsed="false">
      <c r="A231" s="6" t="s">
        <v>263</v>
      </c>
      <c r="B231" s="7" t="str">
        <f aca="false">IFERROR(VLOOKUP(LEFT(A231,4),Setor!A:D,2,FALSE()),"")</f>
        <v>Utilidade Pública</v>
      </c>
      <c r="C231" s="8" t="n">
        <f aca="false">IFERROR(__xludf.dummyfunction("IFERROR(IFERROR(GOOGLEFINANCE(A237,""price""),VLOOKUP(A237,'Dados-Status-Invest'!A:B,2,FALSE)),"""")"),46.03)</f>
        <v>46.03</v>
      </c>
      <c r="D231" s="8" t="n">
        <f aca="false">IFERROR(VLOOKUP(A231,'Dados-Status-Invest'!$1:$1000,MATCH(D$1,'Dados-Status-Invest'!$2:$2,0),FALSE()),"")</f>
        <v>16799214163</v>
      </c>
      <c r="E231" s="8" t="n">
        <f aca="false">IF(D231+H231&gt;0,D231+H231,"")</f>
        <v>31545892761</v>
      </c>
      <c r="F231" s="8" t="n">
        <f aca="false">IFERROR(D231/VLOOKUP(A231,'Dados-Status-Invest'!$1:$1000,5,FALSE()),"")</f>
        <v>7433280603</v>
      </c>
      <c r="G231" s="8" t="n">
        <f aca="false">IFERROR(D231/VLOOKUP(A231,'Dados-Status-Invest'!$1:$1000,6,FALSE()),"")</f>
        <v>45403281521</v>
      </c>
      <c r="H231" s="8" t="n">
        <f aca="false">IFERROR(VLOOKUP(A231,'Dados-Status-Invest'!$1:$1000,12,FALSE())*J231,"")</f>
        <v>14746678598</v>
      </c>
      <c r="I231" s="8" t="n">
        <f aca="false">IFERROR(D231/VLOOKUP(A231,'Dados-Status-Invest'!$1:$1000,14,FALSE()),"")</f>
        <v>20999017703</v>
      </c>
      <c r="J231" s="9" t="n">
        <f aca="false">IFERROR(D231/VLOOKUP(A231,'Dados-Status-Invest'!$1:$1000,10,FALSE()),"")</f>
        <v>3157747023</v>
      </c>
      <c r="K231" s="10" t="n">
        <f aca="false">IFERROR(VLOOKUP(A231,'Dados-Status-Invest'!$1:$1000,3,FALSE())/100,"")</f>
        <v>0.0298</v>
      </c>
      <c r="L231" s="11" t="n">
        <f aca="false">IFERROR(VLOOKUP(A231,'Dados-Status-Invest'!$1:$1000,MATCH(L$1,'Dados-Status-Invest'!$2:$2,0),FALSE())/100,"")</f>
        <v>0.23</v>
      </c>
      <c r="M231" s="10" t="n">
        <f aca="false">IFERROR(VLOOKUP(A231,'Dados-Status-Invest'!$1:$1000,MATCH(M$1,'Dados-Status-Invest'!$2:$2,0),FALSE())/100,"")</f>
        <v>0.0382</v>
      </c>
      <c r="N231" s="10" t="n">
        <f aca="false">IFERROR(VLOOKUP(A231,'Dados-Status-Invest'!$1:$1000,MATCH(N$1,'Dados-Status-Invest'!$2:$2,0),FALSE())/100,"")</f>
        <v>0.0882</v>
      </c>
      <c r="O231" s="10" t="n">
        <f aca="false">IFERROR(VLOOKUP(A231,'Dados-Status-Invest'!$1:$1000,MATCH(O$1,'Dados-Status-Invest'!$2:$2,0),FALSE())/100,"")</f>
        <v>0.1935</v>
      </c>
      <c r="P231" s="10" t="n">
        <f aca="false">IFERROR(VLOOKUP(A231,'Dados-Status-Invest'!$1:$1000,MATCH(P$1,'Dados-Status-Invest'!$2:$2,0),FALSE())/100,"")</f>
        <v>0.1504</v>
      </c>
      <c r="Q231" s="10" t="n">
        <f aca="false">IFERROR(VLOOKUP(A231,'Dados-Status-Invest'!$1:$1000,MATCH(Q$1,'Dados-Status-Invest'!$2:$2,0),FALSE())/100,"")</f>
        <v>0.0816</v>
      </c>
      <c r="R231" s="12" t="n">
        <f aca="false">IFERROR(VLOOKUP(A231,'Dados-Status-Invest'!$1:$1000,MATCH(R$1,'Dados-Status-Invest'!$2:$2,0),FALSE()),"")</f>
        <v>9.81</v>
      </c>
      <c r="S231" s="12" t="n">
        <f aca="false">IFERROR(VLOOKUP(A231,'Dados-Status-Invest'!$1:$1000,MATCH(S$1,'Dados-Status-Invest'!$2:$2,0),FALSE()),"")</f>
        <v>2.26</v>
      </c>
      <c r="T231" s="12" t="n">
        <f aca="false">IFERROR(VLOOKUP(A231,'Dados-Status-Invest'!$1:$1000,MATCH(T$1,'Dados-Status-Invest'!$2:$2,0),FALSE()),"")</f>
        <v>9.98</v>
      </c>
      <c r="U231" s="12" t="n">
        <f aca="false">IFERROR(VLOOKUP(A231,'Dados-Status-Invest'!$1:$1000,MATCH(U$1,'Dados-Status-Invest'!$2:$2,0),FALSE()),"")</f>
        <v>1.2</v>
      </c>
      <c r="V231" s="12" t="n">
        <f aca="false">IFERROR(VLOOKUP(A231,'Dados-Status-Invest'!$1:$1000,MATCH(V$1,'Dados-Status-Invest'!$2:$2,0),FALSE()),"")</f>
        <v>4.67</v>
      </c>
      <c r="W231" s="10" t="n">
        <f aca="false">IFERROR(VLOOKUP(A231,'Dados-Status-Invest'!$1:$1000,MATCH(W$1,'Dados-Status-Invest'!$2:$2,0),FALSE())/100,"")</f>
        <v>0.1079</v>
      </c>
      <c r="X231" s="10" t="n">
        <f aca="false">IFERROR(VLOOKUP(A231,'Dados-Status-Invest'!$1:$1000,MATCH(X$1,'Dados-Status-Invest'!$2:$2,0),FALSE())/100,"")</f>
        <v>0.3554</v>
      </c>
    </row>
    <row r="232" customFormat="false" ht="15.75" hidden="false" customHeight="false" outlineLevel="0" collapsed="false">
      <c r="A232" s="6" t="s">
        <v>264</v>
      </c>
      <c r="B232" s="7" t="str">
        <f aca="false">IFERROR(VLOOKUP(LEFT(A232,4),Setor!A:D,2,FALSE()),"")</f>
        <v>Utilidade Pública</v>
      </c>
      <c r="C232" s="8" t="n">
        <f aca="false">IFERROR(__xludf.dummyfunction("IFERROR(IFERROR(GOOGLEFINANCE(A238,""price""),VLOOKUP(A238,'Dados-Status-Invest'!A:B,2,FALSE)),"""")"),14.6)</f>
        <v>14.6</v>
      </c>
      <c r="D232" s="8" t="n">
        <f aca="false">IFERROR(VLOOKUP(A232,'Dados-Status-Invest'!$1:$1000,MATCH(D$1,'Dados-Status-Invest'!$2:$2,0),FALSE()),"")</f>
        <v>16799214163</v>
      </c>
      <c r="E232" s="8" t="n">
        <f aca="false">IF(D232+H232&gt;0,D232+H232,"")</f>
        <v>24715695509</v>
      </c>
      <c r="F232" s="8" t="n">
        <f aca="false">IFERROR(D232/VLOOKUP(A232,'Dados-Status-Invest'!$1:$1000,5,FALSE()),"")</f>
        <v>3999812896</v>
      </c>
      <c r="G232" s="8" t="n">
        <f aca="false">IFERROR(D232/VLOOKUP(A232,'Dados-Status-Invest'!$1:$1000,6,FALSE()),"")</f>
        <v>23998877375</v>
      </c>
      <c r="H232" s="8" t="n">
        <f aca="false">IFERROR(VLOOKUP(A232,'Dados-Status-Invest'!$1:$1000,12,FALSE())*J232,"")</f>
        <v>7916481346</v>
      </c>
      <c r="I232" s="8" t="n">
        <f aca="false">IFERROR(D232/VLOOKUP(A232,'Dados-Status-Invest'!$1:$1000,14,FALSE()),"")</f>
        <v>11274640378</v>
      </c>
      <c r="J232" s="9" t="n">
        <f aca="false">IFERROR(D232/VLOOKUP(A232,'Dados-Status-Invest'!$1:$1000,10,FALSE()),"")</f>
        <v>1695178018</v>
      </c>
      <c r="K232" s="10" t="n">
        <f aca="false">IFERROR(VLOOKUP(A232,'Dados-Status-Invest'!$1:$1000,3,FALSE())/100,"")</f>
        <v>0.016</v>
      </c>
      <c r="L232" s="11" t="n">
        <f aca="false">IFERROR(VLOOKUP(A232,'Dados-Status-Invest'!$1:$1000,MATCH(L$1,'Dados-Status-Invest'!$2:$2,0),FALSE())/100,"")</f>
        <v>0.23</v>
      </c>
      <c r="M232" s="10" t="n">
        <f aca="false">IFERROR(VLOOKUP(A232,'Dados-Status-Invest'!$1:$1000,MATCH(M$1,'Dados-Status-Invest'!$2:$2,0),FALSE())/100,"")</f>
        <v>0.0382</v>
      </c>
      <c r="N232" s="10" t="n">
        <f aca="false">IFERROR(VLOOKUP(A232,'Dados-Status-Invest'!$1:$1000,MATCH(N$1,'Dados-Status-Invest'!$2:$2,0),FALSE())/100,"")</f>
        <v>0.0882</v>
      </c>
      <c r="O232" s="10" t="n">
        <f aca="false">IFERROR(VLOOKUP(A232,'Dados-Status-Invest'!$1:$1000,MATCH(O$1,'Dados-Status-Invest'!$2:$2,0),FALSE())/100,"")</f>
        <v>0.1935</v>
      </c>
      <c r="P232" s="10" t="n">
        <f aca="false">IFERROR(VLOOKUP(A232,'Dados-Status-Invest'!$1:$1000,MATCH(P$1,'Dados-Status-Invest'!$2:$2,0),FALSE())/100,"")</f>
        <v>0.1504</v>
      </c>
      <c r="Q232" s="10" t="n">
        <f aca="false">IFERROR(VLOOKUP(A232,'Dados-Status-Invest'!$1:$1000,MATCH(Q$1,'Dados-Status-Invest'!$2:$2,0),FALSE())/100,"")</f>
        <v>0.0816</v>
      </c>
      <c r="R232" s="12" t="n">
        <f aca="false">IFERROR(VLOOKUP(A232,'Dados-Status-Invest'!$1:$1000,MATCH(R$1,'Dados-Status-Invest'!$2:$2,0),FALSE()),"")</f>
        <v>18.25</v>
      </c>
      <c r="S232" s="12" t="n">
        <f aca="false">IFERROR(VLOOKUP(A232,'Dados-Status-Invest'!$1:$1000,MATCH(S$1,'Dados-Status-Invest'!$2:$2,0),FALSE()),"")</f>
        <v>4.2</v>
      </c>
      <c r="T232" s="12" t="n">
        <f aca="false">IFERROR(VLOOKUP(A232,'Dados-Status-Invest'!$1:$1000,MATCH(T$1,'Dados-Status-Invest'!$2:$2,0),FALSE()),"")</f>
        <v>9.98</v>
      </c>
      <c r="U232" s="12" t="n">
        <f aca="false">IFERROR(VLOOKUP(A232,'Dados-Status-Invest'!$1:$1000,MATCH(U$1,'Dados-Status-Invest'!$2:$2,0),FALSE()),"")</f>
        <v>1.2</v>
      </c>
      <c r="V232" s="12" t="n">
        <f aca="false">IFERROR(VLOOKUP(A232,'Dados-Status-Invest'!$1:$1000,MATCH(V$1,'Dados-Status-Invest'!$2:$2,0),FALSE()),"")</f>
        <v>4.67</v>
      </c>
      <c r="W232" s="10" t="n">
        <f aca="false">IFERROR(VLOOKUP(A232,'Dados-Status-Invest'!$1:$1000,MATCH(W$1,'Dados-Status-Invest'!$2:$2,0),FALSE())/100,"")</f>
        <v>0.1079</v>
      </c>
      <c r="X232" s="10" t="n">
        <f aca="false">IFERROR(VLOOKUP(A232,'Dados-Status-Invest'!$1:$1000,MATCH(X$1,'Dados-Status-Invest'!$2:$2,0),FALSE())/100,"")</f>
        <v>0.3554</v>
      </c>
    </row>
    <row r="233" customFormat="false" ht="15.75" hidden="false" customHeight="false" outlineLevel="0" collapsed="false">
      <c r="A233" s="6" t="s">
        <v>265</v>
      </c>
      <c r="B233" s="7" t="str">
        <f aca="false">IFERROR(VLOOKUP(LEFT(A233,4),Setor!A:D,2,FALSE()),"")</f>
        <v>Utilidade Pública</v>
      </c>
      <c r="C233" s="8" t="n">
        <f aca="false">IFERROR(__xludf.dummyfunction("IFERROR(IFERROR(GOOGLEFINANCE(A239,""price""),VLOOKUP(A239,'Dados-Status-Invest'!A:B,2,FALSE)),"""")"),7.81)</f>
        <v>7.81</v>
      </c>
      <c r="D233" s="8" t="n">
        <f aca="false">IFERROR(VLOOKUP(A233,'Dados-Status-Invest'!$1:$1000,MATCH(D$1,'Dados-Status-Invest'!$2:$2,0),FALSE()),"")</f>
        <v>16799214163</v>
      </c>
      <c r="E233" s="8" t="n">
        <f aca="false">IF(D233+H233&gt;0,D233+H233,"")</f>
        <v>35612722590</v>
      </c>
      <c r="F233" s="8" t="n">
        <f aca="false">IFERROR(D233/VLOOKUP(A233,'Dados-Status-Invest'!$1:$1000,5,FALSE()),"")</f>
        <v>9491081448</v>
      </c>
      <c r="G233" s="8" t="n">
        <f aca="false">IFERROR(D233/VLOOKUP(A233,'Dados-Status-Invest'!$1:$1000,6,FALSE()),"")</f>
        <v>57928324699</v>
      </c>
      <c r="H233" s="8" t="n">
        <f aca="false">IFERROR(VLOOKUP(A233,'Dados-Status-Invest'!$1:$1000,12,FALSE())*J233,"")</f>
        <v>18813508427</v>
      </c>
      <c r="I233" s="8" t="n">
        <f aca="false">IFERROR(D233/VLOOKUP(A233,'Dados-Status-Invest'!$1:$1000,14,FALSE()),"")</f>
        <v>26665419306</v>
      </c>
      <c r="J233" s="9" t="n">
        <f aca="false">IFERROR(D233/VLOOKUP(A233,'Dados-Status-Invest'!$1:$1000,10,FALSE()),"")</f>
        <v>4028588528</v>
      </c>
      <c r="K233" s="10" t="n">
        <f aca="false">IFERROR(VLOOKUP(A233,'Dados-Status-Invest'!$1:$1000,3,FALSE())/100,"")</f>
        <v>0.038</v>
      </c>
      <c r="L233" s="11" t="n">
        <f aca="false">IFERROR(VLOOKUP(A233,'Dados-Status-Invest'!$1:$1000,MATCH(L$1,'Dados-Status-Invest'!$2:$2,0),FALSE())/100,"")</f>
        <v>0.23</v>
      </c>
      <c r="M233" s="10" t="n">
        <f aca="false">IFERROR(VLOOKUP(A233,'Dados-Status-Invest'!$1:$1000,MATCH(M$1,'Dados-Status-Invest'!$2:$2,0),FALSE())/100,"")</f>
        <v>0.0382</v>
      </c>
      <c r="N233" s="10" t="n">
        <f aca="false">IFERROR(VLOOKUP(A233,'Dados-Status-Invest'!$1:$1000,MATCH(N$1,'Dados-Status-Invest'!$2:$2,0),FALSE())/100,"")</f>
        <v>0.0882</v>
      </c>
      <c r="O233" s="10" t="n">
        <f aca="false">IFERROR(VLOOKUP(A233,'Dados-Status-Invest'!$1:$1000,MATCH(O$1,'Dados-Status-Invest'!$2:$2,0),FALSE())/100,"")</f>
        <v>0.1935</v>
      </c>
      <c r="P233" s="10" t="n">
        <f aca="false">IFERROR(VLOOKUP(A233,'Dados-Status-Invest'!$1:$1000,MATCH(P$1,'Dados-Status-Invest'!$2:$2,0),FALSE())/100,"")</f>
        <v>0.1504</v>
      </c>
      <c r="Q233" s="10" t="n">
        <f aca="false">IFERROR(VLOOKUP(A233,'Dados-Status-Invest'!$1:$1000,MATCH(Q$1,'Dados-Status-Invest'!$2:$2,0),FALSE())/100,"")</f>
        <v>0.0816</v>
      </c>
      <c r="R233" s="12" t="n">
        <f aca="false">IFERROR(VLOOKUP(A233,'Dados-Status-Invest'!$1:$1000,MATCH(R$1,'Dados-Status-Invest'!$2:$2,0),FALSE()),"")</f>
        <v>7.69</v>
      </c>
      <c r="S233" s="12" t="n">
        <f aca="false">IFERROR(VLOOKUP(A233,'Dados-Status-Invest'!$1:$1000,MATCH(S$1,'Dados-Status-Invest'!$2:$2,0),FALSE()),"")</f>
        <v>1.77</v>
      </c>
      <c r="T233" s="12" t="n">
        <f aca="false">IFERROR(VLOOKUP(A233,'Dados-Status-Invest'!$1:$1000,MATCH(T$1,'Dados-Status-Invest'!$2:$2,0),FALSE()),"")</f>
        <v>9.98</v>
      </c>
      <c r="U233" s="12" t="n">
        <f aca="false">IFERROR(VLOOKUP(A233,'Dados-Status-Invest'!$1:$1000,MATCH(U$1,'Dados-Status-Invest'!$2:$2,0),FALSE()),"")</f>
        <v>1.2</v>
      </c>
      <c r="V233" s="12" t="n">
        <f aca="false">IFERROR(VLOOKUP(A233,'Dados-Status-Invest'!$1:$1000,MATCH(V$1,'Dados-Status-Invest'!$2:$2,0),FALSE()),"")</f>
        <v>4.67</v>
      </c>
      <c r="W233" s="10" t="n">
        <f aca="false">IFERROR(VLOOKUP(A233,'Dados-Status-Invest'!$1:$1000,MATCH(W$1,'Dados-Status-Invest'!$2:$2,0),FALSE())/100,"")</f>
        <v>0.1079</v>
      </c>
      <c r="X233" s="10" t="n">
        <f aca="false">IFERROR(VLOOKUP(A233,'Dados-Status-Invest'!$1:$1000,MATCH(X$1,'Dados-Status-Invest'!$2:$2,0),FALSE())/100,"")</f>
        <v>0.3554</v>
      </c>
    </row>
    <row r="234" customFormat="false" ht="15.75" hidden="false" customHeight="false" outlineLevel="0" collapsed="false">
      <c r="A234" s="6" t="s">
        <v>266</v>
      </c>
      <c r="B234" s="7" t="str">
        <f aca="false">IFERROR(VLOOKUP(LEFT(A234,4),Setor!A:D,2,FALSE()),"")</f>
        <v>Tecnologia da Informação</v>
      </c>
      <c r="C234" s="8" t="n">
        <f aca="false">IFERROR(__xludf.dummyfunction("IFERROR(IFERROR(GOOGLEFINANCE(A240,""price""),VLOOKUP(A240,'Dados-Status-Invest'!A:B,2,FALSE)),"""")"),2.06)</f>
        <v>2.06</v>
      </c>
      <c r="D234" s="8" t="n">
        <f aca="false">IFERROR(VLOOKUP(A234,'Dados-Status-Invest'!$1:$1000,MATCH(D$1,'Dados-Status-Invest'!$2:$2,0),FALSE()),"")</f>
        <v>2016150429</v>
      </c>
      <c r="E234" s="8" t="n">
        <f aca="false">IF(D234+H234&gt;0,D234+H234,"")</f>
        <v>1532473267.9</v>
      </c>
      <c r="F234" s="8" t="n">
        <f aca="false">IFERROR(D234/VLOOKUP(A234,'Dados-Status-Invest'!$1:$1000,5,FALSE()),"")</f>
        <v>475507176.6</v>
      </c>
      <c r="G234" s="8" t="n">
        <f aca="false">IFERROR(D234/VLOOKUP(A234,'Dados-Status-Invest'!$1:$1000,6,FALSE()),"")</f>
        <v>513015376.3</v>
      </c>
      <c r="H234" s="8" t="n">
        <f aca="false">IFERROR(VLOOKUP(A234,'Dados-Status-Invest'!$1:$1000,12,FALSE())*J234,"")</f>
        <v>-483677161.1</v>
      </c>
      <c r="I234" s="8" t="n">
        <f aca="false">IFERROR(D234/VLOOKUP(A234,'Dados-Status-Invest'!$1:$1000,14,FALSE()),"")</f>
        <v>86828183.84</v>
      </c>
      <c r="J234" s="9" t="n">
        <f aca="false">IFERROR(D234/VLOOKUP(A234,'Dados-Status-Invest'!$1:$1000,10,FALSE()),"")</f>
        <v>-62169300.92</v>
      </c>
      <c r="K234" s="10" t="n">
        <f aca="false">IFERROR(VLOOKUP(A234,'Dados-Status-Invest'!$1:$1000,3,FALSE())/100,"")</f>
        <v>0</v>
      </c>
      <c r="L234" s="11" t="n">
        <f aca="false">IFERROR(VLOOKUP(A234,'Dados-Status-Invest'!$1:$1000,MATCH(L$1,'Dados-Status-Invest'!$2:$2,0),FALSE())/100,"")</f>
        <v>-0.1274</v>
      </c>
      <c r="M234" s="10" t="n">
        <f aca="false">IFERROR(VLOOKUP(A234,'Dados-Status-Invest'!$1:$1000,MATCH(M$1,'Dados-Status-Invest'!$2:$2,0),FALSE())/100,"")</f>
        <v>-0.1183</v>
      </c>
      <c r="N234" s="10" t="n">
        <f aca="false">IFERROR(VLOOKUP(A234,'Dados-Status-Invest'!$1:$1000,MATCH(N$1,'Dados-Status-Invest'!$2:$2,0),FALSE())/100,"")</f>
        <v>-0.1306</v>
      </c>
      <c r="O234" s="10" t="n">
        <f aca="false">IFERROR(VLOOKUP(A234,'Dados-Status-Invest'!$1:$1000,MATCH(O$1,'Dados-Status-Invest'!$2:$2,0),FALSE())/100,"")</f>
        <v>0.3301</v>
      </c>
      <c r="P234" s="10" t="n">
        <f aca="false">IFERROR(VLOOKUP(A234,'Dados-Status-Invest'!$1:$1000,MATCH(P$1,'Dados-Status-Invest'!$2:$2,0),FALSE())/100,"")</f>
        <v>-0.716</v>
      </c>
      <c r="Q234" s="10" t="n">
        <f aca="false">IFERROR(VLOOKUP(A234,'Dados-Status-Invest'!$1:$1000,MATCH(Q$1,'Dados-Status-Invest'!$2:$2,0),FALSE())/100,"")</f>
        <v>-0.6984</v>
      </c>
      <c r="R234" s="12" t="n">
        <f aca="false">IFERROR(VLOOKUP(A234,'Dados-Status-Invest'!$1:$1000,MATCH(R$1,'Dados-Status-Invest'!$2:$2,0),FALSE()),"")</f>
        <v>-33.24</v>
      </c>
      <c r="S234" s="12" t="n">
        <f aca="false">IFERROR(VLOOKUP(A234,'Dados-Status-Invest'!$1:$1000,MATCH(S$1,'Dados-Status-Invest'!$2:$2,0),FALSE()),"")</f>
        <v>4.24</v>
      </c>
      <c r="T234" s="12" t="n">
        <f aca="false">IFERROR(VLOOKUP(A234,'Dados-Status-Invest'!$1:$1000,MATCH(T$1,'Dados-Status-Invest'!$2:$2,0),FALSE()),"")</f>
        <v>-24.18</v>
      </c>
      <c r="U234" s="12" t="n">
        <f aca="false">IFERROR(VLOOKUP(A234,'Dados-Status-Invest'!$1:$1000,MATCH(U$1,'Dados-Status-Invest'!$2:$2,0),FALSE()),"")</f>
        <v>14.59</v>
      </c>
      <c r="V234" s="12" t="n">
        <f aca="false">IFERROR(VLOOKUP(A234,'Dados-Status-Invest'!$1:$1000,MATCH(V$1,'Dados-Status-Invest'!$2:$2,0),FALSE()),"")</f>
        <v>7.78</v>
      </c>
      <c r="W234" s="10" t="n">
        <f aca="false">IFERROR(VLOOKUP(A234,'Dados-Status-Invest'!$1:$1000,MATCH(W$1,'Dados-Status-Invest'!$2:$2,0),FALSE())/100,"")</f>
        <v>0</v>
      </c>
      <c r="X234" s="10" t="n">
        <f aca="false">IFERROR(VLOOKUP(A234,'Dados-Status-Invest'!$1:$1000,MATCH(X$1,'Dados-Status-Invest'!$2:$2,0),FALSE())/100,"")</f>
        <v>0</v>
      </c>
    </row>
    <row r="235" customFormat="false" ht="15.75" hidden="false" customHeight="false" outlineLevel="0" collapsed="false">
      <c r="A235" s="6" t="s">
        <v>267</v>
      </c>
      <c r="B235" s="7" t="s">
        <v>31</v>
      </c>
      <c r="C235" s="8" t="n">
        <f aca="false">IFERROR(__xludf.dummyfunction("IFERROR(IFERROR(GOOGLEFINANCE(A241,""price""),VLOOKUP(A241,'Dados-Status-Invest'!A:B,2,FALSE)),"""")"),50.49)</f>
        <v>50.49</v>
      </c>
      <c r="D235" s="8" t="n">
        <f aca="false">IFERROR(VLOOKUP(A235,'Dados-Status-Invest'!$1:$1000,MATCH(D$1,'Dados-Status-Invest'!$2:$2,0),FALSE()),"")</f>
        <v>0</v>
      </c>
      <c r="E235" s="8" t="str">
        <f aca="false">IF(D235+H235&gt;0,D235+H235,"")</f>
        <v/>
      </c>
      <c r="F235" s="8" t="n">
        <f aca="false">IFERROR(D235/VLOOKUP(A235,'Dados-Status-Invest'!$1:$1000,5,FALSE()),"")</f>
        <v>0</v>
      </c>
      <c r="G235" s="8" t="n">
        <f aca="false">IFERROR(D235/VLOOKUP(A235,'Dados-Status-Invest'!$1:$1000,6,FALSE()),"")</f>
        <v>0</v>
      </c>
      <c r="H235" s="8" t="n">
        <f aca="false">IFERROR(VLOOKUP(A235,'Dados-Status-Invest'!$1:$1000,12,FALSE())*J235,"")</f>
        <v>0</v>
      </c>
      <c r="I235" s="8" t="n">
        <f aca="false">IFERROR(D235/VLOOKUP(A235,'Dados-Status-Invest'!$1:$1000,14,FALSE()),"")</f>
        <v>0</v>
      </c>
      <c r="J235" s="9" t="n">
        <f aca="false">IFERROR(D235/VLOOKUP(A235,'Dados-Status-Invest'!$1:$1000,10,FALSE()),"")</f>
        <v>0</v>
      </c>
      <c r="K235" s="10" t="n">
        <f aca="false">IFERROR(VLOOKUP(A235,'Dados-Status-Invest'!$1:$1000,3,FALSE())/100,"")</f>
        <v>0.0259</v>
      </c>
      <c r="L235" s="11" t="n">
        <f aca="false">IFERROR(VLOOKUP(A235,'Dados-Status-Invest'!$1:$1000,MATCH(L$1,'Dados-Status-Invest'!$2:$2,0),FALSE())/100,"")</f>
        <v>0.238</v>
      </c>
      <c r="M235" s="10" t="n">
        <f aca="false">IFERROR(VLOOKUP(A235,'Dados-Status-Invest'!$1:$1000,MATCH(M$1,'Dados-Status-Invest'!$2:$2,0),FALSE())/100,"")</f>
        <v>0.1025</v>
      </c>
      <c r="N235" s="10" t="n">
        <f aca="false">IFERROR(VLOOKUP(A235,'Dados-Status-Invest'!$1:$1000,MATCH(N$1,'Dados-Status-Invest'!$2:$2,0),FALSE())/100,"")</f>
        <v>0.1551</v>
      </c>
      <c r="O235" s="10" t="n">
        <f aca="false">IFERROR(VLOOKUP(A235,'Dados-Status-Invest'!$1:$1000,MATCH(O$1,'Dados-Status-Invest'!$2:$2,0),FALSE())/100,"")</f>
        <v>0.3288</v>
      </c>
      <c r="P235" s="10" t="n">
        <f aca="false">IFERROR(VLOOKUP(A235,'Dados-Status-Invest'!$1:$1000,MATCH(P$1,'Dados-Status-Invest'!$2:$2,0),FALSE())/100,"")</f>
        <v>0.229</v>
      </c>
      <c r="Q235" s="10" t="n">
        <f aca="false">IFERROR(VLOOKUP(A235,'Dados-Status-Invest'!$1:$1000,MATCH(Q$1,'Dados-Status-Invest'!$2:$2,0),FALSE())/100,"")</f>
        <v>0.1754</v>
      </c>
      <c r="R235" s="12" t="n">
        <f aca="false">IFERROR(VLOOKUP(A235,'Dados-Status-Invest'!$1:$1000,MATCH(R$1,'Dados-Status-Invest'!$2:$2,0),FALSE()),"")</f>
        <v>10.98</v>
      </c>
      <c r="S235" s="12" t="n">
        <f aca="false">IFERROR(VLOOKUP(A235,'Dados-Status-Invest'!$1:$1000,MATCH(S$1,'Dados-Status-Invest'!$2:$2,0),FALSE()),"")</f>
        <v>2.61</v>
      </c>
      <c r="T235" s="12" t="n">
        <f aca="false">IFERROR(VLOOKUP(A235,'Dados-Status-Invest'!$1:$1000,MATCH(T$1,'Dados-Status-Invest'!$2:$2,0),FALSE()),"")</f>
        <v>0</v>
      </c>
      <c r="U235" s="12" t="n">
        <f aca="false">IFERROR(VLOOKUP(A235,'Dados-Status-Invest'!$1:$1000,MATCH(U$1,'Dados-Status-Invest'!$2:$2,0),FALSE()),"")</f>
        <v>2.21</v>
      </c>
      <c r="V235" s="12" t="n">
        <f aca="false">IFERROR(VLOOKUP(A235,'Dados-Status-Invest'!$1:$1000,MATCH(V$1,'Dados-Status-Invest'!$2:$2,0),FALSE()),"")</f>
        <v>0.87</v>
      </c>
      <c r="W235" s="10" t="n">
        <f aca="false">IFERROR(VLOOKUP(A235,'Dados-Status-Invest'!$1:$1000,MATCH(W$1,'Dados-Status-Invest'!$2:$2,0),FALSE())/100,"")</f>
        <v>0.0844</v>
      </c>
      <c r="X235" s="10" t="n">
        <f aca="false">IFERROR(VLOOKUP(A235,'Dados-Status-Invest'!$1:$1000,MATCH(X$1,'Dados-Status-Invest'!$2:$2,0),FALSE())/100,"")</f>
        <v>0.1547</v>
      </c>
    </row>
    <row r="236" customFormat="false" ht="15.75" hidden="false" customHeight="false" outlineLevel="0" collapsed="false">
      <c r="A236" s="6" t="s">
        <v>268</v>
      </c>
      <c r="B236" s="7" t="s">
        <v>31</v>
      </c>
      <c r="C236" s="8" t="n">
        <f aca="false">IFERROR(__xludf.dummyfunction("IFERROR(IFERROR(GOOGLEFINANCE(A242,""price""),VLOOKUP(A242,'Dados-Status-Invest'!A:B,2,FALSE)),"""")"),83.99)</f>
        <v>83.99</v>
      </c>
      <c r="D236" s="8" t="n">
        <f aca="false">IFERROR(VLOOKUP(A236,'Dados-Status-Invest'!$1:$1000,MATCH(D$1,'Dados-Status-Invest'!$2:$2,0),FALSE()),"")</f>
        <v>0</v>
      </c>
      <c r="E236" s="8" t="str">
        <f aca="false">IF(D236+H236&gt;0,D236+H236,"")</f>
        <v/>
      </c>
      <c r="F236" s="8" t="n">
        <f aca="false">IFERROR(D236/VLOOKUP(A236,'Dados-Status-Invest'!$1:$1000,5,FALSE()),"")</f>
        <v>0</v>
      </c>
      <c r="G236" s="8" t="n">
        <f aca="false">IFERROR(D236/VLOOKUP(A236,'Dados-Status-Invest'!$1:$1000,6,FALSE()),"")</f>
        <v>0</v>
      </c>
      <c r="H236" s="8" t="n">
        <f aca="false">IFERROR(VLOOKUP(A236,'Dados-Status-Invest'!$1:$1000,12,FALSE())*J236,"")</f>
        <v>0</v>
      </c>
      <c r="I236" s="8" t="n">
        <f aca="false">IFERROR(D236/VLOOKUP(A236,'Dados-Status-Invest'!$1:$1000,14,FALSE()),"")</f>
        <v>0</v>
      </c>
      <c r="J236" s="9" t="n">
        <f aca="false">IFERROR(D236/VLOOKUP(A236,'Dados-Status-Invest'!$1:$1000,10,FALSE()),"")</f>
        <v>0</v>
      </c>
      <c r="K236" s="10" t="n">
        <f aca="false">IFERROR(VLOOKUP(A236,'Dados-Status-Invest'!$1:$1000,3,FALSE())/100,"")</f>
        <v>0.0156</v>
      </c>
      <c r="L236" s="11" t="n">
        <f aca="false">IFERROR(VLOOKUP(A236,'Dados-Status-Invest'!$1:$1000,MATCH(L$1,'Dados-Status-Invest'!$2:$2,0),FALSE())/100,"")</f>
        <v>0.238</v>
      </c>
      <c r="M236" s="10" t="n">
        <f aca="false">IFERROR(VLOOKUP(A236,'Dados-Status-Invest'!$1:$1000,MATCH(M$1,'Dados-Status-Invest'!$2:$2,0),FALSE())/100,"")</f>
        <v>0.1025</v>
      </c>
      <c r="N236" s="10" t="n">
        <f aca="false">IFERROR(VLOOKUP(A236,'Dados-Status-Invest'!$1:$1000,MATCH(N$1,'Dados-Status-Invest'!$2:$2,0),FALSE())/100,"")</f>
        <v>0.1551</v>
      </c>
      <c r="O236" s="10" t="n">
        <f aca="false">IFERROR(VLOOKUP(A236,'Dados-Status-Invest'!$1:$1000,MATCH(O$1,'Dados-Status-Invest'!$2:$2,0),FALSE())/100,"")</f>
        <v>0.3288</v>
      </c>
      <c r="P236" s="10" t="n">
        <f aca="false">IFERROR(VLOOKUP(A236,'Dados-Status-Invest'!$1:$1000,MATCH(P$1,'Dados-Status-Invest'!$2:$2,0),FALSE())/100,"")</f>
        <v>0.229</v>
      </c>
      <c r="Q236" s="10" t="n">
        <f aca="false">IFERROR(VLOOKUP(A236,'Dados-Status-Invest'!$1:$1000,MATCH(Q$1,'Dados-Status-Invest'!$2:$2,0),FALSE())/100,"")</f>
        <v>0.1754</v>
      </c>
      <c r="R236" s="12" t="n">
        <f aca="false">IFERROR(VLOOKUP(A236,'Dados-Status-Invest'!$1:$1000,MATCH(R$1,'Dados-Status-Invest'!$2:$2,0),FALSE()),"")</f>
        <v>18.27</v>
      </c>
      <c r="S236" s="12" t="n">
        <f aca="false">IFERROR(VLOOKUP(A236,'Dados-Status-Invest'!$1:$1000,MATCH(S$1,'Dados-Status-Invest'!$2:$2,0),FALSE()),"")</f>
        <v>4.35</v>
      </c>
      <c r="T236" s="12" t="n">
        <f aca="false">IFERROR(VLOOKUP(A236,'Dados-Status-Invest'!$1:$1000,MATCH(T$1,'Dados-Status-Invest'!$2:$2,0),FALSE()),"")</f>
        <v>0</v>
      </c>
      <c r="U236" s="12" t="n">
        <f aca="false">IFERROR(VLOOKUP(A236,'Dados-Status-Invest'!$1:$1000,MATCH(U$1,'Dados-Status-Invest'!$2:$2,0),FALSE()),"")</f>
        <v>2.21</v>
      </c>
      <c r="V236" s="12" t="n">
        <f aca="false">IFERROR(VLOOKUP(A236,'Dados-Status-Invest'!$1:$1000,MATCH(V$1,'Dados-Status-Invest'!$2:$2,0),FALSE()),"")</f>
        <v>0.87</v>
      </c>
      <c r="W236" s="10" t="n">
        <f aca="false">IFERROR(VLOOKUP(A236,'Dados-Status-Invest'!$1:$1000,MATCH(W$1,'Dados-Status-Invest'!$2:$2,0),FALSE())/100,"")</f>
        <v>0.0844</v>
      </c>
      <c r="X236" s="10" t="n">
        <f aca="false">IFERROR(VLOOKUP(A236,'Dados-Status-Invest'!$1:$1000,MATCH(X$1,'Dados-Status-Invest'!$2:$2,0),FALSE())/100,"")</f>
        <v>0.1547</v>
      </c>
    </row>
    <row r="237" customFormat="false" ht="15.75" hidden="false" customHeight="false" outlineLevel="0" collapsed="false">
      <c r="A237" s="6" t="s">
        <v>269</v>
      </c>
      <c r="B237" s="7" t="str">
        <f aca="false">IFERROR(VLOOKUP(LEFT(A237,4),Setor!A:D,2,FALSE()),"")</f>
        <v>Utilidade Pública</v>
      </c>
      <c r="C237" s="8" t="n">
        <f aca="false">IFERROR(__xludf.dummyfunction("IFERROR(IFERROR(GOOGLEFINANCE(A243,""price""),VLOOKUP(A243,'Dados-Status-Invest'!A:B,2,FALSE)),"""")"),85)</f>
        <v>85</v>
      </c>
      <c r="D237" s="8" t="n">
        <f aca="false">IFERROR(VLOOKUP(A237,'Dados-Status-Invest'!$1:$1000,MATCH(D$1,'Dados-Status-Invest'!$2:$2,0),FALSE()),"")</f>
        <v>13486823442</v>
      </c>
      <c r="E237" s="8" t="n">
        <f aca="false">IF(D237+H237&gt;0,D237+H237,"")</f>
        <v>16498679081</v>
      </c>
      <c r="F237" s="8" t="n">
        <f aca="false">IFERROR(D237/VLOOKUP(A237,'Dados-Status-Invest'!$1:$1000,5,FALSE()),"")</f>
        <v>2670658107</v>
      </c>
      <c r="G237" s="8" t="n">
        <f aca="false">IFERROR(D237/VLOOKUP(A237,'Dados-Status-Invest'!$1:$1000,6,FALSE()),"")</f>
        <v>8757677560</v>
      </c>
      <c r="H237" s="8" t="n">
        <f aca="false">IFERROR(VLOOKUP(A237,'Dados-Status-Invest'!$1:$1000,12,FALSE())*J237,"")</f>
        <v>3011855639</v>
      </c>
      <c r="I237" s="8" t="n">
        <f aca="false">IFERROR(D237/VLOOKUP(A237,'Dados-Status-Invest'!$1:$1000,14,FALSE()),"")</f>
        <v>5416394957</v>
      </c>
      <c r="J237" s="9" t="n">
        <f aca="false">IFERROR(D237/VLOOKUP(A237,'Dados-Status-Invest'!$1:$1000,10,FALSE()),"")</f>
        <v>1209580578</v>
      </c>
      <c r="K237" s="10" t="n">
        <f aca="false">IFERROR(VLOOKUP(A237,'Dados-Status-Invest'!$1:$1000,3,FALSE())/100,"")</f>
        <v>0.0391</v>
      </c>
      <c r="L237" s="11" t="n">
        <f aca="false">IFERROR(VLOOKUP(A237,'Dados-Status-Invest'!$1:$1000,MATCH(L$1,'Dados-Status-Invest'!$2:$2,0),FALSE())/100,"")</f>
        <v>0.3466</v>
      </c>
      <c r="M237" s="10" t="n">
        <f aca="false">IFERROR(VLOOKUP(A237,'Dados-Status-Invest'!$1:$1000,MATCH(M$1,'Dados-Status-Invest'!$2:$2,0),FALSE())/100,"")</f>
        <v>0.1057</v>
      </c>
      <c r="N237" s="10" t="n">
        <f aca="false">IFERROR(VLOOKUP(A237,'Dados-Status-Invest'!$1:$1000,MATCH(N$1,'Dados-Status-Invest'!$2:$2,0),FALSE())/100,"")</f>
        <v>0.1508</v>
      </c>
      <c r="O237" s="10" t="n">
        <f aca="false">IFERROR(VLOOKUP(A237,'Dados-Status-Invest'!$1:$1000,MATCH(O$1,'Dados-Status-Invest'!$2:$2,0),FALSE())/100,"")</f>
        <v>0.2568</v>
      </c>
      <c r="P237" s="10" t="n">
        <f aca="false">IFERROR(VLOOKUP(A237,'Dados-Status-Invest'!$1:$1000,MATCH(P$1,'Dados-Status-Invest'!$2:$2,0),FALSE())/100,"")</f>
        <v>0.2234</v>
      </c>
      <c r="Q237" s="10" t="n">
        <f aca="false">IFERROR(VLOOKUP(A237,'Dados-Status-Invest'!$1:$1000,MATCH(Q$1,'Dados-Status-Invest'!$2:$2,0),FALSE())/100,"")</f>
        <v>0.1708</v>
      </c>
      <c r="R237" s="12" t="n">
        <f aca="false">IFERROR(VLOOKUP(A237,'Dados-Status-Invest'!$1:$1000,MATCH(R$1,'Dados-Status-Invest'!$2:$2,0),FALSE()),"")</f>
        <v>14.58</v>
      </c>
      <c r="S237" s="12" t="n">
        <f aca="false">IFERROR(VLOOKUP(A237,'Dados-Status-Invest'!$1:$1000,MATCH(S$1,'Dados-Status-Invest'!$2:$2,0),FALSE()),"")</f>
        <v>5.05</v>
      </c>
      <c r="T237" s="12" t="n">
        <f aca="false">IFERROR(VLOOKUP(A237,'Dados-Status-Invest'!$1:$1000,MATCH(T$1,'Dados-Status-Invest'!$2:$2,0),FALSE()),"")</f>
        <v>13.64</v>
      </c>
      <c r="U237" s="12" t="n">
        <f aca="false">IFERROR(VLOOKUP(A237,'Dados-Status-Invest'!$1:$1000,MATCH(U$1,'Dados-Status-Invest'!$2:$2,0),FALSE()),"")</f>
        <v>1.44</v>
      </c>
      <c r="V237" s="12" t="n">
        <f aca="false">IFERROR(VLOOKUP(A237,'Dados-Status-Invest'!$1:$1000,MATCH(V$1,'Dados-Status-Invest'!$2:$2,0),FALSE()),"")</f>
        <v>2.49</v>
      </c>
      <c r="W237" s="10" t="n">
        <f aca="false">IFERROR(VLOOKUP(A237,'Dados-Status-Invest'!$1:$1000,MATCH(W$1,'Dados-Status-Invest'!$2:$2,0),FALSE())/100,"")</f>
        <v>0.0741</v>
      </c>
      <c r="X237" s="10" t="n">
        <f aca="false">IFERROR(VLOOKUP(A237,'Dados-Status-Invest'!$1:$1000,MATCH(X$1,'Dados-Status-Invest'!$2:$2,0),FALSE())/100,"")</f>
        <v>0.7184</v>
      </c>
    </row>
    <row r="238" customFormat="false" ht="15.75" hidden="false" customHeight="false" outlineLevel="0" collapsed="false">
      <c r="A238" s="6" t="s">
        <v>270</v>
      </c>
      <c r="B238" s="7" t="str">
        <f aca="false">IFERROR(VLOOKUP(LEFT(A238,4),Setor!A:D,2,FALSE()),"")</f>
        <v>Utilidade Pública</v>
      </c>
      <c r="C238" s="8" t="n">
        <f aca="false">IFERROR(__xludf.dummyfunction("IFERROR(IFERROR(GOOGLEFINANCE(A244,""price""),VLOOKUP(A244,'Dados-Status-Invest'!A:B,2,FALSE)),"""")"),84.99)</f>
        <v>84.99</v>
      </c>
      <c r="D238" s="8" t="n">
        <f aca="false">IFERROR(VLOOKUP(A238,'Dados-Status-Invest'!$1:$1000,MATCH(D$1,'Dados-Status-Invest'!$2:$2,0),FALSE()),"")</f>
        <v>13486823442</v>
      </c>
      <c r="E238" s="8" t="n">
        <f aca="false">IF(D238+H238&gt;0,D238+H238,"")</f>
        <v>16498679081</v>
      </c>
      <c r="F238" s="8" t="n">
        <f aca="false">IFERROR(D238/VLOOKUP(A238,'Dados-Status-Invest'!$1:$1000,5,FALSE()),"")</f>
        <v>2670658107</v>
      </c>
      <c r="G238" s="8" t="n">
        <f aca="false">IFERROR(D238/VLOOKUP(A238,'Dados-Status-Invest'!$1:$1000,6,FALSE()),"")</f>
        <v>8757677560</v>
      </c>
      <c r="H238" s="8" t="n">
        <f aca="false">IFERROR(VLOOKUP(A238,'Dados-Status-Invest'!$1:$1000,12,FALSE())*J238,"")</f>
        <v>3011855639</v>
      </c>
      <c r="I238" s="8" t="n">
        <f aca="false">IFERROR(D238/VLOOKUP(A238,'Dados-Status-Invest'!$1:$1000,14,FALSE()),"")</f>
        <v>5416394957</v>
      </c>
      <c r="J238" s="9" t="n">
        <f aca="false">IFERROR(D238/VLOOKUP(A238,'Dados-Status-Invest'!$1:$1000,10,FALSE()),"")</f>
        <v>1209580578</v>
      </c>
      <c r="K238" s="10" t="n">
        <f aca="false">IFERROR(VLOOKUP(A238,'Dados-Status-Invest'!$1:$1000,3,FALSE())/100,"")</f>
        <v>0.0391</v>
      </c>
      <c r="L238" s="11" t="n">
        <f aca="false">IFERROR(VLOOKUP(A238,'Dados-Status-Invest'!$1:$1000,MATCH(L$1,'Dados-Status-Invest'!$2:$2,0),FALSE())/100,"")</f>
        <v>0.3466</v>
      </c>
      <c r="M238" s="10" t="n">
        <f aca="false">IFERROR(VLOOKUP(A238,'Dados-Status-Invest'!$1:$1000,MATCH(M$1,'Dados-Status-Invest'!$2:$2,0),FALSE())/100,"")</f>
        <v>0.1057</v>
      </c>
      <c r="N238" s="10" t="n">
        <f aca="false">IFERROR(VLOOKUP(A238,'Dados-Status-Invest'!$1:$1000,MATCH(N$1,'Dados-Status-Invest'!$2:$2,0),FALSE())/100,"")</f>
        <v>0.1508</v>
      </c>
      <c r="O238" s="10" t="n">
        <f aca="false">IFERROR(VLOOKUP(A238,'Dados-Status-Invest'!$1:$1000,MATCH(O$1,'Dados-Status-Invest'!$2:$2,0),FALSE())/100,"")</f>
        <v>0.2568</v>
      </c>
      <c r="P238" s="10" t="n">
        <f aca="false">IFERROR(VLOOKUP(A238,'Dados-Status-Invest'!$1:$1000,MATCH(P$1,'Dados-Status-Invest'!$2:$2,0),FALSE())/100,"")</f>
        <v>0.2234</v>
      </c>
      <c r="Q238" s="10" t="n">
        <f aca="false">IFERROR(VLOOKUP(A238,'Dados-Status-Invest'!$1:$1000,MATCH(Q$1,'Dados-Status-Invest'!$2:$2,0),FALSE())/100,"")</f>
        <v>0.1708</v>
      </c>
      <c r="R238" s="12" t="n">
        <f aca="false">IFERROR(VLOOKUP(A238,'Dados-Status-Invest'!$1:$1000,MATCH(R$1,'Dados-Status-Invest'!$2:$2,0),FALSE()),"")</f>
        <v>14.58</v>
      </c>
      <c r="S238" s="12" t="n">
        <f aca="false">IFERROR(VLOOKUP(A238,'Dados-Status-Invest'!$1:$1000,MATCH(S$1,'Dados-Status-Invest'!$2:$2,0),FALSE()),"")</f>
        <v>5.05</v>
      </c>
      <c r="T238" s="12" t="n">
        <f aca="false">IFERROR(VLOOKUP(A238,'Dados-Status-Invest'!$1:$1000,MATCH(T$1,'Dados-Status-Invest'!$2:$2,0),FALSE()),"")</f>
        <v>13.64</v>
      </c>
      <c r="U238" s="12" t="n">
        <f aca="false">IFERROR(VLOOKUP(A238,'Dados-Status-Invest'!$1:$1000,MATCH(U$1,'Dados-Status-Invest'!$2:$2,0),FALSE()),"")</f>
        <v>1.44</v>
      </c>
      <c r="V238" s="12" t="n">
        <f aca="false">IFERROR(VLOOKUP(A238,'Dados-Status-Invest'!$1:$1000,MATCH(V$1,'Dados-Status-Invest'!$2:$2,0),FALSE()),"")</f>
        <v>2.49</v>
      </c>
      <c r="W238" s="10" t="n">
        <f aca="false">IFERROR(VLOOKUP(A238,'Dados-Status-Invest'!$1:$1000,MATCH(W$1,'Dados-Status-Invest'!$2:$2,0),FALSE())/100,"")</f>
        <v>0.0741</v>
      </c>
      <c r="X238" s="10" t="n">
        <f aca="false">IFERROR(VLOOKUP(A238,'Dados-Status-Invest'!$1:$1000,MATCH(X$1,'Dados-Status-Invest'!$2:$2,0),FALSE())/100,"")</f>
        <v>0.7184</v>
      </c>
    </row>
    <row r="239" customFormat="false" ht="15.75" hidden="false" customHeight="false" outlineLevel="0" collapsed="false">
      <c r="A239" s="6" t="s">
        <v>271</v>
      </c>
      <c r="B239" s="7" t="s">
        <v>109</v>
      </c>
      <c r="C239" s="8" t="n">
        <f aca="false">IFERROR(__xludf.dummyfunction("IFERROR(IFERROR(GOOGLEFINANCE(A245,""price""),VLOOKUP(A245,'Dados-Status-Invest'!A:B,2,FALSE)),"""")"),14.69)</f>
        <v>14.69</v>
      </c>
      <c r="D239" s="8" t="n">
        <f aca="false">IFERROR(VLOOKUP(A239,'Dados-Status-Invest'!$1:$1000,MATCH(D$1,'Dados-Status-Invest'!$2:$2,0),FALSE()),"")</f>
        <v>274771902.3</v>
      </c>
      <c r="E239" s="8" t="n">
        <f aca="false">IF(D239+H239&gt;0,D239+H239,"")</f>
        <v>288058744.77</v>
      </c>
      <c r="F239" s="8" t="n">
        <f aca="false">IFERROR(D239/VLOOKUP(A239,'Dados-Status-Invest'!$1:$1000,5,FALSE()),"")</f>
        <v>39995910.09</v>
      </c>
      <c r="G239" s="8" t="n">
        <f aca="false">IFERROR(D239/VLOOKUP(A239,'Dados-Status-Invest'!$1:$1000,6,FALSE()),"")</f>
        <v>206595415.3</v>
      </c>
      <c r="H239" s="8" t="n">
        <f aca="false">IFERROR(VLOOKUP(A239,'Dados-Status-Invest'!$1:$1000,12,FALSE())*J239,"")</f>
        <v>13286842.47</v>
      </c>
      <c r="I239" s="8" t="n">
        <f aca="false">IFERROR(D239/VLOOKUP(A239,'Dados-Status-Invest'!$1:$1000,14,FALSE()),"")</f>
        <v>584621068.8</v>
      </c>
      <c r="J239" s="9" t="n">
        <f aca="false">IFERROR(D239/VLOOKUP(A239,'Dados-Status-Invest'!$1:$1000,10,FALSE()),"")</f>
        <v>53147369.89</v>
      </c>
      <c r="K239" s="10" t="n">
        <f aca="false">IFERROR(VLOOKUP(A239,'Dados-Status-Invest'!$1:$1000,3,FALSE())/100,"")</f>
        <v>0</v>
      </c>
      <c r="L239" s="11" t="n">
        <f aca="false">IFERROR(VLOOKUP(A239,'Dados-Status-Invest'!$1:$1000,MATCH(L$1,'Dados-Status-Invest'!$2:$2,0),FALSE())/100,"")</f>
        <v>0.7412</v>
      </c>
      <c r="M239" s="10" t="n">
        <f aca="false">IFERROR(VLOOKUP(A239,'Dados-Status-Invest'!$1:$1000,MATCH(M$1,'Dados-Status-Invest'!$2:$2,0),FALSE())/100,"")</f>
        <v>0.1437</v>
      </c>
      <c r="N239" s="10" t="n">
        <f aca="false">IFERROR(VLOOKUP(A239,'Dados-Status-Invest'!$1:$1000,MATCH(N$1,'Dados-Status-Invest'!$2:$2,0),FALSE())/100,"")</f>
        <v>0.5178</v>
      </c>
      <c r="O239" s="10" t="n">
        <f aca="false">IFERROR(VLOOKUP(A239,'Dados-Status-Invest'!$1:$1000,MATCH(O$1,'Dados-Status-Invest'!$2:$2,0),FALSE())/100,"")</f>
        <v>0.1764</v>
      </c>
      <c r="P239" s="10" t="n">
        <f aca="false">IFERROR(VLOOKUP(A239,'Dados-Status-Invest'!$1:$1000,MATCH(P$1,'Dados-Status-Invest'!$2:$2,0),FALSE())/100,"")</f>
        <v>0.0915</v>
      </c>
      <c r="Q239" s="10" t="n">
        <f aca="false">IFERROR(VLOOKUP(A239,'Dados-Status-Invest'!$1:$1000,MATCH(Q$1,'Dados-Status-Invest'!$2:$2,0),FALSE())/100,"")</f>
        <v>0.0511</v>
      </c>
      <c r="R239" s="12" t="n">
        <f aca="false">IFERROR(VLOOKUP(A239,'Dados-Status-Invest'!$1:$1000,MATCH(R$1,'Dados-Status-Invest'!$2:$2,0),FALSE()),"")</f>
        <v>9.27</v>
      </c>
      <c r="S239" s="12" t="n">
        <f aca="false">IFERROR(VLOOKUP(A239,'Dados-Status-Invest'!$1:$1000,MATCH(S$1,'Dados-Status-Invest'!$2:$2,0),FALSE()),"")</f>
        <v>6.87</v>
      </c>
      <c r="T239" s="12" t="n">
        <f aca="false">IFERROR(VLOOKUP(A239,'Dados-Status-Invest'!$1:$1000,MATCH(T$1,'Dados-Status-Invest'!$2:$2,0),FALSE()),"")</f>
        <v>5.71</v>
      </c>
      <c r="U239" s="12" t="n">
        <f aca="false">IFERROR(VLOOKUP(A239,'Dados-Status-Invest'!$1:$1000,MATCH(U$1,'Dados-Status-Invest'!$2:$2,0),FALSE()),"")</f>
        <v>1.17</v>
      </c>
      <c r="V239" s="12" t="n">
        <f aca="false">IFERROR(VLOOKUP(A239,'Dados-Status-Invest'!$1:$1000,MATCH(V$1,'Dados-Status-Invest'!$2:$2,0),FALSE()),"")</f>
        <v>0.25</v>
      </c>
      <c r="W239" s="10" t="n">
        <f aca="false">IFERROR(VLOOKUP(A239,'Dados-Status-Invest'!$1:$1000,MATCH(W$1,'Dados-Status-Invest'!$2:$2,0),FALSE())/100,"")</f>
        <v>0.0592</v>
      </c>
      <c r="X239" s="10" t="n">
        <f aca="false">IFERROR(VLOOKUP(A239,'Dados-Status-Invest'!$1:$1000,MATCH(X$1,'Dados-Status-Invest'!$2:$2,0),FALSE())/100,"")</f>
        <v>-0.2436</v>
      </c>
    </row>
    <row r="240" customFormat="false" ht="15.75" hidden="false" customHeight="false" outlineLevel="0" collapsed="false">
      <c r="A240" s="6" t="s">
        <v>272</v>
      </c>
      <c r="B240" s="7" t="str">
        <f aca="false">IFERROR(VLOOKUP(LEFT(A240,4),Setor!A:D,2,FALSE()),"")</f>
        <v>Utilidade Pública</v>
      </c>
      <c r="C240" s="8" t="n">
        <f aca="false">IFERROR(__xludf.dummyfunction("IFERROR(IFERROR(GOOGLEFINANCE(A246,""price""),VLOOKUP(A246,'Dados-Status-Invest'!A:B,2,FALSE)),"""")"),5.17)</f>
        <v>5.17</v>
      </c>
      <c r="D240" s="8" t="n">
        <f aca="false">IFERROR(VLOOKUP(A240,'Dados-Status-Invest'!$1:$1000,MATCH(D$1,'Dados-Status-Invest'!$2:$2,0),FALSE()),"")</f>
        <v>12083900337</v>
      </c>
      <c r="E240" s="8" t="n">
        <f aca="false">IF(D240+H240&gt;0,D240+H240,"")</f>
        <v>13657508350</v>
      </c>
      <c r="F240" s="8" t="n">
        <f aca="false">IFERROR(D240/VLOOKUP(A240,'Dados-Status-Invest'!$1:$1000,5,FALSE()),"")</f>
        <v>3432926232</v>
      </c>
      <c r="G240" s="8" t="n">
        <f aca="false">IFERROR(D240/VLOOKUP(A240,'Dados-Status-Invest'!$1:$1000,6,FALSE()),"")</f>
        <v>12457629213</v>
      </c>
      <c r="H240" s="8" t="n">
        <f aca="false">IFERROR(VLOOKUP(A240,'Dados-Status-Invest'!$1:$1000,12,FALSE())*J240,"")</f>
        <v>1573608013</v>
      </c>
      <c r="I240" s="8" t="n">
        <f aca="false">IFERROR(D240/VLOOKUP(A240,'Dados-Status-Invest'!$1:$1000,14,FALSE()),"")</f>
        <v>6041950168</v>
      </c>
      <c r="J240" s="9" t="n">
        <f aca="false">IFERROR(D240/VLOOKUP(A240,'Dados-Status-Invest'!$1:$1000,10,FALSE()),"")</f>
        <v>1174334338</v>
      </c>
      <c r="K240" s="10" t="n">
        <f aca="false">IFERROR(VLOOKUP(A240,'Dados-Status-Invest'!$1:$1000,3,FALSE())/100,"")</f>
        <v>0.0541</v>
      </c>
      <c r="L240" s="11" t="n">
        <f aca="false">IFERROR(VLOOKUP(A240,'Dados-Status-Invest'!$1:$1000,MATCH(L$1,'Dados-Status-Invest'!$2:$2,0),FALSE())/100,"")</f>
        <v>0.2106</v>
      </c>
      <c r="M240" s="10" t="n">
        <f aca="false">IFERROR(VLOOKUP(A240,'Dados-Status-Invest'!$1:$1000,MATCH(M$1,'Dados-Status-Invest'!$2:$2,0),FALSE())/100,"")</f>
        <v>0.0582</v>
      </c>
      <c r="N240" s="10" t="n">
        <f aca="false">IFERROR(VLOOKUP(A240,'Dados-Status-Invest'!$1:$1000,MATCH(N$1,'Dados-Status-Invest'!$2:$2,0),FALSE())/100,"")</f>
        <v>0.124</v>
      </c>
      <c r="O240" s="10" t="n">
        <f aca="false">IFERROR(VLOOKUP(A240,'Dados-Status-Invest'!$1:$1000,MATCH(O$1,'Dados-Status-Invest'!$2:$2,0),FALSE())/100,"")</f>
        <v>0.3002</v>
      </c>
      <c r="P240" s="10" t="n">
        <f aca="false">IFERROR(VLOOKUP(A240,'Dados-Status-Invest'!$1:$1000,MATCH(P$1,'Dados-Status-Invest'!$2:$2,0),FALSE())/100,"")</f>
        <v>0.1946</v>
      </c>
      <c r="Q240" s="10" t="n">
        <f aca="false">IFERROR(VLOOKUP(A240,'Dados-Status-Invest'!$1:$1000,MATCH(Q$1,'Dados-Status-Invest'!$2:$2,0),FALSE())/100,"")</f>
        <v>0.1197</v>
      </c>
      <c r="R240" s="12" t="n">
        <f aca="false">IFERROR(VLOOKUP(A240,'Dados-Status-Invest'!$1:$1000,MATCH(R$1,'Dados-Status-Invest'!$2:$2,0),FALSE()),"")</f>
        <v>16.72</v>
      </c>
      <c r="S240" s="12" t="n">
        <f aca="false">IFERROR(VLOOKUP(A240,'Dados-Status-Invest'!$1:$1000,MATCH(S$1,'Dados-Status-Invest'!$2:$2,0),FALSE()),"")</f>
        <v>3.52</v>
      </c>
      <c r="T240" s="12" t="n">
        <f aca="false">IFERROR(VLOOKUP(A240,'Dados-Status-Invest'!$1:$1000,MATCH(T$1,'Dados-Status-Invest'!$2:$2,0),FALSE()),"")</f>
        <v>11.48</v>
      </c>
      <c r="U240" s="12" t="n">
        <f aca="false">IFERROR(VLOOKUP(A240,'Dados-Status-Invest'!$1:$1000,MATCH(U$1,'Dados-Status-Invest'!$2:$2,0),FALSE()),"")</f>
        <v>2.06</v>
      </c>
      <c r="V240" s="12" t="n">
        <f aca="false">IFERROR(VLOOKUP(A240,'Dados-Status-Invest'!$1:$1000,MATCH(V$1,'Dados-Status-Invest'!$2:$2,0),FALSE()),"")</f>
        <v>1.34</v>
      </c>
      <c r="W240" s="10" t="n">
        <f aca="false">IFERROR(VLOOKUP(A240,'Dados-Status-Invest'!$1:$1000,MATCH(W$1,'Dados-Status-Invest'!$2:$2,0),FALSE())/100,"")</f>
        <v>0.0701</v>
      </c>
      <c r="X240" s="10" t="n">
        <f aca="false">IFERROR(VLOOKUP(A240,'Dados-Status-Invest'!$1:$1000,MATCH(X$1,'Dados-Status-Invest'!$2:$2,0),FALSE())/100,"")</f>
        <v>0.0667</v>
      </c>
    </row>
    <row r="241" customFormat="false" ht="15.75" hidden="false" customHeight="false" outlineLevel="0" collapsed="false">
      <c r="A241" s="6" t="s">
        <v>273</v>
      </c>
      <c r="B241" s="7" t="str">
        <f aca="false">IFERROR(VLOOKUP(LEFT(A241,4),Setor!A:D,2,FALSE()),"")</f>
        <v>Utilidade Pública</v>
      </c>
      <c r="C241" s="8" t="n">
        <f aca="false">IFERROR(__xludf.dummyfunction("IFERROR(IFERROR(GOOGLEFINANCE(A247,""price""),VLOOKUP(A247,'Dados-Status-Invest'!A:B,2,FALSE)),"""")"),7)</f>
        <v>7</v>
      </c>
      <c r="D241" s="8" t="n">
        <f aca="false">IFERROR(VLOOKUP(A241,'Dados-Status-Invest'!$1:$1000,MATCH(D$1,'Dados-Status-Invest'!$2:$2,0),FALSE()),"")</f>
        <v>12083900337</v>
      </c>
      <c r="E241" s="8" t="n">
        <f aca="false">IF(D241+H241&gt;0,D241+H241,"")</f>
        <v>12957278247</v>
      </c>
      <c r="F241" s="8" t="n">
        <f aca="false">IFERROR(D241/VLOOKUP(A241,'Dados-Status-Invest'!$1:$1000,5,FALSE()),"")</f>
        <v>1905977971</v>
      </c>
      <c r="G241" s="8" t="n">
        <f aca="false">IFERROR(D241/VLOOKUP(A241,'Dados-Status-Invest'!$1:$1000,6,FALSE()),"")</f>
        <v>6905085907</v>
      </c>
      <c r="H241" s="8" t="n">
        <f aca="false">IFERROR(VLOOKUP(A241,'Dados-Status-Invest'!$1:$1000,12,FALSE())*J241,"")</f>
        <v>873377910</v>
      </c>
      <c r="I241" s="8" t="n">
        <f aca="false">IFERROR(D241/VLOOKUP(A241,'Dados-Status-Invest'!$1:$1000,14,FALSE()),"")</f>
        <v>3347340814</v>
      </c>
      <c r="J241" s="9" t="n">
        <f aca="false">IFERROR(D241/VLOOKUP(A241,'Dados-Status-Invest'!$1:$1000,10,FALSE()),"")</f>
        <v>651774559.7</v>
      </c>
      <c r="K241" s="10" t="n">
        <f aca="false">IFERROR(VLOOKUP(A241,'Dados-Status-Invest'!$1:$1000,3,FALSE())/100,"")</f>
        <v>0.03</v>
      </c>
      <c r="L241" s="11" t="n">
        <f aca="false">IFERROR(VLOOKUP(A241,'Dados-Status-Invest'!$1:$1000,MATCH(L$1,'Dados-Status-Invest'!$2:$2,0),FALSE())/100,"")</f>
        <v>0.2106</v>
      </c>
      <c r="M241" s="10" t="n">
        <f aca="false">IFERROR(VLOOKUP(A241,'Dados-Status-Invest'!$1:$1000,MATCH(M$1,'Dados-Status-Invest'!$2:$2,0),FALSE())/100,"")</f>
        <v>0.0582</v>
      </c>
      <c r="N241" s="10" t="n">
        <f aca="false">IFERROR(VLOOKUP(A241,'Dados-Status-Invest'!$1:$1000,MATCH(N$1,'Dados-Status-Invest'!$2:$2,0),FALSE())/100,"")</f>
        <v>0.124</v>
      </c>
      <c r="O241" s="10" t="n">
        <f aca="false">IFERROR(VLOOKUP(A241,'Dados-Status-Invest'!$1:$1000,MATCH(O$1,'Dados-Status-Invest'!$2:$2,0),FALSE())/100,"")</f>
        <v>0.3002</v>
      </c>
      <c r="P241" s="10" t="n">
        <f aca="false">IFERROR(VLOOKUP(A241,'Dados-Status-Invest'!$1:$1000,MATCH(P$1,'Dados-Status-Invest'!$2:$2,0),FALSE())/100,"")</f>
        <v>0.1946</v>
      </c>
      <c r="Q241" s="10" t="n">
        <f aca="false">IFERROR(VLOOKUP(A241,'Dados-Status-Invest'!$1:$1000,MATCH(Q$1,'Dados-Status-Invest'!$2:$2,0),FALSE())/100,"")</f>
        <v>0.1197</v>
      </c>
      <c r="R241" s="12" t="n">
        <f aca="false">IFERROR(VLOOKUP(A241,'Dados-Status-Invest'!$1:$1000,MATCH(R$1,'Dados-Status-Invest'!$2:$2,0),FALSE()),"")</f>
        <v>30.12</v>
      </c>
      <c r="S241" s="12" t="n">
        <f aca="false">IFERROR(VLOOKUP(A241,'Dados-Status-Invest'!$1:$1000,MATCH(S$1,'Dados-Status-Invest'!$2:$2,0),FALSE()),"")</f>
        <v>6.34</v>
      </c>
      <c r="T241" s="12" t="n">
        <f aca="false">IFERROR(VLOOKUP(A241,'Dados-Status-Invest'!$1:$1000,MATCH(T$1,'Dados-Status-Invest'!$2:$2,0),FALSE()),"")</f>
        <v>11.48</v>
      </c>
      <c r="U241" s="12" t="n">
        <f aca="false">IFERROR(VLOOKUP(A241,'Dados-Status-Invest'!$1:$1000,MATCH(U$1,'Dados-Status-Invest'!$2:$2,0),FALSE()),"")</f>
        <v>2.06</v>
      </c>
      <c r="V241" s="12" t="n">
        <f aca="false">IFERROR(VLOOKUP(A241,'Dados-Status-Invest'!$1:$1000,MATCH(V$1,'Dados-Status-Invest'!$2:$2,0),FALSE()),"")</f>
        <v>1.34</v>
      </c>
      <c r="W241" s="10" t="n">
        <f aca="false">IFERROR(VLOOKUP(A241,'Dados-Status-Invest'!$1:$1000,MATCH(W$1,'Dados-Status-Invest'!$2:$2,0),FALSE())/100,"")</f>
        <v>0.0701</v>
      </c>
      <c r="X241" s="10" t="n">
        <f aca="false">IFERROR(VLOOKUP(A241,'Dados-Status-Invest'!$1:$1000,MATCH(X$1,'Dados-Status-Invest'!$2:$2,0),FALSE())/100,"")</f>
        <v>0.0667</v>
      </c>
    </row>
    <row r="242" customFormat="false" ht="15.75" hidden="false" customHeight="false" outlineLevel="0" collapsed="false">
      <c r="A242" s="6" t="s">
        <v>274</v>
      </c>
      <c r="B242" s="7" t="str">
        <f aca="false">IFERROR(VLOOKUP(LEFT(A242,4),Setor!A:D,2,FALSE()),"")</f>
        <v>Utilidade Pública</v>
      </c>
      <c r="C242" s="8" t="n">
        <f aca="false">IFERROR(__xludf.dummyfunction("IFERROR(IFERROR(GOOGLEFINANCE(A248,""price""),VLOOKUP(A248,'Dados-Status-Invest'!A:B,2,FALSE)),"""")"),10.69)</f>
        <v>10.69</v>
      </c>
      <c r="D242" s="8" t="n">
        <f aca="false">IFERROR(VLOOKUP(A242,'Dados-Status-Invest'!$1:$1000,MATCH(D$1,'Dados-Status-Invest'!$2:$2,0),FALSE()),"")</f>
        <v>12083900337</v>
      </c>
      <c r="E242" s="8" t="n">
        <f aca="false">IF(D242+H242&gt;0,D242+H242,"")</f>
        <v>12917272774</v>
      </c>
      <c r="F242" s="8" t="n">
        <f aca="false">IFERROR(D242/VLOOKUP(A242,'Dados-Status-Invest'!$1:$1000,5,FALSE()),"")</f>
        <v>1817127870</v>
      </c>
      <c r="G242" s="8" t="n">
        <f aca="false">IFERROR(D242/VLOOKUP(A242,'Dados-Status-Invest'!$1:$1000,6,FALSE()),"")</f>
        <v>6567337140</v>
      </c>
      <c r="H242" s="8" t="n">
        <f aca="false">IFERROR(VLOOKUP(A242,'Dados-Status-Invest'!$1:$1000,12,FALSE())*J242,"")</f>
        <v>833372437</v>
      </c>
      <c r="I242" s="8" t="n">
        <f aca="false">IFERROR(D242/VLOOKUP(A242,'Dados-Status-Invest'!$1:$1000,14,FALSE()),"")</f>
        <v>3196799031</v>
      </c>
      <c r="J242" s="9" t="n">
        <f aca="false">IFERROR(D242/VLOOKUP(A242,'Dados-Status-Invest'!$1:$1000,10,FALSE()),"")</f>
        <v>621919729.1</v>
      </c>
      <c r="K242" s="10" t="n">
        <f aca="false">IFERROR(VLOOKUP(A242,'Dados-Status-Invest'!$1:$1000,3,FALSE())/100,"")</f>
        <v>0.0286</v>
      </c>
      <c r="L242" s="11" t="n">
        <f aca="false">IFERROR(VLOOKUP(A242,'Dados-Status-Invest'!$1:$1000,MATCH(L$1,'Dados-Status-Invest'!$2:$2,0),FALSE())/100,"")</f>
        <v>0.2106</v>
      </c>
      <c r="M242" s="10" t="n">
        <f aca="false">IFERROR(VLOOKUP(A242,'Dados-Status-Invest'!$1:$1000,MATCH(M$1,'Dados-Status-Invest'!$2:$2,0),FALSE())/100,"")</f>
        <v>0.0582</v>
      </c>
      <c r="N242" s="10" t="n">
        <f aca="false">IFERROR(VLOOKUP(A242,'Dados-Status-Invest'!$1:$1000,MATCH(N$1,'Dados-Status-Invest'!$2:$2,0),FALSE())/100,"")</f>
        <v>0.124</v>
      </c>
      <c r="O242" s="10" t="n">
        <f aca="false">IFERROR(VLOOKUP(A242,'Dados-Status-Invest'!$1:$1000,MATCH(O$1,'Dados-Status-Invest'!$2:$2,0),FALSE())/100,"")</f>
        <v>0.3002</v>
      </c>
      <c r="P242" s="10" t="n">
        <f aca="false">IFERROR(VLOOKUP(A242,'Dados-Status-Invest'!$1:$1000,MATCH(P$1,'Dados-Status-Invest'!$2:$2,0),FALSE())/100,"")</f>
        <v>0.1946</v>
      </c>
      <c r="Q242" s="10" t="n">
        <f aca="false">IFERROR(VLOOKUP(A242,'Dados-Status-Invest'!$1:$1000,MATCH(Q$1,'Dados-Status-Invest'!$2:$2,0),FALSE())/100,"")</f>
        <v>0.1197</v>
      </c>
      <c r="R242" s="12" t="n">
        <f aca="false">IFERROR(VLOOKUP(A242,'Dados-Status-Invest'!$1:$1000,MATCH(R$1,'Dados-Status-Invest'!$2:$2,0),FALSE()),"")</f>
        <v>31.57</v>
      </c>
      <c r="S242" s="12" t="n">
        <f aca="false">IFERROR(VLOOKUP(A242,'Dados-Status-Invest'!$1:$1000,MATCH(S$1,'Dados-Status-Invest'!$2:$2,0),FALSE()),"")</f>
        <v>6.65</v>
      </c>
      <c r="T242" s="12" t="n">
        <f aca="false">IFERROR(VLOOKUP(A242,'Dados-Status-Invest'!$1:$1000,MATCH(T$1,'Dados-Status-Invest'!$2:$2,0),FALSE()),"")</f>
        <v>11.48</v>
      </c>
      <c r="U242" s="12" t="n">
        <f aca="false">IFERROR(VLOOKUP(A242,'Dados-Status-Invest'!$1:$1000,MATCH(U$1,'Dados-Status-Invest'!$2:$2,0),FALSE()),"")</f>
        <v>2.06</v>
      </c>
      <c r="V242" s="12" t="n">
        <f aca="false">IFERROR(VLOOKUP(A242,'Dados-Status-Invest'!$1:$1000,MATCH(V$1,'Dados-Status-Invest'!$2:$2,0),FALSE()),"")</f>
        <v>1.34</v>
      </c>
      <c r="W242" s="10" t="n">
        <f aca="false">IFERROR(VLOOKUP(A242,'Dados-Status-Invest'!$1:$1000,MATCH(W$1,'Dados-Status-Invest'!$2:$2,0),FALSE())/100,"")</f>
        <v>0.0701</v>
      </c>
      <c r="X242" s="10" t="n">
        <f aca="false">IFERROR(VLOOKUP(A242,'Dados-Status-Invest'!$1:$1000,MATCH(X$1,'Dados-Status-Invest'!$2:$2,0),FALSE())/100,"")</f>
        <v>0.0667</v>
      </c>
    </row>
    <row r="243" customFormat="false" ht="15.75" hidden="false" customHeight="false" outlineLevel="0" collapsed="false">
      <c r="A243" s="6" t="s">
        <v>275</v>
      </c>
      <c r="B243" s="7" t="str">
        <f aca="false">IFERROR(VLOOKUP(LEFT(A243,4),Setor!A:D,2,FALSE()),"")</f>
        <v>Utilidade Pública</v>
      </c>
      <c r="C243" s="8" t="n">
        <f aca="false">IFERROR(__xludf.dummyfunction("IFERROR(IFERROR(GOOGLEFINANCE(A249,""price""),VLOOKUP(A249,'Dados-Status-Invest'!A:B,2,FALSE)),"""")"),6.62)</f>
        <v>6.62</v>
      </c>
      <c r="D243" s="8" t="n">
        <f aca="false">IFERROR(VLOOKUP(A243,'Dados-Status-Invest'!$1:$1000,MATCH(D$1,'Dados-Status-Invest'!$2:$2,0),FALSE()),"")</f>
        <v>12083900337</v>
      </c>
      <c r="E243" s="8" t="n">
        <f aca="false">IF(D243+H243&gt;0,D243+H243,"")</f>
        <v>13177244459</v>
      </c>
      <c r="F243" s="8" t="n">
        <f aca="false">IFERROR(D243/VLOOKUP(A243,'Dados-Status-Invest'!$1:$1000,5,FALSE()),"")</f>
        <v>2383412295</v>
      </c>
      <c r="G243" s="8" t="n">
        <f aca="false">IFERROR(D243/VLOOKUP(A243,'Dados-Status-Invest'!$1:$1000,6,FALSE()),"")</f>
        <v>8631357384</v>
      </c>
      <c r="H243" s="8" t="n">
        <f aca="false">IFERROR(VLOOKUP(A243,'Dados-Status-Invest'!$1:$1000,12,FALSE())*J243,"")</f>
        <v>1093344122</v>
      </c>
      <c r="I243" s="8" t="n">
        <f aca="false">IFERROR(D243/VLOOKUP(A243,'Dados-Status-Invest'!$1:$1000,14,FALSE()),"")</f>
        <v>4195798728</v>
      </c>
      <c r="J243" s="9" t="n">
        <f aca="false">IFERROR(D243/VLOOKUP(A243,'Dados-Status-Invest'!$1:$1000,10,FALSE()),"")</f>
        <v>815928449.5</v>
      </c>
      <c r="K243" s="10" t="n">
        <f aca="false">IFERROR(VLOOKUP(A243,'Dados-Status-Invest'!$1:$1000,3,FALSE())/100,"")</f>
        <v>0.0375</v>
      </c>
      <c r="L243" s="11" t="n">
        <f aca="false">IFERROR(VLOOKUP(A243,'Dados-Status-Invest'!$1:$1000,MATCH(L$1,'Dados-Status-Invest'!$2:$2,0),FALSE())/100,"")</f>
        <v>0.2106</v>
      </c>
      <c r="M243" s="10" t="n">
        <f aca="false">IFERROR(VLOOKUP(A243,'Dados-Status-Invest'!$1:$1000,MATCH(M$1,'Dados-Status-Invest'!$2:$2,0),FALSE())/100,"")</f>
        <v>0.0582</v>
      </c>
      <c r="N243" s="10" t="n">
        <f aca="false">IFERROR(VLOOKUP(A243,'Dados-Status-Invest'!$1:$1000,MATCH(N$1,'Dados-Status-Invest'!$2:$2,0),FALSE())/100,"")</f>
        <v>0.124</v>
      </c>
      <c r="O243" s="10" t="n">
        <f aca="false">IFERROR(VLOOKUP(A243,'Dados-Status-Invest'!$1:$1000,MATCH(O$1,'Dados-Status-Invest'!$2:$2,0),FALSE())/100,"")</f>
        <v>0.3002</v>
      </c>
      <c r="P243" s="10" t="n">
        <f aca="false">IFERROR(VLOOKUP(A243,'Dados-Status-Invest'!$1:$1000,MATCH(P$1,'Dados-Status-Invest'!$2:$2,0),FALSE())/100,"")</f>
        <v>0.1946</v>
      </c>
      <c r="Q243" s="10" t="n">
        <f aca="false">IFERROR(VLOOKUP(A243,'Dados-Status-Invest'!$1:$1000,MATCH(Q$1,'Dados-Status-Invest'!$2:$2,0),FALSE())/100,"")</f>
        <v>0.1197</v>
      </c>
      <c r="R243" s="12" t="n">
        <f aca="false">IFERROR(VLOOKUP(A243,'Dados-Status-Invest'!$1:$1000,MATCH(R$1,'Dados-Status-Invest'!$2:$2,0),FALSE()),"")</f>
        <v>24.07</v>
      </c>
      <c r="S243" s="12" t="n">
        <f aca="false">IFERROR(VLOOKUP(A243,'Dados-Status-Invest'!$1:$1000,MATCH(S$1,'Dados-Status-Invest'!$2:$2,0),FALSE()),"")</f>
        <v>5.07</v>
      </c>
      <c r="T243" s="12" t="n">
        <f aca="false">IFERROR(VLOOKUP(A243,'Dados-Status-Invest'!$1:$1000,MATCH(T$1,'Dados-Status-Invest'!$2:$2,0),FALSE()),"")</f>
        <v>11.48</v>
      </c>
      <c r="U243" s="12" t="n">
        <f aca="false">IFERROR(VLOOKUP(A243,'Dados-Status-Invest'!$1:$1000,MATCH(U$1,'Dados-Status-Invest'!$2:$2,0),FALSE()),"")</f>
        <v>2.06</v>
      </c>
      <c r="V243" s="12" t="n">
        <f aca="false">IFERROR(VLOOKUP(A243,'Dados-Status-Invest'!$1:$1000,MATCH(V$1,'Dados-Status-Invest'!$2:$2,0),FALSE()),"")</f>
        <v>1.34</v>
      </c>
      <c r="W243" s="10" t="n">
        <f aca="false">IFERROR(VLOOKUP(A243,'Dados-Status-Invest'!$1:$1000,MATCH(W$1,'Dados-Status-Invest'!$2:$2,0),FALSE())/100,"")</f>
        <v>0.0701</v>
      </c>
      <c r="X243" s="10" t="n">
        <f aca="false">IFERROR(VLOOKUP(A243,'Dados-Status-Invest'!$1:$1000,MATCH(X$1,'Dados-Status-Invest'!$2:$2,0),FALSE())/100,"")</f>
        <v>0.0667</v>
      </c>
    </row>
    <row r="244" customFormat="false" ht="15.75" hidden="false" customHeight="false" outlineLevel="0" collapsed="false">
      <c r="A244" s="6" t="s">
        <v>276</v>
      </c>
      <c r="B244" s="7" t="str">
        <f aca="false">IFERROR(VLOOKUP(LEFT(A244,4),Setor!A:D,2,FALSE()),"")</f>
        <v>Utilidade Pública</v>
      </c>
      <c r="C244" s="8" t="n">
        <f aca="false">IFERROR(__xludf.dummyfunction("IFERROR(IFERROR(GOOGLEFINANCE(A250,""price""),VLOOKUP(A250,'Dados-Status-Invest'!A:B,2,FALSE)),"""")"),23.78)</f>
        <v>23.78</v>
      </c>
      <c r="D244" s="8" t="n">
        <f aca="false">IFERROR(VLOOKUP(A244,'Dados-Status-Invest'!$1:$1000,MATCH(D$1,'Dados-Status-Invest'!$2:$2,0),FALSE()),"")</f>
        <v>25171831127</v>
      </c>
      <c r="E244" s="8" t="n">
        <f aca="false">IF(D244+H244&gt;0,D244+H244,"")</f>
        <v>35454593935</v>
      </c>
      <c r="F244" s="8" t="n">
        <f aca="false">IFERROR(D244/VLOOKUP(A244,'Dados-Status-Invest'!$1:$1000,5,FALSE()),"")</f>
        <v>10191024748</v>
      </c>
      <c r="G244" s="8" t="n">
        <f aca="false">IFERROR(D244/VLOOKUP(A244,'Dados-Status-Invest'!$1:$1000,6,FALSE()),"")</f>
        <v>42664120555</v>
      </c>
      <c r="H244" s="8" t="n">
        <f aca="false">IFERROR(VLOOKUP(A244,'Dados-Status-Invest'!$1:$1000,12,FALSE())*J244,"")</f>
        <v>10282762808</v>
      </c>
      <c r="I244" s="8" t="n">
        <f aca="false">IFERROR(D244/VLOOKUP(A244,'Dados-Status-Invest'!$1:$1000,14,FALSE()),"")</f>
        <v>17852362502</v>
      </c>
      <c r="J244" s="9" t="n">
        <f aca="false">IFERROR(D244/VLOOKUP(A244,'Dados-Status-Invest'!$1:$1000,10,FALSE()),"")</f>
        <v>4652833850</v>
      </c>
      <c r="K244" s="10" t="n">
        <f aca="false">IFERROR(VLOOKUP(A244,'Dados-Status-Invest'!$1:$1000,3,FALSE())/100,"")</f>
        <v>0.0419</v>
      </c>
      <c r="L244" s="11" t="n">
        <f aca="false">IFERROR(VLOOKUP(A244,'Dados-Status-Invest'!$1:$1000,MATCH(L$1,'Dados-Status-Invest'!$2:$2,0),FALSE())/100,"")</f>
        <v>0.2837</v>
      </c>
      <c r="M244" s="10" t="n">
        <f aca="false">IFERROR(VLOOKUP(A244,'Dados-Status-Invest'!$1:$1000,MATCH(M$1,'Dados-Status-Invest'!$2:$2,0),FALSE())/100,"")</f>
        <v>0.0683</v>
      </c>
      <c r="N244" s="10" t="n">
        <f aca="false">IFERROR(VLOOKUP(A244,'Dados-Status-Invest'!$1:$1000,MATCH(N$1,'Dados-Status-Invest'!$2:$2,0),FALSE())/100,"")</f>
        <v>0.1332</v>
      </c>
      <c r="O244" s="10" t="n">
        <f aca="false">IFERROR(VLOOKUP(A244,'Dados-Status-Invest'!$1:$1000,MATCH(O$1,'Dados-Status-Invest'!$2:$2,0),FALSE())/100,"")</f>
        <v>0.3308</v>
      </c>
      <c r="P244" s="10" t="n">
        <f aca="false">IFERROR(VLOOKUP(A244,'Dados-Status-Invest'!$1:$1000,MATCH(P$1,'Dados-Status-Invest'!$2:$2,0),FALSE())/100,"")</f>
        <v>0.2603</v>
      </c>
      <c r="Q244" s="10" t="n">
        <f aca="false">IFERROR(VLOOKUP(A244,'Dados-Status-Invest'!$1:$1000,MATCH(Q$1,'Dados-Status-Invest'!$2:$2,0),FALSE())/100,"")</f>
        <v>0.1621</v>
      </c>
      <c r="R244" s="12" t="n">
        <f aca="false">IFERROR(VLOOKUP(A244,'Dados-Status-Invest'!$1:$1000,MATCH(R$1,'Dados-Status-Invest'!$2:$2,0),FALSE()),"")</f>
        <v>8.69</v>
      </c>
      <c r="S244" s="12" t="n">
        <f aca="false">IFERROR(VLOOKUP(A244,'Dados-Status-Invest'!$1:$1000,MATCH(S$1,'Dados-Status-Invest'!$2:$2,0),FALSE()),"")</f>
        <v>2.47</v>
      </c>
      <c r="T244" s="12" t="n">
        <f aca="false">IFERROR(VLOOKUP(A244,'Dados-Status-Invest'!$1:$1000,MATCH(T$1,'Dados-Status-Invest'!$2:$2,0),FALSE()),"")</f>
        <v>7.64</v>
      </c>
      <c r="U244" s="12" t="n">
        <f aca="false">IFERROR(VLOOKUP(A244,'Dados-Status-Invest'!$1:$1000,MATCH(U$1,'Dados-Status-Invest'!$2:$2,0),FALSE()),"")</f>
        <v>2</v>
      </c>
      <c r="V244" s="12" t="n">
        <f aca="false">IFERROR(VLOOKUP(A244,'Dados-Status-Invest'!$1:$1000,MATCH(V$1,'Dados-Status-Invest'!$2:$2,0),FALSE()),"")</f>
        <v>2.21</v>
      </c>
      <c r="W244" s="10" t="n">
        <f aca="false">IFERROR(VLOOKUP(A244,'Dados-Status-Invest'!$1:$1000,MATCH(W$1,'Dados-Status-Invest'!$2:$2,0),FALSE())/100,"")</f>
        <v>0.1979</v>
      </c>
      <c r="X244" s="10" t="n">
        <f aca="false">IFERROR(VLOOKUP(A244,'Dados-Status-Invest'!$1:$1000,MATCH(X$1,'Dados-Status-Invest'!$2:$2,0),FALSE())/100,"")</f>
        <v>0.2914</v>
      </c>
    </row>
    <row r="245" customFormat="false" ht="15.75" hidden="false" customHeight="false" outlineLevel="0" collapsed="false">
      <c r="A245" s="6" t="s">
        <v>277</v>
      </c>
      <c r="B245" s="7" t="s">
        <v>54</v>
      </c>
      <c r="C245" s="8" t="n">
        <f aca="false">IFERROR(__xludf.dummyfunction("IFERROR(IFERROR(GOOGLEFINANCE(A251,""price""),VLOOKUP(A251,'Dados-Status-Invest'!A:B,2,FALSE)),"""")"),3.19)</f>
        <v>3.19</v>
      </c>
      <c r="D245" s="8" t="n">
        <f aca="false">IFERROR(VLOOKUP(A245,'Dados-Status-Invest'!$1:$1000,MATCH(D$1,'Dados-Status-Invest'!$2:$2,0),FALSE()),"")</f>
        <v>4611167486</v>
      </c>
      <c r="E245" s="8" t="n">
        <f aca="false">IF(D245+H245&gt;0,D245+H245,"")</f>
        <v>4842911954</v>
      </c>
      <c r="F245" s="8" t="n">
        <f aca="false">IFERROR(D245/VLOOKUP(A245,'Dados-Status-Invest'!$1:$1000,5,FALSE()),"")</f>
        <v>654066310.1</v>
      </c>
      <c r="G245" s="8" t="n">
        <f aca="false">IFERROR(D245/VLOOKUP(A245,'Dados-Status-Invest'!$1:$1000,6,FALSE()),"")</f>
        <v>1652748203</v>
      </c>
      <c r="H245" s="8" t="n">
        <f aca="false">IFERROR(VLOOKUP(A245,'Dados-Status-Invest'!$1:$1000,12,FALSE())*J245,"")</f>
        <v>231744468</v>
      </c>
      <c r="I245" s="8" t="n">
        <f aca="false">IFERROR(D245/VLOOKUP(A245,'Dados-Status-Invest'!$1:$1000,14,FALSE()),"")</f>
        <v>556232507.4</v>
      </c>
      <c r="J245" s="9" t="n">
        <f aca="false">IFERROR(D245/VLOOKUP(A245,'Dados-Status-Invest'!$1:$1000,10,FALSE()),"")</f>
        <v>91237979.54</v>
      </c>
      <c r="K245" s="10" t="n">
        <f aca="false">IFERROR(VLOOKUP(A245,'Dados-Status-Invest'!$1:$1000,3,FALSE())/100,"")</f>
        <v>0.0032</v>
      </c>
      <c r="L245" s="11" t="n">
        <f aca="false">IFERROR(VLOOKUP(A245,'Dados-Status-Invest'!$1:$1000,MATCH(L$1,'Dados-Status-Invest'!$2:$2,0),FALSE())/100,"")</f>
        <v>0.1621</v>
      </c>
      <c r="M245" s="10" t="n">
        <f aca="false">IFERROR(VLOOKUP(A245,'Dados-Status-Invest'!$1:$1000,MATCH(M$1,'Dados-Status-Invest'!$2:$2,0),FALSE())/100,"")</f>
        <v>0.064</v>
      </c>
      <c r="N245" s="10" t="n">
        <f aca="false">IFERROR(VLOOKUP(A245,'Dados-Status-Invest'!$1:$1000,MATCH(N$1,'Dados-Status-Invest'!$2:$2,0),FALSE())/100,"")</f>
        <v>0.0174</v>
      </c>
      <c r="O245" s="10" t="n">
        <f aca="false">IFERROR(VLOOKUP(A245,'Dados-Status-Invest'!$1:$1000,MATCH(O$1,'Dados-Status-Invest'!$2:$2,0),FALSE())/100,"")</f>
        <v>0.4565</v>
      </c>
      <c r="P245" s="10" t="n">
        <f aca="false">IFERROR(VLOOKUP(A245,'Dados-Status-Invest'!$1:$1000,MATCH(P$1,'Dados-Status-Invest'!$2:$2,0),FALSE())/100,"")</f>
        <v>0.1641</v>
      </c>
      <c r="Q245" s="10" t="n">
        <f aca="false">IFERROR(VLOOKUP(A245,'Dados-Status-Invest'!$1:$1000,MATCH(Q$1,'Dados-Status-Invest'!$2:$2,0),FALSE())/100,"")</f>
        <v>0.1905</v>
      </c>
      <c r="R245" s="12" t="n">
        <f aca="false">IFERROR(VLOOKUP(A245,'Dados-Status-Invest'!$1:$1000,MATCH(R$1,'Dados-Status-Invest'!$2:$2,0),FALSE()),"")</f>
        <v>43.53</v>
      </c>
      <c r="S245" s="12" t="n">
        <f aca="false">IFERROR(VLOOKUP(A245,'Dados-Status-Invest'!$1:$1000,MATCH(S$1,'Dados-Status-Invest'!$2:$2,0),FALSE()),"")</f>
        <v>7.05</v>
      </c>
      <c r="T245" s="12" t="n">
        <f aca="false">IFERROR(VLOOKUP(A245,'Dados-Status-Invest'!$1:$1000,MATCH(T$1,'Dados-Status-Invest'!$2:$2,0),FALSE()),"")</f>
        <v>53.81</v>
      </c>
      <c r="U245" s="12" t="n">
        <f aca="false">IFERROR(VLOOKUP(A245,'Dados-Status-Invest'!$1:$1000,MATCH(U$1,'Dados-Status-Invest'!$2:$2,0),FALSE()),"")</f>
        <v>1.75</v>
      </c>
      <c r="V245" s="12" t="n">
        <f aca="false">IFERROR(VLOOKUP(A245,'Dados-Status-Invest'!$1:$1000,MATCH(V$1,'Dados-Status-Invest'!$2:$2,0),FALSE()),"")</f>
        <v>2.54</v>
      </c>
      <c r="W245" s="10" t="n">
        <f aca="false">IFERROR(VLOOKUP(A245,'Dados-Status-Invest'!$1:$1000,MATCH(W$1,'Dados-Status-Invest'!$2:$2,0),FALSE())/100,"")</f>
        <v>0</v>
      </c>
      <c r="X245" s="10" t="n">
        <f aca="false">IFERROR(VLOOKUP(A245,'Dados-Status-Invest'!$1:$1000,MATCH(X$1,'Dados-Status-Invest'!$2:$2,0),FALSE())/100,"")</f>
        <v>0</v>
      </c>
    </row>
    <row r="246" customFormat="false" ht="15.75" hidden="false" customHeight="false" outlineLevel="0" collapsed="false">
      <c r="A246" s="6" t="s">
        <v>278</v>
      </c>
      <c r="B246" s="7" t="str">
        <f aca="false">IFERROR(VLOOKUP(LEFT(A246,4),Setor!A:D,2,FALSE()),"")</f>
        <v>Consumo Cíclico</v>
      </c>
      <c r="C246" s="8" t="n">
        <f aca="false">IFERROR(__xludf.dummyfunction("IFERROR(IFERROR(GOOGLEFINANCE(A252,""price""),VLOOKUP(A252,'Dados-Status-Invest'!A:B,2,FALSE)),"""")"),40)</f>
        <v>40</v>
      </c>
      <c r="D246" s="8" t="n">
        <f aca="false">IFERROR(VLOOKUP(A246,'Dados-Status-Invest'!$1:$1000,MATCH(D$1,'Dados-Status-Invest'!$2:$2,0),FALSE()),"")</f>
        <v>38261900</v>
      </c>
      <c r="E246" s="8" t="n">
        <f aca="false">IF(D246+H246&gt;0,D246+H246,"")</f>
        <v>182975224.8</v>
      </c>
      <c r="F246" s="8" t="n">
        <f aca="false">IFERROR(D246/VLOOKUP(A246,'Dados-Status-Invest'!$1:$1000,5,FALSE()),"")</f>
        <v>-1275396667</v>
      </c>
      <c r="G246" s="8" t="n">
        <f aca="false">IFERROR(D246/VLOOKUP(A246,'Dados-Status-Invest'!$1:$1000,6,FALSE()),"")</f>
        <v>637698333.3</v>
      </c>
      <c r="H246" s="8" t="n">
        <f aca="false">IFERROR(VLOOKUP(A246,'Dados-Status-Invest'!$1:$1000,12,FALSE())*J246,"")</f>
        <v>144713324.8</v>
      </c>
      <c r="I246" s="8" t="n">
        <f aca="false">IFERROR(D246/VLOOKUP(A246,'Dados-Status-Invest'!$1:$1000,14,FALSE()),"")</f>
        <v>382619000</v>
      </c>
      <c r="J246" s="9" t="n">
        <f aca="false">IFERROR(D246/VLOOKUP(A246,'Dados-Status-Invest'!$1:$1000,10,FALSE()),"")</f>
        <v>37883069.31</v>
      </c>
      <c r="K246" s="10" t="n">
        <f aca="false">IFERROR(VLOOKUP(A246,'Dados-Status-Invest'!$1:$1000,3,FALSE())/100,"")</f>
        <v>0</v>
      </c>
      <c r="L246" s="11" t="n">
        <f aca="false">IFERROR(VLOOKUP(A246,'Dados-Status-Invest'!$1:$1000,MATCH(L$1,'Dados-Status-Invest'!$2:$2,0),FALSE())/100,"")</f>
        <v>-0.0384</v>
      </c>
      <c r="M246" s="10" t="n">
        <f aca="false">IFERROR(VLOOKUP(A246,'Dados-Status-Invest'!$1:$1000,MATCH(M$1,'Dados-Status-Invest'!$2:$2,0),FALSE())/100,"")</f>
        <v>-0.0829</v>
      </c>
      <c r="N246" s="10" t="n">
        <f aca="false">IFERROR(VLOOKUP(A246,'Dados-Status-Invest'!$1:$1000,MATCH(N$1,'Dados-Status-Invest'!$2:$2,0),FALSE())/100,"")</f>
        <v>-0.0322</v>
      </c>
      <c r="O246" s="10" t="n">
        <f aca="false">IFERROR(VLOOKUP(A246,'Dados-Status-Invest'!$1:$1000,MATCH(O$1,'Dados-Status-Invest'!$2:$2,0),FALSE())/100,"")</f>
        <v>0.501</v>
      </c>
      <c r="P246" s="10" t="n">
        <f aca="false">IFERROR(VLOOKUP(A246,'Dados-Status-Invest'!$1:$1000,MATCH(P$1,'Dados-Status-Invest'!$2:$2,0),FALSE())/100,"")</f>
        <v>0.0971</v>
      </c>
      <c r="Q246" s="10" t="n">
        <f aca="false">IFERROR(VLOOKUP(A246,'Dados-Status-Invest'!$1:$1000,MATCH(Q$1,'Dados-Status-Invest'!$2:$2,0),FALSE())/100,"")</f>
        <v>-0.1323</v>
      </c>
      <c r="R246" s="12" t="n">
        <f aca="false">IFERROR(VLOOKUP(A246,'Dados-Status-Invest'!$1:$1000,MATCH(R$1,'Dados-Status-Invest'!$2:$2,0),FALSE()),"")</f>
        <v>-0.74</v>
      </c>
      <c r="S246" s="12" t="n">
        <f aca="false">IFERROR(VLOOKUP(A246,'Dados-Status-Invest'!$1:$1000,MATCH(S$1,'Dados-Status-Invest'!$2:$2,0),FALSE()),"")</f>
        <v>-0.03</v>
      </c>
      <c r="T246" s="12" t="n">
        <f aca="false">IFERROR(VLOOKUP(A246,'Dados-Status-Invest'!$1:$1000,MATCH(T$1,'Dados-Status-Invest'!$2:$2,0),FALSE()),"")</f>
        <v>6.52</v>
      </c>
      <c r="U246" s="12" t="n">
        <f aca="false">IFERROR(VLOOKUP(A246,'Dados-Status-Invest'!$1:$1000,MATCH(U$1,'Dados-Status-Invest'!$2:$2,0),FALSE()),"")</f>
        <v>0.19</v>
      </c>
      <c r="V246" s="12" t="n">
        <f aca="false">IFERROR(VLOOKUP(A246,'Dados-Status-Invest'!$1:$1000,MATCH(V$1,'Dados-Status-Invest'!$2:$2,0),FALSE()),"")</f>
        <v>3.82</v>
      </c>
      <c r="W246" s="10" t="n">
        <f aca="false">IFERROR(VLOOKUP(A246,'Dados-Status-Invest'!$1:$1000,MATCH(W$1,'Dados-Status-Invest'!$2:$2,0),FALSE())/100,"")</f>
        <v>-0.039</v>
      </c>
      <c r="X246" s="10" t="n">
        <f aca="false">IFERROR(VLOOKUP(A246,'Dados-Status-Invest'!$1:$1000,MATCH(X$1,'Dados-Status-Invest'!$2:$2,0),FALSE())/100,"")</f>
        <v>0</v>
      </c>
    </row>
    <row r="247" customFormat="false" ht="15.75" hidden="false" customHeight="false" outlineLevel="0" collapsed="false">
      <c r="A247" s="6" t="s">
        <v>279</v>
      </c>
      <c r="B247" s="7" t="str">
        <f aca="false">IFERROR(VLOOKUP(LEFT(A247,4),Setor!A:D,2,FALSE()),"")</f>
        <v>Consumo Cíclico</v>
      </c>
      <c r="C247" s="8" t="n">
        <f aca="false">IFERROR(__xludf.dummyfunction("IFERROR(IFERROR(GOOGLEFINANCE(A253,""price""),VLOOKUP(A253,'Dados-Status-Invest'!A:B,2,FALSE)),"""")"),53)</f>
        <v>53</v>
      </c>
      <c r="D247" s="8" t="n">
        <f aca="false">IFERROR(VLOOKUP(A247,'Dados-Status-Invest'!$1:$1000,MATCH(D$1,'Dados-Status-Invest'!$2:$2,0),FALSE()),"")</f>
        <v>38261900</v>
      </c>
      <c r="E247" s="8" t="n">
        <f aca="false">IF(D247+H247&gt;0,D247+H247,"")</f>
        <v>79550164.97</v>
      </c>
      <c r="F247" s="8" t="n">
        <f aca="false">IFERROR(D247/VLOOKUP(A247,'Dados-Status-Invest'!$1:$1000,5,FALSE()),"")</f>
        <v>-382619000</v>
      </c>
      <c r="G247" s="8" t="n">
        <f aca="false">IFERROR(D247/VLOOKUP(A247,'Dados-Status-Invest'!$1:$1000,6,FALSE()),"")</f>
        <v>173917727.3</v>
      </c>
      <c r="H247" s="8" t="n">
        <f aca="false">IFERROR(VLOOKUP(A247,'Dados-Status-Invest'!$1:$1000,12,FALSE())*J247,"")</f>
        <v>41288264.97</v>
      </c>
      <c r="I247" s="8" t="n">
        <f aca="false">IFERROR(D247/VLOOKUP(A247,'Dados-Status-Invest'!$1:$1000,14,FALSE()),"")</f>
        <v>112535000</v>
      </c>
      <c r="J247" s="9" t="n">
        <f aca="false">IFERROR(D247/VLOOKUP(A247,'Dados-Status-Invest'!$1:$1000,10,FALSE()),"")</f>
        <v>10808446.33</v>
      </c>
      <c r="K247" s="10" t="n">
        <f aca="false">IFERROR(VLOOKUP(A247,'Dados-Status-Invest'!$1:$1000,3,FALSE())/100,"")</f>
        <v>0</v>
      </c>
      <c r="L247" s="11" t="n">
        <f aca="false">IFERROR(VLOOKUP(A247,'Dados-Status-Invest'!$1:$1000,MATCH(L$1,'Dados-Status-Invest'!$2:$2,0),FALSE())/100,"")</f>
        <v>-0.0384</v>
      </c>
      <c r="M247" s="10" t="n">
        <f aca="false">IFERROR(VLOOKUP(A247,'Dados-Status-Invest'!$1:$1000,MATCH(M$1,'Dados-Status-Invest'!$2:$2,0),FALSE())/100,"")</f>
        <v>-0.0829</v>
      </c>
      <c r="N247" s="10" t="n">
        <f aca="false">IFERROR(VLOOKUP(A247,'Dados-Status-Invest'!$1:$1000,MATCH(N$1,'Dados-Status-Invest'!$2:$2,0),FALSE())/100,"")</f>
        <v>-0.0322</v>
      </c>
      <c r="O247" s="10" t="n">
        <f aca="false">IFERROR(VLOOKUP(A247,'Dados-Status-Invest'!$1:$1000,MATCH(O$1,'Dados-Status-Invest'!$2:$2,0),FALSE())/100,"")</f>
        <v>0.501</v>
      </c>
      <c r="P247" s="10" t="n">
        <f aca="false">IFERROR(VLOOKUP(A247,'Dados-Status-Invest'!$1:$1000,MATCH(P$1,'Dados-Status-Invest'!$2:$2,0),FALSE())/100,"")</f>
        <v>0.0971</v>
      </c>
      <c r="Q247" s="10" t="n">
        <f aca="false">IFERROR(VLOOKUP(A247,'Dados-Status-Invest'!$1:$1000,MATCH(Q$1,'Dados-Status-Invest'!$2:$2,0),FALSE())/100,"")</f>
        <v>-0.1323</v>
      </c>
      <c r="R247" s="12" t="n">
        <f aca="false">IFERROR(VLOOKUP(A247,'Dados-Status-Invest'!$1:$1000,MATCH(R$1,'Dados-Status-Invest'!$2:$2,0),FALSE()),"")</f>
        <v>-2.59</v>
      </c>
      <c r="S247" s="12" t="n">
        <f aca="false">IFERROR(VLOOKUP(A247,'Dados-Status-Invest'!$1:$1000,MATCH(S$1,'Dados-Status-Invest'!$2:$2,0),FALSE()),"")</f>
        <v>-0.1</v>
      </c>
      <c r="T247" s="12" t="n">
        <f aca="false">IFERROR(VLOOKUP(A247,'Dados-Status-Invest'!$1:$1000,MATCH(T$1,'Dados-Status-Invest'!$2:$2,0),FALSE()),"")</f>
        <v>6.52</v>
      </c>
      <c r="U247" s="12" t="n">
        <f aca="false">IFERROR(VLOOKUP(A247,'Dados-Status-Invest'!$1:$1000,MATCH(U$1,'Dados-Status-Invest'!$2:$2,0),FALSE()),"")</f>
        <v>0.19</v>
      </c>
      <c r="V247" s="12" t="n">
        <f aca="false">IFERROR(VLOOKUP(A247,'Dados-Status-Invest'!$1:$1000,MATCH(V$1,'Dados-Status-Invest'!$2:$2,0),FALSE()),"")</f>
        <v>3.82</v>
      </c>
      <c r="W247" s="10" t="n">
        <f aca="false">IFERROR(VLOOKUP(A247,'Dados-Status-Invest'!$1:$1000,MATCH(W$1,'Dados-Status-Invest'!$2:$2,0),FALSE())/100,"")</f>
        <v>-0.039</v>
      </c>
      <c r="X247" s="10" t="n">
        <f aca="false">IFERROR(VLOOKUP(A247,'Dados-Status-Invest'!$1:$1000,MATCH(X$1,'Dados-Status-Invest'!$2:$2,0),FALSE())/100,"")</f>
        <v>0</v>
      </c>
    </row>
    <row r="248" customFormat="false" ht="15.75" hidden="false" customHeight="false" outlineLevel="0" collapsed="false">
      <c r="A248" s="6" t="s">
        <v>280</v>
      </c>
      <c r="B248" s="7" t="str">
        <f aca="false">IFERROR(VLOOKUP(LEFT(A248,4),Setor!A:D,2,FALSE()),"")</f>
        <v>Bens Industriais</v>
      </c>
      <c r="C248" s="8" t="n">
        <f aca="false">IFERROR(__xludf.dummyfunction("IFERROR(IFERROR(GOOGLEFINANCE(A254,""price""),VLOOKUP(A254,'Dados-Status-Invest'!A:B,2,FALSE)),"""")"),13.09)</f>
        <v>13.09</v>
      </c>
      <c r="D248" s="8" t="n">
        <f aca="false">IFERROR(VLOOKUP(A248,'Dados-Status-Invest'!$1:$1000,MATCH(D$1,'Dados-Status-Invest'!$2:$2,0),FALSE()),"")</f>
        <v>1394915064</v>
      </c>
      <c r="E248" s="8" t="n">
        <f aca="false">IF(D248+H248&gt;0,D248+H248,"")</f>
        <v>1245755829.5</v>
      </c>
      <c r="F248" s="8" t="n">
        <f aca="false">IFERROR(D248/VLOOKUP(A248,'Dados-Status-Invest'!$1:$1000,5,FALSE()),"")</f>
        <v>274050110.7</v>
      </c>
      <c r="G248" s="8" t="n">
        <f aca="false">IFERROR(D248/VLOOKUP(A248,'Dados-Status-Invest'!$1:$1000,6,FALSE()),"")</f>
        <v>835278481.1</v>
      </c>
      <c r="H248" s="8" t="n">
        <f aca="false">IFERROR(VLOOKUP(A248,'Dados-Status-Invest'!$1:$1000,12,FALSE())*J248,"")</f>
        <v>-149159234.5</v>
      </c>
      <c r="I248" s="8" t="n">
        <f aca="false">IFERROR(D248/VLOOKUP(A248,'Dados-Status-Invest'!$1:$1000,14,FALSE()),"")</f>
        <v>840310279.2</v>
      </c>
      <c r="J248" s="9" t="n">
        <f aca="false">IFERROR(D248/VLOOKUP(A248,'Dados-Status-Invest'!$1:$1000,10,FALSE()),"")</f>
        <v>276220804.7</v>
      </c>
      <c r="K248" s="10" t="n">
        <f aca="false">IFERROR(VLOOKUP(A248,'Dados-Status-Invest'!$1:$1000,3,FALSE())/100,"")</f>
        <v>0</v>
      </c>
      <c r="L248" s="11" t="n">
        <f aca="false">IFERROR(VLOOKUP(A248,'Dados-Status-Invest'!$1:$1000,MATCH(L$1,'Dados-Status-Invest'!$2:$2,0),FALSE())/100,"")</f>
        <v>0.8489</v>
      </c>
      <c r="M248" s="10" t="n">
        <f aca="false">IFERROR(VLOOKUP(A248,'Dados-Status-Invest'!$1:$1000,MATCH(M$1,'Dados-Status-Invest'!$2:$2,0),FALSE())/100,"")</f>
        <v>0.2782</v>
      </c>
      <c r="N248" s="10" t="n">
        <f aca="false">IFERROR(VLOOKUP(A248,'Dados-Status-Invest'!$1:$1000,MATCH(N$1,'Dados-Status-Invest'!$2:$2,0),FALSE())/100,"")</f>
        <v>0.6405</v>
      </c>
      <c r="O248" s="10" t="n">
        <f aca="false">IFERROR(VLOOKUP(A248,'Dados-Status-Invest'!$1:$1000,MATCH(O$1,'Dados-Status-Invest'!$2:$2,0),FALSE())/100,"")</f>
        <v>0.3903</v>
      </c>
      <c r="P248" s="10" t="n">
        <f aca="false">IFERROR(VLOOKUP(A248,'Dados-Status-Invest'!$1:$1000,MATCH(P$1,'Dados-Status-Invest'!$2:$2,0),FALSE())/100,"")</f>
        <v>0.3279</v>
      </c>
      <c r="Q248" s="10" t="n">
        <f aca="false">IFERROR(VLOOKUP(A248,'Dados-Status-Invest'!$1:$1000,MATCH(Q$1,'Dados-Status-Invest'!$2:$2,0),FALSE())/100,"")</f>
        <v>0.2762</v>
      </c>
      <c r="R248" s="12" t="n">
        <f aca="false">IFERROR(VLOOKUP(A248,'Dados-Status-Invest'!$1:$1000,MATCH(R$1,'Dados-Status-Invest'!$2:$2,0),FALSE()),"")</f>
        <v>6</v>
      </c>
      <c r="S248" s="12" t="n">
        <f aca="false">IFERROR(VLOOKUP(A248,'Dados-Status-Invest'!$1:$1000,MATCH(S$1,'Dados-Status-Invest'!$2:$2,0),FALSE()),"")</f>
        <v>5.09</v>
      </c>
      <c r="T248" s="12" t="n">
        <f aca="false">IFERROR(VLOOKUP(A248,'Dados-Status-Invest'!$1:$1000,MATCH(T$1,'Dados-Status-Invest'!$2:$2,0),FALSE()),"")</f>
        <v>4.53</v>
      </c>
      <c r="U248" s="12" t="n">
        <f aca="false">IFERROR(VLOOKUP(A248,'Dados-Status-Invest'!$1:$1000,MATCH(U$1,'Dados-Status-Invest'!$2:$2,0),FALSE()),"")</f>
        <v>2.2</v>
      </c>
      <c r="V248" s="12" t="n">
        <f aca="false">IFERROR(VLOOKUP(A248,'Dados-Status-Invest'!$1:$1000,MATCH(V$1,'Dados-Status-Invest'!$2:$2,0),FALSE()),"")</f>
        <v>-0.54</v>
      </c>
      <c r="W248" s="10" t="n">
        <f aca="false">IFERROR(VLOOKUP(A248,'Dados-Status-Invest'!$1:$1000,MATCH(W$1,'Dados-Status-Invest'!$2:$2,0),FALSE())/100,"")</f>
        <v>-0.0686</v>
      </c>
      <c r="X248" s="10" t="n">
        <f aca="false">IFERROR(VLOOKUP(A248,'Dados-Status-Invest'!$1:$1000,MATCH(X$1,'Dados-Status-Invest'!$2:$2,0),FALSE())/100,"")</f>
        <v>0.4009</v>
      </c>
    </row>
    <row r="249" customFormat="false" ht="15.75" hidden="false" customHeight="false" outlineLevel="0" collapsed="false">
      <c r="A249" s="6" t="s">
        <v>281</v>
      </c>
      <c r="B249" s="7" t="str">
        <f aca="false">IFERROR(VLOOKUP(LEFT(A249,4),Setor!A:D,2,FALSE()),"")</f>
        <v>Materiais Básicos</v>
      </c>
      <c r="C249" s="8" t="n">
        <f aca="false">IFERROR(__xludf.dummyfunction("IFERROR(IFERROR(GOOGLEFINANCE(A255,""price""),VLOOKUP(A255,'Dados-Status-Invest'!A:B,2,FALSE)),"""")"),15.54)</f>
        <v>15.54</v>
      </c>
      <c r="D249" s="8" t="n">
        <f aca="false">IFERROR(VLOOKUP(A249,'Dados-Status-Invest'!$1:$1000,MATCH(D$1,'Dados-Status-Invest'!$2:$2,0),FALSE()),"")</f>
        <v>1294246728</v>
      </c>
      <c r="E249" s="8" t="n">
        <f aca="false">IF(D249+H249&gt;0,D249+H249,"")</f>
        <v>1571585312.5</v>
      </c>
      <c r="F249" s="8" t="n">
        <f aca="false">IFERROR(D249/VLOOKUP(A249,'Dados-Status-Invest'!$1:$1000,5,FALSE()),"")</f>
        <v>1003292037</v>
      </c>
      <c r="G249" s="8" t="n">
        <f aca="false">IFERROR(D249/VLOOKUP(A249,'Dados-Status-Invest'!$1:$1000,6,FALSE()),"")</f>
        <v>1797564900</v>
      </c>
      <c r="H249" s="8" t="n">
        <f aca="false">IFERROR(VLOOKUP(A249,'Dados-Status-Invest'!$1:$1000,12,FALSE())*J249,"")</f>
        <v>277338584.5</v>
      </c>
      <c r="I249" s="8" t="n">
        <f aca="false">IFERROR(D249/VLOOKUP(A249,'Dados-Status-Invest'!$1:$1000,14,FALSE()),"")</f>
        <v>1268869341</v>
      </c>
      <c r="J249" s="9" t="n">
        <f aca="false">IFERROR(D249/VLOOKUP(A249,'Dados-Status-Invest'!$1:$1000,10,FALSE()),"")</f>
        <v>154076991.4</v>
      </c>
      <c r="K249" s="10" t="n">
        <f aca="false">IFERROR(VLOOKUP(A249,'Dados-Status-Invest'!$1:$1000,3,FALSE())/100,"")</f>
        <v>0.0173</v>
      </c>
      <c r="L249" s="11" t="n">
        <f aca="false">IFERROR(VLOOKUP(A249,'Dados-Status-Invest'!$1:$1000,MATCH(L$1,'Dados-Status-Invest'!$2:$2,0),FALSE())/100,"")</f>
        <v>0.0932</v>
      </c>
      <c r="M249" s="10" t="n">
        <f aca="false">IFERROR(VLOOKUP(A249,'Dados-Status-Invest'!$1:$1000,MATCH(M$1,'Dados-Status-Invest'!$2:$2,0),FALSE())/100,"")</f>
        <v>0.0519</v>
      </c>
      <c r="N249" s="10" t="n">
        <f aca="false">IFERROR(VLOOKUP(A249,'Dados-Status-Invest'!$1:$1000,MATCH(N$1,'Dados-Status-Invest'!$2:$2,0),FALSE())/100,"")</f>
        <v>0.0744</v>
      </c>
      <c r="O249" s="10" t="n">
        <f aca="false">IFERROR(VLOOKUP(A249,'Dados-Status-Invest'!$1:$1000,MATCH(O$1,'Dados-Status-Invest'!$2:$2,0),FALSE())/100,"")</f>
        <v>0.327</v>
      </c>
      <c r="P249" s="10" t="n">
        <f aca="false">IFERROR(VLOOKUP(A249,'Dados-Status-Invest'!$1:$1000,MATCH(P$1,'Dados-Status-Invest'!$2:$2,0),FALSE())/100,"")</f>
        <v>0.121</v>
      </c>
      <c r="Q249" s="10" t="n">
        <f aca="false">IFERROR(VLOOKUP(A249,'Dados-Status-Invest'!$1:$1000,MATCH(Q$1,'Dados-Status-Invest'!$2:$2,0),FALSE())/100,"")</f>
        <v>0.0736</v>
      </c>
      <c r="R249" s="12" t="n">
        <f aca="false">IFERROR(VLOOKUP(A249,'Dados-Status-Invest'!$1:$1000,MATCH(R$1,'Dados-Status-Invest'!$2:$2,0),FALSE()),"")</f>
        <v>13.81</v>
      </c>
      <c r="S249" s="12" t="n">
        <f aca="false">IFERROR(VLOOKUP(A249,'Dados-Status-Invest'!$1:$1000,MATCH(S$1,'Dados-Status-Invest'!$2:$2,0),FALSE()),"")</f>
        <v>1.29</v>
      </c>
      <c r="T249" s="12" t="n">
        <f aca="false">IFERROR(VLOOKUP(A249,'Dados-Status-Invest'!$1:$1000,MATCH(T$1,'Dados-Status-Invest'!$2:$2,0),FALSE()),"")</f>
        <v>7.26</v>
      </c>
      <c r="U249" s="12" t="n">
        <f aca="false">IFERROR(VLOOKUP(A249,'Dados-Status-Invest'!$1:$1000,MATCH(U$1,'Dados-Status-Invest'!$2:$2,0),FALSE()),"")</f>
        <v>1.33</v>
      </c>
      <c r="V249" s="12" t="n">
        <f aca="false">IFERROR(VLOOKUP(A249,'Dados-Status-Invest'!$1:$1000,MATCH(V$1,'Dados-Status-Invest'!$2:$2,0),FALSE()),"")</f>
        <v>1.8</v>
      </c>
      <c r="W249" s="10" t="n">
        <f aca="false">IFERROR(VLOOKUP(A249,'Dados-Status-Invest'!$1:$1000,MATCH(W$1,'Dados-Status-Invest'!$2:$2,0),FALSE())/100,"")</f>
        <v>0.0947</v>
      </c>
      <c r="X249" s="10" t="n">
        <f aca="false">IFERROR(VLOOKUP(A249,'Dados-Status-Invest'!$1:$1000,MATCH(X$1,'Dados-Status-Invest'!$2:$2,0),FALSE())/100,"")</f>
        <v>0.6884</v>
      </c>
    </row>
    <row r="250" customFormat="false" ht="15.75" hidden="false" customHeight="false" outlineLevel="0" collapsed="false">
      <c r="A250" s="6" t="s">
        <v>282</v>
      </c>
      <c r="B250" s="7" t="str">
        <f aca="false">IFERROR(VLOOKUP(LEFT(A250,4),Setor!A:D,2,FALSE()),"")</f>
        <v>Materiais Básicos</v>
      </c>
      <c r="C250" s="8" t="n">
        <f aca="false">IFERROR(__xludf.dummyfunction("IFERROR(IFERROR(GOOGLEFINANCE(A256,""price""),VLOOKUP(A256,'Dados-Status-Invest'!A:B,2,FALSE)),"""")"),10.33)</f>
        <v>10.33</v>
      </c>
      <c r="D250" s="8" t="n">
        <f aca="false">IFERROR(VLOOKUP(A250,'Dados-Status-Invest'!$1:$1000,MATCH(D$1,'Dados-Status-Invest'!$2:$2,0),FALSE()),"")</f>
        <v>1294246728</v>
      </c>
      <c r="E250" s="8" t="n">
        <f aca="false">IF(D250+H250&gt;0,D250+H250,"")</f>
        <v>1884030047</v>
      </c>
      <c r="F250" s="8" t="n">
        <f aca="false">IFERROR(D250/VLOOKUP(A250,'Dados-Status-Invest'!$1:$1000,5,FALSE()),"")</f>
        <v>2121715947</v>
      </c>
      <c r="G250" s="8" t="n">
        <f aca="false">IFERROR(D250/VLOOKUP(A250,'Dados-Status-Invest'!$1:$1000,6,FALSE()),"")</f>
        <v>3806608023</v>
      </c>
      <c r="H250" s="8" t="n">
        <f aca="false">IFERROR(VLOOKUP(A250,'Dados-Status-Invest'!$1:$1000,12,FALSE())*J250,"")</f>
        <v>589783319</v>
      </c>
      <c r="I250" s="8" t="n">
        <f aca="false">IFERROR(D250/VLOOKUP(A250,'Dados-Status-Invest'!$1:$1000,14,FALSE()),"")</f>
        <v>2696347350</v>
      </c>
      <c r="J250" s="9" t="n">
        <f aca="false">IFERROR(D250/VLOOKUP(A250,'Dados-Status-Invest'!$1:$1000,10,FALSE()),"")</f>
        <v>327657399.5</v>
      </c>
      <c r="K250" s="10" t="n">
        <f aca="false">IFERROR(VLOOKUP(A250,'Dados-Status-Invest'!$1:$1000,3,FALSE())/100,"")</f>
        <v>0.0405</v>
      </c>
      <c r="L250" s="11" t="n">
        <f aca="false">IFERROR(VLOOKUP(A250,'Dados-Status-Invest'!$1:$1000,MATCH(L$1,'Dados-Status-Invest'!$2:$2,0),FALSE())/100,"")</f>
        <v>0.0932</v>
      </c>
      <c r="M250" s="10" t="n">
        <f aca="false">IFERROR(VLOOKUP(A250,'Dados-Status-Invest'!$1:$1000,MATCH(M$1,'Dados-Status-Invest'!$2:$2,0),FALSE())/100,"")</f>
        <v>0.0519</v>
      </c>
      <c r="N250" s="10" t="n">
        <f aca="false">IFERROR(VLOOKUP(A250,'Dados-Status-Invest'!$1:$1000,MATCH(N$1,'Dados-Status-Invest'!$2:$2,0),FALSE())/100,"")</f>
        <v>0.0744</v>
      </c>
      <c r="O250" s="10" t="n">
        <f aca="false">IFERROR(VLOOKUP(A250,'Dados-Status-Invest'!$1:$1000,MATCH(O$1,'Dados-Status-Invest'!$2:$2,0),FALSE())/100,"")</f>
        <v>0.327</v>
      </c>
      <c r="P250" s="10" t="n">
        <f aca="false">IFERROR(VLOOKUP(A250,'Dados-Status-Invest'!$1:$1000,MATCH(P$1,'Dados-Status-Invest'!$2:$2,0),FALSE())/100,"")</f>
        <v>0.121</v>
      </c>
      <c r="Q250" s="10" t="n">
        <f aca="false">IFERROR(VLOOKUP(A250,'Dados-Status-Invest'!$1:$1000,MATCH(Q$1,'Dados-Status-Invest'!$2:$2,0),FALSE())/100,"")</f>
        <v>0.0736</v>
      </c>
      <c r="R250" s="12" t="n">
        <f aca="false">IFERROR(VLOOKUP(A250,'Dados-Status-Invest'!$1:$1000,MATCH(R$1,'Dados-Status-Invest'!$2:$2,0),FALSE()),"")</f>
        <v>6.49</v>
      </c>
      <c r="S250" s="12" t="n">
        <f aca="false">IFERROR(VLOOKUP(A250,'Dados-Status-Invest'!$1:$1000,MATCH(S$1,'Dados-Status-Invest'!$2:$2,0),FALSE()),"")</f>
        <v>0.61</v>
      </c>
      <c r="T250" s="12" t="n">
        <f aca="false">IFERROR(VLOOKUP(A250,'Dados-Status-Invest'!$1:$1000,MATCH(T$1,'Dados-Status-Invest'!$2:$2,0),FALSE()),"")</f>
        <v>7.26</v>
      </c>
      <c r="U250" s="12" t="n">
        <f aca="false">IFERROR(VLOOKUP(A250,'Dados-Status-Invest'!$1:$1000,MATCH(U$1,'Dados-Status-Invest'!$2:$2,0),FALSE()),"")</f>
        <v>1.33</v>
      </c>
      <c r="V250" s="12" t="n">
        <f aca="false">IFERROR(VLOOKUP(A250,'Dados-Status-Invest'!$1:$1000,MATCH(V$1,'Dados-Status-Invest'!$2:$2,0),FALSE()),"")</f>
        <v>1.8</v>
      </c>
      <c r="W250" s="10" t="n">
        <f aca="false">IFERROR(VLOOKUP(A250,'Dados-Status-Invest'!$1:$1000,MATCH(W$1,'Dados-Status-Invest'!$2:$2,0),FALSE())/100,"")</f>
        <v>0.0947</v>
      </c>
      <c r="X250" s="10" t="n">
        <f aca="false">IFERROR(VLOOKUP(A250,'Dados-Status-Invest'!$1:$1000,MATCH(X$1,'Dados-Status-Invest'!$2:$2,0),FALSE())/100,"")</f>
        <v>0.6884</v>
      </c>
    </row>
    <row r="251" customFormat="false" ht="15.75" hidden="false" customHeight="false" outlineLevel="0" collapsed="false">
      <c r="A251" s="6" t="s">
        <v>283</v>
      </c>
      <c r="B251" s="7" t="str">
        <f aca="false">IFERROR(VLOOKUP(LEFT(A251,4),Setor!A:D,2,FALSE()),"")</f>
        <v>Consumo Cíclico</v>
      </c>
      <c r="C251" s="8" t="n">
        <f aca="false">IFERROR(__xludf.dummyfunction("IFERROR(IFERROR(GOOGLEFINANCE(A257,""price""),VLOOKUP(A257,'Dados-Status-Invest'!A:B,2,FALSE)),"""")"),5.43)</f>
        <v>5.43</v>
      </c>
      <c r="D251" s="8" t="n">
        <f aca="false">IFERROR(VLOOKUP(A251,'Dados-Status-Invest'!$1:$1000,MATCH(D$1,'Dados-Status-Invest'!$2:$2,0),FALSE()),"")</f>
        <v>2166640000</v>
      </c>
      <c r="E251" s="8" t="n">
        <f aca="false">IF(D251+H251&gt;0,D251+H251,"")</f>
        <v>1139639388</v>
      </c>
      <c r="F251" s="8" t="n">
        <f aca="false">IFERROR(D251/VLOOKUP(A251,'Dados-Status-Invest'!$1:$1000,5,FALSE()),"")</f>
        <v>1820705882</v>
      </c>
      <c r="G251" s="8" t="n">
        <f aca="false">IFERROR(D251/VLOOKUP(A251,'Dados-Status-Invest'!$1:$1000,6,FALSE()),"")</f>
        <v>5701684211</v>
      </c>
      <c r="H251" s="8" t="n">
        <f aca="false">IFERROR(VLOOKUP(A251,'Dados-Status-Invest'!$1:$1000,12,FALSE())*J251,"")</f>
        <v>-1027000612</v>
      </c>
      <c r="I251" s="8" t="n">
        <f aca="false">IFERROR(D251/VLOOKUP(A251,'Dados-Status-Invest'!$1:$1000,14,FALSE()),"")</f>
        <v>1934500000</v>
      </c>
      <c r="J251" s="9" t="n">
        <f aca="false">IFERROR(D251/VLOOKUP(A251,'Dados-Status-Invest'!$1:$1000,10,FALSE()),"")</f>
        <v>331290519.9</v>
      </c>
      <c r="K251" s="10" t="n">
        <f aca="false">IFERROR(VLOOKUP(A251,'Dados-Status-Invest'!$1:$1000,3,FALSE())/100,"")</f>
        <v>0.0738</v>
      </c>
      <c r="L251" s="11" t="n">
        <f aca="false">IFERROR(VLOOKUP(A251,'Dados-Status-Invest'!$1:$1000,MATCH(L$1,'Dados-Status-Invest'!$2:$2,0),FALSE())/100,"")</f>
        <v>0.0339</v>
      </c>
      <c r="M251" s="10" t="n">
        <f aca="false">IFERROR(VLOOKUP(A251,'Dados-Status-Invest'!$1:$1000,MATCH(M$1,'Dados-Status-Invest'!$2:$2,0),FALSE())/100,"")</f>
        <v>0.0109</v>
      </c>
      <c r="N251" s="10" t="n">
        <f aca="false">IFERROR(VLOOKUP(A251,'Dados-Status-Invest'!$1:$1000,MATCH(N$1,'Dados-Status-Invest'!$2:$2,0),FALSE())/100,"")</f>
        <v>0.0975</v>
      </c>
      <c r="O251" s="10" t="n">
        <f aca="false">IFERROR(VLOOKUP(A251,'Dados-Status-Invest'!$1:$1000,MATCH(O$1,'Dados-Status-Invest'!$2:$2,0),FALSE())/100,"")</f>
        <v>0.285</v>
      </c>
      <c r="P251" s="10" t="n">
        <f aca="false">IFERROR(VLOOKUP(A251,'Dados-Status-Invest'!$1:$1000,MATCH(P$1,'Dados-Status-Invest'!$2:$2,0),FALSE())/100,"")</f>
        <v>0.1709</v>
      </c>
      <c r="Q251" s="10" t="n">
        <f aca="false">IFERROR(VLOOKUP(A251,'Dados-Status-Invest'!$1:$1000,MATCH(Q$1,'Dados-Status-Invest'!$2:$2,0),FALSE())/100,"")</f>
        <v>0.0318</v>
      </c>
      <c r="R251" s="12" t="n">
        <f aca="false">IFERROR(VLOOKUP(A251,'Dados-Status-Invest'!$1:$1000,MATCH(R$1,'Dados-Status-Invest'!$2:$2,0),FALSE()),"")</f>
        <v>35.11</v>
      </c>
      <c r="S251" s="12" t="n">
        <f aca="false">IFERROR(VLOOKUP(A251,'Dados-Status-Invest'!$1:$1000,MATCH(S$1,'Dados-Status-Invest'!$2:$2,0),FALSE()),"")</f>
        <v>1.19</v>
      </c>
      <c r="T251" s="12" t="n">
        <f aca="false">IFERROR(VLOOKUP(A251,'Dados-Status-Invest'!$1:$1000,MATCH(T$1,'Dados-Status-Invest'!$2:$2,0),FALSE()),"")</f>
        <v>3.41</v>
      </c>
      <c r="U251" s="12" t="n">
        <f aca="false">IFERROR(VLOOKUP(A251,'Dados-Status-Invest'!$1:$1000,MATCH(U$1,'Dados-Status-Invest'!$2:$2,0),FALSE()),"")</f>
        <v>2.43</v>
      </c>
      <c r="V251" s="12" t="n">
        <f aca="false">IFERROR(VLOOKUP(A251,'Dados-Status-Invest'!$1:$1000,MATCH(V$1,'Dados-Status-Invest'!$2:$2,0),FALSE()),"")</f>
        <v>-3.1</v>
      </c>
      <c r="W251" s="10" t="n">
        <f aca="false">IFERROR(VLOOKUP(A251,'Dados-Status-Invest'!$1:$1000,MATCH(W$1,'Dados-Status-Invest'!$2:$2,0),FALSE())/100,"")</f>
        <v>-0.054</v>
      </c>
      <c r="X251" s="10" t="n">
        <f aca="false">IFERROR(VLOOKUP(A251,'Dados-Status-Invest'!$1:$1000,MATCH(X$1,'Dados-Status-Invest'!$2:$2,0),FALSE())/100,"")</f>
        <v>-0.1859</v>
      </c>
    </row>
    <row r="252" customFormat="false" ht="15.75" hidden="false" customHeight="false" outlineLevel="0" collapsed="false">
      <c r="A252" s="6" t="s">
        <v>284</v>
      </c>
      <c r="B252" s="7" t="str">
        <f aca="false">IFERROR(VLOOKUP(LEFT(A252,4),Setor!A:D,2,FALSE()),"")</f>
        <v>Consumo Cíclico</v>
      </c>
      <c r="C252" s="8" t="n">
        <f aca="false">IFERROR(__xludf.dummyfunction("IFERROR(IFERROR(GOOGLEFINANCE(A258,""price""),VLOOKUP(A258,'Dados-Status-Invest'!A:B,2,FALSE)),"""")"),17.34)</f>
        <v>17.34</v>
      </c>
      <c r="D252" s="8" t="n">
        <f aca="false">IFERROR(VLOOKUP(A252,'Dados-Status-Invest'!$1:$1000,MATCH(D$1,'Dados-Status-Invest'!$2:$2,0),FALSE()),"")</f>
        <v>6991600000</v>
      </c>
      <c r="E252" s="8" t="n">
        <f aca="false">IF(D252+H252&gt;0,D252+H252,"")</f>
        <v>5930875857</v>
      </c>
      <c r="F252" s="8" t="n">
        <f aca="false">IFERROR(D252/VLOOKUP(A252,'Dados-Status-Invest'!$1:$1000,5,FALSE()),"")</f>
        <v>4137041420</v>
      </c>
      <c r="G252" s="8" t="n">
        <f aca="false">IFERROR(D252/VLOOKUP(A252,'Dados-Status-Invest'!$1:$1000,6,FALSE()),"")</f>
        <v>4788767123</v>
      </c>
      <c r="H252" s="8" t="n">
        <f aca="false">IFERROR(VLOOKUP(A252,'Dados-Status-Invest'!$1:$1000,12,FALSE())*J252,"")</f>
        <v>-1060724143</v>
      </c>
      <c r="I252" s="8" t="n">
        <f aca="false">IFERROR(D252/VLOOKUP(A252,'Dados-Status-Invest'!$1:$1000,14,FALSE()),"")</f>
        <v>881664564.9</v>
      </c>
      <c r="J252" s="9" t="n">
        <f aca="false">IFERROR(D252/VLOOKUP(A252,'Dados-Status-Invest'!$1:$1000,10,FALSE()),"")</f>
        <v>254981765.1</v>
      </c>
      <c r="K252" s="10" t="n">
        <f aca="false">IFERROR(VLOOKUP(A252,'Dados-Status-Invest'!$1:$1000,3,FALSE())/100,"")</f>
        <v>0.0138</v>
      </c>
      <c r="L252" s="11" t="n">
        <f aca="false">IFERROR(VLOOKUP(A252,'Dados-Status-Invest'!$1:$1000,MATCH(L$1,'Dados-Status-Invest'!$2:$2,0),FALSE())/100,"")</f>
        <v>0.0966</v>
      </c>
      <c r="M252" s="10" t="n">
        <f aca="false">IFERROR(VLOOKUP(A252,'Dados-Status-Invest'!$1:$1000,MATCH(M$1,'Dados-Status-Invest'!$2:$2,0),FALSE())/100,"")</f>
        <v>0.0834</v>
      </c>
      <c r="N252" s="10" t="n">
        <f aca="false">IFERROR(VLOOKUP(A252,'Dados-Status-Invest'!$1:$1000,MATCH(N$1,'Dados-Status-Invest'!$2:$2,0),FALSE())/100,"")</f>
        <v>0.0559</v>
      </c>
      <c r="O252" s="10" t="n">
        <f aca="false">IFERROR(VLOOKUP(A252,'Dados-Status-Invest'!$1:$1000,MATCH(O$1,'Dados-Status-Invest'!$2:$2,0),FALSE())/100,"")</f>
        <v>0.4361</v>
      </c>
      <c r="P252" s="10" t="n">
        <f aca="false">IFERROR(VLOOKUP(A252,'Dados-Status-Invest'!$1:$1000,MATCH(P$1,'Dados-Status-Invest'!$2:$2,0),FALSE())/100,"")</f>
        <v>0.2891</v>
      </c>
      <c r="Q252" s="10" t="n">
        <f aca="false">IFERROR(VLOOKUP(A252,'Dados-Status-Invest'!$1:$1000,MATCH(Q$1,'Dados-Status-Invest'!$2:$2,0),FALSE())/100,"")</f>
        <v>0.454</v>
      </c>
      <c r="R252" s="12" t="n">
        <f aca="false">IFERROR(VLOOKUP(A252,'Dados-Status-Invest'!$1:$1000,MATCH(R$1,'Dados-Status-Invest'!$2:$2,0),FALSE()),"")</f>
        <v>17.46</v>
      </c>
      <c r="S252" s="12" t="n">
        <f aca="false">IFERROR(VLOOKUP(A252,'Dados-Status-Invest'!$1:$1000,MATCH(S$1,'Dados-Status-Invest'!$2:$2,0),FALSE()),"")</f>
        <v>1.69</v>
      </c>
      <c r="T252" s="12" t="n">
        <f aca="false">IFERROR(VLOOKUP(A252,'Dados-Status-Invest'!$1:$1000,MATCH(T$1,'Dados-Status-Invest'!$2:$2,0),FALSE()),"")</f>
        <v>23.26</v>
      </c>
      <c r="U252" s="12" t="n">
        <f aca="false">IFERROR(VLOOKUP(A252,'Dados-Status-Invest'!$1:$1000,MATCH(U$1,'Dados-Status-Invest'!$2:$2,0),FALSE()),"")</f>
        <v>6.23</v>
      </c>
      <c r="V252" s="12" t="n">
        <f aca="false">IFERROR(VLOOKUP(A252,'Dados-Status-Invest'!$1:$1000,MATCH(V$1,'Dados-Status-Invest'!$2:$2,0),FALSE()),"")</f>
        <v>-4.16</v>
      </c>
      <c r="W252" s="10" t="n">
        <f aca="false">IFERROR(VLOOKUP(A252,'Dados-Status-Invest'!$1:$1000,MATCH(W$1,'Dados-Status-Invest'!$2:$2,0),FALSE())/100,"")</f>
        <v>0.0284</v>
      </c>
      <c r="X252" s="10" t="n">
        <f aca="false">IFERROR(VLOOKUP(A252,'Dados-Status-Invest'!$1:$1000,MATCH(X$1,'Dados-Status-Invest'!$2:$2,0),FALSE())/100,"")</f>
        <v>-0.0136</v>
      </c>
    </row>
    <row r="253" customFormat="false" ht="15.75" hidden="false" customHeight="false" outlineLevel="0" collapsed="false">
      <c r="A253" s="6" t="s">
        <v>285</v>
      </c>
      <c r="B253" s="7" t="s">
        <v>58</v>
      </c>
      <c r="C253" s="8" t="n">
        <f aca="false">IFERROR(__xludf.dummyfunction("IFERROR(IFERROR(GOOGLEFINANCE(A259,""price""),VLOOKUP(A259,'Dados-Status-Invest'!A:B,2,FALSE)),"""")"),0)</f>
        <v>0</v>
      </c>
      <c r="D253" s="8" t="n">
        <f aca="false">IFERROR(VLOOKUP(A253,'Dados-Status-Invest'!$1:$1000,MATCH(D$1,'Dados-Status-Invest'!$2:$2,0),FALSE()),"")</f>
        <v>904253.84</v>
      </c>
      <c r="E253" s="8" t="n">
        <f aca="false">IF(D253+H253&gt;0,D253+H253,"")</f>
        <v>904253.84</v>
      </c>
      <c r="F253" s="8" t="str">
        <f aca="false">IFERROR(D253/VLOOKUP(A253,'Dados-Status-Invest'!$1:$1000,5,FALSE()),"")</f>
        <v/>
      </c>
      <c r="G253" s="8" t="str">
        <f aca="false">IFERROR(D253/VLOOKUP(A253,'Dados-Status-Invest'!$1:$1000,6,FALSE()),"")</f>
        <v/>
      </c>
      <c r="H253" s="8" t="n">
        <f aca="false">IFERROR(VLOOKUP(A253,'Dados-Status-Invest'!$1:$1000,12,FALSE())*J253,"")</f>
        <v>0</v>
      </c>
      <c r="I253" s="8" t="str">
        <f aca="false">IFERROR(D253/VLOOKUP(A253,'Dados-Status-Invest'!$1:$1000,14,FALSE()),"")</f>
        <v/>
      </c>
      <c r="J253" s="9" t="str">
        <f aca="false">IFERROR(D253/VLOOKUP(A253,'Dados-Status-Invest'!$1:$1000,10,FALSE()),"")</f>
        <v/>
      </c>
      <c r="K253" s="10" t="n">
        <f aca="false">IFERROR(VLOOKUP(A253,'Dados-Status-Invest'!$1:$1000,3,FALSE())/100,"")</f>
        <v>0</v>
      </c>
      <c r="L253" s="11" t="n">
        <f aca="false">IFERROR(VLOOKUP(A253,'Dados-Status-Invest'!$1:$1000,MATCH(L$1,'Dados-Status-Invest'!$2:$2,0),FALSE())/100,"")</f>
        <v>-0.2419</v>
      </c>
      <c r="M253" s="10" t="n">
        <f aca="false">IFERROR(VLOOKUP(A253,'Dados-Status-Invest'!$1:$1000,MATCH(M$1,'Dados-Status-Invest'!$2:$2,0),FALSE())/100,"")</f>
        <v>-0.3657</v>
      </c>
      <c r="N253" s="10" t="n">
        <f aca="false">IFERROR(VLOOKUP(A253,'Dados-Status-Invest'!$1:$1000,MATCH(N$1,'Dados-Status-Invest'!$2:$2,0),FALSE())/100,"")</f>
        <v>0.2582</v>
      </c>
      <c r="O253" s="10" t="n">
        <f aca="false">IFERROR(VLOOKUP(A253,'Dados-Status-Invest'!$1:$1000,MATCH(O$1,'Dados-Status-Invest'!$2:$2,0),FALSE())/100,"")</f>
        <v>-0.6076</v>
      </c>
      <c r="P253" s="10" t="n">
        <f aca="false">IFERROR(VLOOKUP(A253,'Dados-Status-Invest'!$1:$1000,MATCH(P$1,'Dados-Status-Invest'!$2:$2,0),FALSE())/100,"")</f>
        <v>-0.9267</v>
      </c>
      <c r="Q253" s="10" t="n">
        <f aca="false">IFERROR(VLOOKUP(A253,'Dados-Status-Invest'!$1:$1000,MATCH(Q$1,'Dados-Status-Invest'!$2:$2,0),FALSE())/100,"")</f>
        <v>-1.0197</v>
      </c>
      <c r="R253" s="12" t="n">
        <f aca="false">IFERROR(VLOOKUP(A253,'Dados-Status-Invest'!$1:$1000,MATCH(R$1,'Dados-Status-Invest'!$2:$2,0),FALSE()),"")</f>
        <v>0</v>
      </c>
      <c r="S253" s="12" t="n">
        <f aca="false">IFERROR(VLOOKUP(A253,'Dados-Status-Invest'!$1:$1000,MATCH(S$1,'Dados-Status-Invest'!$2:$2,0),FALSE()),"")</f>
        <v>0</v>
      </c>
      <c r="T253" s="12" t="n">
        <f aca="false">IFERROR(VLOOKUP(A253,'Dados-Status-Invest'!$1:$1000,MATCH(T$1,'Dados-Status-Invest'!$2:$2,0),FALSE()),"")</f>
        <v>-0.74</v>
      </c>
      <c r="U253" s="12" t="n">
        <f aca="false">IFERROR(VLOOKUP(A253,'Dados-Status-Invest'!$1:$1000,MATCH(U$1,'Dados-Status-Invest'!$2:$2,0),FALSE()),"")</f>
        <v>0.31</v>
      </c>
      <c r="V253" s="12" t="n">
        <f aca="false">IFERROR(VLOOKUP(A253,'Dados-Status-Invest'!$1:$1000,MATCH(V$1,'Dados-Status-Invest'!$2:$2,0),FALSE()),"")</f>
        <v>-0.67</v>
      </c>
      <c r="W253" s="10" t="n">
        <f aca="false">IFERROR(VLOOKUP(A253,'Dados-Status-Invest'!$1:$1000,MATCH(W$1,'Dados-Status-Invest'!$2:$2,0),FALSE())/100,"")</f>
        <v>-0.1814</v>
      </c>
      <c r="X253" s="10" t="n">
        <f aca="false">IFERROR(VLOOKUP(A253,'Dados-Status-Invest'!$1:$1000,MATCH(X$1,'Dados-Status-Invest'!$2:$2,0),FALSE())/100,"")</f>
        <v>0</v>
      </c>
    </row>
    <row r="254" customFormat="false" ht="15.75" hidden="false" customHeight="false" outlineLevel="0" collapsed="false">
      <c r="A254" s="6" t="s">
        <v>286</v>
      </c>
      <c r="B254" s="7" t="s">
        <v>58</v>
      </c>
      <c r="C254" s="8" t="n">
        <f aca="false">IFERROR(__xludf.dummyfunction("IFERROR(IFERROR(GOOGLEFINANCE(A260,""price""),VLOOKUP(A260,'Dados-Status-Invest'!A:B,2,FALSE)),"""")"),1.96)</f>
        <v>1.96</v>
      </c>
      <c r="D254" s="8" t="n">
        <f aca="false">IFERROR(VLOOKUP(A254,'Dados-Status-Invest'!$1:$1000,MATCH(D$1,'Dados-Status-Invest'!$2:$2,0),FALSE()),"")</f>
        <v>904253.84</v>
      </c>
      <c r="E254" s="8" t="n">
        <f aca="false">IF(D254+H254&gt;0,D254+H254,"")</f>
        <v>6962754.568</v>
      </c>
      <c r="F254" s="8" t="n">
        <f aca="false">IFERROR(D254/VLOOKUP(A254,'Dados-Status-Invest'!$1:$1000,5,FALSE()),"")</f>
        <v>-45212692</v>
      </c>
      <c r="G254" s="8" t="n">
        <f aca="false">IFERROR(D254/VLOOKUP(A254,'Dados-Status-Invest'!$1:$1000,6,FALSE()),"")</f>
        <v>30141794.67</v>
      </c>
      <c r="H254" s="8" t="n">
        <f aca="false">IFERROR(VLOOKUP(A254,'Dados-Status-Invest'!$1:$1000,12,FALSE())*J254,"")</f>
        <v>6058500.728</v>
      </c>
      <c r="I254" s="8" t="n">
        <f aca="false">IFERROR(D254/VLOOKUP(A254,'Dados-Status-Invest'!$1:$1000,14,FALSE()),"")</f>
        <v>10047264.89</v>
      </c>
      <c r="J254" s="9" t="n">
        <f aca="false">IFERROR(D254/VLOOKUP(A254,'Dados-Status-Invest'!$1:$1000,10,FALSE()),"")</f>
        <v>-9042538.4</v>
      </c>
      <c r="K254" s="10" t="n">
        <f aca="false">IFERROR(VLOOKUP(A254,'Dados-Status-Invest'!$1:$1000,3,FALSE())/100,"")</f>
        <v>0</v>
      </c>
      <c r="L254" s="11" t="n">
        <f aca="false">IFERROR(VLOOKUP(A254,'Dados-Status-Invest'!$1:$1000,MATCH(L$1,'Dados-Status-Invest'!$2:$2,0),FALSE())/100,"")</f>
        <v>-0.2419</v>
      </c>
      <c r="M254" s="10" t="n">
        <f aca="false">IFERROR(VLOOKUP(A254,'Dados-Status-Invest'!$1:$1000,MATCH(M$1,'Dados-Status-Invest'!$2:$2,0),FALSE())/100,"")</f>
        <v>-0.3657</v>
      </c>
      <c r="N254" s="10" t="n">
        <f aca="false">IFERROR(VLOOKUP(A254,'Dados-Status-Invest'!$1:$1000,MATCH(N$1,'Dados-Status-Invest'!$2:$2,0),FALSE())/100,"")</f>
        <v>0.2582</v>
      </c>
      <c r="O254" s="10" t="n">
        <f aca="false">IFERROR(VLOOKUP(A254,'Dados-Status-Invest'!$1:$1000,MATCH(O$1,'Dados-Status-Invest'!$2:$2,0),FALSE())/100,"")</f>
        <v>-0.6076</v>
      </c>
      <c r="P254" s="10" t="n">
        <f aca="false">IFERROR(VLOOKUP(A254,'Dados-Status-Invest'!$1:$1000,MATCH(P$1,'Dados-Status-Invest'!$2:$2,0),FALSE())/100,"")</f>
        <v>-0.9267</v>
      </c>
      <c r="Q254" s="10" t="n">
        <f aca="false">IFERROR(VLOOKUP(A254,'Dados-Status-Invest'!$1:$1000,MATCH(Q$1,'Dados-Status-Invest'!$2:$2,0),FALSE())/100,"")</f>
        <v>-1.0197</v>
      </c>
      <c r="R254" s="12" t="n">
        <f aca="false">IFERROR(VLOOKUP(A254,'Dados-Status-Invest'!$1:$1000,MATCH(R$1,'Dados-Status-Invest'!$2:$2,0),FALSE()),"")</f>
        <v>-0.09</v>
      </c>
      <c r="S254" s="12" t="n">
        <f aca="false">IFERROR(VLOOKUP(A254,'Dados-Status-Invest'!$1:$1000,MATCH(S$1,'Dados-Status-Invest'!$2:$2,0),FALSE()),"")</f>
        <v>-0.02</v>
      </c>
      <c r="T254" s="12" t="n">
        <f aca="false">IFERROR(VLOOKUP(A254,'Dados-Status-Invest'!$1:$1000,MATCH(T$1,'Dados-Status-Invest'!$2:$2,0),FALSE()),"")</f>
        <v>-0.74</v>
      </c>
      <c r="U254" s="12" t="n">
        <f aca="false">IFERROR(VLOOKUP(A254,'Dados-Status-Invest'!$1:$1000,MATCH(U$1,'Dados-Status-Invest'!$2:$2,0),FALSE()),"")</f>
        <v>0.31</v>
      </c>
      <c r="V254" s="12" t="n">
        <f aca="false">IFERROR(VLOOKUP(A254,'Dados-Status-Invest'!$1:$1000,MATCH(V$1,'Dados-Status-Invest'!$2:$2,0),FALSE()),"")</f>
        <v>-0.67</v>
      </c>
      <c r="W254" s="10" t="n">
        <f aca="false">IFERROR(VLOOKUP(A254,'Dados-Status-Invest'!$1:$1000,MATCH(W$1,'Dados-Status-Invest'!$2:$2,0),FALSE())/100,"")</f>
        <v>-0.1814</v>
      </c>
      <c r="X254" s="10" t="n">
        <f aca="false">IFERROR(VLOOKUP(A254,'Dados-Status-Invest'!$1:$1000,MATCH(X$1,'Dados-Status-Invest'!$2:$2,0),FALSE())/100,"")</f>
        <v>0</v>
      </c>
    </row>
    <row r="255" customFormat="false" ht="15.75" hidden="false" customHeight="false" outlineLevel="0" collapsed="false">
      <c r="A255" s="6" t="s">
        <v>287</v>
      </c>
      <c r="B255" s="7" t="str">
        <f aca="false">IFERROR(VLOOKUP(LEFT(A255,4),Setor!A:D,2,FALSE()),"")</f>
        <v>Materiais Básicos</v>
      </c>
      <c r="C255" s="8" t="n">
        <f aca="false">IFERROR(__xludf.dummyfunction("IFERROR(IFERROR(GOOGLEFINANCE(A261,""price""),VLOOKUP(A261,'Dados-Status-Invest'!A:B,2,FALSE)),"""")"),49)</f>
        <v>49</v>
      </c>
      <c r="D255" s="8" t="n">
        <f aca="false">IFERROR(VLOOKUP(A255,'Dados-Status-Invest'!$1:$1000,MATCH(D$1,'Dados-Status-Invest'!$2:$2,0),FALSE()),"")</f>
        <v>4149862400</v>
      </c>
      <c r="E255" s="8" t="n">
        <f aca="false">IF(D255+H255&gt;0,D255+H255,"")</f>
        <v>4357041612.1</v>
      </c>
      <c r="F255" s="8" t="n">
        <f aca="false">IFERROR(D255/VLOOKUP(A255,'Dados-Status-Invest'!$1:$1000,5,FALSE()),"")</f>
        <v>1548456119</v>
      </c>
      <c r="G255" s="8" t="n">
        <f aca="false">IFERROR(D255/VLOOKUP(A255,'Dados-Status-Invest'!$1:$1000,6,FALSE()),"")</f>
        <v>2412710698</v>
      </c>
      <c r="H255" s="8" t="n">
        <f aca="false">IFERROR(VLOOKUP(A255,'Dados-Status-Invest'!$1:$1000,12,FALSE())*J255,"")</f>
        <v>207179212.1</v>
      </c>
      <c r="I255" s="8" t="n">
        <f aca="false">IFERROR(D255/VLOOKUP(A255,'Dados-Status-Invest'!$1:$1000,14,FALSE()),"")</f>
        <v>1531314539</v>
      </c>
      <c r="J255" s="9" t="n">
        <f aca="false">IFERROR(D255/VLOOKUP(A255,'Dados-Status-Invest'!$1:$1000,10,FALSE()),"")</f>
        <v>313907897.1</v>
      </c>
      <c r="K255" s="10" t="n">
        <f aca="false">IFERROR(VLOOKUP(A255,'Dados-Status-Invest'!$1:$1000,3,FALSE())/100,"")</f>
        <v>0.0189</v>
      </c>
      <c r="L255" s="11" t="n">
        <f aca="false">IFERROR(VLOOKUP(A255,'Dados-Status-Invest'!$1:$1000,MATCH(L$1,'Dados-Status-Invest'!$2:$2,0),FALSE())/100,"")</f>
        <v>0.0713</v>
      </c>
      <c r="M255" s="10" t="n">
        <f aca="false">IFERROR(VLOOKUP(A255,'Dados-Status-Invest'!$1:$1000,MATCH(M$1,'Dados-Status-Invest'!$2:$2,0),FALSE())/100,"")</f>
        <v>0.0457</v>
      </c>
      <c r="N255" s="10" t="n">
        <f aca="false">IFERROR(VLOOKUP(A255,'Dados-Status-Invest'!$1:$1000,MATCH(N$1,'Dados-Status-Invest'!$2:$2,0),FALSE())/100,"")</f>
        <v>0.1566</v>
      </c>
      <c r="O255" s="10" t="n">
        <f aca="false">IFERROR(VLOOKUP(A255,'Dados-Status-Invest'!$1:$1000,MATCH(O$1,'Dados-Status-Invest'!$2:$2,0),FALSE())/100,"")</f>
        <v>0.3033</v>
      </c>
      <c r="P255" s="10" t="n">
        <f aca="false">IFERROR(VLOOKUP(A255,'Dados-Status-Invest'!$1:$1000,MATCH(P$1,'Dados-Status-Invest'!$2:$2,0),FALSE())/100,"")</f>
        <v>0.205</v>
      </c>
      <c r="Q255" s="10" t="n">
        <f aca="false">IFERROR(VLOOKUP(A255,'Dados-Status-Invest'!$1:$1000,MATCH(Q$1,'Dados-Status-Invest'!$2:$2,0),FALSE())/100,"")</f>
        <v>0.0722</v>
      </c>
      <c r="R255" s="12" t="n">
        <f aca="false">IFERROR(VLOOKUP(A255,'Dados-Status-Invest'!$1:$1000,MATCH(R$1,'Dados-Status-Invest'!$2:$2,0),FALSE()),"")</f>
        <v>37.54</v>
      </c>
      <c r="S255" s="12" t="n">
        <f aca="false">IFERROR(VLOOKUP(A255,'Dados-Status-Invest'!$1:$1000,MATCH(S$1,'Dados-Status-Invest'!$2:$2,0),FALSE()),"")</f>
        <v>2.68</v>
      </c>
      <c r="T255" s="12" t="n">
        <f aca="false">IFERROR(VLOOKUP(A255,'Dados-Status-Invest'!$1:$1000,MATCH(T$1,'Dados-Status-Invest'!$2:$2,0),FALSE()),"")</f>
        <v>11.95</v>
      </c>
      <c r="U255" s="12" t="n">
        <f aca="false">IFERROR(VLOOKUP(A255,'Dados-Status-Invest'!$1:$1000,MATCH(U$1,'Dados-Status-Invest'!$2:$2,0),FALSE()),"")</f>
        <v>2.13</v>
      </c>
      <c r="V255" s="12" t="n">
        <f aca="false">IFERROR(VLOOKUP(A255,'Dados-Status-Invest'!$1:$1000,MATCH(V$1,'Dados-Status-Invest'!$2:$2,0),FALSE()),"")</f>
        <v>0.66</v>
      </c>
      <c r="W255" s="10" t="n">
        <f aca="false">IFERROR(VLOOKUP(A255,'Dados-Status-Invest'!$1:$1000,MATCH(W$1,'Dados-Status-Invest'!$2:$2,0),FALSE())/100,"")</f>
        <v>0.1162</v>
      </c>
      <c r="X255" s="10" t="n">
        <f aca="false">IFERROR(VLOOKUP(A255,'Dados-Status-Invest'!$1:$1000,MATCH(X$1,'Dados-Status-Invest'!$2:$2,0),FALSE())/100,"")</f>
        <v>-0.1662</v>
      </c>
    </row>
    <row r="256" customFormat="false" ht="15.75" hidden="false" customHeight="false" outlineLevel="0" collapsed="false">
      <c r="A256" s="6" t="s">
        <v>288</v>
      </c>
      <c r="B256" s="7" t="str">
        <f aca="false">IFERROR(VLOOKUP(LEFT(A256,4),Setor!A:D,2,FALSE()),"")</f>
        <v>Materiais Básicos</v>
      </c>
      <c r="C256" s="8" t="n">
        <f aca="false">IFERROR(__xludf.dummyfunction("IFERROR(IFERROR(GOOGLEFINANCE(A262,""price""),VLOOKUP(A262,'Dados-Status-Invest'!A:B,2,FALSE)),"""")"),52.83)</f>
        <v>52.83</v>
      </c>
      <c r="D256" s="8" t="n">
        <f aca="false">IFERROR(VLOOKUP(A256,'Dados-Status-Invest'!$1:$1000,MATCH(D$1,'Dados-Status-Invest'!$2:$2,0),FALSE()),"")</f>
        <v>4149862400</v>
      </c>
      <c r="E256" s="8" t="n">
        <f aca="false">IF(D256+H256&gt;0,D256+H256,"")</f>
        <v>4414491306.7</v>
      </c>
      <c r="F256" s="8" t="n">
        <f aca="false">IFERROR(D256/VLOOKUP(A256,'Dados-Status-Invest'!$1:$1000,5,FALSE()),"")</f>
        <v>1976124952</v>
      </c>
      <c r="G256" s="8" t="n">
        <f aca="false">IFERROR(D256/VLOOKUP(A256,'Dados-Status-Invest'!$1:$1000,6,FALSE()),"")</f>
        <v>3096912239</v>
      </c>
      <c r="H256" s="8" t="n">
        <f aca="false">IFERROR(VLOOKUP(A256,'Dados-Status-Invest'!$1:$1000,12,FALSE())*J256,"")</f>
        <v>264628906.7</v>
      </c>
      <c r="I256" s="8" t="n">
        <f aca="false">IFERROR(D256/VLOOKUP(A256,'Dados-Status-Invest'!$1:$1000,14,FALSE()),"")</f>
        <v>1957482264</v>
      </c>
      <c r="J256" s="9" t="n">
        <f aca="false">IFERROR(D256/VLOOKUP(A256,'Dados-Status-Invest'!$1:$1000,10,FALSE()),"")</f>
        <v>400952888.9</v>
      </c>
      <c r="K256" s="10" t="n">
        <f aca="false">IFERROR(VLOOKUP(A256,'Dados-Status-Invest'!$1:$1000,3,FALSE())/100,"")</f>
        <v>0.0265</v>
      </c>
      <c r="L256" s="11" t="n">
        <f aca="false">IFERROR(VLOOKUP(A256,'Dados-Status-Invest'!$1:$1000,MATCH(L$1,'Dados-Status-Invest'!$2:$2,0),FALSE())/100,"")</f>
        <v>0.0713</v>
      </c>
      <c r="M256" s="10" t="n">
        <f aca="false">IFERROR(VLOOKUP(A256,'Dados-Status-Invest'!$1:$1000,MATCH(M$1,'Dados-Status-Invest'!$2:$2,0),FALSE())/100,"")</f>
        <v>0.0457</v>
      </c>
      <c r="N256" s="10" t="n">
        <f aca="false">IFERROR(VLOOKUP(A256,'Dados-Status-Invest'!$1:$1000,MATCH(N$1,'Dados-Status-Invest'!$2:$2,0),FALSE())/100,"")</f>
        <v>0.1566</v>
      </c>
      <c r="O256" s="10" t="n">
        <f aca="false">IFERROR(VLOOKUP(A256,'Dados-Status-Invest'!$1:$1000,MATCH(O$1,'Dados-Status-Invest'!$2:$2,0),FALSE())/100,"")</f>
        <v>0.3033</v>
      </c>
      <c r="P256" s="10" t="n">
        <f aca="false">IFERROR(VLOOKUP(A256,'Dados-Status-Invest'!$1:$1000,MATCH(P$1,'Dados-Status-Invest'!$2:$2,0),FALSE())/100,"")</f>
        <v>0.205</v>
      </c>
      <c r="Q256" s="10" t="n">
        <f aca="false">IFERROR(VLOOKUP(A256,'Dados-Status-Invest'!$1:$1000,MATCH(Q$1,'Dados-Status-Invest'!$2:$2,0),FALSE())/100,"")</f>
        <v>0.0722</v>
      </c>
      <c r="R256" s="12" t="n">
        <f aca="false">IFERROR(VLOOKUP(A256,'Dados-Status-Invest'!$1:$1000,MATCH(R$1,'Dados-Status-Invest'!$2:$2,0),FALSE()),"")</f>
        <v>29.39</v>
      </c>
      <c r="S256" s="12" t="n">
        <f aca="false">IFERROR(VLOOKUP(A256,'Dados-Status-Invest'!$1:$1000,MATCH(S$1,'Dados-Status-Invest'!$2:$2,0),FALSE()),"")</f>
        <v>2.1</v>
      </c>
      <c r="T256" s="12" t="n">
        <f aca="false">IFERROR(VLOOKUP(A256,'Dados-Status-Invest'!$1:$1000,MATCH(T$1,'Dados-Status-Invest'!$2:$2,0),FALSE()),"")</f>
        <v>11.95</v>
      </c>
      <c r="U256" s="12" t="n">
        <f aca="false">IFERROR(VLOOKUP(A256,'Dados-Status-Invest'!$1:$1000,MATCH(U$1,'Dados-Status-Invest'!$2:$2,0),FALSE()),"")</f>
        <v>2.13</v>
      </c>
      <c r="V256" s="12" t="n">
        <f aca="false">IFERROR(VLOOKUP(A256,'Dados-Status-Invest'!$1:$1000,MATCH(V$1,'Dados-Status-Invest'!$2:$2,0),FALSE()),"")</f>
        <v>0.66</v>
      </c>
      <c r="W256" s="10" t="n">
        <f aca="false">IFERROR(VLOOKUP(A256,'Dados-Status-Invest'!$1:$1000,MATCH(W$1,'Dados-Status-Invest'!$2:$2,0),FALSE())/100,"")</f>
        <v>0.1162</v>
      </c>
      <c r="X256" s="10" t="n">
        <f aca="false">IFERROR(VLOOKUP(A256,'Dados-Status-Invest'!$1:$1000,MATCH(X$1,'Dados-Status-Invest'!$2:$2,0),FALSE())/100,"")</f>
        <v>-0.1662</v>
      </c>
    </row>
    <row r="257" customFormat="false" ht="15.75" hidden="false" customHeight="false" outlineLevel="0" collapsed="false">
      <c r="A257" s="6" t="s">
        <v>289</v>
      </c>
      <c r="B257" s="7" t="str">
        <f aca="false">IFERROR(VLOOKUP(LEFT(A257,4),Setor!A:D,2,FALSE()),"")</f>
        <v>Materiais Básicos</v>
      </c>
      <c r="C257" s="8" t="n">
        <f aca="false">IFERROR(__xludf.dummyfunction("IFERROR(IFERROR(GOOGLEFINANCE(A263,""price""),VLOOKUP(A263,'Dados-Status-Invest'!A:B,2,FALSE)),"""")"),16.54)</f>
        <v>16.54</v>
      </c>
      <c r="D257" s="8" t="n">
        <f aca="false">IFERROR(VLOOKUP(A257,'Dados-Status-Invest'!$1:$1000,MATCH(D$1,'Dados-Status-Invest'!$2:$2,0),FALSE()),"")</f>
        <v>957582509.5</v>
      </c>
      <c r="E257" s="8" t="n">
        <f aca="false">IF(D257+H257&gt;0,D257+H257,"")</f>
        <v>983323974.81</v>
      </c>
      <c r="F257" s="8" t="n">
        <f aca="false">IFERROR(D257/VLOOKUP(A257,'Dados-Status-Invest'!$1:$1000,5,FALSE()),"")</f>
        <v>-156723815</v>
      </c>
      <c r="G257" s="8" t="n">
        <f aca="false">IFERROR(D257/VLOOKUP(A257,'Dados-Status-Invest'!$1:$1000,6,FALSE()),"")</f>
        <v>1709968767</v>
      </c>
      <c r="H257" s="8" t="n">
        <f aca="false">IFERROR(VLOOKUP(A257,'Dados-Status-Invest'!$1:$1000,12,FALSE())*J257,"")</f>
        <v>25741465.31</v>
      </c>
      <c r="I257" s="8" t="n">
        <f aca="false">IFERROR(D257/VLOOKUP(A257,'Dados-Status-Invest'!$1:$1000,14,FALSE()),"")</f>
        <v>2588060837</v>
      </c>
      <c r="J257" s="9" t="n">
        <f aca="false">IFERROR(D257/VLOOKUP(A257,'Dados-Status-Invest'!$1:$1000,10,FALSE()),"")</f>
        <v>257414653.1</v>
      </c>
      <c r="K257" s="10" t="n">
        <f aca="false">IFERROR(VLOOKUP(A257,'Dados-Status-Invest'!$1:$1000,3,FALSE())/100,"")</f>
        <v>0</v>
      </c>
      <c r="L257" s="11" t="n">
        <f aca="false">IFERROR(VLOOKUP(A257,'Dados-Status-Invest'!$1:$1000,MATCH(L$1,'Dados-Status-Invest'!$2:$2,0),FALSE())/100,"")</f>
        <v>-0.0106</v>
      </c>
      <c r="M257" s="10" t="n">
        <f aca="false">IFERROR(VLOOKUP(A257,'Dados-Status-Invest'!$1:$1000,MATCH(M$1,'Dados-Status-Invest'!$2:$2,0),FALSE())/100,"")</f>
        <v>-0.001</v>
      </c>
      <c r="N257" s="10" t="n">
        <f aca="false">IFERROR(VLOOKUP(A257,'Dados-Status-Invest'!$1:$1000,MATCH(N$1,'Dados-Status-Invest'!$2:$2,0),FALSE())/100,"")</f>
        <v>-2.8362</v>
      </c>
      <c r="O257" s="10" t="n">
        <f aca="false">IFERROR(VLOOKUP(A257,'Dados-Status-Invest'!$1:$1000,MATCH(O$1,'Dados-Status-Invest'!$2:$2,0),FALSE())/100,"")</f>
        <v>0.1685</v>
      </c>
      <c r="P257" s="10" t="n">
        <f aca="false">IFERROR(VLOOKUP(A257,'Dados-Status-Invest'!$1:$1000,MATCH(P$1,'Dados-Status-Invest'!$2:$2,0),FALSE())/100,"")</f>
        <v>0.0995</v>
      </c>
      <c r="Q257" s="10" t="n">
        <f aca="false">IFERROR(VLOOKUP(A257,'Dados-Status-Invest'!$1:$1000,MATCH(Q$1,'Dados-Status-Invest'!$2:$2,0),FALSE())/100,"")</f>
        <v>-0.0006</v>
      </c>
      <c r="R257" s="12" t="n">
        <f aca="false">IFERROR(VLOOKUP(A257,'Dados-Status-Invest'!$1:$1000,MATCH(R$1,'Dados-Status-Invest'!$2:$2,0),FALSE()),"")</f>
        <v>-577.51</v>
      </c>
      <c r="S257" s="12" t="n">
        <f aca="false">IFERROR(VLOOKUP(A257,'Dados-Status-Invest'!$1:$1000,MATCH(S$1,'Dados-Status-Invest'!$2:$2,0),FALSE()),"")</f>
        <v>-6.11</v>
      </c>
      <c r="T257" s="12" t="n">
        <f aca="false">IFERROR(VLOOKUP(A257,'Dados-Status-Invest'!$1:$1000,MATCH(T$1,'Dados-Status-Invest'!$2:$2,0),FALSE()),"")</f>
        <v>3.84</v>
      </c>
      <c r="U257" s="12" t="n">
        <f aca="false">IFERROR(VLOOKUP(A257,'Dados-Status-Invest'!$1:$1000,MATCH(U$1,'Dados-Status-Invest'!$2:$2,0),FALSE()),"")</f>
        <v>1.54</v>
      </c>
      <c r="V257" s="12" t="n">
        <f aca="false">IFERROR(VLOOKUP(A257,'Dados-Status-Invest'!$1:$1000,MATCH(V$1,'Dados-Status-Invest'!$2:$2,0),FALSE()),"")</f>
        <v>0.1</v>
      </c>
      <c r="W257" s="10" t="n">
        <f aca="false">IFERROR(VLOOKUP(A257,'Dados-Status-Invest'!$1:$1000,MATCH(W$1,'Dados-Status-Invest'!$2:$2,0),FALSE())/100,"")</f>
        <v>-0.1889</v>
      </c>
      <c r="X257" s="10" t="n">
        <f aca="false">IFERROR(VLOOKUP(A257,'Dados-Status-Invest'!$1:$1000,MATCH(X$1,'Dados-Status-Invest'!$2:$2,0),FALSE())/100,"")</f>
        <v>0</v>
      </c>
    </row>
    <row r="258" customFormat="false" ht="15.75" hidden="false" customHeight="false" outlineLevel="0" collapsed="false">
      <c r="A258" s="6" t="s">
        <v>290</v>
      </c>
      <c r="B258" s="7" t="str">
        <f aca="false">IFERROR(VLOOKUP(LEFT(A258,4),Setor!A:D,2,FALSE()),"")</f>
        <v>Outros</v>
      </c>
      <c r="C258" s="8" t="n">
        <f aca="false">IFERROR(__xludf.dummyfunction("IFERROR(IFERROR(GOOGLEFINANCE(A264,""price""),VLOOKUP(A264,'Dados-Status-Invest'!A:B,2,FALSE)),"""")"),0)</f>
        <v>0</v>
      </c>
      <c r="D258" s="8" t="n">
        <f aca="false">IFERROR(VLOOKUP(A258,'Dados-Status-Invest'!$1:$1000,MATCH(D$1,'Dados-Status-Invest'!$2:$2,0),FALSE()),"")</f>
        <v>0</v>
      </c>
      <c r="E258" s="8" t="str">
        <f aca="false">IF(D258+H258&gt;0,D258+H258,"")</f>
        <v/>
      </c>
      <c r="F258" s="8" t="str">
        <f aca="false">IFERROR(D258/VLOOKUP(A258,'Dados-Status-Invest'!$1:$1000,5,FALSE()),"")</f>
        <v/>
      </c>
      <c r="G258" s="8" t="str">
        <f aca="false">IFERROR(D258/VLOOKUP(A258,'Dados-Status-Invest'!$1:$1000,6,FALSE()),"")</f>
        <v/>
      </c>
      <c r="H258" s="8" t="n">
        <f aca="false">IFERROR(VLOOKUP(A258,'Dados-Status-Invest'!$1:$1000,12,FALSE())*J258,"")</f>
        <v>0</v>
      </c>
      <c r="I258" s="8" t="str">
        <f aca="false">IFERROR(D258/VLOOKUP(A258,'Dados-Status-Invest'!$1:$1000,14,FALSE()),"")</f>
        <v/>
      </c>
      <c r="J258" s="9" t="str">
        <f aca="false">IFERROR(D258/VLOOKUP(A258,'Dados-Status-Invest'!$1:$1000,10,FALSE()),"")</f>
        <v/>
      </c>
      <c r="K258" s="10" t="n">
        <f aca="false">IFERROR(VLOOKUP(A258,'Dados-Status-Invest'!$1:$1000,3,FALSE())/100,"")</f>
        <v>0</v>
      </c>
      <c r="L258" s="11" t="n">
        <f aca="false">IFERROR(VLOOKUP(A258,'Dados-Status-Invest'!$1:$1000,MATCH(L$1,'Dados-Status-Invest'!$2:$2,0),FALSE())/100,"")</f>
        <v>0.0124</v>
      </c>
      <c r="M258" s="10" t="n">
        <f aca="false">IFERROR(VLOOKUP(A258,'Dados-Status-Invest'!$1:$1000,MATCH(M$1,'Dados-Status-Invest'!$2:$2,0),FALSE())/100,"")</f>
        <v>0.0123</v>
      </c>
      <c r="N258" s="10" t="n">
        <f aca="false">IFERROR(VLOOKUP(A258,'Dados-Status-Invest'!$1:$1000,MATCH(N$1,'Dados-Status-Invest'!$2:$2,0),FALSE())/100,"")</f>
        <v>0.0124</v>
      </c>
      <c r="O258" s="10" t="n">
        <f aca="false">IFERROR(VLOOKUP(A258,'Dados-Status-Invest'!$1:$1000,MATCH(O$1,'Dados-Status-Invest'!$2:$2,0),FALSE())/100,"")</f>
        <v>1</v>
      </c>
      <c r="P258" s="10" t="n">
        <f aca="false">IFERROR(VLOOKUP(A258,'Dados-Status-Invest'!$1:$1000,MATCH(P$1,'Dados-Status-Invest'!$2:$2,0),FALSE())/100,"")</f>
        <v>0.8705</v>
      </c>
      <c r="Q258" s="10" t="n">
        <f aca="false">IFERROR(VLOOKUP(A258,'Dados-Status-Invest'!$1:$1000,MATCH(Q$1,'Dados-Status-Invest'!$2:$2,0),FALSE())/100,"")</f>
        <v>0.5792</v>
      </c>
      <c r="R258" s="12" t="n">
        <f aca="false">IFERROR(VLOOKUP(A258,'Dados-Status-Invest'!$1:$1000,MATCH(R$1,'Dados-Status-Invest'!$2:$2,0),FALSE()),"")</f>
        <v>0</v>
      </c>
      <c r="S258" s="12" t="n">
        <f aca="false">IFERROR(VLOOKUP(A258,'Dados-Status-Invest'!$1:$1000,MATCH(S$1,'Dados-Status-Invest'!$2:$2,0),FALSE()),"")</f>
        <v>0</v>
      </c>
      <c r="T258" s="12" t="n">
        <f aca="false">IFERROR(VLOOKUP(A258,'Dados-Status-Invest'!$1:$1000,MATCH(T$1,'Dados-Status-Invest'!$2:$2,0),FALSE()),"")</f>
        <v>-18.57</v>
      </c>
      <c r="U258" s="12" t="n">
        <f aca="false">IFERROR(VLOOKUP(A258,'Dados-Status-Invest'!$1:$1000,MATCH(U$1,'Dados-Status-Invest'!$2:$2,0),FALSE()),"")</f>
        <v>571.4</v>
      </c>
      <c r="V258" s="12" t="n">
        <f aca="false">IFERROR(VLOOKUP(A258,'Dados-Status-Invest'!$1:$1000,MATCH(V$1,'Dados-Status-Invest'!$2:$2,0),FALSE()),"")</f>
        <v>-18.57</v>
      </c>
      <c r="W258" s="10" t="n">
        <f aca="false">IFERROR(VLOOKUP(A258,'Dados-Status-Invest'!$1:$1000,MATCH(W$1,'Dados-Status-Invest'!$2:$2,0),FALSE())/100,"")</f>
        <v>0</v>
      </c>
      <c r="X258" s="10" t="n">
        <f aca="false">IFERROR(VLOOKUP(A258,'Dados-Status-Invest'!$1:$1000,MATCH(X$1,'Dados-Status-Invest'!$2:$2,0),FALSE())/100,"")</f>
        <v>-0.249</v>
      </c>
    </row>
    <row r="259" customFormat="false" ht="15.75" hidden="false" customHeight="false" outlineLevel="0" collapsed="false">
      <c r="A259" s="6" t="s">
        <v>291</v>
      </c>
      <c r="B259" s="7" t="str">
        <f aca="false">IFERROR(VLOOKUP(LEFT(A259,4),Setor!A:D,2,FALSE()),"")</f>
        <v>Outros</v>
      </c>
      <c r="C259" s="8" t="n">
        <f aca="false">IFERROR(__xludf.dummyfunction("IFERROR(IFERROR(GOOGLEFINANCE(A265,""price""),VLOOKUP(A265,'Dados-Status-Invest'!A:B,2,FALSE)),"""")"),0)</f>
        <v>0</v>
      </c>
      <c r="D259" s="8" t="n">
        <f aca="false">IFERROR(VLOOKUP(A259,'Dados-Status-Invest'!$1:$1000,MATCH(D$1,'Dados-Status-Invest'!$2:$2,0),FALSE()),"")</f>
        <v>0</v>
      </c>
      <c r="E259" s="8" t="str">
        <f aca="false">IF(D259+H259&gt;0,D259+H259,"")</f>
        <v/>
      </c>
      <c r="F259" s="8" t="str">
        <f aca="false">IFERROR(D259/VLOOKUP(A259,'Dados-Status-Invest'!$1:$1000,5,FALSE()),"")</f>
        <v/>
      </c>
      <c r="G259" s="8" t="str">
        <f aca="false">IFERROR(D259/VLOOKUP(A259,'Dados-Status-Invest'!$1:$1000,6,FALSE()),"")</f>
        <v/>
      </c>
      <c r="H259" s="8" t="n">
        <f aca="false">IFERROR(VLOOKUP(A259,'Dados-Status-Invest'!$1:$1000,12,FALSE())*J259,"")</f>
        <v>0</v>
      </c>
      <c r="I259" s="8" t="str">
        <f aca="false">IFERROR(D259/VLOOKUP(A259,'Dados-Status-Invest'!$1:$1000,14,FALSE()),"")</f>
        <v/>
      </c>
      <c r="J259" s="9" t="str">
        <f aca="false">IFERROR(D259/VLOOKUP(A259,'Dados-Status-Invest'!$1:$1000,10,FALSE()),"")</f>
        <v/>
      </c>
      <c r="K259" s="10" t="n">
        <f aca="false">IFERROR(VLOOKUP(A259,'Dados-Status-Invest'!$1:$1000,3,FALSE())/100,"")</f>
        <v>0</v>
      </c>
      <c r="L259" s="11" t="n">
        <f aca="false">IFERROR(VLOOKUP(A259,'Dados-Status-Invest'!$1:$1000,MATCH(L$1,'Dados-Status-Invest'!$2:$2,0),FALSE())/100,"")</f>
        <v>0.0124</v>
      </c>
      <c r="M259" s="10" t="n">
        <f aca="false">IFERROR(VLOOKUP(A259,'Dados-Status-Invest'!$1:$1000,MATCH(M$1,'Dados-Status-Invest'!$2:$2,0),FALSE())/100,"")</f>
        <v>0.0123</v>
      </c>
      <c r="N259" s="10" t="n">
        <f aca="false">IFERROR(VLOOKUP(A259,'Dados-Status-Invest'!$1:$1000,MATCH(N$1,'Dados-Status-Invest'!$2:$2,0),FALSE())/100,"")</f>
        <v>0.0124</v>
      </c>
      <c r="O259" s="10" t="n">
        <f aca="false">IFERROR(VLOOKUP(A259,'Dados-Status-Invest'!$1:$1000,MATCH(O$1,'Dados-Status-Invest'!$2:$2,0),FALSE())/100,"")</f>
        <v>1</v>
      </c>
      <c r="P259" s="10" t="n">
        <f aca="false">IFERROR(VLOOKUP(A259,'Dados-Status-Invest'!$1:$1000,MATCH(P$1,'Dados-Status-Invest'!$2:$2,0),FALSE())/100,"")</f>
        <v>0.8705</v>
      </c>
      <c r="Q259" s="10" t="n">
        <f aca="false">IFERROR(VLOOKUP(A259,'Dados-Status-Invest'!$1:$1000,MATCH(Q$1,'Dados-Status-Invest'!$2:$2,0),FALSE())/100,"")</f>
        <v>0.5792</v>
      </c>
      <c r="R259" s="12" t="n">
        <f aca="false">IFERROR(VLOOKUP(A259,'Dados-Status-Invest'!$1:$1000,MATCH(R$1,'Dados-Status-Invest'!$2:$2,0),FALSE()),"")</f>
        <v>0</v>
      </c>
      <c r="S259" s="12" t="n">
        <f aca="false">IFERROR(VLOOKUP(A259,'Dados-Status-Invest'!$1:$1000,MATCH(S$1,'Dados-Status-Invest'!$2:$2,0),FALSE()),"")</f>
        <v>0</v>
      </c>
      <c r="T259" s="12" t="n">
        <f aca="false">IFERROR(VLOOKUP(A259,'Dados-Status-Invest'!$1:$1000,MATCH(T$1,'Dados-Status-Invest'!$2:$2,0),FALSE()),"")</f>
        <v>-18.57</v>
      </c>
      <c r="U259" s="12" t="n">
        <f aca="false">IFERROR(VLOOKUP(A259,'Dados-Status-Invest'!$1:$1000,MATCH(U$1,'Dados-Status-Invest'!$2:$2,0),FALSE()),"")</f>
        <v>571.4</v>
      </c>
      <c r="V259" s="12" t="n">
        <f aca="false">IFERROR(VLOOKUP(A259,'Dados-Status-Invest'!$1:$1000,MATCH(V$1,'Dados-Status-Invest'!$2:$2,0),FALSE()),"")</f>
        <v>-18.57</v>
      </c>
      <c r="W259" s="10" t="n">
        <f aca="false">IFERROR(VLOOKUP(A259,'Dados-Status-Invest'!$1:$1000,MATCH(W$1,'Dados-Status-Invest'!$2:$2,0),FALSE())/100,"")</f>
        <v>0</v>
      </c>
      <c r="X259" s="10" t="n">
        <f aca="false">IFERROR(VLOOKUP(A259,'Dados-Status-Invest'!$1:$1000,MATCH(X$1,'Dados-Status-Invest'!$2:$2,0),FALSE())/100,"")</f>
        <v>-0.249</v>
      </c>
    </row>
    <row r="260" customFormat="false" ht="15.75" hidden="false" customHeight="false" outlineLevel="0" collapsed="false">
      <c r="A260" s="6" t="s">
        <v>292</v>
      </c>
      <c r="B260" s="7" t="str">
        <f aca="false">IFERROR(VLOOKUP(LEFT(A260,4),Setor!A:D,2,FALSE()),"")</f>
        <v>Bens Industriais</v>
      </c>
      <c r="C260" s="8" t="n">
        <f aca="false">IFERROR(__xludf.dummyfunction("IFERROR(IFERROR(GOOGLEFINANCE(A266,""price""),VLOOKUP(A266,'Dados-Status-Invest'!A:B,2,FALSE)),"""")"),0)</f>
        <v>0</v>
      </c>
      <c r="D260" s="8" t="n">
        <f aca="false">IFERROR(VLOOKUP(A260,'Dados-Status-Invest'!$1:$1000,MATCH(D$1,'Dados-Status-Invest'!$2:$2,0),FALSE()),"")</f>
        <v>0</v>
      </c>
      <c r="E260" s="8" t="str">
        <f aca="false">IF(D260+H260&gt;0,D260+H260,"")</f>
        <v/>
      </c>
      <c r="F260" s="8" t="str">
        <f aca="false">IFERROR(D260/VLOOKUP(A260,'Dados-Status-Invest'!$1:$1000,5,FALSE()),"")</f>
        <v/>
      </c>
      <c r="G260" s="8" t="str">
        <f aca="false">IFERROR(D260/VLOOKUP(A260,'Dados-Status-Invest'!$1:$1000,6,FALSE()),"")</f>
        <v/>
      </c>
      <c r="H260" s="8" t="n">
        <f aca="false">IFERROR(VLOOKUP(A260,'Dados-Status-Invest'!$1:$1000,12,FALSE())*J260,"")</f>
        <v>0</v>
      </c>
      <c r="I260" s="8" t="str">
        <f aca="false">IFERROR(D260/VLOOKUP(A260,'Dados-Status-Invest'!$1:$1000,14,FALSE()),"")</f>
        <v/>
      </c>
      <c r="J260" s="9" t="str">
        <f aca="false">IFERROR(D260/VLOOKUP(A260,'Dados-Status-Invest'!$1:$1000,10,FALSE()),"")</f>
        <v/>
      </c>
      <c r="K260" s="10" t="n">
        <f aca="false">IFERROR(VLOOKUP(A260,'Dados-Status-Invest'!$1:$1000,3,FALSE())/100,"")</f>
        <v>0</v>
      </c>
      <c r="L260" s="11" t="n">
        <f aca="false">IFERROR(VLOOKUP(A260,'Dados-Status-Invest'!$1:$1000,MATCH(L$1,'Dados-Status-Invest'!$2:$2,0),FALSE())/100,"")</f>
        <v>-0.5167</v>
      </c>
      <c r="M260" s="10" t="n">
        <f aca="false">IFERROR(VLOOKUP(A260,'Dados-Status-Invest'!$1:$1000,MATCH(M$1,'Dados-Status-Invest'!$2:$2,0),FALSE())/100,"")</f>
        <v>-0.0332</v>
      </c>
      <c r="N260" s="10" t="n">
        <f aca="false">IFERROR(VLOOKUP(A260,'Dados-Status-Invest'!$1:$1000,MATCH(N$1,'Dados-Status-Invest'!$2:$2,0),FALSE())/100,"")</f>
        <v>0.0516</v>
      </c>
      <c r="O260" s="10" t="n">
        <f aca="false">IFERROR(VLOOKUP(A260,'Dados-Status-Invest'!$1:$1000,MATCH(O$1,'Dados-Status-Invest'!$2:$2,0),FALSE())/100,"")</f>
        <v>0.3173</v>
      </c>
      <c r="P260" s="10" t="n">
        <f aca="false">IFERROR(VLOOKUP(A260,'Dados-Status-Invest'!$1:$1000,MATCH(P$1,'Dados-Status-Invest'!$2:$2,0),FALSE())/100,"")</f>
        <v>0.0318</v>
      </c>
      <c r="Q260" s="10" t="n">
        <f aca="false">IFERROR(VLOOKUP(A260,'Dados-Status-Invest'!$1:$1000,MATCH(Q$1,'Dados-Status-Invest'!$2:$2,0),FALSE())/100,"")</f>
        <v>-0.028</v>
      </c>
      <c r="R260" s="12" t="n">
        <f aca="false">IFERROR(VLOOKUP(A260,'Dados-Status-Invest'!$1:$1000,MATCH(R$1,'Dados-Status-Invest'!$2:$2,0),FALSE()),"")</f>
        <v>0</v>
      </c>
      <c r="S260" s="12" t="n">
        <f aca="false">IFERROR(VLOOKUP(A260,'Dados-Status-Invest'!$1:$1000,MATCH(S$1,'Dados-Status-Invest'!$2:$2,0),FALSE()),"")</f>
        <v>0</v>
      </c>
      <c r="T260" s="12" t="n">
        <f aca="false">IFERROR(VLOOKUP(A260,'Dados-Status-Invest'!$1:$1000,MATCH(T$1,'Dados-Status-Invest'!$2:$2,0),FALSE()),"")</f>
        <v>9.37</v>
      </c>
      <c r="U260" s="12" t="n">
        <f aca="false">IFERROR(VLOOKUP(A260,'Dados-Status-Invest'!$1:$1000,MATCH(U$1,'Dados-Status-Invest'!$2:$2,0),FALSE()),"")</f>
        <v>1.05</v>
      </c>
      <c r="V260" s="12" t="n">
        <f aca="false">IFERROR(VLOOKUP(A260,'Dados-Status-Invest'!$1:$1000,MATCH(V$1,'Dados-Status-Invest'!$2:$2,0),FALSE()),"")</f>
        <v>9.37</v>
      </c>
      <c r="W260" s="10" t="n">
        <f aca="false">IFERROR(VLOOKUP(A260,'Dados-Status-Invest'!$1:$1000,MATCH(W$1,'Dados-Status-Invest'!$2:$2,0),FALSE())/100,"")</f>
        <v>0.0915</v>
      </c>
      <c r="X260" s="10" t="n">
        <f aca="false">IFERROR(VLOOKUP(A260,'Dados-Status-Invest'!$1:$1000,MATCH(X$1,'Dados-Status-Invest'!$2:$2,0),FALSE())/100,"")</f>
        <v>0</v>
      </c>
    </row>
    <row r="261" customFormat="false" ht="15.75" hidden="false" customHeight="false" outlineLevel="0" collapsed="false">
      <c r="A261" s="6" t="s">
        <v>293</v>
      </c>
      <c r="B261" s="7" t="str">
        <f aca="false">IFERROR(VLOOKUP(LEFT(A261,4),Setor!A:D,2,FALSE()),"")</f>
        <v>Saúde</v>
      </c>
      <c r="C261" s="8" t="n">
        <f aca="false">IFERROR(__xludf.dummyfunction("IFERROR(IFERROR(GOOGLEFINANCE(A267,""price""),VLOOKUP(A267,'Dados-Status-Invest'!A:B,2,FALSE)),"""")"),14.83)</f>
        <v>14.83</v>
      </c>
      <c r="D261" s="8" t="n">
        <f aca="false">IFERROR(VLOOKUP(A261,'Dados-Status-Invest'!$1:$1000,MATCH(D$1,'Dados-Status-Invest'!$2:$2,0),FALSE()),"")</f>
        <v>8337207526</v>
      </c>
      <c r="E261" s="8" t="n">
        <f aca="false">IF(D261+H261&gt;0,D261+H261,"")</f>
        <v>9969509203</v>
      </c>
      <c r="F261" s="8" t="n">
        <f aca="false">IFERROR(D261/VLOOKUP(A261,'Dados-Status-Invest'!$1:$1000,5,FALSE()),"")</f>
        <v>1687693831</v>
      </c>
      <c r="G261" s="8" t="n">
        <f aca="false">IFERROR(D261/VLOOKUP(A261,'Dados-Status-Invest'!$1:$1000,6,FALSE()),"")</f>
        <v>5485004951</v>
      </c>
      <c r="H261" s="8" t="n">
        <f aca="false">IFERROR(VLOOKUP(A261,'Dados-Status-Invest'!$1:$1000,12,FALSE())*J261,"")</f>
        <v>1632301677</v>
      </c>
      <c r="I261" s="8" t="n">
        <f aca="false">IFERROR(D261/VLOOKUP(A261,'Dados-Status-Invest'!$1:$1000,14,FALSE()),"")</f>
        <v>3146116047</v>
      </c>
      <c r="J261" s="9" t="n">
        <f aca="false">IFERROR(D261/VLOOKUP(A261,'Dados-Status-Invest'!$1:$1000,10,FALSE()),"")</f>
        <v>566771415.8</v>
      </c>
      <c r="K261" s="10" t="n">
        <f aca="false">IFERROR(VLOOKUP(A261,'Dados-Status-Invest'!$1:$1000,3,FALSE())/100,"")</f>
        <v>0.0277</v>
      </c>
      <c r="L261" s="11" t="n">
        <f aca="false">IFERROR(VLOOKUP(A261,'Dados-Status-Invest'!$1:$1000,MATCH(L$1,'Dados-Status-Invest'!$2:$2,0),FALSE())/100,"")</f>
        <v>0.1872</v>
      </c>
      <c r="M261" s="10" t="n">
        <f aca="false">IFERROR(VLOOKUP(A261,'Dados-Status-Invest'!$1:$1000,MATCH(M$1,'Dados-Status-Invest'!$2:$2,0),FALSE())/100,"")</f>
        <v>0.0576</v>
      </c>
      <c r="N261" s="10" t="n">
        <f aca="false">IFERROR(VLOOKUP(A261,'Dados-Status-Invest'!$1:$1000,MATCH(N$1,'Dados-Status-Invest'!$2:$2,0),FALSE())/100,"")</f>
        <v>0.1047</v>
      </c>
      <c r="O261" s="10" t="n">
        <f aca="false">IFERROR(VLOOKUP(A261,'Dados-Status-Invest'!$1:$1000,MATCH(O$1,'Dados-Status-Invest'!$2:$2,0),FALSE())/100,"")</f>
        <v>0.2886</v>
      </c>
      <c r="P261" s="10" t="n">
        <f aca="false">IFERROR(VLOOKUP(A261,'Dados-Status-Invest'!$1:$1000,MATCH(P$1,'Dados-Status-Invest'!$2:$2,0),FALSE())/100,"")</f>
        <v>0.1804</v>
      </c>
      <c r="Q261" s="10" t="n">
        <f aca="false">IFERROR(VLOOKUP(A261,'Dados-Status-Invest'!$1:$1000,MATCH(Q$1,'Dados-Status-Invest'!$2:$2,0),FALSE())/100,"")</f>
        <v>0.1005</v>
      </c>
      <c r="R261" s="12" t="n">
        <f aca="false">IFERROR(VLOOKUP(A261,'Dados-Status-Invest'!$1:$1000,MATCH(R$1,'Dados-Status-Invest'!$2:$2,0),FALSE()),"")</f>
        <v>26.39</v>
      </c>
      <c r="S261" s="12" t="n">
        <f aca="false">IFERROR(VLOOKUP(A261,'Dados-Status-Invest'!$1:$1000,MATCH(S$1,'Dados-Status-Invest'!$2:$2,0),FALSE()),"")</f>
        <v>4.94</v>
      </c>
      <c r="T261" s="12" t="n">
        <f aca="false">IFERROR(VLOOKUP(A261,'Dados-Status-Invest'!$1:$1000,MATCH(T$1,'Dados-Status-Invest'!$2:$2,0),FALSE()),"")</f>
        <v>17.54</v>
      </c>
      <c r="U261" s="12" t="n">
        <f aca="false">IFERROR(VLOOKUP(A261,'Dados-Status-Invest'!$1:$1000,MATCH(U$1,'Dados-Status-Invest'!$2:$2,0),FALSE()),"")</f>
        <v>1.41</v>
      </c>
      <c r="V261" s="12" t="n">
        <f aca="false">IFERROR(VLOOKUP(A261,'Dados-Status-Invest'!$1:$1000,MATCH(V$1,'Dados-Status-Invest'!$2:$2,0),FALSE()),"")</f>
        <v>2.88</v>
      </c>
      <c r="W261" s="10" t="n">
        <f aca="false">IFERROR(VLOOKUP(A261,'Dados-Status-Invest'!$1:$1000,MATCH(W$1,'Dados-Status-Invest'!$2:$2,0),FALSE())/100,"")</f>
        <v>0.0942</v>
      </c>
      <c r="X261" s="10" t="n">
        <f aca="false">IFERROR(VLOOKUP(A261,'Dados-Status-Invest'!$1:$1000,MATCH(X$1,'Dados-Status-Invest'!$2:$2,0),FALSE())/100,"")</f>
        <v>0.1907</v>
      </c>
    </row>
    <row r="262" customFormat="false" ht="15.75" hidden="false" customHeight="false" outlineLevel="0" collapsed="false">
      <c r="A262" s="6" t="s">
        <v>294</v>
      </c>
      <c r="B262" s="7" t="str">
        <f aca="false">IFERROR(VLOOKUP(LEFT(A262,4),Setor!A:D,2,FALSE()),"")</f>
        <v>Financeiro</v>
      </c>
      <c r="C262" s="8" t="n">
        <f aca="false">IFERROR(__xludf.dummyfunction("IFERROR(IFERROR(GOOGLEFINANCE(A268,""price""),VLOOKUP(A268,'Dados-Status-Invest'!A:B,2,FALSE)),"""")"),14.99)</f>
        <v>14.99</v>
      </c>
      <c r="D262" s="8" t="n">
        <f aca="false">IFERROR(VLOOKUP(A262,'Dados-Status-Invest'!$1:$1000,MATCH(D$1,'Dados-Status-Invest'!$2:$2,0),FALSE()),"")</f>
        <v>0</v>
      </c>
      <c r="E262" s="8" t="str">
        <f aca="false">IF(D262+H262&gt;0,D262+H262,"")</f>
        <v/>
      </c>
      <c r="F262" s="8" t="str">
        <f aca="false">IFERROR(D262/VLOOKUP(A262,'Dados-Status-Invest'!$1:$1000,5,FALSE()),"")</f>
        <v/>
      </c>
      <c r="G262" s="8" t="str">
        <f aca="false">IFERROR(D262/VLOOKUP(A262,'Dados-Status-Invest'!$1:$1000,6,FALSE()),"")</f>
        <v/>
      </c>
      <c r="H262" s="8" t="n">
        <f aca="false">IFERROR(VLOOKUP(A262,'Dados-Status-Invest'!$1:$1000,12,FALSE())*J262,"")</f>
        <v>0</v>
      </c>
      <c r="I262" s="8" t="str">
        <f aca="false">IFERROR(D262/VLOOKUP(A262,'Dados-Status-Invest'!$1:$1000,14,FALSE()),"")</f>
        <v/>
      </c>
      <c r="J262" s="9" t="str">
        <f aca="false">IFERROR(D262/VLOOKUP(A262,'Dados-Status-Invest'!$1:$1000,10,FALSE()),"")</f>
        <v/>
      </c>
      <c r="K262" s="10" t="n">
        <f aca="false">IFERROR(VLOOKUP(A262,'Dados-Status-Invest'!$1:$1000,3,FALSE())/100,"")</f>
        <v>0</v>
      </c>
      <c r="L262" s="11" t="n">
        <f aca="false">IFERROR(VLOOKUP(A262,'Dados-Status-Invest'!$1:$1000,MATCH(L$1,'Dados-Status-Invest'!$2:$2,0),FALSE())/100,"")</f>
        <v>-0.1933</v>
      </c>
      <c r="M262" s="10" t="n">
        <f aca="false">IFERROR(VLOOKUP(A262,'Dados-Status-Invest'!$1:$1000,MATCH(M$1,'Dados-Status-Invest'!$2:$2,0),FALSE())/100,"")</f>
        <v>-0.1787</v>
      </c>
      <c r="N262" s="10" t="n">
        <f aca="false">IFERROR(VLOOKUP(A262,'Dados-Status-Invest'!$1:$1000,MATCH(N$1,'Dados-Status-Invest'!$2:$2,0),FALSE())/100,"")</f>
        <v>0</v>
      </c>
      <c r="O262" s="10" t="n">
        <f aca="false">IFERROR(VLOOKUP(A262,'Dados-Status-Invest'!$1:$1000,MATCH(O$1,'Dados-Status-Invest'!$2:$2,0),FALSE())/100,"")</f>
        <v>0.9748</v>
      </c>
      <c r="P262" s="10" t="n">
        <f aca="false">IFERROR(VLOOKUP(A262,'Dados-Status-Invest'!$1:$1000,MATCH(P$1,'Dados-Status-Invest'!$2:$2,0),FALSE())/100,"")</f>
        <v>-3.2382</v>
      </c>
      <c r="Q262" s="10" t="n">
        <f aca="false">IFERROR(VLOOKUP(A262,'Dados-Status-Invest'!$1:$1000,MATCH(Q$1,'Dados-Status-Invest'!$2:$2,0),FALSE())/100,"")</f>
        <v>-3.2382</v>
      </c>
      <c r="R262" s="12" t="n">
        <f aca="false">IFERROR(VLOOKUP(A262,'Dados-Status-Invest'!$1:$1000,MATCH(R$1,'Dados-Status-Invest'!$2:$2,0),FALSE()),"")</f>
        <v>0</v>
      </c>
      <c r="S262" s="12" t="n">
        <f aca="false">IFERROR(VLOOKUP(A262,'Dados-Status-Invest'!$1:$1000,MATCH(S$1,'Dados-Status-Invest'!$2:$2,0),FALSE()),"")</f>
        <v>0</v>
      </c>
      <c r="T262" s="12" t="n">
        <f aca="false">IFERROR(VLOOKUP(A262,'Dados-Status-Invest'!$1:$1000,MATCH(T$1,'Dados-Status-Invest'!$2:$2,0),FALSE()),"")</f>
        <v>0</v>
      </c>
      <c r="U262" s="12" t="n">
        <f aca="false">IFERROR(VLOOKUP(A262,'Dados-Status-Invest'!$1:$1000,MATCH(U$1,'Dados-Status-Invest'!$2:$2,0),FALSE()),"")</f>
        <v>12.07</v>
      </c>
      <c r="V262" s="12" t="n">
        <f aca="false">IFERROR(VLOOKUP(A262,'Dados-Status-Invest'!$1:$1000,MATCH(V$1,'Dados-Status-Invest'!$2:$2,0),FALSE()),"")</f>
        <v>0</v>
      </c>
      <c r="W262" s="10" t="n">
        <f aca="false">IFERROR(VLOOKUP(A262,'Dados-Status-Invest'!$1:$1000,MATCH(W$1,'Dados-Status-Invest'!$2:$2,0),FALSE())/100,"")</f>
        <v>-0.3765</v>
      </c>
      <c r="X262" s="10" t="n">
        <f aca="false">IFERROR(VLOOKUP(A262,'Dados-Status-Invest'!$1:$1000,MATCH(X$1,'Dados-Status-Invest'!$2:$2,0),FALSE())/100,"")</f>
        <v>0</v>
      </c>
    </row>
    <row r="263" customFormat="false" ht="15.75" hidden="false" customHeight="false" outlineLevel="0" collapsed="false">
      <c r="A263" s="6" t="s">
        <v>295</v>
      </c>
      <c r="B263" s="7" t="str">
        <f aca="false">IFERROR(VLOOKUP(LEFT(A263,4),Setor!A:D,2,FALSE()),"")</f>
        <v>Bens Industriais</v>
      </c>
      <c r="C263" s="8" t="n">
        <f aca="false">IFERROR(__xludf.dummyfunction("IFERROR(IFERROR(GOOGLEFINANCE(A269,""price""),VLOOKUP(A269,'Dados-Status-Invest'!A:B,2,FALSE)),"""")"),10)</f>
        <v>10</v>
      </c>
      <c r="D263" s="8" t="n">
        <f aca="false">IFERROR(VLOOKUP(A263,'Dados-Status-Invest'!$1:$1000,MATCH(D$1,'Dados-Status-Invest'!$2:$2,0),FALSE()),"")</f>
        <v>2739160258</v>
      </c>
      <c r="E263" s="8" t="n">
        <f aca="false">IF(D263+H263&gt;0,D263+H263,"")</f>
        <v>3278739914.9</v>
      </c>
      <c r="F263" s="8" t="n">
        <f aca="false">IFERROR(D263/VLOOKUP(A263,'Dados-Status-Invest'!$1:$1000,5,FALSE()),"")</f>
        <v>1022074723</v>
      </c>
      <c r="G263" s="8" t="n">
        <f aca="false">IFERROR(D263/VLOOKUP(A263,'Dados-Status-Invest'!$1:$1000,6,FALSE()),"")</f>
        <v>2945333611</v>
      </c>
      <c r="H263" s="8" t="n">
        <f aca="false">IFERROR(VLOOKUP(A263,'Dados-Status-Invest'!$1:$1000,12,FALSE())*J263,"")</f>
        <v>539579656.9</v>
      </c>
      <c r="I263" s="8" t="n">
        <f aca="false">IFERROR(D263/VLOOKUP(A263,'Dados-Status-Invest'!$1:$1000,14,FALSE()),"")</f>
        <v>1970618891</v>
      </c>
      <c r="J263" s="9" t="n">
        <f aca="false">IFERROR(D263/VLOOKUP(A263,'Dados-Status-Invest'!$1:$1000,10,FALSE()),"")</f>
        <v>317399798.2</v>
      </c>
      <c r="K263" s="10" t="n">
        <f aca="false">IFERROR(VLOOKUP(A263,'Dados-Status-Invest'!$1:$1000,3,FALSE())/100,"")</f>
        <v>0.0217</v>
      </c>
      <c r="L263" s="11" t="n">
        <f aca="false">IFERROR(VLOOKUP(A263,'Dados-Status-Invest'!$1:$1000,MATCH(L$1,'Dados-Status-Invest'!$2:$2,0),FALSE())/100,"")</f>
        <v>0.2395</v>
      </c>
      <c r="M263" s="10" t="n">
        <f aca="false">IFERROR(VLOOKUP(A263,'Dados-Status-Invest'!$1:$1000,MATCH(M$1,'Dados-Status-Invest'!$2:$2,0),FALSE())/100,"")</f>
        <v>0.0829</v>
      </c>
      <c r="N263" s="10" t="n">
        <f aca="false">IFERROR(VLOOKUP(A263,'Dados-Status-Invest'!$1:$1000,MATCH(N$1,'Dados-Status-Invest'!$2:$2,0),FALSE())/100,"")</f>
        <v>0.1162</v>
      </c>
      <c r="O263" s="10" t="n">
        <f aca="false">IFERROR(VLOOKUP(A263,'Dados-Status-Invest'!$1:$1000,MATCH(O$1,'Dados-Status-Invest'!$2:$2,0),FALSE())/100,"")</f>
        <v>0.2943</v>
      </c>
      <c r="P263" s="10" t="n">
        <f aca="false">IFERROR(VLOOKUP(A263,'Dados-Status-Invest'!$1:$1000,MATCH(P$1,'Dados-Status-Invest'!$2:$2,0),FALSE())/100,"")</f>
        <v>0.1616</v>
      </c>
      <c r="Q263" s="10" t="n">
        <f aca="false">IFERROR(VLOOKUP(A263,'Dados-Status-Invest'!$1:$1000,MATCH(Q$1,'Dados-Status-Invest'!$2:$2,0),FALSE())/100,"")</f>
        <v>0.1245</v>
      </c>
      <c r="R263" s="12" t="n">
        <f aca="false">IFERROR(VLOOKUP(A263,'Dados-Status-Invest'!$1:$1000,MATCH(R$1,'Dados-Status-Invest'!$2:$2,0),FALSE()),"")</f>
        <v>11.2</v>
      </c>
      <c r="S263" s="12" t="n">
        <f aca="false">IFERROR(VLOOKUP(A263,'Dados-Status-Invest'!$1:$1000,MATCH(S$1,'Dados-Status-Invest'!$2:$2,0),FALSE()),"")</f>
        <v>2.68</v>
      </c>
      <c r="T263" s="12" t="n">
        <f aca="false">IFERROR(VLOOKUP(A263,'Dados-Status-Invest'!$1:$1000,MATCH(T$1,'Dados-Status-Invest'!$2:$2,0),FALSE()),"")</f>
        <v>10.3</v>
      </c>
      <c r="U263" s="12" t="n">
        <f aca="false">IFERROR(VLOOKUP(A263,'Dados-Status-Invest'!$1:$1000,MATCH(U$1,'Dados-Status-Invest'!$2:$2,0),FALSE()),"")</f>
        <v>1.83</v>
      </c>
      <c r="V263" s="12" t="n">
        <f aca="false">IFERROR(VLOOKUP(A263,'Dados-Status-Invest'!$1:$1000,MATCH(V$1,'Dados-Status-Invest'!$2:$2,0),FALSE()),"")</f>
        <v>1.7</v>
      </c>
      <c r="W263" s="10" t="n">
        <f aca="false">IFERROR(VLOOKUP(A263,'Dados-Status-Invest'!$1:$1000,MATCH(W$1,'Dados-Status-Invest'!$2:$2,0),FALSE())/100,"")</f>
        <v>0.1381</v>
      </c>
      <c r="X263" s="10" t="n">
        <f aca="false">IFERROR(VLOOKUP(A263,'Dados-Status-Invest'!$1:$1000,MATCH(X$1,'Dados-Status-Invest'!$2:$2,0),FALSE())/100,"")</f>
        <v>0.2825</v>
      </c>
    </row>
    <row r="264" customFormat="false" ht="15.75" hidden="false" customHeight="false" outlineLevel="0" collapsed="false">
      <c r="A264" s="6" t="s">
        <v>296</v>
      </c>
      <c r="B264" s="7" t="str">
        <f aca="false">IFERROR(VLOOKUP(LEFT(A264,4),Setor!A:D,2,FALSE()),"")</f>
        <v>Bens Industriais</v>
      </c>
      <c r="C264" s="8" t="n">
        <f aca="false">IFERROR(__xludf.dummyfunction("IFERROR(IFERROR(GOOGLEFINANCE(A270,""price""),VLOOKUP(A270,'Dados-Status-Invest'!A:B,2,FALSE)),"""")"),41.5)</f>
        <v>41.5</v>
      </c>
      <c r="D264" s="8" t="n">
        <f aca="false">IFERROR(VLOOKUP(A264,'Dados-Status-Invest'!$1:$1000,MATCH(D$1,'Dados-Status-Invest'!$2:$2,0),FALSE()),"")</f>
        <v>295891625.7</v>
      </c>
      <c r="E264" s="8" t="n">
        <f aca="false">IF(D264+H264&gt;0,D264+H264,"")</f>
        <v>1124522368.9</v>
      </c>
      <c r="F264" s="8" t="n">
        <f aca="false">IFERROR(D264/VLOOKUP(A264,'Dados-Status-Invest'!$1:$1000,5,FALSE()),"")</f>
        <v>-62556369.07</v>
      </c>
      <c r="G264" s="8" t="n">
        <f aca="false">IFERROR(D264/VLOOKUP(A264,'Dados-Status-Invest'!$1:$1000,6,FALSE()),"")</f>
        <v>2113511612</v>
      </c>
      <c r="H264" s="8" t="n">
        <f aca="false">IFERROR(VLOOKUP(A264,'Dados-Status-Invest'!$1:$1000,12,FALSE())*J264,"")</f>
        <v>828630743.2</v>
      </c>
      <c r="I264" s="8" t="n">
        <f aca="false">IFERROR(D264/VLOOKUP(A264,'Dados-Status-Invest'!$1:$1000,14,FALSE()),"")</f>
        <v>1557324346</v>
      </c>
      <c r="J264" s="9" t="n">
        <f aca="false">IFERROR(D264/VLOOKUP(A264,'Dados-Status-Invest'!$1:$1000,10,FALSE()),"")</f>
        <v>67095606.73</v>
      </c>
      <c r="K264" s="10" t="n">
        <f aca="false">IFERROR(VLOOKUP(A264,'Dados-Status-Invest'!$1:$1000,3,FALSE())/100,"")</f>
        <v>0</v>
      </c>
      <c r="L264" s="11" t="n">
        <f aca="false">IFERROR(VLOOKUP(A264,'Dados-Status-Invest'!$1:$1000,MATCH(L$1,'Dados-Status-Invest'!$2:$2,0),FALSE())/100,"")</f>
        <v>-0.788</v>
      </c>
      <c r="M264" s="10" t="n">
        <f aca="false">IFERROR(VLOOKUP(A264,'Dados-Status-Invest'!$1:$1000,MATCH(M$1,'Dados-Status-Invest'!$2:$2,0),FALSE())/100,"")</f>
        <v>-0.024</v>
      </c>
      <c r="N264" s="10" t="n">
        <f aca="false">IFERROR(VLOOKUP(A264,'Dados-Status-Invest'!$1:$1000,MATCH(N$1,'Dados-Status-Invest'!$2:$2,0),FALSE())/100,"")</f>
        <v>0.0438</v>
      </c>
      <c r="O264" s="10" t="n">
        <f aca="false">IFERROR(VLOOKUP(A264,'Dados-Status-Invest'!$1:$1000,MATCH(O$1,'Dados-Status-Invest'!$2:$2,0),FALSE())/100,"")</f>
        <v>0.1614</v>
      </c>
      <c r="P264" s="10" t="n">
        <f aca="false">IFERROR(VLOOKUP(A264,'Dados-Status-Invest'!$1:$1000,MATCH(P$1,'Dados-Status-Invest'!$2:$2,0),FALSE())/100,"")</f>
        <v>0.0439</v>
      </c>
      <c r="Q264" s="10" t="n">
        <f aca="false">IFERROR(VLOOKUP(A264,'Dados-Status-Invest'!$1:$1000,MATCH(Q$1,'Dados-Status-Invest'!$2:$2,0),FALSE())/100,"")</f>
        <v>-0.0322</v>
      </c>
      <c r="R264" s="12" t="n">
        <f aca="false">IFERROR(VLOOKUP(A264,'Dados-Status-Invest'!$1:$1000,MATCH(R$1,'Dados-Status-Invest'!$2:$2,0),FALSE()),"")</f>
        <v>-6.01</v>
      </c>
      <c r="S264" s="12" t="n">
        <f aca="false">IFERROR(VLOOKUP(A264,'Dados-Status-Invest'!$1:$1000,MATCH(S$1,'Dados-Status-Invest'!$2:$2,0),FALSE()),"")</f>
        <v>-4.73</v>
      </c>
      <c r="T264" s="12" t="n">
        <f aca="false">IFERROR(VLOOKUP(A264,'Dados-Status-Invest'!$1:$1000,MATCH(T$1,'Dados-Status-Invest'!$2:$2,0),FALSE()),"")</f>
        <v>16.75</v>
      </c>
      <c r="U264" s="12" t="n">
        <f aca="false">IFERROR(VLOOKUP(A264,'Dados-Status-Invest'!$1:$1000,MATCH(U$1,'Dados-Status-Invest'!$2:$2,0),FALSE()),"")</f>
        <v>1.21</v>
      </c>
      <c r="V264" s="12" t="n">
        <f aca="false">IFERROR(VLOOKUP(A264,'Dados-Status-Invest'!$1:$1000,MATCH(V$1,'Dados-Status-Invest'!$2:$2,0),FALSE()),"")</f>
        <v>12.35</v>
      </c>
      <c r="W264" s="10" t="n">
        <f aca="false">IFERROR(VLOOKUP(A264,'Dados-Status-Invest'!$1:$1000,MATCH(W$1,'Dados-Status-Invest'!$2:$2,0),FALSE())/100,"")</f>
        <v>0.0727</v>
      </c>
      <c r="X264" s="10" t="n">
        <f aca="false">IFERROR(VLOOKUP(A264,'Dados-Status-Invest'!$1:$1000,MATCH(X$1,'Dados-Status-Invest'!$2:$2,0),FALSE())/100,"")</f>
        <v>0</v>
      </c>
    </row>
    <row r="265" customFormat="false" ht="15.75" hidden="false" customHeight="false" outlineLevel="0" collapsed="false">
      <c r="A265" s="6" t="s">
        <v>297</v>
      </c>
      <c r="B265" s="7" t="str">
        <f aca="false">IFERROR(VLOOKUP(LEFT(A265,4),Setor!A:D,2,FALSE()),"")</f>
        <v>Consumo não Cíclico</v>
      </c>
      <c r="C265" s="8" t="n">
        <f aca="false">IFERROR(__xludf.dummyfunction("IFERROR(IFERROR(GOOGLEFINANCE(A271,""price""),VLOOKUP(A271,'Dados-Status-Invest'!A:B,2,FALSE)),"""")"),3.5)</f>
        <v>3.5</v>
      </c>
      <c r="D265" s="8" t="n">
        <f aca="false">IFERROR(VLOOKUP(A265,'Dados-Status-Invest'!$1:$1000,MATCH(D$1,'Dados-Status-Invest'!$2:$2,0),FALSE()),"")</f>
        <v>19610838.8</v>
      </c>
      <c r="E265" s="8" t="n">
        <f aca="false">IF(D265+H265&gt;0,D265+H265,"")</f>
        <v>83997802.36</v>
      </c>
      <c r="F265" s="8" t="n">
        <f aca="false">IFERROR(D265/VLOOKUP(A265,'Dados-Status-Invest'!$1:$1000,5,FALSE()),"")</f>
        <v>-65369462.67</v>
      </c>
      <c r="G265" s="8" t="n">
        <f aca="false">IFERROR(D265/VLOOKUP(A265,'Dados-Status-Invest'!$1:$1000,6,FALSE()),"")</f>
        <v>35656070.55</v>
      </c>
      <c r="H265" s="8" t="n">
        <f aca="false">IFERROR(VLOOKUP(A265,'Dados-Status-Invest'!$1:$1000,12,FALSE())*J265,"")</f>
        <v>64386963.56</v>
      </c>
      <c r="I265" s="8" t="n">
        <f aca="false">IFERROR(D265/VLOOKUP(A265,'Dados-Status-Invest'!$1:$1000,14,FALSE()),"")</f>
        <v>12256774.25</v>
      </c>
      <c r="J265" s="9" t="n">
        <f aca="false">IFERROR(D265/VLOOKUP(A265,'Dados-Status-Invest'!$1:$1000,10,FALSE()),"")</f>
        <v>1174301.725</v>
      </c>
      <c r="K265" s="10" t="n">
        <f aca="false">IFERROR(VLOOKUP(A265,'Dados-Status-Invest'!$1:$1000,3,FALSE())/100,"")</f>
        <v>0</v>
      </c>
      <c r="L265" s="11" t="n">
        <f aca="false">IFERROR(VLOOKUP(A265,'Dados-Status-Invest'!$1:$1000,MATCH(L$1,'Dados-Status-Invest'!$2:$2,0),FALSE())/100,"")</f>
        <v>-0.0196</v>
      </c>
      <c r="M265" s="10" t="n">
        <f aca="false">IFERROR(VLOOKUP(A265,'Dados-Status-Invest'!$1:$1000,MATCH(M$1,'Dados-Status-Invest'!$2:$2,0),FALSE())/100,"")</f>
        <v>0.0361</v>
      </c>
      <c r="N265" s="10" t="n">
        <f aca="false">IFERROR(VLOOKUP(A265,'Dados-Status-Invest'!$1:$1000,MATCH(N$1,'Dados-Status-Invest'!$2:$2,0),FALSE())/100,"")</f>
        <v>-0.5497</v>
      </c>
      <c r="O265" s="10" t="n">
        <f aca="false">IFERROR(VLOOKUP(A265,'Dados-Status-Invest'!$1:$1000,MATCH(O$1,'Dados-Status-Invest'!$2:$2,0),FALSE())/100,"")</f>
        <v>0.3804</v>
      </c>
      <c r="P265" s="10" t="n">
        <f aca="false">IFERROR(VLOOKUP(A265,'Dados-Status-Invest'!$1:$1000,MATCH(P$1,'Dados-Status-Invest'!$2:$2,0),FALSE())/100,"")</f>
        <v>0.0956</v>
      </c>
      <c r="Q265" s="10" t="n">
        <f aca="false">IFERROR(VLOOKUP(A265,'Dados-Status-Invest'!$1:$1000,MATCH(Q$1,'Dados-Status-Invest'!$2:$2,0),FALSE())/100,"")</f>
        <v>0.1057</v>
      </c>
      <c r="R265" s="12" t="n">
        <f aca="false">IFERROR(VLOOKUP(A265,'Dados-Status-Invest'!$1:$1000,MATCH(R$1,'Dados-Status-Invest'!$2:$2,0),FALSE()),"")</f>
        <v>15.12</v>
      </c>
      <c r="S265" s="12" t="n">
        <f aca="false">IFERROR(VLOOKUP(A265,'Dados-Status-Invest'!$1:$1000,MATCH(S$1,'Dados-Status-Invest'!$2:$2,0),FALSE()),"")</f>
        <v>-0.3</v>
      </c>
      <c r="T265" s="12" t="n">
        <f aca="false">IFERROR(VLOOKUP(A265,'Dados-Status-Invest'!$1:$1000,MATCH(T$1,'Dados-Status-Invest'!$2:$2,0),FALSE()),"")</f>
        <v>71.53</v>
      </c>
      <c r="U265" s="12" t="n">
        <f aca="false">IFERROR(VLOOKUP(A265,'Dados-Status-Invest'!$1:$1000,MATCH(U$1,'Dados-Status-Invest'!$2:$2,0),FALSE()),"")</f>
        <v>0.08</v>
      </c>
      <c r="V265" s="12" t="n">
        <f aca="false">IFERROR(VLOOKUP(A265,'Dados-Status-Invest'!$1:$1000,MATCH(V$1,'Dados-Status-Invest'!$2:$2,0),FALSE()),"")</f>
        <v>54.83</v>
      </c>
      <c r="W265" s="10" t="n">
        <f aca="false">IFERROR(VLOOKUP(A265,'Dados-Status-Invest'!$1:$1000,MATCH(W$1,'Dados-Status-Invest'!$2:$2,0),FALSE())/100,"")</f>
        <v>-0.1935</v>
      </c>
      <c r="X265" s="10" t="n">
        <f aca="false">IFERROR(VLOOKUP(A265,'Dados-Status-Invest'!$1:$1000,MATCH(X$1,'Dados-Status-Invest'!$2:$2,0),FALSE())/100,"")</f>
        <v>0</v>
      </c>
    </row>
    <row r="266" customFormat="false" ht="15.75" hidden="false" customHeight="false" outlineLevel="0" collapsed="false">
      <c r="A266" s="6" t="s">
        <v>298</v>
      </c>
      <c r="B266" s="7" t="s">
        <v>154</v>
      </c>
      <c r="C266" s="8" t="n">
        <f aca="false">IFERROR(__xludf.dummyfunction("IFERROR(IFERROR(GOOGLEFINANCE(A272,""price""),VLOOKUP(A272,'Dados-Status-Invest'!A:B,2,FALSE)),"""")"),0)</f>
        <v>0</v>
      </c>
      <c r="D266" s="8" t="n">
        <f aca="false">IFERROR(VLOOKUP(A266,'Dados-Status-Invest'!$1:$1000,MATCH(D$1,'Dados-Status-Invest'!$2:$2,0),FALSE()),"")</f>
        <v>0</v>
      </c>
      <c r="E266" s="8" t="str">
        <f aca="false">IF(D266+H266&gt;0,D266+H266,"")</f>
        <v/>
      </c>
      <c r="F266" s="8" t="str">
        <f aca="false">IFERROR(D266/VLOOKUP(A266,'Dados-Status-Invest'!$1:$1000,5,FALSE()),"")</f>
        <v/>
      </c>
      <c r="G266" s="8" t="str">
        <f aca="false">IFERROR(D266/VLOOKUP(A266,'Dados-Status-Invest'!$1:$1000,6,FALSE()),"")</f>
        <v/>
      </c>
      <c r="H266" s="8" t="n">
        <f aca="false">IFERROR(VLOOKUP(A266,'Dados-Status-Invest'!$1:$1000,12,FALSE())*J266,"")</f>
        <v>0</v>
      </c>
      <c r="I266" s="8" t="str">
        <f aca="false">IFERROR(D266/VLOOKUP(A266,'Dados-Status-Invest'!$1:$1000,14,FALSE()),"")</f>
        <v/>
      </c>
      <c r="J266" s="9" t="str">
        <f aca="false">IFERROR(D266/VLOOKUP(A266,'Dados-Status-Invest'!$1:$1000,10,FALSE()),"")</f>
        <v/>
      </c>
      <c r="K266" s="10" t="n">
        <f aca="false">IFERROR(VLOOKUP(A266,'Dados-Status-Invest'!$1:$1000,3,FALSE())/100,"")</f>
        <v>0</v>
      </c>
      <c r="L266" s="11" t="n">
        <f aca="false">IFERROR(VLOOKUP(A266,'Dados-Status-Invest'!$1:$1000,MATCH(L$1,'Dados-Status-Invest'!$2:$2,0),FALSE())/100,"")</f>
        <v>-0.0095</v>
      </c>
      <c r="M266" s="10" t="n">
        <f aca="false">IFERROR(VLOOKUP(A266,'Dados-Status-Invest'!$1:$1000,MATCH(M$1,'Dados-Status-Invest'!$2:$2,0),FALSE())/100,"")</f>
        <v>-0.009</v>
      </c>
      <c r="N266" s="10" t="n">
        <f aca="false">IFERROR(VLOOKUP(A266,'Dados-Status-Invest'!$1:$1000,MATCH(N$1,'Dados-Status-Invest'!$2:$2,0),FALSE())/100,"")</f>
        <v>-0.0242</v>
      </c>
      <c r="O266" s="10" t="n">
        <f aca="false">IFERROR(VLOOKUP(A266,'Dados-Status-Invest'!$1:$1000,MATCH(O$1,'Dados-Status-Invest'!$2:$2,0),FALSE())/100,"")</f>
        <v>0</v>
      </c>
      <c r="P266" s="10" t="n">
        <f aca="false">IFERROR(VLOOKUP(A266,'Dados-Status-Invest'!$1:$1000,MATCH(P$1,'Dados-Status-Invest'!$2:$2,0),FALSE())/100,"")</f>
        <v>0</v>
      </c>
      <c r="Q266" s="10" t="n">
        <f aca="false">IFERROR(VLOOKUP(A266,'Dados-Status-Invest'!$1:$1000,MATCH(Q$1,'Dados-Status-Invest'!$2:$2,0),FALSE())/100,"")</f>
        <v>0</v>
      </c>
      <c r="R266" s="12" t="n">
        <f aca="false">IFERROR(VLOOKUP(A266,'Dados-Status-Invest'!$1:$1000,MATCH(R$1,'Dados-Status-Invest'!$2:$2,0),FALSE()),"")</f>
        <v>0</v>
      </c>
      <c r="S266" s="12" t="n">
        <f aca="false">IFERROR(VLOOKUP(A266,'Dados-Status-Invest'!$1:$1000,MATCH(S$1,'Dados-Status-Invest'!$2:$2,0),FALSE()),"")</f>
        <v>0</v>
      </c>
      <c r="T266" s="12" t="n">
        <f aca="false">IFERROR(VLOOKUP(A266,'Dados-Status-Invest'!$1:$1000,MATCH(T$1,'Dados-Status-Invest'!$2:$2,0),FALSE()),"")</f>
        <v>0</v>
      </c>
      <c r="U266" s="12" t="n">
        <f aca="false">IFERROR(VLOOKUP(A266,'Dados-Status-Invest'!$1:$1000,MATCH(U$1,'Dados-Status-Invest'!$2:$2,0),FALSE()),"")</f>
        <v>0</v>
      </c>
      <c r="V266" s="12" t="n">
        <f aca="false">IFERROR(VLOOKUP(A266,'Dados-Status-Invest'!$1:$1000,MATCH(V$1,'Dados-Status-Invest'!$2:$2,0),FALSE()),"")</f>
        <v>0</v>
      </c>
      <c r="W266" s="10" t="n">
        <f aca="false">IFERROR(VLOOKUP(A266,'Dados-Status-Invest'!$1:$1000,MATCH(W$1,'Dados-Status-Invest'!$2:$2,0),FALSE())/100,"")</f>
        <v>0</v>
      </c>
      <c r="X266" s="10" t="n">
        <f aca="false">IFERROR(VLOOKUP(A266,'Dados-Status-Invest'!$1:$1000,MATCH(X$1,'Dados-Status-Invest'!$2:$2,0),FALSE())/100,"")</f>
        <v>0</v>
      </c>
    </row>
    <row r="267" customFormat="false" ht="15.75" hidden="false" customHeight="false" outlineLevel="0" collapsed="false">
      <c r="A267" s="6" t="s">
        <v>299</v>
      </c>
      <c r="B267" s="7" t="s">
        <v>109</v>
      </c>
      <c r="C267" s="8" t="n">
        <f aca="false">IFERROR(__xludf.dummyfunction("IFERROR(IFERROR(GOOGLEFINANCE(A273,""price""),VLOOKUP(A273,'Dados-Status-Invest'!A:B,2,FALSE)),"""")"),4)</f>
        <v>4</v>
      </c>
      <c r="D267" s="8" t="n">
        <f aca="false">IFERROR(VLOOKUP(A267,'Dados-Status-Invest'!$1:$1000,MATCH(D$1,'Dados-Status-Invest'!$2:$2,0),FALSE()),"")</f>
        <v>669291671</v>
      </c>
      <c r="E267" s="8" t="n">
        <f aca="false">IF(D267+H267&gt;0,D267+H267,"")</f>
        <v>852279658.6</v>
      </c>
      <c r="F267" s="8" t="n">
        <f aca="false">IFERROR(D267/VLOOKUP(A267,'Dados-Status-Invest'!$1:$1000,5,FALSE()),"")</f>
        <v>386873798.3</v>
      </c>
      <c r="G267" s="8" t="n">
        <f aca="false">IFERROR(D267/VLOOKUP(A267,'Dados-Status-Invest'!$1:$1000,6,FALSE()),"")</f>
        <v>576975578.5</v>
      </c>
      <c r="H267" s="8" t="n">
        <f aca="false">IFERROR(VLOOKUP(A267,'Dados-Status-Invest'!$1:$1000,12,FALSE())*J267,"")</f>
        <v>182987987.6</v>
      </c>
      <c r="I267" s="8" t="str">
        <f aca="false">IFERROR(D267/VLOOKUP(A267,'Dados-Status-Invest'!$1:$1000,14,FALSE()),"")</f>
        <v/>
      </c>
      <c r="J267" s="9" t="n">
        <f aca="false">IFERROR(D267/VLOOKUP(A267,'Dados-Status-Invest'!$1:$1000,10,FALSE()),"")</f>
        <v>-24964254.79</v>
      </c>
      <c r="K267" s="10" t="n">
        <f aca="false">IFERROR(VLOOKUP(A267,'Dados-Status-Invest'!$1:$1000,3,FALSE())/100,"")</f>
        <v>0</v>
      </c>
      <c r="L267" s="11" t="n">
        <f aca="false">IFERROR(VLOOKUP(A267,'Dados-Status-Invest'!$1:$1000,MATCH(L$1,'Dados-Status-Invest'!$2:$2,0),FALSE())/100,"")</f>
        <v>-0.0675</v>
      </c>
      <c r="M267" s="10" t="n">
        <f aca="false">IFERROR(VLOOKUP(A267,'Dados-Status-Invest'!$1:$1000,MATCH(M$1,'Dados-Status-Invest'!$2:$2,0),FALSE())/100,"")</f>
        <v>-0.0453</v>
      </c>
      <c r="N267" s="10" t="n">
        <f aca="false">IFERROR(VLOOKUP(A267,'Dados-Status-Invest'!$1:$1000,MATCH(N$1,'Dados-Status-Invest'!$2:$2,0),FALSE())/100,"")</f>
        <v>-0.0437</v>
      </c>
      <c r="O267" s="10" t="n">
        <f aca="false">IFERROR(VLOOKUP(A267,'Dados-Status-Invest'!$1:$1000,MATCH(O$1,'Dados-Status-Invest'!$2:$2,0),FALSE())/100,"")</f>
        <v>1</v>
      </c>
      <c r="P267" s="10" t="n">
        <f aca="false">IFERROR(VLOOKUP(A267,'Dados-Status-Invest'!$1:$1000,MATCH(P$1,'Dados-Status-Invest'!$2:$2,0),FALSE())/100,"")</f>
        <v>1.2912</v>
      </c>
      <c r="Q267" s="10" t="n">
        <f aca="false">IFERROR(VLOOKUP(A267,'Dados-Status-Invest'!$1:$1000,MATCH(Q$1,'Dados-Status-Invest'!$2:$2,0),FALSE())/100,"")</f>
        <v>1.3491</v>
      </c>
      <c r="R267" s="12" t="n">
        <f aca="false">IFERROR(VLOOKUP(A267,'Dados-Status-Invest'!$1:$1000,MATCH(R$1,'Dados-Status-Invest'!$2:$2,0),FALSE()),"")</f>
        <v>-25.66</v>
      </c>
      <c r="S267" s="12" t="n">
        <f aca="false">IFERROR(VLOOKUP(A267,'Dados-Status-Invest'!$1:$1000,MATCH(S$1,'Dados-Status-Invest'!$2:$2,0),FALSE()),"")</f>
        <v>1.73</v>
      </c>
      <c r="T267" s="12" t="n">
        <f aca="false">IFERROR(VLOOKUP(A267,'Dados-Status-Invest'!$1:$1000,MATCH(T$1,'Dados-Status-Invest'!$2:$2,0),FALSE()),"")</f>
        <v>-34.06</v>
      </c>
      <c r="U267" s="12" t="n">
        <f aca="false">IFERROR(VLOOKUP(A267,'Dados-Status-Invest'!$1:$1000,MATCH(U$1,'Dados-Status-Invest'!$2:$2,0),FALSE()),"")</f>
        <v>0.01</v>
      </c>
      <c r="V267" s="12" t="n">
        <f aca="false">IFERROR(VLOOKUP(A267,'Dados-Status-Invest'!$1:$1000,MATCH(V$1,'Dados-Status-Invest'!$2:$2,0),FALSE()),"")</f>
        <v>-7.33</v>
      </c>
      <c r="W267" s="10" t="n">
        <f aca="false">IFERROR(VLOOKUP(A267,'Dados-Status-Invest'!$1:$1000,MATCH(W$1,'Dados-Status-Invest'!$2:$2,0),FALSE())/100,"")</f>
        <v>0</v>
      </c>
      <c r="X267" s="10" t="n">
        <f aca="false">IFERROR(VLOOKUP(A267,'Dados-Status-Invest'!$1:$1000,MATCH(X$1,'Dados-Status-Invest'!$2:$2,0),FALSE())/100,"")</f>
        <v>0</v>
      </c>
    </row>
    <row r="268" customFormat="false" ht="15.75" hidden="false" customHeight="false" outlineLevel="0" collapsed="false">
      <c r="A268" s="6" t="s">
        <v>300</v>
      </c>
      <c r="B268" s="7" t="str">
        <f aca="false">IFERROR(VLOOKUP(LEFT(A268,4),Setor!A:D,2,FALSE()),"")</f>
        <v>Saúde</v>
      </c>
      <c r="C268" s="8" t="n">
        <f aca="false">IFERROR(__xludf.dummyfunction("IFERROR(IFERROR(GOOGLEFINANCE(A274,""price""),VLOOKUP(A274,'Dados-Status-Invest'!A:B,2,FALSE)),"""")"),10.4)</f>
        <v>10.4</v>
      </c>
      <c r="D268" s="8" t="n">
        <f aca="false">IFERROR(VLOOKUP(A268,'Dados-Status-Invest'!$1:$1000,MATCH(D$1,'Dados-Status-Invest'!$2:$2,0),FALSE()),"")</f>
        <v>1108871982</v>
      </c>
      <c r="E268" s="8" t="n">
        <f aca="false">IF(D268+H268&gt;0,D268+H268,"")</f>
        <v>1315765532.2</v>
      </c>
      <c r="F268" s="8" t="n">
        <f aca="false">IFERROR(D268/VLOOKUP(A268,'Dados-Status-Invest'!$1:$1000,5,FALSE()),"")</f>
        <v>840054532.1</v>
      </c>
      <c r="G268" s="8" t="n">
        <f aca="false">IFERROR(D268/VLOOKUP(A268,'Dados-Status-Invest'!$1:$1000,6,FALSE()),"")</f>
        <v>1403635421</v>
      </c>
      <c r="H268" s="8" t="n">
        <f aca="false">IFERROR(VLOOKUP(A268,'Dados-Status-Invest'!$1:$1000,12,FALSE())*J268,"")</f>
        <v>206893550.2</v>
      </c>
      <c r="I268" s="8" t="n">
        <f aca="false">IFERROR(D268/VLOOKUP(A268,'Dados-Status-Invest'!$1:$1000,14,FALSE()),"")</f>
        <v>729521041.1</v>
      </c>
      <c r="J268" s="9" t="n">
        <f aca="false">IFERROR(D268/VLOOKUP(A268,'Dados-Status-Invest'!$1:$1000,10,FALSE()),"")</f>
        <v>27659565.54</v>
      </c>
      <c r="K268" s="10" t="n">
        <f aca="false">IFERROR(VLOOKUP(A268,'Dados-Status-Invest'!$1:$1000,3,FALSE())/100,"")</f>
        <v>0</v>
      </c>
      <c r="L268" s="11" t="n">
        <f aca="false">IFERROR(VLOOKUP(A268,'Dados-Status-Invest'!$1:$1000,MATCH(L$1,'Dados-Status-Invest'!$2:$2,0),FALSE())/100,"")</f>
        <v>-0.0883</v>
      </c>
      <c r="M268" s="10" t="n">
        <f aca="false">IFERROR(VLOOKUP(A268,'Dados-Status-Invest'!$1:$1000,MATCH(M$1,'Dados-Status-Invest'!$2:$2,0),FALSE())/100,"")</f>
        <v>-0.0529</v>
      </c>
      <c r="N268" s="10" t="n">
        <f aca="false">IFERROR(VLOOKUP(A268,'Dados-Status-Invest'!$1:$1000,MATCH(N$1,'Dados-Status-Invest'!$2:$2,0),FALSE())/100,"")</f>
        <v>-0.001</v>
      </c>
      <c r="O268" s="10" t="n">
        <f aca="false">IFERROR(VLOOKUP(A268,'Dados-Status-Invest'!$1:$1000,MATCH(O$1,'Dados-Status-Invest'!$2:$2,0),FALSE())/100,"")</f>
        <v>0.4348</v>
      </c>
      <c r="P268" s="10" t="n">
        <f aca="false">IFERROR(VLOOKUP(A268,'Dados-Status-Invest'!$1:$1000,MATCH(P$1,'Dados-Status-Invest'!$2:$2,0),FALSE())/100,"")</f>
        <v>0.0379</v>
      </c>
      <c r="Q268" s="10" t="n">
        <f aca="false">IFERROR(VLOOKUP(A268,'Dados-Status-Invest'!$1:$1000,MATCH(Q$1,'Dados-Status-Invest'!$2:$2,0),FALSE())/100,"")</f>
        <v>-0.1014</v>
      </c>
      <c r="R268" s="12" t="n">
        <f aca="false">IFERROR(VLOOKUP(A268,'Dados-Status-Invest'!$1:$1000,MATCH(R$1,'Dados-Status-Invest'!$2:$2,0),FALSE()),"")</f>
        <v>-14.97</v>
      </c>
      <c r="S268" s="12" t="n">
        <f aca="false">IFERROR(VLOOKUP(A268,'Dados-Status-Invest'!$1:$1000,MATCH(S$1,'Dados-Status-Invest'!$2:$2,0),FALSE()),"")</f>
        <v>1.32</v>
      </c>
      <c r="T268" s="12" t="n">
        <f aca="false">IFERROR(VLOOKUP(A268,'Dados-Status-Invest'!$1:$1000,MATCH(T$1,'Dados-Status-Invest'!$2:$2,0),FALSE()),"")</f>
        <v>47.57</v>
      </c>
      <c r="U268" s="12" t="n">
        <f aca="false">IFERROR(VLOOKUP(A268,'Dados-Status-Invest'!$1:$1000,MATCH(U$1,'Dados-Status-Invest'!$2:$2,0),FALSE()),"")</f>
        <v>1.31</v>
      </c>
      <c r="V268" s="12" t="n">
        <f aca="false">IFERROR(VLOOKUP(A268,'Dados-Status-Invest'!$1:$1000,MATCH(V$1,'Dados-Status-Invest'!$2:$2,0),FALSE()),"")</f>
        <v>7.48</v>
      </c>
      <c r="W268" s="10" t="n">
        <f aca="false">IFERROR(VLOOKUP(A268,'Dados-Status-Invest'!$1:$1000,MATCH(W$1,'Dados-Status-Invest'!$2:$2,0),FALSE())/100,"")</f>
        <v>0.1283</v>
      </c>
      <c r="X268" s="10" t="n">
        <f aca="false">IFERROR(VLOOKUP(A268,'Dados-Status-Invest'!$1:$1000,MATCH(X$1,'Dados-Status-Invest'!$2:$2,0),FALSE())/100,"")</f>
        <v>-0.3845</v>
      </c>
    </row>
    <row r="269" customFormat="false" ht="15.75" hidden="false" customHeight="false" outlineLevel="0" collapsed="false">
      <c r="A269" s="6" t="s">
        <v>301</v>
      </c>
      <c r="B269" s="7" t="str">
        <f aca="false">IFERROR(VLOOKUP(LEFT(A269,4),Setor!A:D,2,FALSE()),"")</f>
        <v>Utilidade Pública</v>
      </c>
      <c r="C269" s="8" t="n">
        <f aca="false">IFERROR(__xludf.dummyfunction("IFERROR(IFERROR(GOOGLEFINANCE(A275,""price""),VLOOKUP(A275,'Dados-Status-Invest'!A:B,2,FALSE)),"""")"),24.76)</f>
        <v>24.76</v>
      </c>
      <c r="D269" s="8" t="n">
        <f aca="false">IFERROR(VLOOKUP(A269,'Dados-Status-Invest'!$1:$1000,MATCH(D$1,'Dados-Status-Invest'!$2:$2,0),FALSE()),"")</f>
        <v>3478607368</v>
      </c>
      <c r="E269" s="8" t="n">
        <f aca="false">IF(D269+H269&gt;0,D269+H269,"")</f>
        <v>4529697364</v>
      </c>
      <c r="F269" s="8" t="n">
        <f aca="false">IFERROR(D269/VLOOKUP(A269,'Dados-Status-Invest'!$1:$1000,5,FALSE()),"")</f>
        <v>1911322730</v>
      </c>
      <c r="G269" s="8" t="n">
        <f aca="false">IFERROR(D269/VLOOKUP(A269,'Dados-Status-Invest'!$1:$1000,6,FALSE()),"")</f>
        <v>4348259210</v>
      </c>
      <c r="H269" s="8" t="n">
        <f aca="false">IFERROR(VLOOKUP(A269,'Dados-Status-Invest'!$1:$1000,12,FALSE())*J269,"")</f>
        <v>1051089996</v>
      </c>
      <c r="I269" s="8" t="n">
        <f aca="false">IFERROR(D269/VLOOKUP(A269,'Dados-Status-Invest'!$1:$1000,14,FALSE()),"")</f>
        <v>1302849202</v>
      </c>
      <c r="J269" s="9" t="n">
        <f aca="false">IFERROR(D269/VLOOKUP(A269,'Dados-Status-Invest'!$1:$1000,10,FALSE()),"")</f>
        <v>1251297614</v>
      </c>
      <c r="K269" s="10" t="n">
        <f aca="false">IFERROR(VLOOKUP(A269,'Dados-Status-Invest'!$1:$1000,3,FALSE())/100,"")</f>
        <v>0.1304</v>
      </c>
      <c r="L269" s="11" t="n">
        <f aca="false">IFERROR(VLOOKUP(A269,'Dados-Status-Invest'!$1:$1000,MATCH(L$1,'Dados-Status-Invest'!$2:$2,0),FALSE())/100,"")</f>
        <v>0.2953</v>
      </c>
      <c r="M269" s="10" t="n">
        <f aca="false">IFERROR(VLOOKUP(A269,'Dados-Status-Invest'!$1:$1000,MATCH(M$1,'Dados-Status-Invest'!$2:$2,0),FALSE())/100,"")</f>
        <v>0.1298</v>
      </c>
      <c r="N269" s="10" t="n">
        <f aca="false">IFERROR(VLOOKUP(A269,'Dados-Status-Invest'!$1:$1000,MATCH(N$1,'Dados-Status-Invest'!$2:$2,0),FALSE())/100,"")</f>
        <v>0.2914</v>
      </c>
      <c r="O269" s="10" t="n">
        <f aca="false">IFERROR(VLOOKUP(A269,'Dados-Status-Invest'!$1:$1000,MATCH(O$1,'Dados-Status-Invest'!$2:$2,0),FALSE())/100,"")</f>
        <v>0.9697</v>
      </c>
      <c r="P269" s="10" t="n">
        <f aca="false">IFERROR(VLOOKUP(A269,'Dados-Status-Invest'!$1:$1000,MATCH(P$1,'Dados-Status-Invest'!$2:$2,0),FALSE())/100,"")</f>
        <v>0.9597</v>
      </c>
      <c r="Q269" s="10" t="n">
        <f aca="false">IFERROR(VLOOKUP(A269,'Dados-Status-Invest'!$1:$1000,MATCH(Q$1,'Dados-Status-Invest'!$2:$2,0),FALSE())/100,"")</f>
        <v>0.4324</v>
      </c>
      <c r="R269" s="12" t="n">
        <f aca="false">IFERROR(VLOOKUP(A269,'Dados-Status-Invest'!$1:$1000,MATCH(R$1,'Dados-Status-Invest'!$2:$2,0),FALSE()),"")</f>
        <v>6.17</v>
      </c>
      <c r="S269" s="12" t="n">
        <f aca="false">IFERROR(VLOOKUP(A269,'Dados-Status-Invest'!$1:$1000,MATCH(S$1,'Dados-Status-Invest'!$2:$2,0),FALSE()),"")</f>
        <v>1.82</v>
      </c>
      <c r="T269" s="12" t="n">
        <f aca="false">IFERROR(VLOOKUP(A269,'Dados-Status-Invest'!$1:$1000,MATCH(T$1,'Dados-Status-Invest'!$2:$2,0),FALSE()),"")</f>
        <v>3.61</v>
      </c>
      <c r="U269" s="12" t="n">
        <f aca="false">IFERROR(VLOOKUP(A269,'Dados-Status-Invest'!$1:$1000,MATCH(U$1,'Dados-Status-Invest'!$2:$2,0),FALSE()),"")</f>
        <v>0.6</v>
      </c>
      <c r="V269" s="12" t="n">
        <f aca="false">IFERROR(VLOOKUP(A269,'Dados-Status-Invest'!$1:$1000,MATCH(V$1,'Dados-Status-Invest'!$2:$2,0),FALSE()),"")</f>
        <v>0.84</v>
      </c>
      <c r="W269" s="10" t="n">
        <f aca="false">IFERROR(VLOOKUP(A269,'Dados-Status-Invest'!$1:$1000,MATCH(W$1,'Dados-Status-Invest'!$2:$2,0),FALSE())/100,"")</f>
        <v>0.036</v>
      </c>
      <c r="X269" s="10" t="n">
        <f aca="false">IFERROR(VLOOKUP(A269,'Dados-Status-Invest'!$1:$1000,MATCH(X$1,'Dados-Status-Invest'!$2:$2,0),FALSE())/100,"")</f>
        <v>0.309</v>
      </c>
    </row>
    <row r="270" customFormat="false" ht="15.75" hidden="false" customHeight="false" outlineLevel="0" collapsed="false">
      <c r="A270" s="6" t="s">
        <v>302</v>
      </c>
      <c r="B270" s="7" t="str">
        <f aca="false">IFERROR(VLOOKUP(LEFT(A270,4),Setor!A:D,2,FALSE()),"")</f>
        <v>Utilidade Pública</v>
      </c>
      <c r="C270" s="8" t="n">
        <f aca="false">IFERROR(__xludf.dummyfunction("IFERROR(IFERROR(GOOGLEFINANCE(A276,""price""),VLOOKUP(A276,'Dados-Status-Invest'!A:B,2,FALSE)),"""")"),25.5)</f>
        <v>25.5</v>
      </c>
      <c r="D270" s="8" t="n">
        <f aca="false">IFERROR(VLOOKUP(A270,'Dados-Status-Invest'!$1:$1000,MATCH(D$1,'Dados-Status-Invest'!$2:$2,0),FALSE()),"")</f>
        <v>3478607368</v>
      </c>
      <c r="E270" s="8" t="n">
        <f aca="false">IF(D270+H270&gt;0,D270+H270,"")</f>
        <v>4529697364</v>
      </c>
      <c r="F270" s="8" t="n">
        <f aca="false">IFERROR(D270/VLOOKUP(A270,'Dados-Status-Invest'!$1:$1000,5,FALSE()),"")</f>
        <v>1911322730</v>
      </c>
      <c r="G270" s="8" t="n">
        <f aca="false">IFERROR(D270/VLOOKUP(A270,'Dados-Status-Invest'!$1:$1000,6,FALSE()),"")</f>
        <v>4348259210</v>
      </c>
      <c r="H270" s="8" t="n">
        <f aca="false">IFERROR(VLOOKUP(A270,'Dados-Status-Invest'!$1:$1000,12,FALSE())*J270,"")</f>
        <v>1051089996</v>
      </c>
      <c r="I270" s="8" t="n">
        <f aca="false">IFERROR(D270/VLOOKUP(A270,'Dados-Status-Invest'!$1:$1000,14,FALSE()),"")</f>
        <v>1302849202</v>
      </c>
      <c r="J270" s="9" t="n">
        <f aca="false">IFERROR(D270/VLOOKUP(A270,'Dados-Status-Invest'!$1:$1000,10,FALSE()),"")</f>
        <v>1251297614</v>
      </c>
      <c r="K270" s="10" t="n">
        <f aca="false">IFERROR(VLOOKUP(A270,'Dados-Status-Invest'!$1:$1000,3,FALSE())/100,"")</f>
        <v>0.1304</v>
      </c>
      <c r="L270" s="11" t="n">
        <f aca="false">IFERROR(VLOOKUP(A270,'Dados-Status-Invest'!$1:$1000,MATCH(L$1,'Dados-Status-Invest'!$2:$2,0),FALSE())/100,"")</f>
        <v>0.2953</v>
      </c>
      <c r="M270" s="10" t="n">
        <f aca="false">IFERROR(VLOOKUP(A270,'Dados-Status-Invest'!$1:$1000,MATCH(M$1,'Dados-Status-Invest'!$2:$2,0),FALSE())/100,"")</f>
        <v>0.1298</v>
      </c>
      <c r="N270" s="10" t="n">
        <f aca="false">IFERROR(VLOOKUP(A270,'Dados-Status-Invest'!$1:$1000,MATCH(N$1,'Dados-Status-Invest'!$2:$2,0),FALSE())/100,"")</f>
        <v>0.2914</v>
      </c>
      <c r="O270" s="10" t="n">
        <f aca="false">IFERROR(VLOOKUP(A270,'Dados-Status-Invest'!$1:$1000,MATCH(O$1,'Dados-Status-Invest'!$2:$2,0),FALSE())/100,"")</f>
        <v>0.9697</v>
      </c>
      <c r="P270" s="10" t="n">
        <f aca="false">IFERROR(VLOOKUP(A270,'Dados-Status-Invest'!$1:$1000,MATCH(P$1,'Dados-Status-Invest'!$2:$2,0),FALSE())/100,"")</f>
        <v>0.9597</v>
      </c>
      <c r="Q270" s="10" t="n">
        <f aca="false">IFERROR(VLOOKUP(A270,'Dados-Status-Invest'!$1:$1000,MATCH(Q$1,'Dados-Status-Invest'!$2:$2,0),FALSE())/100,"")</f>
        <v>0.4324</v>
      </c>
      <c r="R270" s="12" t="n">
        <f aca="false">IFERROR(VLOOKUP(A270,'Dados-Status-Invest'!$1:$1000,MATCH(R$1,'Dados-Status-Invest'!$2:$2,0),FALSE()),"")</f>
        <v>6.17</v>
      </c>
      <c r="S270" s="12" t="n">
        <f aca="false">IFERROR(VLOOKUP(A270,'Dados-Status-Invest'!$1:$1000,MATCH(S$1,'Dados-Status-Invest'!$2:$2,0),FALSE()),"")</f>
        <v>1.82</v>
      </c>
      <c r="T270" s="12" t="n">
        <f aca="false">IFERROR(VLOOKUP(A270,'Dados-Status-Invest'!$1:$1000,MATCH(T$1,'Dados-Status-Invest'!$2:$2,0),FALSE()),"")</f>
        <v>3.61</v>
      </c>
      <c r="U270" s="12" t="n">
        <f aca="false">IFERROR(VLOOKUP(A270,'Dados-Status-Invest'!$1:$1000,MATCH(U$1,'Dados-Status-Invest'!$2:$2,0),FALSE()),"")</f>
        <v>0.6</v>
      </c>
      <c r="V270" s="12" t="n">
        <f aca="false">IFERROR(VLOOKUP(A270,'Dados-Status-Invest'!$1:$1000,MATCH(V$1,'Dados-Status-Invest'!$2:$2,0),FALSE()),"")</f>
        <v>0.84</v>
      </c>
      <c r="W270" s="10" t="n">
        <f aca="false">IFERROR(VLOOKUP(A270,'Dados-Status-Invest'!$1:$1000,MATCH(W$1,'Dados-Status-Invest'!$2:$2,0),FALSE())/100,"")</f>
        <v>0.036</v>
      </c>
      <c r="X270" s="10" t="n">
        <f aca="false">IFERROR(VLOOKUP(A270,'Dados-Status-Invest'!$1:$1000,MATCH(X$1,'Dados-Status-Invest'!$2:$2,0),FALSE())/100,"")</f>
        <v>0.309</v>
      </c>
    </row>
    <row r="271" customFormat="false" ht="15.75" hidden="false" customHeight="false" outlineLevel="0" collapsed="false">
      <c r="A271" s="6" t="s">
        <v>303</v>
      </c>
      <c r="B271" s="7" t="str">
        <f aca="false">IFERROR(VLOOKUP(LEFT(A271,4),Setor!A:D,2,FALSE()),"")</f>
        <v>Consumo Cíclico</v>
      </c>
      <c r="C271" s="8" t="n">
        <f aca="false">IFERROR(__xludf.dummyfunction("IFERROR(IFERROR(GOOGLEFINANCE(A277,""price""),VLOOKUP(A277,'Dados-Status-Invest'!A:B,2,FALSE)),"""")"),1.45)</f>
        <v>1.45</v>
      </c>
      <c r="D271" s="8" t="n">
        <f aca="false">IFERROR(VLOOKUP(A271,'Dados-Status-Invest'!$1:$1000,MATCH(D$1,'Dados-Status-Invest'!$2:$2,0),FALSE()),"")</f>
        <v>1335001888</v>
      </c>
      <c r="E271" s="8" t="n">
        <f aca="false">IF(D271+H271&gt;0,D271+H271,"")</f>
        <v>1960658825</v>
      </c>
      <c r="F271" s="8" t="n">
        <f aca="false">IFERROR(D271/VLOOKUP(A271,'Dados-Status-Invest'!$1:$1000,5,FALSE()),"")</f>
        <v>1570590457</v>
      </c>
      <c r="G271" s="8" t="n">
        <f aca="false">IFERROR(D271/VLOOKUP(A271,'Dados-Status-Invest'!$1:$1000,6,FALSE()),"")</f>
        <v>4306457705</v>
      </c>
      <c r="H271" s="8" t="n">
        <f aca="false">IFERROR(VLOOKUP(A271,'Dados-Status-Invest'!$1:$1000,12,FALSE())*J271,"")</f>
        <v>625656937</v>
      </c>
      <c r="I271" s="8" t="n">
        <f aca="false">IFERROR(D271/VLOOKUP(A271,'Dados-Status-Invest'!$1:$1000,14,FALSE()),"")</f>
        <v>981619035.6</v>
      </c>
      <c r="J271" s="9" t="n">
        <f aca="false">IFERROR(D271/VLOOKUP(A271,'Dados-Status-Invest'!$1:$1000,10,FALSE()),"")</f>
        <v>22257450.62</v>
      </c>
      <c r="K271" s="10" t="n">
        <f aca="false">IFERROR(VLOOKUP(A271,'Dados-Status-Invest'!$1:$1000,3,FALSE())/100,"")</f>
        <v>0</v>
      </c>
      <c r="L271" s="11" t="n">
        <f aca="false">IFERROR(VLOOKUP(A271,'Dados-Status-Invest'!$1:$1000,MATCH(L$1,'Dados-Status-Invest'!$2:$2,0),FALSE())/100,"")</f>
        <v>-0.0242</v>
      </c>
      <c r="M271" s="10" t="n">
        <f aca="false">IFERROR(VLOOKUP(A271,'Dados-Status-Invest'!$1:$1000,MATCH(M$1,'Dados-Status-Invest'!$2:$2,0),FALSE())/100,"")</f>
        <v>-0.0088</v>
      </c>
      <c r="N271" s="10" t="n">
        <f aca="false">IFERROR(VLOOKUP(A271,'Dados-Status-Invest'!$1:$1000,MATCH(N$1,'Dados-Status-Invest'!$2:$2,0),FALSE())/100,"")</f>
        <v>0.0055</v>
      </c>
      <c r="O271" s="10" t="n">
        <f aca="false">IFERROR(VLOOKUP(A271,'Dados-Status-Invest'!$1:$1000,MATCH(O$1,'Dados-Status-Invest'!$2:$2,0),FALSE())/100,"")</f>
        <v>0.203</v>
      </c>
      <c r="P271" s="10" t="n">
        <f aca="false">IFERROR(VLOOKUP(A271,'Dados-Status-Invest'!$1:$1000,MATCH(P$1,'Dados-Status-Invest'!$2:$2,0),FALSE())/100,"")</f>
        <v>0.0227</v>
      </c>
      <c r="Q271" s="10" t="n">
        <f aca="false">IFERROR(VLOOKUP(A271,'Dados-Status-Invest'!$1:$1000,MATCH(Q$1,'Dados-Status-Invest'!$2:$2,0),FALSE())/100,"")</f>
        <v>-0.0388</v>
      </c>
      <c r="R271" s="12" t="n">
        <f aca="false">IFERROR(VLOOKUP(A271,'Dados-Status-Invest'!$1:$1000,MATCH(R$1,'Dados-Status-Invest'!$2:$2,0),FALSE()),"")</f>
        <v>-35.05</v>
      </c>
      <c r="S271" s="12" t="n">
        <f aca="false">IFERROR(VLOOKUP(A271,'Dados-Status-Invest'!$1:$1000,MATCH(S$1,'Dados-Status-Invest'!$2:$2,0),FALSE()),"")</f>
        <v>0.85</v>
      </c>
      <c r="T271" s="12" t="n">
        <f aca="false">IFERROR(VLOOKUP(A271,'Dados-Status-Invest'!$1:$1000,MATCH(T$1,'Dados-Status-Invest'!$2:$2,0),FALSE()),"")</f>
        <v>88.09</v>
      </c>
      <c r="U271" s="12" t="n">
        <f aca="false">IFERROR(VLOOKUP(A271,'Dados-Status-Invest'!$1:$1000,MATCH(U$1,'Dados-Status-Invest'!$2:$2,0),FALSE()),"")</f>
        <v>1.42</v>
      </c>
      <c r="V271" s="12" t="n">
        <f aca="false">IFERROR(VLOOKUP(A271,'Dados-Status-Invest'!$1:$1000,MATCH(V$1,'Dados-Status-Invest'!$2:$2,0),FALSE()),"")</f>
        <v>28.11</v>
      </c>
      <c r="W271" s="10" t="n">
        <f aca="false">IFERROR(VLOOKUP(A271,'Dados-Status-Invest'!$1:$1000,MATCH(W$1,'Dados-Status-Invest'!$2:$2,0),FALSE())/100,"")</f>
        <v>-0.0934</v>
      </c>
      <c r="X271" s="10" t="n">
        <f aca="false">IFERROR(VLOOKUP(A271,'Dados-Status-Invest'!$1:$1000,MATCH(X$1,'Dados-Status-Invest'!$2:$2,0),FALSE())/100,"")</f>
        <v>0</v>
      </c>
    </row>
    <row r="272" customFormat="false" ht="15.75" hidden="false" customHeight="false" outlineLevel="0" collapsed="false">
      <c r="A272" s="6" t="s">
        <v>304</v>
      </c>
      <c r="B272" s="7" t="str">
        <f aca="false">IFERROR(VLOOKUP(LEFT(A272,4),Setor!A:D,2,FALSE()),"")</f>
        <v>Materiais Básicos</v>
      </c>
      <c r="C272" s="8" t="n">
        <f aca="false">IFERROR(__xludf.dummyfunction("IFERROR(IFERROR(GOOGLEFINANCE(A278,""price""),VLOOKUP(A278,'Dados-Status-Invest'!A:B,2,FALSE)),"""")"),22.25)</f>
        <v>22.25</v>
      </c>
      <c r="D272" s="8" t="n">
        <f aca="false">IFERROR(VLOOKUP(A272,'Dados-Status-Invest'!$1:$1000,MATCH(D$1,'Dados-Status-Invest'!$2:$2,0),FALSE()),"")</f>
        <v>49358228559</v>
      </c>
      <c r="E272" s="8" t="n">
        <f aca="false">IF(D272+H272&gt;0,D272+H272,"")</f>
        <v>61396820890</v>
      </c>
      <c r="F272" s="8" t="n">
        <f aca="false">IFERROR(D272/VLOOKUP(A272,'Dados-Status-Invest'!$1:$1000,5,FALSE()),"")</f>
        <v>38561116062</v>
      </c>
      <c r="G272" s="8" t="n">
        <f aca="false">IFERROR(D272/VLOOKUP(A272,'Dados-Status-Invest'!$1:$1000,6,FALSE()),"")</f>
        <v>75935736245</v>
      </c>
      <c r="H272" s="8" t="n">
        <f aca="false">IFERROR(VLOOKUP(A272,'Dados-Status-Invest'!$1:$1000,12,FALSE())*J272,"")</f>
        <v>12038592331</v>
      </c>
      <c r="I272" s="8" t="n">
        <f aca="false">IFERROR(D272/VLOOKUP(A272,'Dados-Status-Invest'!$1:$1000,14,FALSE()),"")</f>
        <v>56733596045</v>
      </c>
      <c r="J272" s="9" t="n">
        <f aca="false">IFERROR(D272/VLOOKUP(A272,'Dados-Status-Invest'!$1:$1000,10,FALSE()),"")</f>
        <v>9260455640</v>
      </c>
      <c r="K272" s="10" t="n">
        <f aca="false">IFERROR(VLOOKUP(A272,'Dados-Status-Invest'!$1:$1000,3,FALSE())/100,"")</f>
        <v>0.0319</v>
      </c>
      <c r="L272" s="11" t="n">
        <f aca="false">IFERROR(VLOOKUP(A272,'Dados-Status-Invest'!$1:$1000,MATCH(L$1,'Dados-Status-Invest'!$2:$2,0),FALSE())/100,"")</f>
        <v>0.1336</v>
      </c>
      <c r="M272" s="10" t="n">
        <f aca="false">IFERROR(VLOOKUP(A272,'Dados-Status-Invest'!$1:$1000,MATCH(M$1,'Dados-Status-Invest'!$2:$2,0),FALSE())/100,"")</f>
        <v>0.0676</v>
      </c>
      <c r="N272" s="10" t="n">
        <f aca="false">IFERROR(VLOOKUP(A272,'Dados-Status-Invest'!$1:$1000,MATCH(N$1,'Dados-Status-Invest'!$2:$2,0),FALSE())/100,"")</f>
        <v>0.1215</v>
      </c>
      <c r="O272" s="10" t="n">
        <f aca="false">IFERROR(VLOOKUP(A272,'Dados-Status-Invest'!$1:$1000,MATCH(O$1,'Dados-Status-Invest'!$2:$2,0),FALSE())/100,"")</f>
        <v>0.1742</v>
      </c>
      <c r="P272" s="10" t="n">
        <f aca="false">IFERROR(VLOOKUP(A272,'Dados-Status-Invest'!$1:$1000,MATCH(P$1,'Dados-Status-Invest'!$2:$2,0),FALSE())/100,"")</f>
        <v>0.1626</v>
      </c>
      <c r="Q272" s="10" t="n">
        <f aca="false">IFERROR(VLOOKUP(A272,'Dados-Status-Invest'!$1:$1000,MATCH(Q$1,'Dados-Status-Invest'!$2:$2,0),FALSE())/100,"")</f>
        <v>0.0903</v>
      </c>
      <c r="R272" s="12" t="n">
        <f aca="false">IFERROR(VLOOKUP(A272,'Dados-Status-Invest'!$1:$1000,MATCH(R$1,'Dados-Status-Invest'!$2:$2,0),FALSE()),"")</f>
        <v>9.6</v>
      </c>
      <c r="S272" s="12" t="n">
        <f aca="false">IFERROR(VLOOKUP(A272,'Dados-Status-Invest'!$1:$1000,MATCH(S$1,'Dados-Status-Invest'!$2:$2,0),FALSE()),"")</f>
        <v>1.28</v>
      </c>
      <c r="T272" s="12" t="n">
        <f aca="false">IFERROR(VLOOKUP(A272,'Dados-Status-Invest'!$1:$1000,MATCH(T$1,'Dados-Status-Invest'!$2:$2,0),FALSE()),"")</f>
        <v>7.26</v>
      </c>
      <c r="U272" s="12" t="n">
        <f aca="false">IFERROR(VLOOKUP(A272,'Dados-Status-Invest'!$1:$1000,MATCH(U$1,'Dados-Status-Invest'!$2:$2,0),FALSE()),"")</f>
        <v>2.3</v>
      </c>
      <c r="V272" s="12" t="n">
        <f aca="false">IFERROR(VLOOKUP(A272,'Dados-Status-Invest'!$1:$1000,MATCH(V$1,'Dados-Status-Invest'!$2:$2,0),FALSE()),"")</f>
        <v>1.3</v>
      </c>
      <c r="W272" s="10" t="n">
        <f aca="false">IFERROR(VLOOKUP(A272,'Dados-Status-Invest'!$1:$1000,MATCH(W$1,'Dados-Status-Invest'!$2:$2,0),FALSE())/100,"")</f>
        <v>0.0011</v>
      </c>
      <c r="X272" s="10" t="n">
        <f aca="false">IFERROR(VLOOKUP(A272,'Dados-Status-Invest'!$1:$1000,MATCH(X$1,'Dados-Status-Invest'!$2:$2,0),FALSE())/100,"")</f>
        <v>0</v>
      </c>
    </row>
    <row r="273" customFormat="false" ht="15.75" hidden="false" customHeight="false" outlineLevel="0" collapsed="false">
      <c r="A273" s="6" t="s">
        <v>305</v>
      </c>
      <c r="B273" s="7" t="str">
        <f aca="false">IFERROR(VLOOKUP(LEFT(A273,4),Setor!A:D,2,FALSE()),"")</f>
        <v>Materiais Básicos</v>
      </c>
      <c r="C273" s="8" t="n">
        <f aca="false">IFERROR(__xludf.dummyfunction("IFERROR(IFERROR(GOOGLEFINANCE(A279,""price""),VLOOKUP(A279,'Dados-Status-Invest'!A:B,2,FALSE)),"""")"),28.42)</f>
        <v>28.42</v>
      </c>
      <c r="D273" s="8" t="n">
        <f aca="false">IFERROR(VLOOKUP(A273,'Dados-Status-Invest'!$1:$1000,MATCH(D$1,'Dados-Status-Invest'!$2:$2,0),FALSE()),"")</f>
        <v>49358228559</v>
      </c>
      <c r="E273" s="8" t="n">
        <f aca="false">IF(D273+H273&gt;0,D273+H273,"")</f>
        <v>59707534547</v>
      </c>
      <c r="F273" s="8" t="n">
        <f aca="false">IFERROR(D273/VLOOKUP(A273,'Dados-Status-Invest'!$1:$1000,5,FALSE()),"")</f>
        <v>33126327892</v>
      </c>
      <c r="G273" s="8" t="n">
        <f aca="false">IFERROR(D273/VLOOKUP(A273,'Dados-Status-Invest'!$1:$1000,6,FALSE()),"")</f>
        <v>65810971412</v>
      </c>
      <c r="H273" s="8" t="n">
        <f aca="false">IFERROR(VLOOKUP(A273,'Dados-Status-Invest'!$1:$1000,12,FALSE())*J273,"")</f>
        <v>10349305988</v>
      </c>
      <c r="I273" s="8" t="n">
        <f aca="false">IFERROR(D273/VLOOKUP(A273,'Dados-Status-Invest'!$1:$1000,14,FALSE()),"")</f>
        <v>48869533227</v>
      </c>
      <c r="J273" s="9" t="n">
        <f aca="false">IFERROR(D273/VLOOKUP(A273,'Dados-Status-Invest'!$1:$1000,10,FALSE()),"")</f>
        <v>7961004606</v>
      </c>
      <c r="K273" s="10" t="n">
        <f aca="false">IFERROR(VLOOKUP(A273,'Dados-Status-Invest'!$1:$1000,3,FALSE())/100,"")</f>
        <v>0.0275</v>
      </c>
      <c r="L273" s="11" t="n">
        <f aca="false">IFERROR(VLOOKUP(A273,'Dados-Status-Invest'!$1:$1000,MATCH(L$1,'Dados-Status-Invest'!$2:$2,0),FALSE())/100,"")</f>
        <v>0.1336</v>
      </c>
      <c r="M273" s="10" t="n">
        <f aca="false">IFERROR(VLOOKUP(A273,'Dados-Status-Invest'!$1:$1000,MATCH(M$1,'Dados-Status-Invest'!$2:$2,0),FALSE())/100,"")</f>
        <v>0.0676</v>
      </c>
      <c r="N273" s="10" t="n">
        <f aca="false">IFERROR(VLOOKUP(A273,'Dados-Status-Invest'!$1:$1000,MATCH(N$1,'Dados-Status-Invest'!$2:$2,0),FALSE())/100,"")</f>
        <v>0.1215</v>
      </c>
      <c r="O273" s="10" t="n">
        <f aca="false">IFERROR(VLOOKUP(A273,'Dados-Status-Invest'!$1:$1000,MATCH(O$1,'Dados-Status-Invest'!$2:$2,0),FALSE())/100,"")</f>
        <v>0.1742</v>
      </c>
      <c r="P273" s="10" t="n">
        <f aca="false">IFERROR(VLOOKUP(A273,'Dados-Status-Invest'!$1:$1000,MATCH(P$1,'Dados-Status-Invest'!$2:$2,0),FALSE())/100,"")</f>
        <v>0.1626</v>
      </c>
      <c r="Q273" s="10" t="n">
        <f aca="false">IFERROR(VLOOKUP(A273,'Dados-Status-Invest'!$1:$1000,MATCH(Q$1,'Dados-Status-Invest'!$2:$2,0),FALSE())/100,"")</f>
        <v>0.0903</v>
      </c>
      <c r="R273" s="12" t="n">
        <f aca="false">IFERROR(VLOOKUP(A273,'Dados-Status-Invest'!$1:$1000,MATCH(R$1,'Dados-Status-Invest'!$2:$2,0),FALSE()),"")</f>
        <v>11.15</v>
      </c>
      <c r="S273" s="12" t="n">
        <f aca="false">IFERROR(VLOOKUP(A273,'Dados-Status-Invest'!$1:$1000,MATCH(S$1,'Dados-Status-Invest'!$2:$2,0),FALSE()),"")</f>
        <v>1.49</v>
      </c>
      <c r="T273" s="12" t="n">
        <f aca="false">IFERROR(VLOOKUP(A273,'Dados-Status-Invest'!$1:$1000,MATCH(T$1,'Dados-Status-Invest'!$2:$2,0),FALSE()),"")</f>
        <v>7.26</v>
      </c>
      <c r="U273" s="12" t="n">
        <f aca="false">IFERROR(VLOOKUP(A273,'Dados-Status-Invest'!$1:$1000,MATCH(U$1,'Dados-Status-Invest'!$2:$2,0),FALSE()),"")</f>
        <v>2.3</v>
      </c>
      <c r="V273" s="12" t="n">
        <f aca="false">IFERROR(VLOOKUP(A273,'Dados-Status-Invest'!$1:$1000,MATCH(V$1,'Dados-Status-Invest'!$2:$2,0),FALSE()),"")</f>
        <v>1.3</v>
      </c>
      <c r="W273" s="10" t="n">
        <f aca="false">IFERROR(VLOOKUP(A273,'Dados-Status-Invest'!$1:$1000,MATCH(W$1,'Dados-Status-Invest'!$2:$2,0),FALSE())/100,"")</f>
        <v>0.0011</v>
      </c>
      <c r="X273" s="10" t="n">
        <f aca="false">IFERROR(VLOOKUP(A273,'Dados-Status-Invest'!$1:$1000,MATCH(X$1,'Dados-Status-Invest'!$2:$2,0),FALSE())/100,"")</f>
        <v>0</v>
      </c>
    </row>
    <row r="274" customFormat="false" ht="15.75" hidden="false" customHeight="false" outlineLevel="0" collapsed="false">
      <c r="A274" s="6" t="s">
        <v>306</v>
      </c>
      <c r="B274" s="7" t="s">
        <v>29</v>
      </c>
      <c r="C274" s="8" t="n">
        <f aca="false">IFERROR(__xludf.dummyfunction("IFERROR(IFERROR(GOOGLEFINANCE(A280,""price""),VLOOKUP(A280,'Dados-Status-Invest'!A:B,2,FALSE)),"""")"),13.87)</f>
        <v>13.87</v>
      </c>
      <c r="D274" s="8" t="n">
        <f aca="false">IFERROR(VLOOKUP(A274,'Dados-Status-Invest'!$1:$1000,MATCH(D$1,'Dados-Status-Invest'!$2:$2,0),FALSE()),"")</f>
        <v>11340668522</v>
      </c>
      <c r="E274" s="8" t="n">
        <f aca="false">IF(D274+H274&gt;0,D274+H274,"")</f>
        <v>12042192478.3</v>
      </c>
      <c r="F274" s="8" t="n">
        <f aca="false">IFERROR(D274/VLOOKUP(A274,'Dados-Status-Invest'!$1:$1000,5,FALSE()),"")</f>
        <v>882542297.4</v>
      </c>
      <c r="G274" s="8" t="n">
        <f aca="false">IFERROR(D274/VLOOKUP(A274,'Dados-Status-Invest'!$1:$1000,6,FALSE()),"")</f>
        <v>4500265287</v>
      </c>
      <c r="H274" s="8" t="n">
        <f aca="false">IFERROR(VLOOKUP(A274,'Dados-Status-Invest'!$1:$1000,12,FALSE())*J274,"")</f>
        <v>701523956.3</v>
      </c>
      <c r="I274" s="8" t="n">
        <f aca="false">IFERROR(D274/VLOOKUP(A274,'Dados-Status-Invest'!$1:$1000,14,FALSE()),"")</f>
        <v>2693745492</v>
      </c>
      <c r="J274" s="9" t="n">
        <f aca="false">IFERROR(D274/VLOOKUP(A274,'Dados-Status-Invest'!$1:$1000,10,FALSE()),"")</f>
        <v>190631509.9</v>
      </c>
      <c r="K274" s="10" t="n">
        <f aca="false">IFERROR(VLOOKUP(A274,'Dados-Status-Invest'!$1:$1000,3,FALSE())/100,"")</f>
        <v>0</v>
      </c>
      <c r="L274" s="11" t="n">
        <f aca="false">IFERROR(VLOOKUP(A274,'Dados-Status-Invest'!$1:$1000,MATCH(L$1,'Dados-Status-Invest'!$2:$2,0),FALSE())/100,"")</f>
        <v>0.1319</v>
      </c>
      <c r="M274" s="10" t="n">
        <f aca="false">IFERROR(VLOOKUP(A274,'Dados-Status-Invest'!$1:$1000,MATCH(M$1,'Dados-Status-Invest'!$2:$2,0),FALSE())/100,"")</f>
        <v>0.0258</v>
      </c>
      <c r="N274" s="10" t="n">
        <f aca="false">IFERROR(VLOOKUP(A274,'Dados-Status-Invest'!$1:$1000,MATCH(N$1,'Dados-Status-Invest'!$2:$2,0),FALSE())/100,"")</f>
        <v>0.0653</v>
      </c>
      <c r="O274" s="10" t="n">
        <f aca="false">IFERROR(VLOOKUP(A274,'Dados-Status-Invest'!$1:$1000,MATCH(O$1,'Dados-Status-Invest'!$2:$2,0),FALSE())/100,"")</f>
        <v>0.1571</v>
      </c>
      <c r="P274" s="10" t="n">
        <f aca="false">IFERROR(VLOOKUP(A274,'Dados-Status-Invest'!$1:$1000,MATCH(P$1,'Dados-Status-Invest'!$2:$2,0),FALSE())/100,"")</f>
        <v>0.0708</v>
      </c>
      <c r="Q274" s="10" t="n">
        <f aca="false">IFERROR(VLOOKUP(A274,'Dados-Status-Invest'!$1:$1000,MATCH(Q$1,'Dados-Status-Invest'!$2:$2,0),FALSE())/100,"")</f>
        <v>0.0432</v>
      </c>
      <c r="R274" s="12" t="n">
        <f aca="false">IFERROR(VLOOKUP(A274,'Dados-Status-Invest'!$1:$1000,MATCH(R$1,'Dados-Status-Invest'!$2:$2,0),FALSE()),"")</f>
        <v>97.44</v>
      </c>
      <c r="S274" s="12" t="n">
        <f aca="false">IFERROR(VLOOKUP(A274,'Dados-Status-Invest'!$1:$1000,MATCH(S$1,'Dados-Status-Invest'!$2:$2,0),FALSE()),"")</f>
        <v>12.85</v>
      </c>
      <c r="T274" s="12" t="n">
        <f aca="false">IFERROR(VLOOKUP(A274,'Dados-Status-Invest'!$1:$1000,MATCH(T$1,'Dados-Status-Invest'!$2:$2,0),FALSE()),"")</f>
        <v>63.14</v>
      </c>
      <c r="U274" s="12" t="n">
        <f aca="false">IFERROR(VLOOKUP(A274,'Dados-Status-Invest'!$1:$1000,MATCH(U$1,'Dados-Status-Invest'!$2:$2,0),FALSE()),"")</f>
        <v>1.42</v>
      </c>
      <c r="V274" s="12" t="n">
        <f aca="false">IFERROR(VLOOKUP(A274,'Dados-Status-Invest'!$1:$1000,MATCH(V$1,'Dados-Status-Invest'!$2:$2,0),FALSE()),"")</f>
        <v>3.68</v>
      </c>
      <c r="W274" s="10" t="n">
        <f aca="false">IFERROR(VLOOKUP(A274,'Dados-Status-Invest'!$1:$1000,MATCH(W$1,'Dados-Status-Invest'!$2:$2,0),FALSE())/100,"")</f>
        <v>0</v>
      </c>
      <c r="X274" s="10" t="n">
        <f aca="false">IFERROR(VLOOKUP(A274,'Dados-Status-Invest'!$1:$1000,MATCH(X$1,'Dados-Status-Invest'!$2:$2,0),FALSE())/100,"")</f>
        <v>0</v>
      </c>
    </row>
    <row r="275" customFormat="false" ht="15.75" hidden="false" customHeight="false" outlineLevel="0" collapsed="false">
      <c r="A275" s="6" t="s">
        <v>307</v>
      </c>
      <c r="B275" s="7" t="str">
        <f aca="false">IFERROR(VLOOKUP(LEFT(A275,4),Setor!A:D,2,FALSE()),"")</f>
        <v>Consumo não Cíclico</v>
      </c>
      <c r="C275" s="8" t="n">
        <f aca="false">IFERROR(__xludf.dummyfunction("IFERROR(IFERROR(GOOGLEFINANCE(A281,""price""),VLOOKUP(A281,'Dados-Status-Invest'!A:B,2,FALSE)),"""")"),4.57)</f>
        <v>4.57</v>
      </c>
      <c r="D275" s="8" t="n">
        <f aca="false">IFERROR(VLOOKUP(A275,'Dados-Status-Invest'!$1:$1000,MATCH(D$1,'Dados-Status-Invest'!$2:$2,0),FALSE()),"")</f>
        <v>17188712495</v>
      </c>
      <c r="E275" s="8" t="n">
        <f aca="false">IF(D275+H275&gt;0,D275+H275,"")</f>
        <v>16553438010</v>
      </c>
      <c r="F275" s="8" t="n">
        <f aca="false">IFERROR(D275/VLOOKUP(A275,'Dados-Status-Invest'!$1:$1000,5,FALSE()),"")</f>
        <v>5806997464</v>
      </c>
      <c r="G275" s="8" t="n">
        <f aca="false">IFERROR(D275/VLOOKUP(A275,'Dados-Status-Invest'!$1:$1000,6,FALSE()),"")</f>
        <v>8185101188</v>
      </c>
      <c r="H275" s="8" t="n">
        <f aca="false">IFERROR(VLOOKUP(A275,'Dados-Status-Invest'!$1:$1000,12,FALSE())*J275,"")</f>
        <v>-635274485</v>
      </c>
      <c r="I275" s="8" t="n">
        <f aca="false">IFERROR(D275/VLOOKUP(A275,'Dados-Status-Invest'!$1:$1000,14,FALSE()),"")</f>
        <v>13324583329</v>
      </c>
      <c r="J275" s="9" t="n">
        <f aca="false">IFERROR(D275/VLOOKUP(A275,'Dados-Status-Invest'!$1:$1000,10,FALSE()),"")</f>
        <v>907534978.6</v>
      </c>
      <c r="K275" s="10" t="n">
        <f aca="false">IFERROR(VLOOKUP(A275,'Dados-Status-Invest'!$1:$1000,3,FALSE())/100,"")</f>
        <v>0</v>
      </c>
      <c r="L275" s="11" t="n">
        <f aca="false">IFERROR(VLOOKUP(A275,'Dados-Status-Invest'!$1:$1000,MATCH(L$1,'Dados-Status-Invest'!$2:$2,0),FALSE())/100,"")</f>
        <v>0.1334</v>
      </c>
      <c r="M275" s="10" t="n">
        <f aca="false">IFERROR(VLOOKUP(A275,'Dados-Status-Invest'!$1:$1000,MATCH(M$1,'Dados-Status-Invest'!$2:$2,0),FALSE())/100,"")</f>
        <v>0.0945</v>
      </c>
      <c r="N275" s="10" t="n">
        <f aca="false">IFERROR(VLOOKUP(A275,'Dados-Status-Invest'!$1:$1000,MATCH(N$1,'Dados-Status-Invest'!$2:$2,0),FALSE())/100,"")</f>
        <v>0.1289</v>
      </c>
      <c r="O275" s="10" t="n">
        <f aca="false">IFERROR(VLOOKUP(A275,'Dados-Status-Invest'!$1:$1000,MATCH(O$1,'Dados-Status-Invest'!$2:$2,0),FALSE())/100,"")</f>
        <v>0.2402</v>
      </c>
      <c r="P275" s="10" t="n">
        <f aca="false">IFERROR(VLOOKUP(A275,'Dados-Status-Invest'!$1:$1000,MATCH(P$1,'Dados-Status-Invest'!$2:$2,0),FALSE())/100,"")</f>
        <v>0.068</v>
      </c>
      <c r="Q275" s="10" t="n">
        <f aca="false">IFERROR(VLOOKUP(A275,'Dados-Status-Invest'!$1:$1000,MATCH(Q$1,'Dados-Status-Invest'!$2:$2,0),FALSE())/100,"")</f>
        <v>0.0579</v>
      </c>
      <c r="R275" s="12" t="n">
        <f aca="false">IFERROR(VLOOKUP(A275,'Dados-Status-Invest'!$1:$1000,MATCH(R$1,'Dados-Status-Invest'!$2:$2,0),FALSE()),"")</f>
        <v>22.22</v>
      </c>
      <c r="S275" s="12" t="n">
        <f aca="false">IFERROR(VLOOKUP(A275,'Dados-Status-Invest'!$1:$1000,MATCH(S$1,'Dados-Status-Invest'!$2:$2,0),FALSE()),"")</f>
        <v>2.96</v>
      </c>
      <c r="T275" s="12" t="n">
        <f aca="false">IFERROR(VLOOKUP(A275,'Dados-Status-Invest'!$1:$1000,MATCH(T$1,'Dados-Status-Invest'!$2:$2,0),FALSE()),"")</f>
        <v>18.24</v>
      </c>
      <c r="U275" s="12" t="n">
        <f aca="false">IFERROR(VLOOKUP(A275,'Dados-Status-Invest'!$1:$1000,MATCH(U$1,'Dados-Status-Invest'!$2:$2,0),FALSE()),"")</f>
        <v>4.96</v>
      </c>
      <c r="V275" s="12" t="n">
        <f aca="false">IFERROR(VLOOKUP(A275,'Dados-Status-Invest'!$1:$1000,MATCH(V$1,'Dados-Status-Invest'!$2:$2,0),FALSE()),"")</f>
        <v>-0.7</v>
      </c>
      <c r="W275" s="10" t="n">
        <f aca="false">IFERROR(VLOOKUP(A275,'Dados-Status-Invest'!$1:$1000,MATCH(W$1,'Dados-Status-Invest'!$2:$2,0),FALSE())/100,"")</f>
        <v>0</v>
      </c>
      <c r="X275" s="10" t="n">
        <f aca="false">IFERROR(VLOOKUP(A275,'Dados-Status-Invest'!$1:$1000,MATCH(X$1,'Dados-Status-Invest'!$2:$2,0),FALSE())/100,"")</f>
        <v>0</v>
      </c>
    </row>
    <row r="276" customFormat="false" ht="15.75" hidden="false" customHeight="false" outlineLevel="0" collapsed="false">
      <c r="A276" s="6" t="s">
        <v>308</v>
      </c>
      <c r="B276" s="7" t="str">
        <f aca="false">IFERROR(VLOOKUP(LEFT(A276,4),Setor!A:D,2,FALSE()),"")</f>
        <v>Saúde</v>
      </c>
      <c r="C276" s="8" t="n">
        <f aca="false">IFERROR(__xludf.dummyfunction("IFERROR(IFERROR(GOOGLEFINANCE(A282,""price""),VLOOKUP(A282,'Dados-Status-Invest'!A:B,2,FALSE)),"""")"),84.38)</f>
        <v>84.38</v>
      </c>
      <c r="D276" s="8" t="n">
        <f aca="false">IFERROR(VLOOKUP(A276,'Dados-Status-Invest'!$1:$1000,MATCH(D$1,'Dados-Status-Invest'!$2:$2,0),FALSE()),"")</f>
        <v>51852606464</v>
      </c>
      <c r="E276" s="8" t="n">
        <f aca="false">IF(D276+H276&gt;0,D276+H276,"")</f>
        <v>52208828749.7</v>
      </c>
      <c r="F276" s="8" t="n">
        <f aca="false">IFERROR(D276/VLOOKUP(A276,'Dados-Status-Invest'!$1:$1000,5,FALSE()),"")</f>
        <v>7074025438</v>
      </c>
      <c r="G276" s="8" t="n">
        <f aca="false">IFERROR(D276/VLOOKUP(A276,'Dados-Status-Invest'!$1:$1000,6,FALSE()),"")</f>
        <v>16566327944</v>
      </c>
      <c r="H276" s="8" t="n">
        <f aca="false">IFERROR(VLOOKUP(A276,'Dados-Status-Invest'!$1:$1000,12,FALSE())*J276,"")</f>
        <v>356222285.7</v>
      </c>
      <c r="I276" s="8" t="n">
        <f aca="false">IFERROR(D276/VLOOKUP(A276,'Dados-Status-Invest'!$1:$1000,14,FALSE()),"")</f>
        <v>11009045958</v>
      </c>
      <c r="J276" s="9" t="n">
        <f aca="false">IFERROR(D276/VLOOKUP(A276,'Dados-Status-Invest'!$1:$1000,10,FALSE()),"")</f>
        <v>1113194643</v>
      </c>
      <c r="K276" s="10" t="n">
        <f aca="false">IFERROR(VLOOKUP(A276,'Dados-Status-Invest'!$1:$1000,3,FALSE())/100,"")</f>
        <v>0.0034</v>
      </c>
      <c r="L276" s="11" t="n">
        <f aca="false">IFERROR(VLOOKUP(A276,'Dados-Status-Invest'!$1:$1000,MATCH(L$1,'Dados-Status-Invest'!$2:$2,0),FALSE())/100,"")</f>
        <v>0.0773</v>
      </c>
      <c r="M276" s="10" t="n">
        <f aca="false">IFERROR(VLOOKUP(A276,'Dados-Status-Invest'!$1:$1000,MATCH(M$1,'Dados-Status-Invest'!$2:$2,0),FALSE())/100,"")</f>
        <v>0.033</v>
      </c>
      <c r="N276" s="10" t="n">
        <f aca="false">IFERROR(VLOOKUP(A276,'Dados-Status-Invest'!$1:$1000,MATCH(N$1,'Dados-Status-Invest'!$2:$2,0),FALSE())/100,"")</f>
        <v>0.0669</v>
      </c>
      <c r="O276" s="10" t="n">
        <f aca="false">IFERROR(VLOOKUP(A276,'Dados-Status-Invest'!$1:$1000,MATCH(O$1,'Dados-Status-Invest'!$2:$2,0),FALSE())/100,"")</f>
        <v>0.2648</v>
      </c>
      <c r="P276" s="10" t="n">
        <f aca="false">IFERROR(VLOOKUP(A276,'Dados-Status-Invest'!$1:$1000,MATCH(P$1,'Dados-Status-Invest'!$2:$2,0),FALSE())/100,"")</f>
        <v>0.1012</v>
      </c>
      <c r="Q276" s="10" t="n">
        <f aca="false">IFERROR(VLOOKUP(A276,'Dados-Status-Invest'!$1:$1000,MATCH(Q$1,'Dados-Status-Invest'!$2:$2,0),FALSE())/100,"")</f>
        <v>0.0497</v>
      </c>
      <c r="R276" s="12" t="n">
        <f aca="false">IFERROR(VLOOKUP(A276,'Dados-Status-Invest'!$1:$1000,MATCH(R$1,'Dados-Status-Invest'!$2:$2,0),FALSE()),"")</f>
        <v>94.81</v>
      </c>
      <c r="S276" s="12" t="n">
        <f aca="false">IFERROR(VLOOKUP(A276,'Dados-Status-Invest'!$1:$1000,MATCH(S$1,'Dados-Status-Invest'!$2:$2,0),FALSE()),"")</f>
        <v>7.33</v>
      </c>
      <c r="T276" s="12" t="n">
        <f aca="false">IFERROR(VLOOKUP(A276,'Dados-Status-Invest'!$1:$1000,MATCH(T$1,'Dados-Status-Invest'!$2:$2,0),FALSE()),"")</f>
        <v>46.83</v>
      </c>
      <c r="U276" s="12" t="n">
        <f aca="false">IFERROR(VLOOKUP(A276,'Dados-Status-Invest'!$1:$1000,MATCH(U$1,'Dados-Status-Invest'!$2:$2,0),FALSE()),"")</f>
        <v>1.63</v>
      </c>
      <c r="V276" s="12" t="n">
        <f aca="false">IFERROR(VLOOKUP(A276,'Dados-Status-Invest'!$1:$1000,MATCH(V$1,'Dados-Status-Invest'!$2:$2,0),FALSE()),"")</f>
        <v>0.32</v>
      </c>
      <c r="W276" s="10" t="n">
        <f aca="false">IFERROR(VLOOKUP(A276,'Dados-Status-Invest'!$1:$1000,MATCH(W$1,'Dados-Status-Invest'!$2:$2,0),FALSE())/100,"")</f>
        <v>0.2903</v>
      </c>
      <c r="X276" s="10" t="n">
        <f aca="false">IFERROR(VLOOKUP(A276,'Dados-Status-Invest'!$1:$1000,MATCH(X$1,'Dados-Status-Invest'!$2:$2,0),FALSE())/100,"")</f>
        <v>0.6602</v>
      </c>
    </row>
    <row r="277" customFormat="false" ht="15.75" hidden="false" customHeight="false" outlineLevel="0" collapsed="false">
      <c r="A277" s="6" t="s">
        <v>309</v>
      </c>
      <c r="B277" s="7" t="str">
        <f aca="false">IFERROR(VLOOKUP(LEFT(A277,4),Setor!A:D,2,FALSE()),"")</f>
        <v>Materiais Básicos</v>
      </c>
      <c r="C277" s="8" t="n">
        <f aca="false">IFERROR(__xludf.dummyfunction("IFERROR(IFERROR(GOOGLEFINANCE(A283,""price""),VLOOKUP(A283,'Dados-Status-Invest'!A:B,2,FALSE)),"""")"),10.75)</f>
        <v>10.75</v>
      </c>
      <c r="D277" s="8" t="n">
        <f aca="false">IFERROR(VLOOKUP(A277,'Dados-Status-Invest'!$1:$1000,MATCH(D$1,'Dados-Status-Invest'!$2:$2,0),FALSE()),"")</f>
        <v>14801526975</v>
      </c>
      <c r="E277" s="8" t="n">
        <f aca="false">IF(D277+H277&gt;0,D277+H277,"")</f>
        <v>24466053412</v>
      </c>
      <c r="F277" s="8" t="n">
        <f aca="false">IFERROR(D277/VLOOKUP(A277,'Dados-Status-Invest'!$1:$1000,5,FALSE()),"")</f>
        <v>13579382546</v>
      </c>
      <c r="G277" s="8" t="n">
        <f aca="false">IFERROR(D277/VLOOKUP(A277,'Dados-Status-Invest'!$1:$1000,6,FALSE()),"")</f>
        <v>74007634874</v>
      </c>
      <c r="H277" s="8" t="n">
        <f aca="false">IFERROR(VLOOKUP(A277,'Dados-Status-Invest'!$1:$1000,12,FALSE())*J277,"")</f>
        <v>9664526437</v>
      </c>
      <c r="I277" s="8" t="n">
        <f aca="false">IFERROR(D277/VLOOKUP(A277,'Dados-Status-Invest'!$1:$1000,14,FALSE()),"")</f>
        <v>52862596339</v>
      </c>
      <c r="J277" s="9" t="n">
        <f aca="false">IFERROR(D277/VLOOKUP(A277,'Dados-Status-Invest'!$1:$1000,10,FALSE()),"")</f>
        <v>8706780573</v>
      </c>
      <c r="K277" s="10" t="n">
        <f aca="false">IFERROR(VLOOKUP(A277,'Dados-Status-Invest'!$1:$1000,3,FALSE())/100,"")</f>
        <v>0.0348</v>
      </c>
      <c r="L277" s="11" t="n">
        <f aca="false">IFERROR(VLOOKUP(A277,'Dados-Status-Invest'!$1:$1000,MATCH(L$1,'Dados-Status-Invest'!$2:$2,0),FALSE())/100,"")</f>
        <v>0.1241</v>
      </c>
      <c r="M277" s="10" t="n">
        <f aca="false">IFERROR(VLOOKUP(A277,'Dados-Status-Invest'!$1:$1000,MATCH(M$1,'Dados-Status-Invest'!$2:$2,0),FALSE())/100,"")</f>
        <v>0.0229</v>
      </c>
      <c r="N277" s="10" t="n">
        <f aca="false">IFERROR(VLOOKUP(A277,'Dados-Status-Invest'!$1:$1000,MATCH(N$1,'Dados-Status-Invest'!$2:$2,0),FALSE())/100,"")</f>
        <v>0.1177</v>
      </c>
      <c r="O277" s="10" t="n">
        <f aca="false">IFERROR(VLOOKUP(A277,'Dados-Status-Invest'!$1:$1000,MATCH(O$1,'Dados-Status-Invest'!$2:$2,0),FALSE())/100,"")</f>
        <v>0.1742</v>
      </c>
      <c r="P277" s="10" t="n">
        <f aca="false">IFERROR(VLOOKUP(A277,'Dados-Status-Invest'!$1:$1000,MATCH(P$1,'Dados-Status-Invest'!$2:$2,0),FALSE())/100,"")</f>
        <v>0.1623</v>
      </c>
      <c r="Q277" s="10" t="n">
        <f aca="false">IFERROR(VLOOKUP(A277,'Dados-Status-Invest'!$1:$1000,MATCH(Q$1,'Dados-Status-Invest'!$2:$2,0),FALSE())/100,"")</f>
        <v>0.0313</v>
      </c>
      <c r="R277" s="12" t="n">
        <f aca="false">IFERROR(VLOOKUP(A277,'Dados-Status-Invest'!$1:$1000,MATCH(R$1,'Dados-Status-Invest'!$2:$2,0),FALSE()),"")</f>
        <v>8.81</v>
      </c>
      <c r="S277" s="12" t="n">
        <f aca="false">IFERROR(VLOOKUP(A277,'Dados-Status-Invest'!$1:$1000,MATCH(S$1,'Dados-Status-Invest'!$2:$2,0),FALSE()),"")</f>
        <v>1.09</v>
      </c>
      <c r="T277" s="12" t="n">
        <f aca="false">IFERROR(VLOOKUP(A277,'Dados-Status-Invest'!$1:$1000,MATCH(T$1,'Dados-Status-Invest'!$2:$2,0),FALSE()),"")</f>
        <v>2.91</v>
      </c>
      <c r="U277" s="12" t="n">
        <f aca="false">IFERROR(VLOOKUP(A277,'Dados-Status-Invest'!$1:$1000,MATCH(U$1,'Dados-Status-Invest'!$2:$2,0),FALSE()),"")</f>
        <v>2.44</v>
      </c>
      <c r="V277" s="12" t="n">
        <f aca="false">IFERROR(VLOOKUP(A277,'Dados-Status-Invest'!$1:$1000,MATCH(V$1,'Dados-Status-Invest'!$2:$2,0),FALSE()),"")</f>
        <v>1.11</v>
      </c>
      <c r="W277" s="10" t="n">
        <f aca="false">IFERROR(VLOOKUP(A277,'Dados-Status-Invest'!$1:$1000,MATCH(W$1,'Dados-Status-Invest'!$2:$2,0),FALSE())/100,"")</f>
        <v>0.0011</v>
      </c>
      <c r="X277" s="10" t="n">
        <f aca="false">IFERROR(VLOOKUP(A277,'Dados-Status-Invest'!$1:$1000,MATCH(X$1,'Dados-Status-Invest'!$2:$2,0),FALSE())/100,"")</f>
        <v>0</v>
      </c>
    </row>
    <row r="278" customFormat="false" ht="15.75" hidden="false" customHeight="false" outlineLevel="0" collapsed="false">
      <c r="A278" s="6" t="s">
        <v>310</v>
      </c>
      <c r="B278" s="7" t="str">
        <f aca="false">IFERROR(VLOOKUP(LEFT(A278,4),Setor!A:D,2,FALSE()),"")</f>
        <v>Materiais Básicos</v>
      </c>
      <c r="C278" s="8" t="n">
        <f aca="false">IFERROR(__xludf.dummyfunction("IFERROR(IFERROR(GOOGLEFINANCE(A284,""price""),VLOOKUP(A284,'Dados-Status-Invest'!A:B,2,FALSE)),"""")"),11.92)</f>
        <v>11.92</v>
      </c>
      <c r="D278" s="8" t="n">
        <f aca="false">IFERROR(VLOOKUP(A278,'Dados-Status-Invest'!$1:$1000,MATCH(D$1,'Dados-Status-Invest'!$2:$2,0),FALSE()),"")</f>
        <v>14801526975</v>
      </c>
      <c r="E278" s="8" t="n">
        <f aca="false">IF(D278+H278&gt;0,D278+H278,"")</f>
        <v>23779502353</v>
      </c>
      <c r="F278" s="8" t="n">
        <f aca="false">IFERROR(D278/VLOOKUP(A278,'Dados-Status-Invest'!$1:$1000,5,FALSE()),"")</f>
        <v>12650877756</v>
      </c>
      <c r="G278" s="8" t="n">
        <f aca="false">IFERROR(D278/VLOOKUP(A278,'Dados-Status-Invest'!$1:$1000,6,FALSE()),"")</f>
        <v>67279668068</v>
      </c>
      <c r="H278" s="8" t="n">
        <f aca="false">IFERROR(VLOOKUP(A278,'Dados-Status-Invest'!$1:$1000,12,FALSE())*J278,"")</f>
        <v>8977975378</v>
      </c>
      <c r="I278" s="8" t="n">
        <f aca="false">IFERROR(D278/VLOOKUP(A278,'Dados-Status-Invest'!$1:$1000,14,FALSE()),"")</f>
        <v>49338423250</v>
      </c>
      <c r="J278" s="9" t="n">
        <f aca="false">IFERROR(D278/VLOOKUP(A278,'Dados-Status-Invest'!$1:$1000,10,FALSE()),"")</f>
        <v>8088266106</v>
      </c>
      <c r="K278" s="10" t="n">
        <f aca="false">IFERROR(VLOOKUP(A278,'Dados-Status-Invest'!$1:$1000,3,FALSE())/100,"")</f>
        <v>0.0324</v>
      </c>
      <c r="L278" s="11" t="n">
        <f aca="false">IFERROR(VLOOKUP(A278,'Dados-Status-Invest'!$1:$1000,MATCH(L$1,'Dados-Status-Invest'!$2:$2,0),FALSE())/100,"")</f>
        <v>0.1241</v>
      </c>
      <c r="M278" s="10" t="n">
        <f aca="false">IFERROR(VLOOKUP(A278,'Dados-Status-Invest'!$1:$1000,MATCH(M$1,'Dados-Status-Invest'!$2:$2,0),FALSE())/100,"")</f>
        <v>0.0229</v>
      </c>
      <c r="N278" s="10" t="n">
        <f aca="false">IFERROR(VLOOKUP(A278,'Dados-Status-Invest'!$1:$1000,MATCH(N$1,'Dados-Status-Invest'!$2:$2,0),FALSE())/100,"")</f>
        <v>0.1177</v>
      </c>
      <c r="O278" s="10" t="n">
        <f aca="false">IFERROR(VLOOKUP(A278,'Dados-Status-Invest'!$1:$1000,MATCH(O$1,'Dados-Status-Invest'!$2:$2,0),FALSE())/100,"")</f>
        <v>0.1742</v>
      </c>
      <c r="P278" s="10" t="n">
        <f aca="false">IFERROR(VLOOKUP(A278,'Dados-Status-Invest'!$1:$1000,MATCH(P$1,'Dados-Status-Invest'!$2:$2,0),FALSE())/100,"")</f>
        <v>0.1623</v>
      </c>
      <c r="Q278" s="10" t="n">
        <f aca="false">IFERROR(VLOOKUP(A278,'Dados-Status-Invest'!$1:$1000,MATCH(Q$1,'Dados-Status-Invest'!$2:$2,0),FALSE())/100,"")</f>
        <v>0.0313</v>
      </c>
      <c r="R278" s="12" t="n">
        <f aca="false">IFERROR(VLOOKUP(A278,'Dados-Status-Invest'!$1:$1000,MATCH(R$1,'Dados-Status-Invest'!$2:$2,0),FALSE()),"")</f>
        <v>9.46</v>
      </c>
      <c r="S278" s="12" t="n">
        <f aca="false">IFERROR(VLOOKUP(A278,'Dados-Status-Invest'!$1:$1000,MATCH(S$1,'Dados-Status-Invest'!$2:$2,0),FALSE()),"")</f>
        <v>1.17</v>
      </c>
      <c r="T278" s="12" t="n">
        <f aca="false">IFERROR(VLOOKUP(A278,'Dados-Status-Invest'!$1:$1000,MATCH(T$1,'Dados-Status-Invest'!$2:$2,0),FALSE()),"")</f>
        <v>2.91</v>
      </c>
      <c r="U278" s="12" t="n">
        <f aca="false">IFERROR(VLOOKUP(A278,'Dados-Status-Invest'!$1:$1000,MATCH(U$1,'Dados-Status-Invest'!$2:$2,0),FALSE()),"")</f>
        <v>2.44</v>
      </c>
      <c r="V278" s="12" t="n">
        <f aca="false">IFERROR(VLOOKUP(A278,'Dados-Status-Invest'!$1:$1000,MATCH(V$1,'Dados-Status-Invest'!$2:$2,0),FALSE()),"")</f>
        <v>1.11</v>
      </c>
      <c r="W278" s="10" t="n">
        <f aca="false">IFERROR(VLOOKUP(A278,'Dados-Status-Invest'!$1:$1000,MATCH(W$1,'Dados-Status-Invest'!$2:$2,0),FALSE())/100,"")</f>
        <v>0.0011</v>
      </c>
      <c r="X278" s="10" t="n">
        <f aca="false">IFERROR(VLOOKUP(A278,'Dados-Status-Invest'!$1:$1000,MATCH(X$1,'Dados-Status-Invest'!$2:$2,0),FALSE())/100,"")</f>
        <v>0</v>
      </c>
    </row>
    <row r="279" customFormat="false" ht="15.75" hidden="false" customHeight="false" outlineLevel="0" collapsed="false">
      <c r="A279" s="6" t="s">
        <v>311</v>
      </c>
      <c r="B279" s="7" t="str">
        <f aca="false">IFERROR(VLOOKUP(LEFT(A279,4),Setor!A:D,2,FALSE()),"")</f>
        <v>Bens Industriais</v>
      </c>
      <c r="C279" s="8" t="n">
        <f aca="false">IFERROR(__xludf.dummyfunction("IFERROR(IFERROR(GOOGLEFINANCE(A285,""price""),VLOOKUP(A285,'Dados-Status-Invest'!A:B,2,FALSE)),"""")"),15.05)</f>
        <v>15.05</v>
      </c>
      <c r="D279" s="8" t="n">
        <f aca="false">IFERROR(VLOOKUP(A279,'Dados-Status-Invest'!$1:$1000,MATCH(D$1,'Dados-Status-Invest'!$2:$2,0),FALSE()),"")</f>
        <v>73466383198</v>
      </c>
      <c r="E279" s="8" t="n">
        <f aca="false">IF(D279+H279&gt;0,D279+H279,"")</f>
        <v>82908146247</v>
      </c>
      <c r="F279" s="8" t="n">
        <f aca="false">IFERROR(D279/VLOOKUP(A279,'Dados-Status-Invest'!$1:$1000,5,FALSE()),"")</f>
        <v>-16773146849</v>
      </c>
      <c r="G279" s="8" t="n">
        <f aca="false">IFERROR(D279/VLOOKUP(A279,'Dados-Status-Invest'!$1:$1000,6,FALSE()),"")</f>
        <v>11849416645</v>
      </c>
      <c r="H279" s="8" t="n">
        <f aca="false">IFERROR(VLOOKUP(A279,'Dados-Status-Invest'!$1:$1000,12,FALSE())*J279,"")</f>
        <v>9441763049</v>
      </c>
      <c r="I279" s="8" t="n">
        <f aca="false">IFERROR(D279/VLOOKUP(A279,'Dados-Status-Invest'!$1:$1000,14,FALSE()),"")</f>
        <v>4773644132</v>
      </c>
      <c r="J279" s="9" t="n">
        <f aca="false">IFERROR(D279/VLOOKUP(A279,'Dados-Status-Invest'!$1:$1000,10,FALSE()),"")</f>
        <v>-2491230356</v>
      </c>
      <c r="K279" s="10" t="n">
        <f aca="false">IFERROR(VLOOKUP(A279,'Dados-Status-Invest'!$1:$1000,3,FALSE())/100,"")</f>
        <v>0</v>
      </c>
      <c r="L279" s="11" t="n">
        <f aca="false">IFERROR(VLOOKUP(A279,'Dados-Status-Invest'!$1:$1000,MATCH(L$1,'Dados-Status-Invest'!$2:$2,0),FALSE())/100,"")</f>
        <v>-0.37</v>
      </c>
      <c r="M279" s="10" t="n">
        <f aca="false">IFERROR(VLOOKUP(A279,'Dados-Status-Invest'!$1:$1000,MATCH(M$1,'Dados-Status-Invest'!$2:$2,0),FALSE())/100,"")</f>
        <v>-0.5239</v>
      </c>
      <c r="N279" s="10" t="n">
        <f aca="false">IFERROR(VLOOKUP(A279,'Dados-Status-Invest'!$1:$1000,MATCH(N$1,'Dados-Status-Invest'!$2:$2,0),FALSE())/100,"")</f>
        <v>0.4258</v>
      </c>
      <c r="O279" s="10" t="n">
        <f aca="false">IFERROR(VLOOKUP(A279,'Dados-Status-Invest'!$1:$1000,MATCH(O$1,'Dados-Status-Invest'!$2:$2,0),FALSE())/100,"")</f>
        <v>0.0173</v>
      </c>
      <c r="P279" s="10" t="n">
        <f aca="false">IFERROR(VLOOKUP(A279,'Dados-Status-Invest'!$1:$1000,MATCH(P$1,'Dados-Status-Invest'!$2:$2,0),FALSE())/100,"")</f>
        <v>-0.5217</v>
      </c>
      <c r="Q279" s="10" t="n">
        <f aca="false">IFERROR(VLOOKUP(A279,'Dados-Status-Invest'!$1:$1000,MATCH(Q$1,'Dados-Status-Invest'!$2:$2,0),FALSE())/100,"")</f>
        <v>-1.2998</v>
      </c>
      <c r="R279" s="12" t="n">
        <f aca="false">IFERROR(VLOOKUP(A279,'Dados-Status-Invest'!$1:$1000,MATCH(R$1,'Dados-Status-Invest'!$2:$2,0),FALSE()),"")</f>
        <v>-11.84</v>
      </c>
      <c r="S279" s="12" t="n">
        <f aca="false">IFERROR(VLOOKUP(A279,'Dados-Status-Invest'!$1:$1000,MATCH(S$1,'Dados-Status-Invest'!$2:$2,0),FALSE()),"")</f>
        <v>-4.38</v>
      </c>
      <c r="T279" s="12" t="n">
        <f aca="false">IFERROR(VLOOKUP(A279,'Dados-Status-Invest'!$1:$1000,MATCH(T$1,'Dados-Status-Invest'!$2:$2,0),FALSE()),"")</f>
        <v>-33.18</v>
      </c>
      <c r="U279" s="12" t="n">
        <f aca="false">IFERROR(VLOOKUP(A279,'Dados-Status-Invest'!$1:$1000,MATCH(U$1,'Dados-Status-Invest'!$2:$2,0),FALSE()),"")</f>
        <v>0.24</v>
      </c>
      <c r="V279" s="12" t="n">
        <f aca="false">IFERROR(VLOOKUP(A279,'Dados-Status-Invest'!$1:$1000,MATCH(V$1,'Dados-Status-Invest'!$2:$2,0),FALSE()),"")</f>
        <v>-3.79</v>
      </c>
      <c r="W279" s="10" t="n">
        <f aca="false">IFERROR(VLOOKUP(A279,'Dados-Status-Invest'!$1:$1000,MATCH(W$1,'Dados-Status-Invest'!$2:$2,0),FALSE())/100,"")</f>
        <v>-0.0821</v>
      </c>
      <c r="X279" s="10" t="n">
        <f aca="false">IFERROR(VLOOKUP(A279,'Dados-Status-Invest'!$1:$1000,MATCH(X$1,'Dados-Status-Invest'!$2:$2,0),FALSE())/100,"")</f>
        <v>0</v>
      </c>
    </row>
    <row r="280" customFormat="false" ht="15.75" hidden="false" customHeight="false" outlineLevel="0" collapsed="false">
      <c r="A280" s="6" t="s">
        <v>312</v>
      </c>
      <c r="B280" s="7" t="str">
        <f aca="false">IFERROR(VLOOKUP(LEFT(A280,4),Setor!A:D,2,FALSE()),"")</f>
        <v>Utilidade Pública</v>
      </c>
      <c r="C280" s="8" t="n">
        <f aca="false">IFERROR(__xludf.dummyfunction("IFERROR(IFERROR(GOOGLEFINANCE(A286,""price""),VLOOKUP(A286,'Dados-Status-Invest'!A:B,2,FALSE)),"""")"),29.5)</f>
        <v>29.5</v>
      </c>
      <c r="D280" s="8" t="n">
        <f aca="false">IFERROR(VLOOKUP(A280,'Dados-Status-Invest'!$1:$1000,MATCH(D$1,'Dados-Status-Invest'!$2:$2,0),FALSE()),"")</f>
        <v>3428851008</v>
      </c>
      <c r="E280" s="8" t="n">
        <f aca="false">IF(D280+H280&gt;0,D280+H280,"")</f>
        <v>3428851008</v>
      </c>
      <c r="F280" s="8" t="n">
        <f aca="false">IFERROR(D280/VLOOKUP(A280,'Dados-Status-Invest'!$1:$1000,5,FALSE()),"")</f>
        <v>1497314851</v>
      </c>
      <c r="G280" s="8" t="n">
        <f aca="false">IFERROR(D280/VLOOKUP(A280,'Dados-Status-Invest'!$1:$1000,6,FALSE()),"")</f>
        <v>2078091520</v>
      </c>
      <c r="H280" s="8" t="n">
        <f aca="false">IFERROR(VLOOKUP(A280,'Dados-Status-Invest'!$1:$1000,12,FALSE())*J280,"")</f>
        <v>0</v>
      </c>
      <c r="I280" s="8" t="n">
        <f aca="false">IFERROR(D280/VLOOKUP(A280,'Dados-Status-Invest'!$1:$1000,14,FALSE()),"")</f>
        <v>227377387.8</v>
      </c>
      <c r="J280" s="9" t="n">
        <f aca="false">IFERROR(D280/VLOOKUP(A280,'Dados-Status-Invest'!$1:$1000,10,FALSE()),"")</f>
        <v>249734232.2</v>
      </c>
      <c r="K280" s="10" t="n">
        <f aca="false">IFERROR(VLOOKUP(A280,'Dados-Status-Invest'!$1:$1000,3,FALSE())/100,"")</f>
        <v>0.0115</v>
      </c>
      <c r="L280" s="11" t="n">
        <f aca="false">IFERROR(VLOOKUP(A280,'Dados-Status-Invest'!$1:$1000,MATCH(L$1,'Dados-Status-Invest'!$2:$2,0),FALSE())/100,"")</f>
        <v>0.1148</v>
      </c>
      <c r="M280" s="10" t="n">
        <f aca="false">IFERROR(VLOOKUP(A280,'Dados-Status-Invest'!$1:$1000,MATCH(M$1,'Dados-Status-Invest'!$2:$2,0),FALSE())/100,"")</f>
        <v>0.083</v>
      </c>
      <c r="N280" s="10" t="n">
        <f aca="false">IFERROR(VLOOKUP(A280,'Dados-Status-Invest'!$1:$1000,MATCH(N$1,'Dados-Status-Invest'!$2:$2,0),FALSE())/100,"")</f>
        <v>0</v>
      </c>
      <c r="O280" s="10" t="n">
        <f aca="false">IFERROR(VLOOKUP(A280,'Dados-Status-Invest'!$1:$1000,MATCH(O$1,'Dados-Status-Invest'!$2:$2,0),FALSE())/100,"")</f>
        <v>0.7174</v>
      </c>
      <c r="P280" s="10" t="n">
        <f aca="false">IFERROR(VLOOKUP(A280,'Dados-Status-Invest'!$1:$1000,MATCH(P$1,'Dados-Status-Invest'!$2:$2,0),FALSE())/100,"")</f>
        <v>1.0984</v>
      </c>
      <c r="Q280" s="10" t="n">
        <f aca="false">IFERROR(VLOOKUP(A280,'Dados-Status-Invest'!$1:$1000,MATCH(Q$1,'Dados-Status-Invest'!$2:$2,0),FALSE())/100,"")</f>
        <v>0.7569</v>
      </c>
      <c r="R280" s="12" t="n">
        <f aca="false">IFERROR(VLOOKUP(A280,'Dados-Status-Invest'!$1:$1000,MATCH(R$1,'Dados-Status-Invest'!$2:$2,0),FALSE()),"")</f>
        <v>19.93</v>
      </c>
      <c r="S280" s="12" t="n">
        <f aca="false">IFERROR(VLOOKUP(A280,'Dados-Status-Invest'!$1:$1000,MATCH(S$1,'Dados-Status-Invest'!$2:$2,0),FALSE()),"")</f>
        <v>2.29</v>
      </c>
      <c r="T280" s="12" t="n">
        <f aca="false">IFERROR(VLOOKUP(A280,'Dados-Status-Invest'!$1:$1000,MATCH(T$1,'Dados-Status-Invest'!$2:$2,0),FALSE()),"")</f>
        <v>13.73</v>
      </c>
      <c r="U280" s="12" t="n">
        <f aca="false">IFERROR(VLOOKUP(A280,'Dados-Status-Invest'!$1:$1000,MATCH(U$1,'Dados-Status-Invest'!$2:$2,0),FALSE()),"")</f>
        <v>2.02</v>
      </c>
      <c r="V280" s="12" t="n">
        <f aca="false">IFERROR(VLOOKUP(A280,'Dados-Status-Invest'!$1:$1000,MATCH(V$1,'Dados-Status-Invest'!$2:$2,0),FALSE()),"")</f>
        <v>0</v>
      </c>
      <c r="W280" s="10" t="n">
        <f aca="false">IFERROR(VLOOKUP(A280,'Dados-Status-Invest'!$1:$1000,MATCH(W$1,'Dados-Status-Invest'!$2:$2,0),FALSE())/100,"")</f>
        <v>0.4068</v>
      </c>
      <c r="X280" s="10" t="n">
        <f aca="false">IFERROR(VLOOKUP(A280,'Dados-Status-Invest'!$1:$1000,MATCH(X$1,'Dados-Status-Invest'!$2:$2,0),FALSE())/100,"")</f>
        <v>0</v>
      </c>
    </row>
    <row r="281" customFormat="false" ht="15.75" hidden="false" customHeight="false" outlineLevel="0" collapsed="false">
      <c r="A281" s="6" t="s">
        <v>313</v>
      </c>
      <c r="B281" s="7" t="str">
        <f aca="false">IFERROR(VLOOKUP(LEFT(A281,4),Setor!A:D,2,FALSE()),"")</f>
        <v>Financeiro</v>
      </c>
      <c r="C281" s="8" t="n">
        <f aca="false">IFERROR(__xludf.dummyfunction("IFERROR(IFERROR(GOOGLEFINANCE(A287,""price""),VLOOKUP(A287,'Dados-Status-Invest'!A:B,2,FALSE)),"""")"),4.95)</f>
        <v>4.95</v>
      </c>
      <c r="D281" s="8" t="n">
        <f aca="false">IFERROR(VLOOKUP(A281,'Dados-Status-Invest'!$1:$1000,MATCH(D$1,'Dados-Status-Invest'!$2:$2,0),FALSE()),"")</f>
        <v>424813440.5</v>
      </c>
      <c r="E281" s="8" t="str">
        <f aca="false">IF(D281+H281&gt;0,D281+H281,"")</f>
        <v/>
      </c>
      <c r="F281" s="8" t="n">
        <f aca="false">IFERROR(D281/VLOOKUP(A281,'Dados-Status-Invest'!$1:$1000,5,FALSE()),"")</f>
        <v>1517190859</v>
      </c>
      <c r="G281" s="8" t="n">
        <f aca="false">IFERROR(D281/VLOOKUP(A281,'Dados-Status-Invest'!$1:$1000,6,FALSE()),"")</f>
        <v>3267795696</v>
      </c>
      <c r="H281" s="8" t="n">
        <f aca="false">IFERROR(VLOOKUP(A281,'Dados-Status-Invest'!$1:$1000,12,FALSE())*J281,"")</f>
        <v>-526699590.8</v>
      </c>
      <c r="I281" s="8" t="n">
        <f aca="false">IFERROR(D281/VLOOKUP(A281,'Dados-Status-Invest'!$1:$1000,14,FALSE()),"")</f>
        <v>270581809.2</v>
      </c>
      <c r="J281" s="9" t="n">
        <f aca="false">IFERROR(D281/VLOOKUP(A281,'Dados-Status-Invest'!$1:$1000,10,FALSE()),"")</f>
        <v>172688390.4</v>
      </c>
      <c r="K281" s="10" t="n">
        <f aca="false">IFERROR(VLOOKUP(A281,'Dados-Status-Invest'!$1:$1000,3,FALSE())/100,"")</f>
        <v>0</v>
      </c>
      <c r="L281" s="11" t="n">
        <f aca="false">IFERROR(VLOOKUP(A281,'Dados-Status-Invest'!$1:$1000,MATCH(L$1,'Dados-Status-Invest'!$2:$2,0),FALSE())/100,"")</f>
        <v>0.0531</v>
      </c>
      <c r="M281" s="10" t="n">
        <f aca="false">IFERROR(VLOOKUP(A281,'Dados-Status-Invest'!$1:$1000,MATCH(M$1,'Dados-Status-Invest'!$2:$2,0),FALSE())/100,"")</f>
        <v>0.0238</v>
      </c>
      <c r="N281" s="10" t="n">
        <f aca="false">IFERROR(VLOOKUP(A281,'Dados-Status-Invest'!$1:$1000,MATCH(N$1,'Dados-Status-Invest'!$2:$2,0),FALSE())/100,"")</f>
        <v>0.0642</v>
      </c>
      <c r="O281" s="10" t="n">
        <f aca="false">IFERROR(VLOOKUP(A281,'Dados-Status-Invest'!$1:$1000,MATCH(O$1,'Dados-Status-Invest'!$2:$2,0),FALSE())/100,"")</f>
        <v>1</v>
      </c>
      <c r="P281" s="10" t="n">
        <f aca="false">IFERROR(VLOOKUP(A281,'Dados-Status-Invest'!$1:$1000,MATCH(P$1,'Dados-Status-Invest'!$2:$2,0),FALSE())/100,"")</f>
        <v>0.6391</v>
      </c>
      <c r="Q281" s="10" t="n">
        <f aca="false">IFERROR(VLOOKUP(A281,'Dados-Status-Invest'!$1:$1000,MATCH(Q$1,'Dados-Status-Invest'!$2:$2,0),FALSE())/100,"")</f>
        <v>0.2935</v>
      </c>
      <c r="R281" s="12" t="n">
        <f aca="false">IFERROR(VLOOKUP(A281,'Dados-Status-Invest'!$1:$1000,MATCH(R$1,'Dados-Status-Invest'!$2:$2,0),FALSE()),"")</f>
        <v>5.36</v>
      </c>
      <c r="S281" s="12" t="n">
        <f aca="false">IFERROR(VLOOKUP(A281,'Dados-Status-Invest'!$1:$1000,MATCH(S$1,'Dados-Status-Invest'!$2:$2,0),FALSE()),"")</f>
        <v>0.28</v>
      </c>
      <c r="T281" s="12" t="n">
        <f aca="false">IFERROR(VLOOKUP(A281,'Dados-Status-Invest'!$1:$1000,MATCH(T$1,'Dados-Status-Invest'!$2:$2,0),FALSE()),"")</f>
        <v>-0.59</v>
      </c>
      <c r="U281" s="12" t="n">
        <f aca="false">IFERROR(VLOOKUP(A281,'Dados-Status-Invest'!$1:$1000,MATCH(U$1,'Dados-Status-Invest'!$2:$2,0),FALSE()),"")</f>
        <v>3.91</v>
      </c>
      <c r="V281" s="12" t="n">
        <f aca="false">IFERROR(VLOOKUP(A281,'Dados-Status-Invest'!$1:$1000,MATCH(V$1,'Dados-Status-Invest'!$2:$2,0),FALSE()),"")</f>
        <v>-3.05</v>
      </c>
      <c r="W281" s="10" t="n">
        <f aca="false">IFERROR(VLOOKUP(A281,'Dados-Status-Invest'!$1:$1000,MATCH(W$1,'Dados-Status-Invest'!$2:$2,0),FALSE())/100,"")</f>
        <v>0</v>
      </c>
      <c r="X281" s="10" t="n">
        <f aca="false">IFERROR(VLOOKUP(A281,'Dados-Status-Invest'!$1:$1000,MATCH(X$1,'Dados-Status-Invest'!$2:$2,0),FALSE())/100,"")</f>
        <v>0</v>
      </c>
    </row>
    <row r="282" customFormat="false" ht="15.75" hidden="false" customHeight="false" outlineLevel="0" collapsed="false">
      <c r="A282" s="6" t="s">
        <v>314</v>
      </c>
      <c r="B282" s="7" t="str">
        <f aca="false">IFERROR(VLOOKUP(LEFT(A282,4),Setor!A:D,2,FALSE()),"")</f>
        <v>Consumo Cíclico</v>
      </c>
      <c r="C282" s="8" t="n">
        <f aca="false">IFERROR(__xludf.dummyfunction("IFERROR(IFERROR(GOOGLEFINANCE(A288,""price""),VLOOKUP(A288,'Dados-Status-Invest'!A:B,2,FALSE)),"""")"),9.29)</f>
        <v>9.29</v>
      </c>
      <c r="D282" s="8" t="n">
        <f aca="false">IFERROR(VLOOKUP(A282,'Dados-Status-Invest'!$1:$1000,MATCH(D$1,'Dados-Status-Invest'!$2:$2,0),FALSE()),"")</f>
        <v>9003556800</v>
      </c>
      <c r="E282" s="8" t="n">
        <f aca="false">IF(D282+H282&gt;0,D282+H282,"")</f>
        <v>7407571793</v>
      </c>
      <c r="F282" s="8" t="n">
        <f aca="false">IFERROR(D282/VLOOKUP(A282,'Dados-Status-Invest'!$1:$1000,5,FALSE()),"")</f>
        <v>3966324581</v>
      </c>
      <c r="G282" s="8" t="n">
        <f aca="false">IFERROR(D282/VLOOKUP(A282,'Dados-Status-Invest'!$1:$1000,6,FALSE()),"")</f>
        <v>4814736257</v>
      </c>
      <c r="H282" s="8" t="n">
        <f aca="false">IFERROR(VLOOKUP(A282,'Dados-Status-Invest'!$1:$1000,12,FALSE())*J282,"")</f>
        <v>-1595985007</v>
      </c>
      <c r="I282" s="8" t="n">
        <f aca="false">IFERROR(D282/VLOOKUP(A282,'Dados-Status-Invest'!$1:$1000,14,FALSE()),"")</f>
        <v>2055606575</v>
      </c>
      <c r="J282" s="9" t="n">
        <f aca="false">IFERROR(D282/VLOOKUP(A282,'Dados-Status-Invest'!$1:$1000,10,FALSE()),"")</f>
        <v>366893105.1</v>
      </c>
      <c r="K282" s="10" t="n">
        <f aca="false">IFERROR(VLOOKUP(A282,'Dados-Status-Invest'!$1:$1000,3,FALSE())/100,"")</f>
        <v>0.0627</v>
      </c>
      <c r="L282" s="11" t="n">
        <f aca="false">IFERROR(VLOOKUP(A282,'Dados-Status-Invest'!$1:$1000,MATCH(L$1,'Dados-Status-Invest'!$2:$2,0),FALSE())/100,"")</f>
        <v>0.1275</v>
      </c>
      <c r="M282" s="10" t="n">
        <f aca="false">IFERROR(VLOOKUP(A282,'Dados-Status-Invest'!$1:$1000,MATCH(M$1,'Dados-Status-Invest'!$2:$2,0),FALSE())/100,"")</f>
        <v>0.1054</v>
      </c>
      <c r="N282" s="10" t="n">
        <f aca="false">IFERROR(VLOOKUP(A282,'Dados-Status-Invest'!$1:$1000,MATCH(N$1,'Dados-Status-Invest'!$2:$2,0),FALSE())/100,"")</f>
        <v>0.0774</v>
      </c>
      <c r="O282" s="10" t="n">
        <f aca="false">IFERROR(VLOOKUP(A282,'Dados-Status-Invest'!$1:$1000,MATCH(O$1,'Dados-Status-Invest'!$2:$2,0),FALSE())/100,"")</f>
        <v>0.4675</v>
      </c>
      <c r="P282" s="10" t="n">
        <f aca="false">IFERROR(VLOOKUP(A282,'Dados-Status-Invest'!$1:$1000,MATCH(P$1,'Dados-Status-Invest'!$2:$2,0),FALSE())/100,"")</f>
        <v>0.1784</v>
      </c>
      <c r="Q282" s="10" t="n">
        <f aca="false">IFERROR(VLOOKUP(A282,'Dados-Status-Invest'!$1:$1000,MATCH(Q$1,'Dados-Status-Invest'!$2:$2,0),FALSE())/100,"")</f>
        <v>0.2464</v>
      </c>
      <c r="R282" s="12" t="n">
        <f aca="false">IFERROR(VLOOKUP(A282,'Dados-Status-Invest'!$1:$1000,MATCH(R$1,'Dados-Status-Invest'!$2:$2,0),FALSE()),"")</f>
        <v>17.77</v>
      </c>
      <c r="S282" s="12" t="n">
        <f aca="false">IFERROR(VLOOKUP(A282,'Dados-Status-Invest'!$1:$1000,MATCH(S$1,'Dados-Status-Invest'!$2:$2,0),FALSE()),"")</f>
        <v>2.27</v>
      </c>
      <c r="T282" s="12" t="n">
        <f aca="false">IFERROR(VLOOKUP(A282,'Dados-Status-Invest'!$1:$1000,MATCH(T$1,'Dados-Status-Invest'!$2:$2,0),FALSE()),"")</f>
        <v>20.29</v>
      </c>
      <c r="U282" s="12" t="n">
        <f aca="false">IFERROR(VLOOKUP(A282,'Dados-Status-Invest'!$1:$1000,MATCH(U$1,'Dados-Status-Invest'!$2:$2,0),FALSE()),"")</f>
        <v>4.48</v>
      </c>
      <c r="V282" s="12" t="n">
        <f aca="false">IFERROR(VLOOKUP(A282,'Dados-Status-Invest'!$1:$1000,MATCH(V$1,'Dados-Status-Invest'!$2:$2,0),FALSE()),"")</f>
        <v>-4.35</v>
      </c>
      <c r="W282" s="10" t="n">
        <f aca="false">IFERROR(VLOOKUP(A282,'Dados-Status-Invest'!$1:$1000,MATCH(W$1,'Dados-Status-Invest'!$2:$2,0),FALSE())/100,"")</f>
        <v>-0.0295</v>
      </c>
      <c r="X282" s="10" t="n">
        <f aca="false">IFERROR(VLOOKUP(A282,'Dados-Status-Invest'!$1:$1000,MATCH(X$1,'Dados-Status-Invest'!$2:$2,0),FALSE())/100,"")</f>
        <v>-0.0556</v>
      </c>
    </row>
    <row r="283" customFormat="false" ht="15.75" hidden="false" customHeight="false" outlineLevel="0" collapsed="false">
      <c r="A283" s="6" t="s">
        <v>315</v>
      </c>
      <c r="B283" s="7" t="str">
        <f aca="false">IFERROR(VLOOKUP(LEFT(A283,4),Setor!A:D,2,FALSE()),"")</f>
        <v>Financeiro</v>
      </c>
      <c r="C283" s="8" t="n">
        <f aca="false">IFERROR(__xludf.dummyfunction("IFERROR(IFERROR(GOOGLEFINANCE(A289,""price""),VLOOKUP(A289,'Dados-Status-Invest'!A:B,2,FALSE)),"""")"),25.93)</f>
        <v>25.93</v>
      </c>
      <c r="D283" s="8" t="n">
        <f aca="false">IFERROR(VLOOKUP(A283,'Dados-Status-Invest'!$1:$1000,MATCH(D$1,'Dados-Status-Invest'!$2:$2,0),FALSE()),"")</f>
        <v>75221991</v>
      </c>
      <c r="E283" s="8" t="n">
        <f aca="false">IF(D283+H283&gt;0,D283+H283,"")</f>
        <v>1821839928</v>
      </c>
      <c r="F283" s="8" t="n">
        <f aca="false">IFERROR(D283/VLOOKUP(A283,'Dados-Status-Invest'!$1:$1000,5,FALSE()),"")</f>
        <v>-626849925</v>
      </c>
      <c r="G283" s="8" t="n">
        <f aca="false">IFERROR(D283/VLOOKUP(A283,'Dados-Status-Invest'!$1:$1000,6,FALSE()),"")</f>
        <v>1880549775</v>
      </c>
      <c r="H283" s="8" t="n">
        <f aca="false">IFERROR(VLOOKUP(A283,'Dados-Status-Invest'!$1:$1000,12,FALSE())*J283,"")</f>
        <v>1746617937</v>
      </c>
      <c r="I283" s="8" t="n">
        <f aca="false">IFERROR(D283/VLOOKUP(A283,'Dados-Status-Invest'!$1:$1000,14,FALSE()),"")</f>
        <v>90628904.82</v>
      </c>
      <c r="J283" s="9" t="n">
        <f aca="false">IFERROR(D283/VLOOKUP(A283,'Dados-Status-Invest'!$1:$1000,10,FALSE()),"")</f>
        <v>15289022.56</v>
      </c>
      <c r="K283" s="10" t="n">
        <f aca="false">IFERROR(VLOOKUP(A283,'Dados-Status-Invest'!$1:$1000,3,FALSE())/100,"")</f>
        <v>0</v>
      </c>
      <c r="L283" s="11" t="n">
        <f aca="false">IFERROR(VLOOKUP(A283,'Dados-Status-Invest'!$1:$1000,MATCH(L$1,'Dados-Status-Invest'!$2:$2,0),FALSE())/100,"")</f>
        <v>-0.512</v>
      </c>
      <c r="M283" s="10" t="n">
        <f aca="false">IFERROR(VLOOKUP(A283,'Dados-Status-Invest'!$1:$1000,MATCH(M$1,'Dados-Status-Invest'!$2:$2,0),FALSE())/100,"")</f>
        <v>-0.1857</v>
      </c>
      <c r="N283" s="10" t="n">
        <f aca="false">IFERROR(VLOOKUP(A283,'Dados-Status-Invest'!$1:$1000,MATCH(N$1,'Dados-Status-Invest'!$2:$2,0),FALSE())/100,"")</f>
        <v>-0.0137</v>
      </c>
      <c r="O283" s="10" t="n">
        <f aca="false">IFERROR(VLOOKUP(A283,'Dados-Status-Invest'!$1:$1000,MATCH(O$1,'Dados-Status-Invest'!$2:$2,0),FALSE())/100,"")</f>
        <v>0.6732</v>
      </c>
      <c r="P283" s="10" t="n">
        <f aca="false">IFERROR(VLOOKUP(A283,'Dados-Status-Invest'!$1:$1000,MATCH(P$1,'Dados-Status-Invest'!$2:$2,0),FALSE())/100,"")</f>
        <v>0.1685</v>
      </c>
      <c r="Q283" s="10" t="n">
        <f aca="false">IFERROR(VLOOKUP(A283,'Dados-Status-Invest'!$1:$1000,MATCH(Q$1,'Dados-Status-Invest'!$2:$2,0),FALSE())/100,"")</f>
        <v>-3.5392</v>
      </c>
      <c r="R283" s="12" t="n">
        <f aca="false">IFERROR(VLOOKUP(A283,'Dados-Status-Invest'!$1:$1000,MATCH(R$1,'Dados-Status-Invest'!$2:$2,0),FALSE()),"")</f>
        <v>-0.23</v>
      </c>
      <c r="S283" s="12" t="n">
        <f aca="false">IFERROR(VLOOKUP(A283,'Dados-Status-Invest'!$1:$1000,MATCH(S$1,'Dados-Status-Invest'!$2:$2,0),FALSE()),"")</f>
        <v>-0.12</v>
      </c>
      <c r="T283" s="12" t="n">
        <f aca="false">IFERROR(VLOOKUP(A283,'Dados-Status-Invest'!$1:$1000,MATCH(T$1,'Dados-Status-Invest'!$2:$2,0),FALSE()),"")</f>
        <v>119.15</v>
      </c>
      <c r="U283" s="12" t="n">
        <f aca="false">IFERROR(VLOOKUP(A283,'Dados-Status-Invest'!$1:$1000,MATCH(U$1,'Dados-Status-Invest'!$2:$2,0),FALSE()),"")</f>
        <v>0.8</v>
      </c>
      <c r="V283" s="12" t="n">
        <f aca="false">IFERROR(VLOOKUP(A283,'Dados-Status-Invest'!$1:$1000,MATCH(V$1,'Dados-Status-Invest'!$2:$2,0),FALSE()),"")</f>
        <v>114.24</v>
      </c>
      <c r="W283" s="10" t="n">
        <f aca="false">IFERROR(VLOOKUP(A283,'Dados-Status-Invest'!$1:$1000,MATCH(W$1,'Dados-Status-Invest'!$2:$2,0),FALSE())/100,"")</f>
        <v>-0.1898</v>
      </c>
      <c r="X283" s="10" t="n">
        <f aca="false">IFERROR(VLOOKUP(A283,'Dados-Status-Invest'!$1:$1000,MATCH(X$1,'Dados-Status-Invest'!$2:$2,0),FALSE())/100,"")</f>
        <v>0</v>
      </c>
    </row>
    <row r="284" customFormat="false" ht="15.75" hidden="false" customHeight="false" outlineLevel="0" collapsed="false">
      <c r="A284" s="6" t="s">
        <v>316</v>
      </c>
      <c r="B284" s="7" t="str">
        <f aca="false">IFERROR(VLOOKUP(LEFT(A284,4),Setor!A:D,2,FALSE()),"")</f>
        <v>Consumo Cíclico</v>
      </c>
      <c r="C284" s="8" t="n">
        <f aca="false">IFERROR(__xludf.dummyfunction("IFERROR(IFERROR(GOOGLEFINANCE(A290,""price""),VLOOKUP(A290,'Dados-Status-Invest'!A:B,2,FALSE)),"""")"),8.42)</f>
        <v>8.42</v>
      </c>
      <c r="D284" s="8" t="n">
        <f aca="false">IFERROR(VLOOKUP(A284,'Dados-Status-Invest'!$1:$1000,MATCH(D$1,'Dados-Status-Invest'!$2:$2,0),FALSE()),"")</f>
        <v>10268544000</v>
      </c>
      <c r="E284" s="8" t="n">
        <f aca="false">IF(D284+H284&gt;0,D284+H284,"")</f>
        <v>11378157963</v>
      </c>
      <c r="F284" s="8" t="n">
        <f aca="false">IFERROR(D284/VLOOKUP(A284,'Dados-Status-Invest'!$1:$1000,5,FALSE()),"")</f>
        <v>4913178947</v>
      </c>
      <c r="G284" s="8" t="n">
        <f aca="false">IFERROR(D284/VLOOKUP(A284,'Dados-Status-Invest'!$1:$1000,6,FALSE()),"")</f>
        <v>13335771429</v>
      </c>
      <c r="H284" s="8" t="n">
        <f aca="false">IFERROR(VLOOKUP(A284,'Dados-Status-Invest'!$1:$1000,12,FALSE())*J284,"")</f>
        <v>1109613963</v>
      </c>
      <c r="I284" s="8" t="n">
        <f aca="false">IFERROR(D284/VLOOKUP(A284,'Dados-Status-Invest'!$1:$1000,14,FALSE()),"")</f>
        <v>5867739429</v>
      </c>
      <c r="J284" s="9" t="n">
        <f aca="false">IFERROR(D284/VLOOKUP(A284,'Dados-Status-Invest'!$1:$1000,10,FALSE()),"")</f>
        <v>-102552122.2</v>
      </c>
      <c r="K284" s="10" t="n">
        <f aca="false">IFERROR(VLOOKUP(A284,'Dados-Status-Invest'!$1:$1000,3,FALSE())/100,"")</f>
        <v>0.0212</v>
      </c>
      <c r="L284" s="11" t="n">
        <f aca="false">IFERROR(VLOOKUP(A284,'Dados-Status-Invest'!$1:$1000,MATCH(L$1,'Dados-Status-Invest'!$2:$2,0),FALSE())/100,"")</f>
        <v>-0.0172</v>
      </c>
      <c r="M284" s="10" t="n">
        <f aca="false">IFERROR(VLOOKUP(A284,'Dados-Status-Invest'!$1:$1000,MATCH(M$1,'Dados-Status-Invest'!$2:$2,0),FALSE())/100,"")</f>
        <v>-0.0063</v>
      </c>
      <c r="N284" s="10" t="n">
        <f aca="false">IFERROR(VLOOKUP(A284,'Dados-Status-Invest'!$1:$1000,MATCH(N$1,'Dados-Status-Invest'!$2:$2,0),FALSE())/100,"")</f>
        <v>-0.0343</v>
      </c>
      <c r="O284" s="10" t="n">
        <f aca="false">IFERROR(VLOOKUP(A284,'Dados-Status-Invest'!$1:$1000,MATCH(O$1,'Dados-Status-Invest'!$2:$2,0),FALSE())/100,"")</f>
        <v>0.4727</v>
      </c>
      <c r="P284" s="10" t="n">
        <f aca="false">IFERROR(VLOOKUP(A284,'Dados-Status-Invest'!$1:$1000,MATCH(P$1,'Dados-Status-Invest'!$2:$2,0),FALSE())/100,"")</f>
        <v>-0.0175</v>
      </c>
      <c r="Q284" s="10" t="n">
        <f aca="false">IFERROR(VLOOKUP(A284,'Dados-Status-Invest'!$1:$1000,MATCH(Q$1,'Dados-Status-Invest'!$2:$2,0),FALSE())/100,"")</f>
        <v>-0.0144</v>
      </c>
      <c r="R284" s="12" t="n">
        <f aca="false">IFERROR(VLOOKUP(A284,'Dados-Status-Invest'!$1:$1000,MATCH(R$1,'Dados-Status-Invest'!$2:$2,0),FALSE()),"")</f>
        <v>-121.5</v>
      </c>
      <c r="S284" s="12" t="n">
        <f aca="false">IFERROR(VLOOKUP(A284,'Dados-Status-Invest'!$1:$1000,MATCH(S$1,'Dados-Status-Invest'!$2:$2,0),FALSE()),"")</f>
        <v>2.09</v>
      </c>
      <c r="T284" s="12" t="n">
        <f aca="false">IFERROR(VLOOKUP(A284,'Dados-Status-Invest'!$1:$1000,MATCH(T$1,'Dados-Status-Invest'!$2:$2,0),FALSE()),"")</f>
        <v>-110.91</v>
      </c>
      <c r="U284" s="12" t="n">
        <f aca="false">IFERROR(VLOOKUP(A284,'Dados-Status-Invest'!$1:$1000,MATCH(U$1,'Dados-Status-Invest'!$2:$2,0),FALSE()),"")</f>
        <v>1.73</v>
      </c>
      <c r="V284" s="12" t="n">
        <f aca="false">IFERROR(VLOOKUP(A284,'Dados-Status-Invest'!$1:$1000,MATCH(V$1,'Dados-Status-Invest'!$2:$2,0),FALSE()),"")</f>
        <v>-10.82</v>
      </c>
      <c r="W284" s="10" t="n">
        <f aca="false">IFERROR(VLOOKUP(A284,'Dados-Status-Invest'!$1:$1000,MATCH(W$1,'Dados-Status-Invest'!$2:$2,0),FALSE())/100,"")</f>
        <v>0.0255</v>
      </c>
      <c r="X284" s="10" t="n">
        <f aca="false">IFERROR(VLOOKUP(A284,'Dados-Status-Invest'!$1:$1000,MATCH(X$1,'Dados-Status-Invest'!$2:$2,0),FALSE())/100,"")</f>
        <v>0</v>
      </c>
    </row>
    <row r="285" customFormat="false" ht="15.75" hidden="false" customHeight="false" outlineLevel="0" collapsed="false">
      <c r="A285" s="6" t="s">
        <v>317</v>
      </c>
      <c r="B285" s="7" t="str">
        <f aca="false">IFERROR(VLOOKUP(LEFT(A285,4),Setor!A:D,2,FALSE()),"")</f>
        <v>Bens Industriais</v>
      </c>
      <c r="C285" s="8" t="n">
        <f aca="false">IFERROR(__xludf.dummyfunction("IFERROR(IFERROR(GOOGLEFINANCE(A291,""price""),VLOOKUP(A291,'Dados-Status-Invest'!A:B,2,FALSE)),"""")"),3.35)</f>
        <v>3.35</v>
      </c>
      <c r="D285" s="8" t="n">
        <f aca="false">IFERROR(VLOOKUP(A285,'Dados-Status-Invest'!$1:$1000,MATCH(D$1,'Dados-Status-Invest'!$2:$2,0),FALSE()),"")</f>
        <v>44942333.67</v>
      </c>
      <c r="E285" s="8" t="n">
        <f aca="false">IF(D285+H285&gt;0,D285+H285,"")</f>
        <v>44502584.8083</v>
      </c>
      <c r="F285" s="8" t="n">
        <f aca="false">IFERROR(D285/VLOOKUP(A285,'Dados-Status-Invest'!$1:$1000,5,FALSE()),"")</f>
        <v>-58366667.1</v>
      </c>
      <c r="G285" s="8" t="n">
        <f aca="false">IFERROR(D285/VLOOKUP(A285,'Dados-Status-Invest'!$1:$1000,6,FALSE()),"")</f>
        <v>52258527.52</v>
      </c>
      <c r="H285" s="8" t="n">
        <f aca="false">IFERROR(VLOOKUP(A285,'Dados-Status-Invest'!$1:$1000,12,FALSE())*J285,"")</f>
        <v>-439748.8617</v>
      </c>
      <c r="I285" s="8" t="n">
        <f aca="false">IFERROR(D285/VLOOKUP(A285,'Dados-Status-Invest'!$1:$1000,14,FALSE()),"")</f>
        <v>32101666.91</v>
      </c>
      <c r="J285" s="9" t="n">
        <f aca="false">IFERROR(D285/VLOOKUP(A285,'Dados-Status-Invest'!$1:$1000,10,FALSE()),"")</f>
        <v>8794977.235</v>
      </c>
      <c r="K285" s="10" t="n">
        <f aca="false">IFERROR(VLOOKUP(A285,'Dados-Status-Invest'!$1:$1000,3,FALSE())/100,"")</f>
        <v>0</v>
      </c>
      <c r="L285" s="11" t="n">
        <f aca="false">IFERROR(VLOOKUP(A285,'Dados-Status-Invest'!$1:$1000,MATCH(L$1,'Dados-Status-Invest'!$2:$2,0),FALSE())/100,"")</f>
        <v>-0.1239</v>
      </c>
      <c r="M285" s="10" t="n">
        <f aca="false">IFERROR(VLOOKUP(A285,'Dados-Status-Invest'!$1:$1000,MATCH(M$1,'Dados-Status-Invest'!$2:$2,0),FALSE())/100,"")</f>
        <v>0.1373</v>
      </c>
      <c r="N285" s="10" t="n">
        <f aca="false">IFERROR(VLOOKUP(A285,'Dados-Status-Invest'!$1:$1000,MATCH(N$1,'Dados-Status-Invest'!$2:$2,0),FALSE())/100,"")</f>
        <v>-0.2603</v>
      </c>
      <c r="O285" s="10" t="n">
        <f aca="false">IFERROR(VLOOKUP(A285,'Dados-Status-Invest'!$1:$1000,MATCH(O$1,'Dados-Status-Invest'!$2:$2,0),FALSE())/100,"")</f>
        <v>0.3108</v>
      </c>
      <c r="P285" s="10" t="n">
        <f aca="false">IFERROR(VLOOKUP(A285,'Dados-Status-Invest'!$1:$1000,MATCH(P$1,'Dados-Status-Invest'!$2:$2,0),FALSE())/100,"")</f>
        <v>0.2746</v>
      </c>
      <c r="Q285" s="10" t="n">
        <f aca="false">IFERROR(VLOOKUP(A285,'Dados-Status-Invest'!$1:$1000,MATCH(Q$1,'Dados-Status-Invest'!$2:$2,0),FALSE())/100,"")</f>
        <v>0.225</v>
      </c>
      <c r="R285" s="12" t="n">
        <f aca="false">IFERROR(VLOOKUP(A285,'Dados-Status-Invest'!$1:$1000,MATCH(R$1,'Dados-Status-Invest'!$2:$2,0),FALSE()),"")</f>
        <v>6.24</v>
      </c>
      <c r="S285" s="12" t="n">
        <f aca="false">IFERROR(VLOOKUP(A285,'Dados-Status-Invest'!$1:$1000,MATCH(S$1,'Dados-Status-Invest'!$2:$2,0),FALSE()),"")</f>
        <v>-0.77</v>
      </c>
      <c r="T285" s="12" t="n">
        <f aca="false">IFERROR(VLOOKUP(A285,'Dados-Status-Invest'!$1:$1000,MATCH(T$1,'Dados-Status-Invest'!$2:$2,0),FALSE()),"")</f>
        <v>4.28</v>
      </c>
      <c r="U285" s="12" t="n">
        <f aca="false">IFERROR(VLOOKUP(A285,'Dados-Status-Invest'!$1:$1000,MATCH(U$1,'Dados-Status-Invest'!$2:$2,0),FALSE()),"")</f>
        <v>1.8</v>
      </c>
      <c r="V285" s="12" t="n">
        <f aca="false">IFERROR(VLOOKUP(A285,'Dados-Status-Invest'!$1:$1000,MATCH(V$1,'Dados-Status-Invest'!$2:$2,0),FALSE()),"")</f>
        <v>-0.05</v>
      </c>
      <c r="W285" s="10" t="n">
        <f aca="false">IFERROR(VLOOKUP(A285,'Dados-Status-Invest'!$1:$1000,MATCH(W$1,'Dados-Status-Invest'!$2:$2,0),FALSE())/100,"")</f>
        <v>0.0012</v>
      </c>
      <c r="X285" s="10" t="n">
        <f aca="false">IFERROR(VLOOKUP(A285,'Dados-Status-Invest'!$1:$1000,MATCH(X$1,'Dados-Status-Invest'!$2:$2,0),FALSE())/100,"")</f>
        <v>0.1213</v>
      </c>
    </row>
    <row r="286" customFormat="false" ht="15.75" hidden="false" customHeight="false" outlineLevel="0" collapsed="false">
      <c r="A286" s="6" t="s">
        <v>318</v>
      </c>
      <c r="B286" s="7" t="str">
        <f aca="false">IFERROR(VLOOKUP(LEFT(A286,4),Setor!A:D,2,FALSE()),"")</f>
        <v>Bens Industriais</v>
      </c>
      <c r="C286" s="8" t="n">
        <f aca="false">IFERROR(__xludf.dummyfunction("IFERROR(IFERROR(GOOGLEFINANCE(A292,""price""),VLOOKUP(A292,'Dados-Status-Invest'!A:B,2,FALSE)),"""")"),1.62)</f>
        <v>1.62</v>
      </c>
      <c r="D286" s="8" t="n">
        <f aca="false">IFERROR(VLOOKUP(A286,'Dados-Status-Invest'!$1:$1000,MATCH(D$1,'Dados-Status-Invest'!$2:$2,0),FALSE()),"")</f>
        <v>44942333.67</v>
      </c>
      <c r="E286" s="8" t="n">
        <f aca="false">IF(D286+H286&gt;0,D286+H286,"")</f>
        <v>44373443.3704</v>
      </c>
      <c r="F286" s="8" t="n">
        <f aca="false">IFERROR(D286/VLOOKUP(A286,'Dados-Status-Invest'!$1:$1000,5,FALSE()),"")</f>
        <v>-74903889.45</v>
      </c>
      <c r="G286" s="8" t="n">
        <f aca="false">IFERROR(D286/VLOOKUP(A286,'Dados-Status-Invest'!$1:$1000,6,FALSE()),"")</f>
        <v>68094444.95</v>
      </c>
      <c r="H286" s="8" t="n">
        <f aca="false">IFERROR(VLOOKUP(A286,'Dados-Status-Invest'!$1:$1000,12,FALSE())*J286,"")</f>
        <v>-568890.2996</v>
      </c>
      <c r="I286" s="8" t="n">
        <f aca="false">IFERROR(D286/VLOOKUP(A286,'Dados-Status-Invest'!$1:$1000,14,FALSE()),"")</f>
        <v>41231498.78</v>
      </c>
      <c r="J286" s="9" t="n">
        <f aca="false">IFERROR(D286/VLOOKUP(A286,'Dados-Status-Invest'!$1:$1000,10,FALSE()),"")</f>
        <v>11377805.99</v>
      </c>
      <c r="K286" s="10" t="n">
        <f aca="false">IFERROR(VLOOKUP(A286,'Dados-Status-Invest'!$1:$1000,3,FALSE())/100,"")</f>
        <v>0</v>
      </c>
      <c r="L286" s="11" t="n">
        <f aca="false">IFERROR(VLOOKUP(A286,'Dados-Status-Invest'!$1:$1000,MATCH(L$1,'Dados-Status-Invest'!$2:$2,0),FALSE())/100,"")</f>
        <v>-0.1239</v>
      </c>
      <c r="M286" s="10" t="n">
        <f aca="false">IFERROR(VLOOKUP(A286,'Dados-Status-Invest'!$1:$1000,MATCH(M$1,'Dados-Status-Invest'!$2:$2,0),FALSE())/100,"")</f>
        <v>0.1373</v>
      </c>
      <c r="N286" s="10" t="n">
        <f aca="false">IFERROR(VLOOKUP(A286,'Dados-Status-Invest'!$1:$1000,MATCH(N$1,'Dados-Status-Invest'!$2:$2,0),FALSE())/100,"")</f>
        <v>-0.2603</v>
      </c>
      <c r="O286" s="10" t="n">
        <f aca="false">IFERROR(VLOOKUP(A286,'Dados-Status-Invest'!$1:$1000,MATCH(O$1,'Dados-Status-Invest'!$2:$2,0),FALSE())/100,"")</f>
        <v>0.3108</v>
      </c>
      <c r="P286" s="10" t="n">
        <f aca="false">IFERROR(VLOOKUP(A286,'Dados-Status-Invest'!$1:$1000,MATCH(P$1,'Dados-Status-Invest'!$2:$2,0),FALSE())/100,"")</f>
        <v>0.2746</v>
      </c>
      <c r="Q286" s="10" t="n">
        <f aca="false">IFERROR(VLOOKUP(A286,'Dados-Status-Invest'!$1:$1000,MATCH(Q$1,'Dados-Status-Invest'!$2:$2,0),FALSE())/100,"")</f>
        <v>0.225</v>
      </c>
      <c r="R286" s="12" t="n">
        <f aca="false">IFERROR(VLOOKUP(A286,'Dados-Status-Invest'!$1:$1000,MATCH(R$1,'Dados-Status-Invest'!$2:$2,0),FALSE()),"")</f>
        <v>4.82</v>
      </c>
      <c r="S286" s="12" t="n">
        <f aca="false">IFERROR(VLOOKUP(A286,'Dados-Status-Invest'!$1:$1000,MATCH(S$1,'Dados-Status-Invest'!$2:$2,0),FALSE()),"")</f>
        <v>-0.6</v>
      </c>
      <c r="T286" s="12" t="n">
        <f aca="false">IFERROR(VLOOKUP(A286,'Dados-Status-Invest'!$1:$1000,MATCH(T$1,'Dados-Status-Invest'!$2:$2,0),FALSE()),"")</f>
        <v>4.28</v>
      </c>
      <c r="U286" s="12" t="n">
        <f aca="false">IFERROR(VLOOKUP(A286,'Dados-Status-Invest'!$1:$1000,MATCH(U$1,'Dados-Status-Invest'!$2:$2,0),FALSE()),"")</f>
        <v>1.8</v>
      </c>
      <c r="V286" s="12" t="n">
        <f aca="false">IFERROR(VLOOKUP(A286,'Dados-Status-Invest'!$1:$1000,MATCH(V$1,'Dados-Status-Invest'!$2:$2,0),FALSE()),"")</f>
        <v>-0.05</v>
      </c>
      <c r="W286" s="10" t="n">
        <f aca="false">IFERROR(VLOOKUP(A286,'Dados-Status-Invest'!$1:$1000,MATCH(W$1,'Dados-Status-Invest'!$2:$2,0),FALSE())/100,"")</f>
        <v>0.0012</v>
      </c>
      <c r="X286" s="10" t="n">
        <f aca="false">IFERROR(VLOOKUP(A286,'Dados-Status-Invest'!$1:$1000,MATCH(X$1,'Dados-Status-Invest'!$2:$2,0),FALSE())/100,"")</f>
        <v>0.1213</v>
      </c>
    </row>
    <row r="287" customFormat="false" ht="15.75" hidden="false" customHeight="false" outlineLevel="0" collapsed="false">
      <c r="A287" s="6" t="s">
        <v>319</v>
      </c>
      <c r="B287" s="7" t="str">
        <f aca="false">IFERROR(VLOOKUP(LEFT(A287,4),Setor!A:D,2,FALSE()),"")</f>
        <v>Saúde</v>
      </c>
      <c r="C287" s="8" t="n">
        <f aca="false">IFERROR(__xludf.dummyfunction("IFERROR(IFERROR(GOOGLEFINANCE(A293,""price""),VLOOKUP(A293,'Dados-Status-Invest'!A:B,2,FALSE)),"""")"),6.66)</f>
        <v>6.66</v>
      </c>
      <c r="D287" s="8" t="n">
        <f aca="false">IFERROR(VLOOKUP(A287,'Dados-Status-Invest'!$1:$1000,MATCH(D$1,'Dados-Status-Invest'!$2:$2,0),FALSE()),"")</f>
        <v>59019419695</v>
      </c>
      <c r="E287" s="8" t="n">
        <f aca="false">IF(D287+H287&gt;0,D287+H287,"")</f>
        <v>58526589510.2</v>
      </c>
      <c r="F287" s="8" t="n">
        <f aca="false">IFERROR(D287/VLOOKUP(A287,'Dados-Status-Invest'!$1:$1000,5,FALSE()),"")</f>
        <v>7954099689</v>
      </c>
      <c r="G287" s="8" t="n">
        <f aca="false">IFERROR(D287/VLOOKUP(A287,'Dados-Status-Invest'!$1:$1000,6,FALSE()),"")</f>
        <v>13757440488</v>
      </c>
      <c r="H287" s="8" t="n">
        <f aca="false">IFERROR(VLOOKUP(A287,'Dados-Status-Invest'!$1:$1000,12,FALSE())*J287,"")</f>
        <v>-492830184.8</v>
      </c>
      <c r="I287" s="8" t="n">
        <f aca="false">IFERROR(D287/VLOOKUP(A287,'Dados-Status-Invest'!$1:$1000,14,FALSE()),"")</f>
        <v>8769601738</v>
      </c>
      <c r="J287" s="9" t="n">
        <f aca="false">IFERROR(D287/VLOOKUP(A287,'Dados-Status-Invest'!$1:$1000,10,FALSE()),"")</f>
        <v>1202024841</v>
      </c>
      <c r="K287" s="10" t="n">
        <f aca="false">IFERROR(VLOOKUP(A287,'Dados-Status-Invest'!$1:$1000,3,FALSE())/100,"")</f>
        <v>0.0037</v>
      </c>
      <c r="L287" s="11" t="n">
        <f aca="false">IFERROR(VLOOKUP(A287,'Dados-Status-Invest'!$1:$1000,MATCH(L$1,'Dados-Status-Invest'!$2:$2,0),FALSE())/100,"")</f>
        <v>0.0964</v>
      </c>
      <c r="M287" s="10" t="n">
        <f aca="false">IFERROR(VLOOKUP(A287,'Dados-Status-Invest'!$1:$1000,MATCH(M$1,'Dados-Status-Invest'!$2:$2,0),FALSE())/100,"")</f>
        <v>0.0558</v>
      </c>
      <c r="N287" s="10" t="n">
        <f aca="false">IFERROR(VLOOKUP(A287,'Dados-Status-Invest'!$1:$1000,MATCH(N$1,'Dados-Status-Invest'!$2:$2,0),FALSE())/100,"")</f>
        <v>0.0878</v>
      </c>
      <c r="O287" s="10" t="n">
        <f aca="false">IFERROR(VLOOKUP(A287,'Dados-Status-Invest'!$1:$1000,MATCH(O$1,'Dados-Status-Invest'!$2:$2,0),FALSE())/100,"")</f>
        <v>0.3805</v>
      </c>
      <c r="P287" s="10" t="n">
        <f aca="false">IFERROR(VLOOKUP(A287,'Dados-Status-Invest'!$1:$1000,MATCH(P$1,'Dados-Status-Invest'!$2:$2,0),FALSE())/100,"")</f>
        <v>0.1371</v>
      </c>
      <c r="Q287" s="10" t="n">
        <f aca="false">IFERROR(VLOOKUP(A287,'Dados-Status-Invest'!$1:$1000,MATCH(Q$1,'Dados-Status-Invest'!$2:$2,0),FALSE())/100,"")</f>
        <v>0.0874</v>
      </c>
      <c r="R287" s="12" t="n">
        <f aca="false">IFERROR(VLOOKUP(A287,'Dados-Status-Invest'!$1:$1000,MATCH(R$1,'Dados-Status-Invest'!$2:$2,0),FALSE()),"")</f>
        <v>76.98</v>
      </c>
      <c r="S287" s="12" t="n">
        <f aca="false">IFERROR(VLOOKUP(A287,'Dados-Status-Invest'!$1:$1000,MATCH(S$1,'Dados-Status-Invest'!$2:$2,0),FALSE()),"")</f>
        <v>7.42</v>
      </c>
      <c r="T287" s="12" t="n">
        <f aca="false">IFERROR(VLOOKUP(A287,'Dados-Status-Invest'!$1:$1000,MATCH(T$1,'Dados-Status-Invest'!$2:$2,0),FALSE()),"")</f>
        <v>48.53</v>
      </c>
      <c r="U287" s="12" t="n">
        <f aca="false">IFERROR(VLOOKUP(A287,'Dados-Status-Invest'!$1:$1000,MATCH(U$1,'Dados-Status-Invest'!$2:$2,0),FALSE()),"")</f>
        <v>1.6</v>
      </c>
      <c r="V287" s="12" t="n">
        <f aca="false">IFERROR(VLOOKUP(A287,'Dados-Status-Invest'!$1:$1000,MATCH(V$1,'Dados-Status-Invest'!$2:$2,0),FALSE()),"")</f>
        <v>-0.41</v>
      </c>
      <c r="W287" s="10" t="n">
        <f aca="false">IFERROR(VLOOKUP(A287,'Dados-Status-Invest'!$1:$1000,MATCH(W$1,'Dados-Status-Invest'!$2:$2,0),FALSE())/100,"")</f>
        <v>0.2832</v>
      </c>
      <c r="X287" s="10" t="n">
        <f aca="false">IFERROR(VLOOKUP(A287,'Dados-Status-Invest'!$1:$1000,MATCH(X$1,'Dados-Status-Invest'!$2:$2,0),FALSE())/100,"")</f>
        <v>0.2033</v>
      </c>
    </row>
    <row r="288" customFormat="false" ht="15.75" hidden="false" customHeight="false" outlineLevel="0" collapsed="false">
      <c r="A288" s="6" t="s">
        <v>320</v>
      </c>
      <c r="B288" s="7" t="str">
        <f aca="false">IFERROR(VLOOKUP(LEFT(A288,4),Setor!A:D,2,FALSE()),"")</f>
        <v>Consumo Cíclico</v>
      </c>
      <c r="C288" s="8" t="n">
        <f aca="false">IFERROR(__xludf.dummyfunction("IFERROR(IFERROR(GOOGLEFINANCE(A294,""price""),VLOOKUP(A294,'Dados-Status-Invest'!A:B,2,FALSE)),"""")"),3.13)</f>
        <v>3.13</v>
      </c>
      <c r="D288" s="8" t="n">
        <f aca="false">IFERROR(VLOOKUP(A288,'Dados-Status-Invest'!$1:$1000,MATCH(D$1,'Dados-Status-Invest'!$2:$2,0),FALSE()),"")</f>
        <v>1131041558</v>
      </c>
      <c r="E288" s="8" t="n">
        <f aca="false">IF(D288+H288&gt;0,D288+H288,"")</f>
        <v>2066877974.3</v>
      </c>
      <c r="F288" s="8" t="n">
        <f aca="false">IFERROR(D288/VLOOKUP(A288,'Dados-Status-Invest'!$1:$1000,5,FALSE()),"")</f>
        <v>1285274498</v>
      </c>
      <c r="G288" s="8" t="n">
        <f aca="false">IFERROR(D288/VLOOKUP(A288,'Dados-Status-Invest'!$1:$1000,6,FALSE()),"")</f>
        <v>4350159840</v>
      </c>
      <c r="H288" s="8" t="n">
        <f aca="false">IFERROR(VLOOKUP(A288,'Dados-Status-Invest'!$1:$1000,12,FALSE())*J288,"")</f>
        <v>935836416.3</v>
      </c>
      <c r="I288" s="8" t="n">
        <f aca="false">IFERROR(D288/VLOOKUP(A288,'Dados-Status-Invest'!$1:$1000,14,FALSE()),"")</f>
        <v>950455091.1</v>
      </c>
      <c r="J288" s="9" t="n">
        <f aca="false">IFERROR(D288/VLOOKUP(A288,'Dados-Status-Invest'!$1:$1000,10,FALSE()),"")</f>
        <v>82018967.25</v>
      </c>
      <c r="K288" s="10" t="n">
        <f aca="false">IFERROR(VLOOKUP(A288,'Dados-Status-Invest'!$1:$1000,3,FALSE())/100,"")</f>
        <v>0.0056</v>
      </c>
      <c r="L288" s="11" t="n">
        <f aca="false">IFERROR(VLOOKUP(A288,'Dados-Status-Invest'!$1:$1000,MATCH(L$1,'Dados-Status-Invest'!$2:$2,0),FALSE())/100,"")</f>
        <v>0.0375</v>
      </c>
      <c r="M288" s="10" t="n">
        <f aca="false">IFERROR(VLOOKUP(A288,'Dados-Status-Invest'!$1:$1000,MATCH(M$1,'Dados-Status-Invest'!$2:$2,0),FALSE())/100,"")</f>
        <v>0.0111</v>
      </c>
      <c r="N288" s="10" t="n">
        <f aca="false">IFERROR(VLOOKUP(A288,'Dados-Status-Invest'!$1:$1000,MATCH(N$1,'Dados-Status-Invest'!$2:$2,0),FALSE())/100,"")</f>
        <v>0.0193</v>
      </c>
      <c r="O288" s="10" t="n">
        <f aca="false">IFERROR(VLOOKUP(A288,'Dados-Status-Invest'!$1:$1000,MATCH(O$1,'Dados-Status-Invest'!$2:$2,0),FALSE())/100,"")</f>
        <v>0.2078</v>
      </c>
      <c r="P288" s="10" t="n">
        <f aca="false">IFERROR(VLOOKUP(A288,'Dados-Status-Invest'!$1:$1000,MATCH(P$1,'Dados-Status-Invest'!$2:$2,0),FALSE())/100,"")</f>
        <v>0.086</v>
      </c>
      <c r="Q288" s="10" t="n">
        <f aca="false">IFERROR(VLOOKUP(A288,'Dados-Status-Invest'!$1:$1000,MATCH(Q$1,'Dados-Status-Invest'!$2:$2,0),FALSE())/100,"")</f>
        <v>0.0507</v>
      </c>
      <c r="R288" s="12" t="n">
        <f aca="false">IFERROR(VLOOKUP(A288,'Dados-Status-Invest'!$1:$1000,MATCH(R$1,'Dados-Status-Invest'!$2:$2,0),FALSE()),"")</f>
        <v>23.42</v>
      </c>
      <c r="S288" s="12" t="n">
        <f aca="false">IFERROR(VLOOKUP(A288,'Dados-Status-Invest'!$1:$1000,MATCH(S$1,'Dados-Status-Invest'!$2:$2,0),FALSE()),"")</f>
        <v>0.88</v>
      </c>
      <c r="T288" s="12" t="n">
        <f aca="false">IFERROR(VLOOKUP(A288,'Dados-Status-Invest'!$1:$1000,MATCH(T$1,'Dados-Status-Invest'!$2:$2,0),FALSE()),"")</f>
        <v>25.17</v>
      </c>
      <c r="U288" s="12" t="n">
        <f aca="false">IFERROR(VLOOKUP(A288,'Dados-Status-Invest'!$1:$1000,MATCH(U$1,'Dados-Status-Invest'!$2:$2,0),FALSE()),"")</f>
        <v>3.41</v>
      </c>
      <c r="V288" s="12" t="n">
        <f aca="false">IFERROR(VLOOKUP(A288,'Dados-Status-Invest'!$1:$1000,MATCH(V$1,'Dados-Status-Invest'!$2:$2,0),FALSE()),"")</f>
        <v>11.41</v>
      </c>
      <c r="W288" s="10" t="n">
        <f aca="false">IFERROR(VLOOKUP(A288,'Dados-Status-Invest'!$1:$1000,MATCH(W$1,'Dados-Status-Invest'!$2:$2,0),FALSE())/100,"")</f>
        <v>-0.0572</v>
      </c>
      <c r="X288" s="10" t="n">
        <f aca="false">IFERROR(VLOOKUP(A288,'Dados-Status-Invest'!$1:$1000,MATCH(X$1,'Dados-Status-Invest'!$2:$2,0),FALSE())/100,"")</f>
        <v>-0.021</v>
      </c>
    </row>
    <row r="289" customFormat="false" ht="15.75" hidden="false" customHeight="false" outlineLevel="0" collapsed="false">
      <c r="A289" s="6" t="s">
        <v>321</v>
      </c>
      <c r="B289" s="7" t="s">
        <v>109</v>
      </c>
      <c r="C289" s="8" t="n">
        <f aca="false">IFERROR(__xludf.dummyfunction("IFERROR(IFERROR(GOOGLEFINANCE(A295,""price""),VLOOKUP(A295,'Dados-Status-Invest'!A:B,2,FALSE)),"""")"),6.16)</f>
        <v>6.16</v>
      </c>
      <c r="D289" s="8" t="n">
        <f aca="false">IFERROR(VLOOKUP(A289,'Dados-Status-Invest'!$1:$1000,MATCH(D$1,'Dados-Status-Invest'!$2:$2,0),FALSE()),"")</f>
        <v>1728415432</v>
      </c>
      <c r="E289" s="8" t="n">
        <f aca="false">IF(D289+H289&gt;0,D289+H289,"")</f>
        <v>1979985845.6</v>
      </c>
      <c r="F289" s="8" t="n">
        <f aca="false">IFERROR(D289/VLOOKUP(A289,'Dados-Status-Invest'!$1:$1000,5,FALSE()),"")</f>
        <v>1781871579</v>
      </c>
      <c r="G289" s="8" t="n">
        <f aca="false">IFERROR(D289/VLOOKUP(A289,'Dados-Status-Invest'!$1:$1000,6,FALSE()),"")</f>
        <v>3323875830</v>
      </c>
      <c r="H289" s="8" t="n">
        <f aca="false">IFERROR(VLOOKUP(A289,'Dados-Status-Invest'!$1:$1000,12,FALSE())*J289,"")</f>
        <v>251570413.6</v>
      </c>
      <c r="I289" s="8" t="n">
        <f aca="false">IFERROR(D289/VLOOKUP(A289,'Dados-Status-Invest'!$1:$1000,14,FALSE()),"")</f>
        <v>76955273.01</v>
      </c>
      <c r="J289" s="9" t="n">
        <f aca="false">IFERROR(D289/VLOOKUP(A289,'Dados-Status-Invest'!$1:$1000,10,FALSE()),"")</f>
        <v>60328636.36</v>
      </c>
      <c r="K289" s="10" t="n">
        <f aca="false">IFERROR(VLOOKUP(A289,'Dados-Status-Invest'!$1:$1000,3,FALSE())/100,"")</f>
        <v>0</v>
      </c>
      <c r="L289" s="11" t="n">
        <f aca="false">IFERROR(VLOOKUP(A289,'Dados-Status-Invest'!$1:$1000,MATCH(L$1,'Dados-Status-Invest'!$2:$2,0),FALSE())/100,"")</f>
        <v>-0.027</v>
      </c>
      <c r="M289" s="10" t="n">
        <f aca="false">IFERROR(VLOOKUP(A289,'Dados-Status-Invest'!$1:$1000,MATCH(M$1,'Dados-Status-Invest'!$2:$2,0),FALSE())/100,"")</f>
        <v>-0.0143</v>
      </c>
      <c r="N289" s="10" t="n">
        <f aca="false">IFERROR(VLOOKUP(A289,'Dados-Status-Invest'!$1:$1000,MATCH(N$1,'Dados-Status-Invest'!$2:$2,0),FALSE())/100,"")</f>
        <v>0.0067</v>
      </c>
      <c r="O289" s="10" t="n">
        <f aca="false">IFERROR(VLOOKUP(A289,'Dados-Status-Invest'!$1:$1000,MATCH(O$1,'Dados-Status-Invest'!$2:$2,0),FALSE())/100,"")</f>
        <v>0.8505</v>
      </c>
      <c r="P289" s="10" t="n">
        <f aca="false">IFERROR(VLOOKUP(A289,'Dados-Status-Invest'!$1:$1000,MATCH(P$1,'Dados-Status-Invest'!$2:$2,0),FALSE())/100,"")</f>
        <v>0.7841</v>
      </c>
      <c r="Q289" s="10" t="n">
        <f aca="false">IFERROR(VLOOKUP(A289,'Dados-Status-Invest'!$1:$1000,MATCH(Q$1,'Dados-Status-Invest'!$2:$2,0),FALSE())/100,"")</f>
        <v>-0.6241</v>
      </c>
      <c r="R289" s="12" t="n">
        <f aca="false">IFERROR(VLOOKUP(A289,'Dados-Status-Invest'!$1:$1000,MATCH(R$1,'Dados-Status-Invest'!$2:$2,0),FALSE()),"")</f>
        <v>-35.99</v>
      </c>
      <c r="S289" s="12" t="n">
        <f aca="false">IFERROR(VLOOKUP(A289,'Dados-Status-Invest'!$1:$1000,MATCH(S$1,'Dados-Status-Invest'!$2:$2,0),FALSE()),"")</f>
        <v>0.97</v>
      </c>
      <c r="T289" s="12" t="n">
        <f aca="false">IFERROR(VLOOKUP(A289,'Dados-Status-Invest'!$1:$1000,MATCH(T$1,'Dados-Status-Invest'!$2:$2,0),FALSE()),"")</f>
        <v>32.82</v>
      </c>
      <c r="U289" s="12" t="n">
        <f aca="false">IFERROR(VLOOKUP(A289,'Dados-Status-Invest'!$1:$1000,MATCH(U$1,'Dados-Status-Invest'!$2:$2,0),FALSE()),"")</f>
        <v>2.25</v>
      </c>
      <c r="V289" s="12" t="n">
        <f aca="false">IFERROR(VLOOKUP(A289,'Dados-Status-Invest'!$1:$1000,MATCH(V$1,'Dados-Status-Invest'!$2:$2,0),FALSE()),"")</f>
        <v>4.17</v>
      </c>
      <c r="W289" s="10" t="n">
        <f aca="false">IFERROR(VLOOKUP(A289,'Dados-Status-Invest'!$1:$1000,MATCH(W$1,'Dados-Status-Invest'!$2:$2,0),FALSE())/100,"")</f>
        <v>0</v>
      </c>
      <c r="X289" s="10" t="n">
        <f aca="false">IFERROR(VLOOKUP(A289,'Dados-Status-Invest'!$1:$1000,MATCH(X$1,'Dados-Status-Invest'!$2:$2,0),FALSE())/100,"")</f>
        <v>0</v>
      </c>
    </row>
    <row r="290" customFormat="false" ht="15.75" hidden="false" customHeight="false" outlineLevel="0" collapsed="false">
      <c r="A290" s="6" t="s">
        <v>322</v>
      </c>
      <c r="B290" s="7" t="str">
        <f aca="false">IFERROR(VLOOKUP(LEFT(A290,4),Setor!A:D,2,FALSE()),"")</f>
        <v>Bens Industriais</v>
      </c>
      <c r="C290" s="8" t="n">
        <f aca="false">IFERROR(__xludf.dummyfunction("IFERROR(IFERROR(GOOGLEFINANCE(A296,""price""),VLOOKUP(A296,'Dados-Status-Invest'!A:B,2,FALSE)),"""")"),3.3)</f>
        <v>3.3</v>
      </c>
      <c r="D290" s="8" t="n">
        <f aca="false">IFERROR(VLOOKUP(A290,'Dados-Status-Invest'!$1:$1000,MATCH(D$1,'Dados-Status-Invest'!$2:$2,0),FALSE()),"")</f>
        <v>4744787692</v>
      </c>
      <c r="E290" s="8" t="n">
        <f aca="false">IF(D290+H290&gt;0,D290+H290,"")</f>
        <v>8272785548</v>
      </c>
      <c r="F290" s="8" t="n">
        <f aca="false">IFERROR(D290/VLOOKUP(A290,'Dados-Status-Invest'!$1:$1000,5,FALSE()),"")</f>
        <v>1351791365</v>
      </c>
      <c r="G290" s="8" t="n">
        <f aca="false">IFERROR(D290/VLOOKUP(A290,'Dados-Status-Invest'!$1:$1000,6,FALSE()),"")</f>
        <v>6243141700</v>
      </c>
      <c r="H290" s="8" t="n">
        <f aca="false">IFERROR(VLOOKUP(A290,'Dados-Status-Invest'!$1:$1000,12,FALSE())*J290,"")</f>
        <v>3527997856</v>
      </c>
      <c r="I290" s="8" t="n">
        <f aca="false">IFERROR(D290/VLOOKUP(A290,'Dados-Status-Invest'!$1:$1000,14,FALSE()),"")</f>
        <v>1442184709</v>
      </c>
      <c r="J290" s="9" t="n">
        <f aca="false">IFERROR(D290/VLOOKUP(A290,'Dados-Status-Invest'!$1:$1000,10,FALSE()),"")</f>
        <v>230889912</v>
      </c>
      <c r="K290" s="10" t="n">
        <f aca="false">IFERROR(VLOOKUP(A290,'Dados-Status-Invest'!$1:$1000,3,FALSE())/100,"")</f>
        <v>0</v>
      </c>
      <c r="L290" s="11" t="n">
        <f aca="false">IFERROR(VLOOKUP(A290,'Dados-Status-Invest'!$1:$1000,MATCH(L$1,'Dados-Status-Invest'!$2:$2,0),FALSE())/100,"")</f>
        <v>-0.1194</v>
      </c>
      <c r="M290" s="10" t="n">
        <f aca="false">IFERROR(VLOOKUP(A290,'Dados-Status-Invest'!$1:$1000,MATCH(M$1,'Dados-Status-Invest'!$2:$2,0),FALSE())/100,"")</f>
        <v>-0.0257</v>
      </c>
      <c r="N290" s="10" t="n">
        <f aca="false">IFERROR(VLOOKUP(A290,'Dados-Status-Invest'!$1:$1000,MATCH(N$1,'Dados-Status-Invest'!$2:$2,0),FALSE())/100,"")</f>
        <v>0.0278</v>
      </c>
      <c r="O290" s="10" t="n">
        <f aca="false">IFERROR(VLOOKUP(A290,'Dados-Status-Invest'!$1:$1000,MATCH(O$1,'Dados-Status-Invest'!$2:$2,0),FALSE())/100,"")</f>
        <v>0.2828</v>
      </c>
      <c r="P290" s="10" t="n">
        <f aca="false">IFERROR(VLOOKUP(A290,'Dados-Status-Invest'!$1:$1000,MATCH(P$1,'Dados-Status-Invest'!$2:$2,0),FALSE())/100,"")</f>
        <v>0.1599</v>
      </c>
      <c r="Q290" s="10" t="n">
        <f aca="false">IFERROR(VLOOKUP(A290,'Dados-Status-Invest'!$1:$1000,MATCH(Q$1,'Dados-Status-Invest'!$2:$2,0),FALSE())/100,"")</f>
        <v>-0.1118</v>
      </c>
      <c r="R290" s="12" t="n">
        <f aca="false">IFERROR(VLOOKUP(A290,'Dados-Status-Invest'!$1:$1000,MATCH(R$1,'Dados-Status-Invest'!$2:$2,0),FALSE()),"")</f>
        <v>-29.41</v>
      </c>
      <c r="S290" s="12" t="n">
        <f aca="false">IFERROR(VLOOKUP(A290,'Dados-Status-Invest'!$1:$1000,MATCH(S$1,'Dados-Status-Invest'!$2:$2,0),FALSE()),"")</f>
        <v>3.51</v>
      </c>
      <c r="T290" s="12" t="n">
        <f aca="false">IFERROR(VLOOKUP(A290,'Dados-Status-Invest'!$1:$1000,MATCH(T$1,'Dados-Status-Invest'!$2:$2,0),FALSE()),"")</f>
        <v>35.77</v>
      </c>
      <c r="U290" s="12" t="n">
        <f aca="false">IFERROR(VLOOKUP(A290,'Dados-Status-Invest'!$1:$1000,MATCH(U$1,'Dados-Status-Invest'!$2:$2,0),FALSE()),"")</f>
        <v>3.33</v>
      </c>
      <c r="V290" s="12" t="n">
        <f aca="false">IFERROR(VLOOKUP(A290,'Dados-Status-Invest'!$1:$1000,MATCH(V$1,'Dados-Status-Invest'!$2:$2,0),FALSE()),"")</f>
        <v>15.28</v>
      </c>
      <c r="W290" s="10" t="n">
        <f aca="false">IFERROR(VLOOKUP(A290,'Dados-Status-Invest'!$1:$1000,MATCH(W$1,'Dados-Status-Invest'!$2:$2,0),FALSE())/100,"")</f>
        <v>0.4943</v>
      </c>
      <c r="X290" s="10" t="n">
        <f aca="false">IFERROR(VLOOKUP(A290,'Dados-Status-Invest'!$1:$1000,MATCH(X$1,'Dados-Status-Invest'!$2:$2,0),FALSE())/100,"")</f>
        <v>0</v>
      </c>
    </row>
    <row r="291" customFormat="false" ht="15.75" hidden="false" customHeight="false" outlineLevel="0" collapsed="false">
      <c r="A291" s="6" t="s">
        <v>323</v>
      </c>
      <c r="B291" s="7" t="str">
        <f aca="false">IFERROR(VLOOKUP(LEFT(A291,4),Setor!A:D,2,FALSE()),"")</f>
        <v>Financeiro</v>
      </c>
      <c r="C291" s="8" t="n">
        <f aca="false">IFERROR(__xludf.dummyfunction("IFERROR(IFERROR(GOOGLEFINANCE(A297,""price""),VLOOKUP(A297,'Dados-Status-Invest'!A:B,2,FALSE)),"""")"),39.9)</f>
        <v>39.9</v>
      </c>
      <c r="D291" s="8" t="n">
        <f aca="false">IFERROR(VLOOKUP(A291,'Dados-Status-Invest'!$1:$1000,MATCH(D$1,'Dados-Status-Invest'!$2:$2,0),FALSE()),"")</f>
        <v>511486472</v>
      </c>
      <c r="E291" s="8" t="n">
        <f aca="false">IF(D291+H291&gt;0,D291+H291,"")</f>
        <v>634844974.1</v>
      </c>
      <c r="F291" s="8" t="n">
        <f aca="false">IFERROR(D291/VLOOKUP(A291,'Dados-Status-Invest'!$1:$1000,5,FALSE()),"")</f>
        <v>311881995.1</v>
      </c>
      <c r="G291" s="8" t="n">
        <f aca="false">IFERROR(D291/VLOOKUP(A291,'Dados-Status-Invest'!$1:$1000,6,FALSE()),"")</f>
        <v>1382395870</v>
      </c>
      <c r="H291" s="8" t="n">
        <f aca="false">IFERROR(VLOOKUP(A291,'Dados-Status-Invest'!$1:$1000,12,FALSE())*J291,"")</f>
        <v>123358502.1</v>
      </c>
      <c r="I291" s="8" t="n">
        <f aca="false">IFERROR(D291/VLOOKUP(A291,'Dados-Status-Invest'!$1:$1000,14,FALSE()),"")</f>
        <v>113160723.9</v>
      </c>
      <c r="J291" s="9" t="n">
        <f aca="false">IFERROR(D291/VLOOKUP(A291,'Dados-Status-Invest'!$1:$1000,10,FALSE()),"")</f>
        <v>50145732.55</v>
      </c>
      <c r="K291" s="10" t="n">
        <f aca="false">IFERROR(VLOOKUP(A291,'Dados-Status-Invest'!$1:$1000,3,FALSE())/100,"")</f>
        <v>0.0029</v>
      </c>
      <c r="L291" s="11" t="n">
        <f aca="false">IFERROR(VLOOKUP(A291,'Dados-Status-Invest'!$1:$1000,MATCH(L$1,'Dados-Status-Invest'!$2:$2,0),FALSE())/100,"")</f>
        <v>0.0456</v>
      </c>
      <c r="M291" s="10" t="n">
        <f aca="false">IFERROR(VLOOKUP(A291,'Dados-Status-Invest'!$1:$1000,MATCH(M$1,'Dados-Status-Invest'!$2:$2,0),FALSE())/100,"")</f>
        <v>0.0103</v>
      </c>
      <c r="N291" s="10" t="n">
        <f aca="false">IFERROR(VLOOKUP(A291,'Dados-Status-Invest'!$1:$1000,MATCH(N$1,'Dados-Status-Invest'!$2:$2,0),FALSE())/100,"")</f>
        <v>0.0837</v>
      </c>
      <c r="O291" s="10" t="n">
        <f aca="false">IFERROR(VLOOKUP(A291,'Dados-Status-Invest'!$1:$1000,MATCH(O$1,'Dados-Status-Invest'!$2:$2,0),FALSE())/100,"")</f>
        <v>0.7316</v>
      </c>
      <c r="P291" s="10" t="n">
        <f aca="false">IFERROR(VLOOKUP(A291,'Dados-Status-Invest'!$1:$1000,MATCH(P$1,'Dados-Status-Invest'!$2:$2,0),FALSE())/100,"")</f>
        <v>0.4436</v>
      </c>
      <c r="Q291" s="10" t="n">
        <f aca="false">IFERROR(VLOOKUP(A291,'Dados-Status-Invest'!$1:$1000,MATCH(Q$1,'Dados-Status-Invest'!$2:$2,0),FALSE())/100,"")</f>
        <v>0.1259</v>
      </c>
      <c r="R291" s="12" t="n">
        <f aca="false">IFERROR(VLOOKUP(A291,'Dados-Status-Invest'!$1:$1000,MATCH(R$1,'Dados-Status-Invest'!$2:$2,0),FALSE()),"")</f>
        <v>35.92</v>
      </c>
      <c r="S291" s="12" t="n">
        <f aca="false">IFERROR(VLOOKUP(A291,'Dados-Status-Invest'!$1:$1000,MATCH(S$1,'Dados-Status-Invest'!$2:$2,0),FALSE()),"")</f>
        <v>1.64</v>
      </c>
      <c r="T291" s="12" t="n">
        <f aca="false">IFERROR(VLOOKUP(A291,'Dados-Status-Invest'!$1:$1000,MATCH(T$1,'Dados-Status-Invest'!$2:$2,0),FALSE()),"")</f>
        <v>12.66</v>
      </c>
      <c r="U291" s="12" t="n">
        <f aca="false">IFERROR(VLOOKUP(A291,'Dados-Status-Invest'!$1:$1000,MATCH(U$1,'Dados-Status-Invest'!$2:$2,0),FALSE()),"")</f>
        <v>0.84</v>
      </c>
      <c r="V291" s="12" t="n">
        <f aca="false">IFERROR(VLOOKUP(A291,'Dados-Status-Invest'!$1:$1000,MATCH(V$1,'Dados-Status-Invest'!$2:$2,0),FALSE()),"")</f>
        <v>2.46</v>
      </c>
      <c r="W291" s="10" t="n">
        <f aca="false">IFERROR(VLOOKUP(A291,'Dados-Status-Invest'!$1:$1000,MATCH(W$1,'Dados-Status-Invest'!$2:$2,0),FALSE())/100,"")</f>
        <v>0.0742</v>
      </c>
      <c r="X291" s="10" t="n">
        <f aca="false">IFERROR(VLOOKUP(A291,'Dados-Status-Invest'!$1:$1000,MATCH(X$1,'Dados-Status-Invest'!$2:$2,0),FALSE())/100,"")</f>
        <v>-0.2549</v>
      </c>
    </row>
    <row r="292" customFormat="false" ht="15.75" hidden="false" customHeight="false" outlineLevel="0" collapsed="false">
      <c r="A292" s="6" t="s">
        <v>324</v>
      </c>
      <c r="B292" s="7" t="str">
        <f aca="false">IFERROR(VLOOKUP(LEFT(A292,4),Setor!A:D,2,FALSE()),"")</f>
        <v>Consumo Cíclico</v>
      </c>
      <c r="C292" s="8" t="n">
        <f aca="false">IFERROR(__xludf.dummyfunction("IFERROR(IFERROR(GOOGLEFINANCE(A298,""price""),VLOOKUP(A298,'Dados-Status-Invest'!A:B,2,FALSE)),"""")"),96)</f>
        <v>96</v>
      </c>
      <c r="D292" s="8" t="n">
        <f aca="false">IFERROR(VLOOKUP(A292,'Dados-Status-Invest'!$1:$1000,MATCH(D$1,'Dados-Status-Invest'!$2:$2,0),FALSE()),"")</f>
        <v>24761832.45</v>
      </c>
      <c r="E292" s="8" t="n">
        <f aca="false">IF(D292+H292&gt;0,D292+H292,"")</f>
        <v>154761452.85</v>
      </c>
      <c r="F292" s="8" t="n">
        <f aca="false">IFERROR(D292/VLOOKUP(A292,'Dados-Status-Invest'!$1:$1000,5,FALSE()),"")</f>
        <v>-225107567.7</v>
      </c>
      <c r="G292" s="8" t="n">
        <f aca="false">IFERROR(D292/VLOOKUP(A292,'Dados-Status-Invest'!$1:$1000,6,FALSE()),"")</f>
        <v>4406020.009</v>
      </c>
      <c r="H292" s="8" t="n">
        <f aca="false">IFERROR(VLOOKUP(A292,'Dados-Status-Invest'!$1:$1000,12,FALSE())*J292,"")</f>
        <v>129999620.4</v>
      </c>
      <c r="I292" s="8" t="n">
        <f aca="false">IFERROR(D292/VLOOKUP(A292,'Dados-Status-Invest'!$1:$1000,14,FALSE()),"")</f>
        <v>653001.9106</v>
      </c>
      <c r="J292" s="9" t="n">
        <f aca="false">IFERROR(D292/VLOOKUP(A292,'Dados-Status-Invest'!$1:$1000,10,FALSE()),"")</f>
        <v>-68782867.92</v>
      </c>
      <c r="K292" s="10" t="n">
        <f aca="false">IFERROR(VLOOKUP(A292,'Dados-Status-Invest'!$1:$1000,3,FALSE())/100,"")</f>
        <v>0</v>
      </c>
      <c r="L292" s="11" t="n">
        <f aca="false">IFERROR(VLOOKUP(A292,'Dados-Status-Invest'!$1:$1000,MATCH(L$1,'Dados-Status-Invest'!$2:$2,0),FALSE())/100,"")</f>
        <v>-0.3111</v>
      </c>
      <c r="M292" s="10" t="n">
        <f aca="false">IFERROR(VLOOKUP(A292,'Dados-Status-Invest'!$1:$1000,MATCH(M$1,'Dados-Status-Invest'!$2:$2,0),FALSE())/100,"")</f>
        <v>-15.8845</v>
      </c>
      <c r="N292" s="10" t="n">
        <f aca="false">IFERROR(VLOOKUP(A292,'Dados-Status-Invest'!$1:$1000,MATCH(N$1,'Dados-Status-Invest'!$2:$2,0),FALSE())/100,"")</f>
        <v>0.7439</v>
      </c>
      <c r="O292" s="10" t="n">
        <f aca="false">IFERROR(VLOOKUP(A292,'Dados-Status-Invest'!$1:$1000,MATCH(O$1,'Dados-Status-Invest'!$2:$2,0),FALSE())/100,"")</f>
        <v>1</v>
      </c>
      <c r="P292" s="10" t="n">
        <f aca="false">IFERROR(VLOOKUP(A292,'Dados-Status-Invest'!$1:$1000,MATCH(P$1,'Dados-Status-Invest'!$2:$2,0),FALSE())/100,"")</f>
        <v>-106.5545</v>
      </c>
      <c r="Q292" s="10" t="n">
        <f aca="false">IFERROR(VLOOKUP(A292,'Dados-Status-Invest'!$1:$1000,MATCH(Q$1,'Dados-Status-Invest'!$2:$2,0),FALSE())/100,"")</f>
        <v>-107.1468</v>
      </c>
      <c r="R292" s="12" t="n">
        <f aca="false">IFERROR(VLOOKUP(A292,'Dados-Status-Invest'!$1:$1000,MATCH(R$1,'Dados-Status-Invest'!$2:$2,0),FALSE()),"")</f>
        <v>-0.35</v>
      </c>
      <c r="S292" s="12" t="n">
        <f aca="false">IFERROR(VLOOKUP(A292,'Dados-Status-Invest'!$1:$1000,MATCH(S$1,'Dados-Status-Invest'!$2:$2,0),FALSE()),"")</f>
        <v>-0.11</v>
      </c>
      <c r="T292" s="12" t="n">
        <f aca="false">IFERROR(VLOOKUP(A292,'Dados-Status-Invest'!$1:$1000,MATCH(T$1,'Dados-Status-Invest'!$2:$2,0),FALSE()),"")</f>
        <v>-2.03</v>
      </c>
      <c r="U292" s="12" t="n">
        <f aca="false">IFERROR(VLOOKUP(A292,'Dados-Status-Invest'!$1:$1000,MATCH(U$1,'Dados-Status-Invest'!$2:$2,0),FALSE()),"")</f>
        <v>0</v>
      </c>
      <c r="V292" s="12" t="n">
        <f aca="false">IFERROR(VLOOKUP(A292,'Dados-Status-Invest'!$1:$1000,MATCH(V$1,'Dados-Status-Invest'!$2:$2,0),FALSE()),"")</f>
        <v>-1.89</v>
      </c>
      <c r="W292" s="10" t="n">
        <f aca="false">IFERROR(VLOOKUP(A292,'Dados-Status-Invest'!$1:$1000,MATCH(W$1,'Dados-Status-Invest'!$2:$2,0),FALSE())/100,"")</f>
        <v>-0.0224</v>
      </c>
      <c r="X292" s="10" t="n">
        <f aca="false">IFERROR(VLOOKUP(A292,'Dados-Status-Invest'!$1:$1000,MATCH(X$1,'Dados-Status-Invest'!$2:$2,0),FALSE())/100,"")</f>
        <v>0</v>
      </c>
    </row>
    <row r="293" customFormat="false" ht="15.75" hidden="false" customHeight="false" outlineLevel="0" collapsed="false">
      <c r="A293" s="6" t="s">
        <v>325</v>
      </c>
      <c r="B293" s="7" t="str">
        <f aca="false">IFERROR(VLOOKUP(LEFT(A293,4),Setor!A:D,2,FALSE()),"")</f>
        <v>Consumo Cíclico</v>
      </c>
      <c r="C293" s="8" t="n">
        <f aca="false">IFERROR(__xludf.dummyfunction("IFERROR(IFERROR(GOOGLEFINANCE(A299,""price""),VLOOKUP(A299,'Dados-Status-Invest'!A:B,2,FALSE)),"""")"),6.19)</f>
        <v>6.19</v>
      </c>
      <c r="D293" s="8" t="n">
        <f aca="false">IFERROR(VLOOKUP(A293,'Dados-Status-Invest'!$1:$1000,MATCH(D$1,'Dados-Status-Invest'!$2:$2,0),FALSE()),"")</f>
        <v>24761832.45</v>
      </c>
      <c r="E293" s="8" t="n">
        <f aca="false">IF(D293+H293&gt;0,D293+H293,"")</f>
        <v>1194758415.45</v>
      </c>
      <c r="F293" s="8" t="n">
        <f aca="false">IFERROR(D293/VLOOKUP(A293,'Dados-Status-Invest'!$1:$1000,5,FALSE()),"")</f>
        <v>-2476183245</v>
      </c>
      <c r="G293" s="8" t="n">
        <f aca="false">IFERROR(D293/VLOOKUP(A293,'Dados-Status-Invest'!$1:$1000,6,FALSE()),"")</f>
        <v>42692814.57</v>
      </c>
      <c r="H293" s="8" t="n">
        <f aca="false">IFERROR(VLOOKUP(A293,'Dados-Status-Invest'!$1:$1000,12,FALSE())*J293,"")</f>
        <v>1169996583</v>
      </c>
      <c r="I293" s="8" t="n">
        <f aca="false">IFERROR(D293/VLOOKUP(A293,'Dados-Status-Invest'!$1:$1000,14,FALSE()),"")</f>
        <v>6316793.992</v>
      </c>
      <c r="J293" s="9" t="n">
        <f aca="false">IFERROR(D293/VLOOKUP(A293,'Dados-Status-Invest'!$1:$1000,10,FALSE()),"")</f>
        <v>-619045811.3</v>
      </c>
      <c r="K293" s="10" t="n">
        <f aca="false">IFERROR(VLOOKUP(A293,'Dados-Status-Invest'!$1:$1000,3,FALSE())/100,"")</f>
        <v>0</v>
      </c>
      <c r="L293" s="11" t="n">
        <f aca="false">IFERROR(VLOOKUP(A293,'Dados-Status-Invest'!$1:$1000,MATCH(L$1,'Dados-Status-Invest'!$2:$2,0),FALSE())/100,"")</f>
        <v>-0.3111</v>
      </c>
      <c r="M293" s="10" t="n">
        <f aca="false">IFERROR(VLOOKUP(A293,'Dados-Status-Invest'!$1:$1000,MATCH(M$1,'Dados-Status-Invest'!$2:$2,0),FALSE())/100,"")</f>
        <v>-15.8845</v>
      </c>
      <c r="N293" s="10" t="n">
        <f aca="false">IFERROR(VLOOKUP(A293,'Dados-Status-Invest'!$1:$1000,MATCH(N$1,'Dados-Status-Invest'!$2:$2,0),FALSE())/100,"")</f>
        <v>0.7439</v>
      </c>
      <c r="O293" s="10" t="n">
        <f aca="false">IFERROR(VLOOKUP(A293,'Dados-Status-Invest'!$1:$1000,MATCH(O$1,'Dados-Status-Invest'!$2:$2,0),FALSE())/100,"")</f>
        <v>1</v>
      </c>
      <c r="P293" s="10" t="n">
        <f aca="false">IFERROR(VLOOKUP(A293,'Dados-Status-Invest'!$1:$1000,MATCH(P$1,'Dados-Status-Invest'!$2:$2,0),FALSE())/100,"")</f>
        <v>-106.5545</v>
      </c>
      <c r="Q293" s="10" t="n">
        <f aca="false">IFERROR(VLOOKUP(A293,'Dados-Status-Invest'!$1:$1000,MATCH(Q$1,'Dados-Status-Invest'!$2:$2,0),FALSE())/100,"")</f>
        <v>-107.1468</v>
      </c>
      <c r="R293" s="12" t="n">
        <f aca="false">IFERROR(VLOOKUP(A293,'Dados-Status-Invest'!$1:$1000,MATCH(R$1,'Dados-Status-Invest'!$2:$2,0),FALSE()),"")</f>
        <v>-0.04</v>
      </c>
      <c r="S293" s="12" t="n">
        <f aca="false">IFERROR(VLOOKUP(A293,'Dados-Status-Invest'!$1:$1000,MATCH(S$1,'Dados-Status-Invest'!$2:$2,0),FALSE()),"")</f>
        <v>-0.01</v>
      </c>
      <c r="T293" s="12" t="n">
        <f aca="false">IFERROR(VLOOKUP(A293,'Dados-Status-Invest'!$1:$1000,MATCH(T$1,'Dados-Status-Invest'!$2:$2,0),FALSE()),"")</f>
        <v>-2.03</v>
      </c>
      <c r="U293" s="12" t="n">
        <f aca="false">IFERROR(VLOOKUP(A293,'Dados-Status-Invest'!$1:$1000,MATCH(U$1,'Dados-Status-Invest'!$2:$2,0),FALSE()),"")</f>
        <v>0</v>
      </c>
      <c r="V293" s="12" t="n">
        <f aca="false">IFERROR(VLOOKUP(A293,'Dados-Status-Invest'!$1:$1000,MATCH(V$1,'Dados-Status-Invest'!$2:$2,0),FALSE()),"")</f>
        <v>-1.89</v>
      </c>
      <c r="W293" s="10" t="n">
        <f aca="false">IFERROR(VLOOKUP(A293,'Dados-Status-Invest'!$1:$1000,MATCH(W$1,'Dados-Status-Invest'!$2:$2,0),FALSE())/100,"")</f>
        <v>-0.0224</v>
      </c>
      <c r="X293" s="10" t="n">
        <f aca="false">IFERROR(VLOOKUP(A293,'Dados-Status-Invest'!$1:$1000,MATCH(X$1,'Dados-Status-Invest'!$2:$2,0),FALSE())/100,"")</f>
        <v>0</v>
      </c>
    </row>
    <row r="294" customFormat="false" ht="15.75" hidden="false" customHeight="false" outlineLevel="0" collapsed="false">
      <c r="A294" s="6" t="s">
        <v>326</v>
      </c>
      <c r="B294" s="7" t="str">
        <f aca="false">IFERROR(VLOOKUP(LEFT(A294,4),Setor!A:D,2,FALSE()),"")</f>
        <v>Consumo Cíclico</v>
      </c>
      <c r="C294" s="8" t="n">
        <f aca="false">IFERROR(__xludf.dummyfunction("IFERROR(IFERROR(GOOGLEFINANCE(A300,""price""),VLOOKUP(A300,'Dados-Status-Invest'!A:B,2,FALSE)),"""")"),34.01)</f>
        <v>34.01</v>
      </c>
      <c r="D294" s="8" t="n">
        <f aca="false">IFERROR(VLOOKUP(A294,'Dados-Status-Invest'!$1:$1000,MATCH(D$1,'Dados-Status-Invest'!$2:$2,0),FALSE()),"")</f>
        <v>5539156573</v>
      </c>
      <c r="E294" s="8" t="n">
        <f aca="false">IF(D294+H294&gt;0,D294+H294,"")</f>
        <v>5339832483.2</v>
      </c>
      <c r="F294" s="8" t="n">
        <f aca="false">IFERROR(D294/VLOOKUP(A294,'Dados-Status-Invest'!$1:$1000,5,FALSE()),"")</f>
        <v>1643666639</v>
      </c>
      <c r="G294" s="8" t="n">
        <f aca="false">IFERROR(D294/VLOOKUP(A294,'Dados-Status-Invest'!$1:$1000,6,FALSE()),"")</f>
        <v>2224560873</v>
      </c>
      <c r="H294" s="8" t="n">
        <f aca="false">IFERROR(VLOOKUP(A294,'Dados-Status-Invest'!$1:$1000,12,FALSE())*J294,"")</f>
        <v>-199324089.8</v>
      </c>
      <c r="I294" s="8" t="n">
        <f aca="false">IFERROR(D294/VLOOKUP(A294,'Dados-Status-Invest'!$1:$1000,14,FALSE()),"")</f>
        <v>1086109132</v>
      </c>
      <c r="J294" s="9" t="n">
        <f aca="false">IFERROR(D294/VLOOKUP(A294,'Dados-Status-Invest'!$1:$1000,10,FALSE()),"")</f>
        <v>85546819.66</v>
      </c>
      <c r="K294" s="10" t="n">
        <f aca="false">IFERROR(VLOOKUP(A294,'Dados-Status-Invest'!$1:$1000,3,FALSE())/100,"")</f>
        <v>0.016</v>
      </c>
      <c r="L294" s="11" t="n">
        <f aca="false">IFERROR(VLOOKUP(A294,'Dados-Status-Invest'!$1:$1000,MATCH(L$1,'Dados-Status-Invest'!$2:$2,0),FALSE())/100,"")</f>
        <v>0.2176</v>
      </c>
      <c r="M294" s="10" t="n">
        <f aca="false">IFERROR(VLOOKUP(A294,'Dados-Status-Invest'!$1:$1000,MATCH(M$1,'Dados-Status-Invest'!$2:$2,0),FALSE())/100,"")</f>
        <v>0.1606</v>
      </c>
      <c r="N294" s="10" t="n">
        <f aca="false">IFERROR(VLOOKUP(A294,'Dados-Status-Invest'!$1:$1000,MATCH(N$1,'Dados-Status-Invest'!$2:$2,0),FALSE())/100,"")</f>
        <v>0.0088</v>
      </c>
      <c r="O294" s="10" t="n">
        <f aca="false">IFERROR(VLOOKUP(A294,'Dados-Status-Invest'!$1:$1000,MATCH(O$1,'Dados-Status-Invest'!$2:$2,0),FALSE())/100,"")</f>
        <v>0.3868</v>
      </c>
      <c r="P294" s="10" t="n">
        <f aca="false">IFERROR(VLOOKUP(A294,'Dados-Status-Invest'!$1:$1000,MATCH(P$1,'Dados-Status-Invest'!$2:$2,0),FALSE())/100,"")</f>
        <v>0.0787</v>
      </c>
      <c r="Q294" s="10" t="n">
        <f aca="false">IFERROR(VLOOKUP(A294,'Dados-Status-Invest'!$1:$1000,MATCH(Q$1,'Dados-Status-Invest'!$2:$2,0),FALSE())/100,"")</f>
        <v>0.3292</v>
      </c>
      <c r="R294" s="12" t="n">
        <f aca="false">IFERROR(VLOOKUP(A294,'Dados-Status-Invest'!$1:$1000,MATCH(R$1,'Dados-Status-Invest'!$2:$2,0),FALSE()),"")</f>
        <v>15.49</v>
      </c>
      <c r="S294" s="12" t="n">
        <f aca="false">IFERROR(VLOOKUP(A294,'Dados-Status-Invest'!$1:$1000,MATCH(S$1,'Dados-Status-Invest'!$2:$2,0),FALSE()),"")</f>
        <v>3.37</v>
      </c>
      <c r="T294" s="12" t="n">
        <f aca="false">IFERROR(VLOOKUP(A294,'Dados-Status-Invest'!$1:$1000,MATCH(T$1,'Dados-Status-Invest'!$2:$2,0),FALSE()),"")</f>
        <v>62.42</v>
      </c>
      <c r="U294" s="12" t="n">
        <f aca="false">IFERROR(VLOOKUP(A294,'Dados-Status-Invest'!$1:$1000,MATCH(U$1,'Dados-Status-Invest'!$2:$2,0),FALSE()),"")</f>
        <v>2.6</v>
      </c>
      <c r="V294" s="12" t="n">
        <f aca="false">IFERROR(VLOOKUP(A294,'Dados-Status-Invest'!$1:$1000,MATCH(V$1,'Dados-Status-Invest'!$2:$2,0),FALSE()),"")</f>
        <v>-2.33</v>
      </c>
      <c r="W294" s="10" t="n">
        <f aca="false">IFERROR(VLOOKUP(A294,'Dados-Status-Invest'!$1:$1000,MATCH(W$1,'Dados-Status-Invest'!$2:$2,0),FALSE())/100,"")</f>
        <v>-0.0754</v>
      </c>
      <c r="X294" s="10" t="n">
        <f aca="false">IFERROR(VLOOKUP(A294,'Dados-Status-Invest'!$1:$1000,MATCH(X$1,'Dados-Status-Invest'!$2:$2,0),FALSE())/100,"")</f>
        <v>0.0405</v>
      </c>
    </row>
    <row r="295" customFormat="false" ht="15.75" hidden="false" customHeight="false" outlineLevel="0" collapsed="false">
      <c r="A295" s="6" t="s">
        <v>327</v>
      </c>
      <c r="B295" s="7" t="str">
        <f aca="false">IFERROR(VLOOKUP(LEFT(A295,4),Setor!A:D,2,FALSE()),"")</f>
        <v>Consumo Cíclico</v>
      </c>
      <c r="C295" s="8" t="n">
        <f aca="false">IFERROR(__xludf.dummyfunction("IFERROR(IFERROR(GOOGLEFINANCE(A301,""price""),VLOOKUP(A301,'Dados-Status-Invest'!A:B,2,FALSE)),"""")"),0)</f>
        <v>0</v>
      </c>
      <c r="D295" s="8" t="n">
        <f aca="false">IFERROR(VLOOKUP(A295,'Dados-Status-Invest'!$1:$1000,MATCH(D$1,'Dados-Status-Invest'!$2:$2,0),FALSE()),"")</f>
        <v>33077929.86</v>
      </c>
      <c r="E295" s="8" t="n">
        <f aca="false">IF(D295+H295&gt;0,D295+H295,"")</f>
        <v>33077929.86</v>
      </c>
      <c r="F295" s="8" t="str">
        <f aca="false">IFERROR(D295/VLOOKUP(A295,'Dados-Status-Invest'!$1:$1000,5,FALSE()),"")</f>
        <v/>
      </c>
      <c r="G295" s="8" t="str">
        <f aca="false">IFERROR(D295/VLOOKUP(A295,'Dados-Status-Invest'!$1:$1000,6,FALSE()),"")</f>
        <v/>
      </c>
      <c r="H295" s="8" t="n">
        <f aca="false">IFERROR(VLOOKUP(A295,'Dados-Status-Invest'!$1:$1000,12,FALSE())*J295,"")</f>
        <v>0</v>
      </c>
      <c r="I295" s="8" t="str">
        <f aca="false">IFERROR(D295/VLOOKUP(A295,'Dados-Status-Invest'!$1:$1000,14,FALSE()),"")</f>
        <v/>
      </c>
      <c r="J295" s="9" t="str">
        <f aca="false">IFERROR(D295/VLOOKUP(A295,'Dados-Status-Invest'!$1:$1000,10,FALSE()),"")</f>
        <v/>
      </c>
      <c r="K295" s="10" t="n">
        <f aca="false">IFERROR(VLOOKUP(A295,'Dados-Status-Invest'!$1:$1000,3,FALSE())/100,"")</f>
        <v>0</v>
      </c>
      <c r="L295" s="11" t="n">
        <f aca="false">IFERROR(VLOOKUP(A295,'Dados-Status-Invest'!$1:$1000,MATCH(L$1,'Dados-Status-Invest'!$2:$2,0),FALSE())/100,"")</f>
        <v>-0.1655</v>
      </c>
      <c r="M295" s="10" t="n">
        <f aca="false">IFERROR(VLOOKUP(A295,'Dados-Status-Invest'!$1:$1000,MATCH(M$1,'Dados-Status-Invest'!$2:$2,0),FALSE())/100,"")</f>
        <v>-0.1635</v>
      </c>
      <c r="N295" s="10" t="n">
        <f aca="false">IFERROR(VLOOKUP(A295,'Dados-Status-Invest'!$1:$1000,MATCH(N$1,'Dados-Status-Invest'!$2:$2,0),FALSE())/100,"")</f>
        <v>0.1221</v>
      </c>
      <c r="O295" s="10" t="n">
        <f aca="false">IFERROR(VLOOKUP(A295,'Dados-Status-Invest'!$1:$1000,MATCH(O$1,'Dados-Status-Invest'!$2:$2,0),FALSE())/100,"")</f>
        <v>0.3633</v>
      </c>
      <c r="P295" s="10" t="n">
        <f aca="false">IFERROR(VLOOKUP(A295,'Dados-Status-Invest'!$1:$1000,MATCH(P$1,'Dados-Status-Invest'!$2:$2,0),FALSE())/100,"")</f>
        <v>-2.7205</v>
      </c>
      <c r="Q295" s="10" t="n">
        <f aca="false">IFERROR(VLOOKUP(A295,'Dados-Status-Invest'!$1:$1000,MATCH(Q$1,'Dados-Status-Invest'!$2:$2,0),FALSE())/100,"")</f>
        <v>-3.6256</v>
      </c>
      <c r="R295" s="12" t="n">
        <f aca="false">IFERROR(VLOOKUP(A295,'Dados-Status-Invest'!$1:$1000,MATCH(R$1,'Dados-Status-Invest'!$2:$2,0),FALSE()),"")</f>
        <v>0</v>
      </c>
      <c r="S295" s="12" t="n">
        <f aca="false">IFERROR(VLOOKUP(A295,'Dados-Status-Invest'!$1:$1000,MATCH(S$1,'Dados-Status-Invest'!$2:$2,0),FALSE()),"")</f>
        <v>0</v>
      </c>
      <c r="T295" s="12" t="n">
        <f aca="false">IFERROR(VLOOKUP(A295,'Dados-Status-Invest'!$1:$1000,MATCH(T$1,'Dados-Status-Invest'!$2:$2,0),FALSE()),"")</f>
        <v>-0.56</v>
      </c>
      <c r="U295" s="12" t="n">
        <f aca="false">IFERROR(VLOOKUP(A295,'Dados-Status-Invest'!$1:$1000,MATCH(U$1,'Dados-Status-Invest'!$2:$2,0),FALSE()),"")</f>
        <v>0.04</v>
      </c>
      <c r="V295" s="12" t="n">
        <f aca="false">IFERROR(VLOOKUP(A295,'Dados-Status-Invest'!$1:$1000,MATCH(V$1,'Dados-Status-Invest'!$2:$2,0),FALSE()),"")</f>
        <v>0.02</v>
      </c>
      <c r="W295" s="10" t="n">
        <f aca="false">IFERROR(VLOOKUP(A295,'Dados-Status-Invest'!$1:$1000,MATCH(W$1,'Dados-Status-Invest'!$2:$2,0),FALSE())/100,"")</f>
        <v>-0.2422</v>
      </c>
      <c r="X295" s="10" t="n">
        <f aca="false">IFERROR(VLOOKUP(A295,'Dados-Status-Invest'!$1:$1000,MATCH(X$1,'Dados-Status-Invest'!$2:$2,0),FALSE())/100,"")</f>
        <v>0</v>
      </c>
    </row>
    <row r="296" customFormat="false" ht="15.75" hidden="false" customHeight="false" outlineLevel="0" collapsed="false">
      <c r="A296" s="6" t="s">
        <v>328</v>
      </c>
      <c r="B296" s="7" t="str">
        <f aca="false">IFERROR(VLOOKUP(LEFT(A296,4),Setor!A:D,2,FALSE()),"")</f>
        <v>Consumo Cíclico</v>
      </c>
      <c r="C296" s="8" t="n">
        <f aca="false">IFERROR(__xludf.dummyfunction("IFERROR(IFERROR(GOOGLEFINANCE(A302,""price""),VLOOKUP(A302,'Dados-Status-Invest'!A:B,2,FALSE)),"""")"),2.31)</f>
        <v>2.31</v>
      </c>
      <c r="D296" s="8" t="n">
        <f aca="false">IFERROR(VLOOKUP(A296,'Dados-Status-Invest'!$1:$1000,MATCH(D$1,'Dados-Status-Invest'!$2:$2,0),FALSE()),"")</f>
        <v>33077929.86</v>
      </c>
      <c r="E296" s="8" t="n">
        <f aca="false">IF(D296+H296&gt;0,D296+H296,"")</f>
        <v>32584229.4143</v>
      </c>
      <c r="F296" s="8" t="n">
        <f aca="false">IFERROR(D296/VLOOKUP(A296,'Dados-Status-Invest'!$1:$1000,5,FALSE()),"")</f>
        <v>-194576058</v>
      </c>
      <c r="G296" s="8" t="n">
        <f aca="false">IFERROR(D296/VLOOKUP(A296,'Dados-Status-Invest'!$1:$1000,6,FALSE()),"")</f>
        <v>194576058</v>
      </c>
      <c r="H296" s="8" t="n">
        <f aca="false">IFERROR(VLOOKUP(A296,'Dados-Status-Invest'!$1:$1000,12,FALSE())*J296,"")</f>
        <v>-493700.4457</v>
      </c>
      <c r="I296" s="8" t="n">
        <f aca="false">IFERROR(D296/VLOOKUP(A296,'Dados-Status-Invest'!$1:$1000,14,FALSE()),"")</f>
        <v>9037685.754</v>
      </c>
      <c r="J296" s="9" t="n">
        <f aca="false">IFERROR(D296/VLOOKUP(A296,'Dados-Status-Invest'!$1:$1000,10,FALSE()),"")</f>
        <v>-24685022.28</v>
      </c>
      <c r="K296" s="10" t="n">
        <f aca="false">IFERROR(VLOOKUP(A296,'Dados-Status-Invest'!$1:$1000,3,FALSE())/100,"")</f>
        <v>0</v>
      </c>
      <c r="L296" s="11" t="n">
        <f aca="false">IFERROR(VLOOKUP(A296,'Dados-Status-Invest'!$1:$1000,MATCH(L$1,'Dados-Status-Invest'!$2:$2,0),FALSE())/100,"")</f>
        <v>-0.1655</v>
      </c>
      <c r="M296" s="10" t="n">
        <f aca="false">IFERROR(VLOOKUP(A296,'Dados-Status-Invest'!$1:$1000,MATCH(M$1,'Dados-Status-Invest'!$2:$2,0),FALSE())/100,"")</f>
        <v>-0.1635</v>
      </c>
      <c r="N296" s="10" t="n">
        <f aca="false">IFERROR(VLOOKUP(A296,'Dados-Status-Invest'!$1:$1000,MATCH(N$1,'Dados-Status-Invest'!$2:$2,0),FALSE())/100,"")</f>
        <v>0.1221</v>
      </c>
      <c r="O296" s="10" t="n">
        <f aca="false">IFERROR(VLOOKUP(A296,'Dados-Status-Invest'!$1:$1000,MATCH(O$1,'Dados-Status-Invest'!$2:$2,0),FALSE())/100,"")</f>
        <v>0.3633</v>
      </c>
      <c r="P296" s="10" t="n">
        <f aca="false">IFERROR(VLOOKUP(A296,'Dados-Status-Invest'!$1:$1000,MATCH(P$1,'Dados-Status-Invest'!$2:$2,0),FALSE())/100,"")</f>
        <v>-2.7205</v>
      </c>
      <c r="Q296" s="10" t="n">
        <f aca="false">IFERROR(VLOOKUP(A296,'Dados-Status-Invest'!$1:$1000,MATCH(Q$1,'Dados-Status-Invest'!$2:$2,0),FALSE())/100,"")</f>
        <v>-3.6256</v>
      </c>
      <c r="R296" s="12" t="n">
        <f aca="false">IFERROR(VLOOKUP(A296,'Dados-Status-Invest'!$1:$1000,MATCH(R$1,'Dados-Status-Invest'!$2:$2,0),FALSE()),"")</f>
        <v>-1.01</v>
      </c>
      <c r="S296" s="12" t="n">
        <f aca="false">IFERROR(VLOOKUP(A296,'Dados-Status-Invest'!$1:$1000,MATCH(S$1,'Dados-Status-Invest'!$2:$2,0),FALSE()),"")</f>
        <v>-0.17</v>
      </c>
      <c r="T296" s="12" t="n">
        <f aca="false">IFERROR(VLOOKUP(A296,'Dados-Status-Invest'!$1:$1000,MATCH(T$1,'Dados-Status-Invest'!$2:$2,0),FALSE()),"")</f>
        <v>-0.56</v>
      </c>
      <c r="U296" s="12" t="n">
        <f aca="false">IFERROR(VLOOKUP(A296,'Dados-Status-Invest'!$1:$1000,MATCH(U$1,'Dados-Status-Invest'!$2:$2,0),FALSE()),"")</f>
        <v>0.04</v>
      </c>
      <c r="V296" s="12" t="n">
        <f aca="false">IFERROR(VLOOKUP(A296,'Dados-Status-Invest'!$1:$1000,MATCH(V$1,'Dados-Status-Invest'!$2:$2,0),FALSE()),"")</f>
        <v>0.02</v>
      </c>
      <c r="W296" s="10" t="n">
        <f aca="false">IFERROR(VLOOKUP(A296,'Dados-Status-Invest'!$1:$1000,MATCH(W$1,'Dados-Status-Invest'!$2:$2,0),FALSE())/100,"")</f>
        <v>-0.2422</v>
      </c>
      <c r="X296" s="10" t="n">
        <f aca="false">IFERROR(VLOOKUP(A296,'Dados-Status-Invest'!$1:$1000,MATCH(X$1,'Dados-Status-Invest'!$2:$2,0),FALSE())/100,"")</f>
        <v>0</v>
      </c>
    </row>
    <row r="297" customFormat="false" ht="15.75" hidden="false" customHeight="false" outlineLevel="0" collapsed="false">
      <c r="A297" s="6" t="s">
        <v>329</v>
      </c>
      <c r="B297" s="7" t="str">
        <f aca="false">IFERROR(VLOOKUP(LEFT(A297,4),Setor!A:D,2,FALSE()),"")</f>
        <v>Saúde</v>
      </c>
      <c r="C297" s="8" t="n">
        <f aca="false">IFERROR(__xludf.dummyfunction("IFERROR(IFERROR(GOOGLEFINANCE(A303,""price""),VLOOKUP(A303,'Dados-Status-Invest'!A:B,2,FALSE)),"""")"),39.13)</f>
        <v>39.13</v>
      </c>
      <c r="D297" s="8" t="n">
        <f aca="false">IFERROR(VLOOKUP(A297,'Dados-Status-Invest'!$1:$1000,MATCH(D$1,'Dados-Status-Invest'!$2:$2,0),FALSE()),"")</f>
        <v>21998705183</v>
      </c>
      <c r="E297" s="8" t="n">
        <f aca="false">IF(D297+H297&gt;0,D297+H297,"")</f>
        <v>26947698677</v>
      </c>
      <c r="F297" s="8" t="n">
        <f aca="false">IFERROR(D297/VLOOKUP(A297,'Dados-Status-Invest'!$1:$1000,5,FALSE()),"")</f>
        <v>9361151142</v>
      </c>
      <c r="G297" s="8" t="n">
        <f aca="false">IFERROR(D297/VLOOKUP(A297,'Dados-Status-Invest'!$1:$1000,6,FALSE()),"")</f>
        <v>17885126165</v>
      </c>
      <c r="H297" s="8" t="n">
        <f aca="false">IFERROR(VLOOKUP(A297,'Dados-Status-Invest'!$1:$1000,12,FALSE())*J297,"")</f>
        <v>4948993494</v>
      </c>
      <c r="I297" s="8" t="n">
        <f aca="false">IFERROR(D297/VLOOKUP(A297,'Dados-Status-Invest'!$1:$1000,14,FALSE()),"")</f>
        <v>4444182865</v>
      </c>
      <c r="J297" s="9" t="n">
        <f aca="false">IFERROR(D297/VLOOKUP(A297,'Dados-Status-Invest'!$1:$1000,10,FALSE()),"")</f>
        <v>1430344940</v>
      </c>
      <c r="K297" s="10" t="n">
        <f aca="false">IFERROR(VLOOKUP(A297,'Dados-Status-Invest'!$1:$1000,3,FALSE())/100,"")</f>
        <v>0.0257</v>
      </c>
      <c r="L297" s="11" t="n">
        <f aca="false">IFERROR(VLOOKUP(A297,'Dados-Status-Invest'!$1:$1000,MATCH(L$1,'Dados-Status-Invest'!$2:$2,0),FALSE())/100,"")</f>
        <v>0.1457</v>
      </c>
      <c r="M297" s="10" t="n">
        <f aca="false">IFERROR(VLOOKUP(A297,'Dados-Status-Invest'!$1:$1000,MATCH(M$1,'Dados-Status-Invest'!$2:$2,0),FALSE())/100,"")</f>
        <v>0.0758</v>
      </c>
      <c r="N297" s="10" t="n">
        <f aca="false">IFERROR(VLOOKUP(A297,'Dados-Status-Invest'!$1:$1000,MATCH(N$1,'Dados-Status-Invest'!$2:$2,0),FALSE())/100,"")</f>
        <v>0.0845</v>
      </c>
      <c r="O297" s="10" t="n">
        <f aca="false">IFERROR(VLOOKUP(A297,'Dados-Status-Invest'!$1:$1000,MATCH(O$1,'Dados-Status-Invest'!$2:$2,0),FALSE())/100,"")</f>
        <v>0.6387</v>
      </c>
      <c r="P297" s="10" t="n">
        <f aca="false">IFERROR(VLOOKUP(A297,'Dados-Status-Invest'!$1:$1000,MATCH(P$1,'Dados-Status-Invest'!$2:$2,0),FALSE())/100,"")</f>
        <v>0.322</v>
      </c>
      <c r="Q297" s="10" t="n">
        <f aca="false">IFERROR(VLOOKUP(A297,'Dados-Status-Invest'!$1:$1000,MATCH(Q$1,'Dados-Status-Invest'!$2:$2,0),FALSE())/100,"")</f>
        <v>0.3065</v>
      </c>
      <c r="R297" s="12" t="n">
        <f aca="false">IFERROR(VLOOKUP(A297,'Dados-Status-Invest'!$1:$1000,MATCH(R$1,'Dados-Status-Invest'!$2:$2,0),FALSE()),"")</f>
        <v>16.16</v>
      </c>
      <c r="S297" s="12" t="n">
        <f aca="false">IFERROR(VLOOKUP(A297,'Dados-Status-Invest'!$1:$1000,MATCH(S$1,'Dados-Status-Invest'!$2:$2,0),FALSE()),"")</f>
        <v>2.35</v>
      </c>
      <c r="T297" s="12" t="n">
        <f aca="false">IFERROR(VLOOKUP(A297,'Dados-Status-Invest'!$1:$1000,MATCH(T$1,'Dados-Status-Invest'!$2:$2,0),FALSE()),"")</f>
        <v>18.83</v>
      </c>
      <c r="U297" s="12" t="n">
        <f aca="false">IFERROR(VLOOKUP(A297,'Dados-Status-Invest'!$1:$1000,MATCH(U$1,'Dados-Status-Invest'!$2:$2,0),FALSE()),"")</f>
        <v>2.26</v>
      </c>
      <c r="V297" s="12" t="n">
        <f aca="false">IFERROR(VLOOKUP(A297,'Dados-Status-Invest'!$1:$1000,MATCH(V$1,'Dados-Status-Invest'!$2:$2,0),FALSE()),"")</f>
        <v>3.46</v>
      </c>
      <c r="W297" s="10" t="n">
        <f aca="false">IFERROR(VLOOKUP(A297,'Dados-Status-Invest'!$1:$1000,MATCH(W$1,'Dados-Status-Invest'!$2:$2,0),FALSE())/100,"")</f>
        <v>0.067</v>
      </c>
      <c r="X297" s="10" t="n">
        <f aca="false">IFERROR(VLOOKUP(A297,'Dados-Status-Invest'!$1:$1000,MATCH(X$1,'Dados-Status-Invest'!$2:$2,0),FALSE())/100,"")</f>
        <v>0.1826</v>
      </c>
    </row>
    <row r="298" customFormat="false" ht="15.75" hidden="false" customHeight="false" outlineLevel="0" collapsed="false">
      <c r="A298" s="6" t="s">
        <v>330</v>
      </c>
      <c r="B298" s="7" t="str">
        <f aca="false">IFERROR(VLOOKUP(LEFT(A298,4),Setor!A:D,2,FALSE()),"")</f>
        <v>Financeiro</v>
      </c>
      <c r="C298" s="8" t="n">
        <f aca="false">IFERROR(__xludf.dummyfunction("IFERROR(IFERROR(GOOGLEFINANCE(A304,""price""),VLOOKUP(A304,'Dados-Status-Invest'!A:B,2,FALSE)),"""")"),2.16)</f>
        <v>2.16</v>
      </c>
      <c r="D298" s="8" t="n">
        <f aca="false">IFERROR(VLOOKUP(A298,'Dados-Status-Invest'!$1:$1000,MATCH(D$1,'Dados-Status-Invest'!$2:$2,0),FALSE()),"")</f>
        <v>224007574.4</v>
      </c>
      <c r="E298" s="8" t="n">
        <f aca="false">IF(D298+H298&gt;0,D298+H298,"")</f>
        <v>224007574.4</v>
      </c>
      <c r="F298" s="8" t="n">
        <f aca="false">IFERROR(D298/VLOOKUP(A298,'Dados-Status-Invest'!$1:$1000,5,FALSE()),"")</f>
        <v>240868359.5</v>
      </c>
      <c r="G298" s="8" t="n">
        <f aca="false">IFERROR(D298/VLOOKUP(A298,'Dados-Status-Invest'!$1:$1000,6,FALSE()),"")</f>
        <v>3733459573</v>
      </c>
      <c r="H298" s="8" t="n">
        <f aca="false">IFERROR(VLOOKUP(A298,'Dados-Status-Invest'!$1:$1000,12,FALSE())*J298,"")</f>
        <v>0</v>
      </c>
      <c r="I298" s="8" t="n">
        <f aca="false">IFERROR(D298/VLOOKUP(A298,'Dados-Status-Invest'!$1:$1000,14,FALSE()),"")</f>
        <v>146410179.3</v>
      </c>
      <c r="J298" s="9" t="n">
        <f aca="false">IFERROR(D298/VLOOKUP(A298,'Dados-Status-Invest'!$1:$1000,10,FALSE()),"")</f>
        <v>-58794638.94</v>
      </c>
      <c r="K298" s="10" t="n">
        <f aca="false">IFERROR(VLOOKUP(A298,'Dados-Status-Invest'!$1:$1000,3,FALSE())/100,"")</f>
        <v>0</v>
      </c>
      <c r="L298" s="11" t="n">
        <f aca="false">IFERROR(VLOOKUP(A298,'Dados-Status-Invest'!$1:$1000,MATCH(L$1,'Dados-Status-Invest'!$2:$2,0),FALSE())/100,"")</f>
        <v>-0.9438</v>
      </c>
      <c r="M298" s="10" t="n">
        <f aca="false">IFERROR(VLOOKUP(A298,'Dados-Status-Invest'!$1:$1000,MATCH(M$1,'Dados-Status-Invest'!$2:$2,0),FALSE())/100,"")</f>
        <v>-0.0567</v>
      </c>
      <c r="N298" s="10" t="n">
        <f aca="false">IFERROR(VLOOKUP(A298,'Dados-Status-Invest'!$1:$1000,MATCH(N$1,'Dados-Status-Invest'!$2:$2,0),FALSE())/100,"")</f>
        <v>0</v>
      </c>
      <c r="O298" s="10" t="n">
        <f aca="false">IFERROR(VLOOKUP(A298,'Dados-Status-Invest'!$1:$1000,MATCH(O$1,'Dados-Status-Invest'!$2:$2,0),FALSE())/100,"")</f>
        <v>-0.1891</v>
      </c>
      <c r="P298" s="10" t="n">
        <f aca="false">IFERROR(VLOOKUP(A298,'Dados-Status-Invest'!$1:$1000,MATCH(P$1,'Dados-Status-Invest'!$2:$2,0),FALSE())/100,"")</f>
        <v>-0.4019</v>
      </c>
      <c r="Q298" s="10" t="n">
        <f aca="false">IFERROR(VLOOKUP(A298,'Dados-Status-Invest'!$1:$1000,MATCH(Q$1,'Dados-Status-Invest'!$2:$2,0),FALSE())/100,"")</f>
        <v>-1.546</v>
      </c>
      <c r="R298" s="12" t="n">
        <f aca="false">IFERROR(VLOOKUP(A298,'Dados-Status-Invest'!$1:$1000,MATCH(R$1,'Dados-Status-Invest'!$2:$2,0),FALSE()),"")</f>
        <v>-0.99</v>
      </c>
      <c r="S298" s="12" t="n">
        <f aca="false">IFERROR(VLOOKUP(A298,'Dados-Status-Invest'!$1:$1000,MATCH(S$1,'Dados-Status-Invest'!$2:$2,0),FALSE()),"")</f>
        <v>0.93</v>
      </c>
      <c r="T298" s="12" t="n">
        <f aca="false">IFERROR(VLOOKUP(A298,'Dados-Status-Invest'!$1:$1000,MATCH(T$1,'Dados-Status-Invest'!$2:$2,0),FALSE()),"")</f>
        <v>-3.84</v>
      </c>
      <c r="U298" s="12" t="n">
        <f aca="false">IFERROR(VLOOKUP(A298,'Dados-Status-Invest'!$1:$1000,MATCH(U$1,'Dados-Status-Invest'!$2:$2,0),FALSE()),"")</f>
        <v>1.26</v>
      </c>
      <c r="V298" s="12" t="n">
        <f aca="false">IFERROR(VLOOKUP(A298,'Dados-Status-Invest'!$1:$1000,MATCH(V$1,'Dados-Status-Invest'!$2:$2,0),FALSE()),"")</f>
        <v>0</v>
      </c>
      <c r="W298" s="10" t="n">
        <f aca="false">IFERROR(VLOOKUP(A298,'Dados-Status-Invest'!$1:$1000,MATCH(W$1,'Dados-Status-Invest'!$2:$2,0),FALSE())/100,"")</f>
        <v>-0.3217</v>
      </c>
      <c r="X298" s="10" t="n">
        <f aca="false">IFERROR(VLOOKUP(A298,'Dados-Status-Invest'!$1:$1000,MATCH(X$1,'Dados-Status-Invest'!$2:$2,0),FALSE())/100,"")</f>
        <v>0</v>
      </c>
    </row>
    <row r="299" customFormat="false" ht="15.75" hidden="false" customHeight="false" outlineLevel="0" collapsed="false">
      <c r="A299" s="6" t="s">
        <v>331</v>
      </c>
      <c r="B299" s="7" t="str">
        <f aca="false">IFERROR(VLOOKUP(LEFT(A299,4),Setor!A:D,2,FALSE()),"")</f>
        <v>Financeiro</v>
      </c>
      <c r="C299" s="8" t="n">
        <f aca="false">IFERROR(__xludf.dummyfunction("IFERROR(IFERROR(GOOGLEFINANCE(A305,""price""),VLOOKUP(A305,'Dados-Status-Invest'!A:B,2,FALSE)),"""")"),2.67)</f>
        <v>2.67</v>
      </c>
      <c r="D299" s="8" t="n">
        <f aca="false">IFERROR(VLOOKUP(A299,'Dados-Status-Invest'!$1:$1000,MATCH(D$1,'Dados-Status-Invest'!$2:$2,0),FALSE()),"")</f>
        <v>224007574.4</v>
      </c>
      <c r="E299" s="8" t="n">
        <f aca="false">IF(D299+H299&gt;0,D299+H299,"")</f>
        <v>224007574.4</v>
      </c>
      <c r="F299" s="8" t="n">
        <f aca="false">IFERROR(D299/VLOOKUP(A299,'Dados-Status-Invest'!$1:$1000,5,FALSE()),"")</f>
        <v>193109977.9</v>
      </c>
      <c r="G299" s="8" t="n">
        <f aca="false">IFERROR(D299/VLOOKUP(A299,'Dados-Status-Invest'!$1:$1000,6,FALSE()),"")</f>
        <v>3200108205</v>
      </c>
      <c r="H299" s="8" t="n">
        <f aca="false">IFERROR(VLOOKUP(A299,'Dados-Status-Invest'!$1:$1000,12,FALSE())*J299,"")</f>
        <v>0</v>
      </c>
      <c r="I299" s="8" t="n">
        <f aca="false">IFERROR(D299/VLOOKUP(A299,'Dados-Status-Invest'!$1:$1000,14,FALSE()),"")</f>
        <v>118522526.1</v>
      </c>
      <c r="J299" s="9" t="n">
        <f aca="false">IFERROR(D299/VLOOKUP(A299,'Dados-Status-Invest'!$1:$1000,10,FALSE()),"")</f>
        <v>-47559994.56</v>
      </c>
      <c r="K299" s="10" t="n">
        <f aca="false">IFERROR(VLOOKUP(A299,'Dados-Status-Invest'!$1:$1000,3,FALSE())/100,"")</f>
        <v>0</v>
      </c>
      <c r="L299" s="11" t="n">
        <f aca="false">IFERROR(VLOOKUP(A299,'Dados-Status-Invest'!$1:$1000,MATCH(L$1,'Dados-Status-Invest'!$2:$2,0),FALSE())/100,"")</f>
        <v>-0.9438</v>
      </c>
      <c r="M299" s="10" t="n">
        <f aca="false">IFERROR(VLOOKUP(A299,'Dados-Status-Invest'!$1:$1000,MATCH(M$1,'Dados-Status-Invest'!$2:$2,0),FALSE())/100,"")</f>
        <v>-0.0567</v>
      </c>
      <c r="N299" s="10" t="n">
        <f aca="false">IFERROR(VLOOKUP(A299,'Dados-Status-Invest'!$1:$1000,MATCH(N$1,'Dados-Status-Invest'!$2:$2,0),FALSE())/100,"")</f>
        <v>0</v>
      </c>
      <c r="O299" s="10" t="n">
        <f aca="false">IFERROR(VLOOKUP(A299,'Dados-Status-Invest'!$1:$1000,MATCH(O$1,'Dados-Status-Invest'!$2:$2,0),FALSE())/100,"")</f>
        <v>-0.1891</v>
      </c>
      <c r="P299" s="10" t="n">
        <f aca="false">IFERROR(VLOOKUP(A299,'Dados-Status-Invest'!$1:$1000,MATCH(P$1,'Dados-Status-Invest'!$2:$2,0),FALSE())/100,"")</f>
        <v>-0.4019</v>
      </c>
      <c r="Q299" s="10" t="n">
        <f aca="false">IFERROR(VLOOKUP(A299,'Dados-Status-Invest'!$1:$1000,MATCH(Q$1,'Dados-Status-Invest'!$2:$2,0),FALSE())/100,"")</f>
        <v>-1.546</v>
      </c>
      <c r="R299" s="12" t="n">
        <f aca="false">IFERROR(VLOOKUP(A299,'Dados-Status-Invest'!$1:$1000,MATCH(R$1,'Dados-Status-Invest'!$2:$2,0),FALSE()),"")</f>
        <v>-1.22</v>
      </c>
      <c r="S299" s="12" t="n">
        <f aca="false">IFERROR(VLOOKUP(A299,'Dados-Status-Invest'!$1:$1000,MATCH(S$1,'Dados-Status-Invest'!$2:$2,0),FALSE()),"")</f>
        <v>1.16</v>
      </c>
      <c r="T299" s="12" t="n">
        <f aca="false">IFERROR(VLOOKUP(A299,'Dados-Status-Invest'!$1:$1000,MATCH(T$1,'Dados-Status-Invest'!$2:$2,0),FALSE()),"")</f>
        <v>-3.84</v>
      </c>
      <c r="U299" s="12" t="n">
        <f aca="false">IFERROR(VLOOKUP(A299,'Dados-Status-Invest'!$1:$1000,MATCH(U$1,'Dados-Status-Invest'!$2:$2,0),FALSE()),"")</f>
        <v>1.26</v>
      </c>
      <c r="V299" s="12" t="n">
        <f aca="false">IFERROR(VLOOKUP(A299,'Dados-Status-Invest'!$1:$1000,MATCH(V$1,'Dados-Status-Invest'!$2:$2,0),FALSE()),"")</f>
        <v>0</v>
      </c>
      <c r="W299" s="10" t="n">
        <f aca="false">IFERROR(VLOOKUP(A299,'Dados-Status-Invest'!$1:$1000,MATCH(W$1,'Dados-Status-Invest'!$2:$2,0),FALSE())/100,"")</f>
        <v>-0.3217</v>
      </c>
      <c r="X299" s="10" t="n">
        <f aca="false">IFERROR(VLOOKUP(A299,'Dados-Status-Invest'!$1:$1000,MATCH(X$1,'Dados-Status-Invest'!$2:$2,0),FALSE())/100,"")</f>
        <v>0</v>
      </c>
    </row>
    <row r="300" customFormat="false" ht="15.75" hidden="false" customHeight="false" outlineLevel="0" collapsed="false">
      <c r="A300" s="6" t="s">
        <v>332</v>
      </c>
      <c r="B300" s="7" t="s">
        <v>98</v>
      </c>
      <c r="C300" s="8" t="n">
        <f aca="false">IFERROR(__xludf.dummyfunction("IFERROR(IFERROR(GOOGLEFINANCE(A306,""price""),VLOOKUP(A306,'Dados-Status-Invest'!A:B,2,FALSE)),"""")"),4.17)</f>
        <v>4.17</v>
      </c>
      <c r="D300" s="8" t="n">
        <f aca="false">IFERROR(VLOOKUP(A300,'Dados-Status-Invest'!$1:$1000,MATCH(D$1,'Dados-Status-Invest'!$2:$2,0),FALSE()),"")</f>
        <v>5321006467</v>
      </c>
      <c r="E300" s="8" t="n">
        <f aca="false">IF(D300+H300&gt;0,D300+H300,"")</f>
        <v>5398538341.87</v>
      </c>
      <c r="F300" s="8" t="n">
        <f aca="false">IFERROR(D300/VLOOKUP(A300,'Dados-Status-Invest'!$1:$1000,5,FALSE()),"")</f>
        <v>78169626.37</v>
      </c>
      <c r="G300" s="8" t="n">
        <f aca="false">IFERROR(D300/VLOOKUP(A300,'Dados-Status-Invest'!$1:$1000,6,FALSE()),"")</f>
        <v>570311518.5</v>
      </c>
      <c r="H300" s="8" t="n">
        <f aca="false">IFERROR(VLOOKUP(A300,'Dados-Status-Invest'!$1:$1000,12,FALSE())*J300,"")</f>
        <v>77531874.87</v>
      </c>
      <c r="I300" s="8" t="n">
        <f aca="false">IFERROR(D300/VLOOKUP(A300,'Dados-Status-Invest'!$1:$1000,14,FALSE()),"")</f>
        <v>114553422.3</v>
      </c>
      <c r="J300" s="9" t="n">
        <f aca="false">IFERROR(D300/VLOOKUP(A300,'Dados-Status-Invest'!$1:$1000,10,FALSE()),"")</f>
        <v>5087393.364</v>
      </c>
      <c r="K300" s="10" t="n">
        <f aca="false">IFERROR(VLOOKUP(A300,'Dados-Status-Invest'!$1:$1000,3,FALSE())/100,"")</f>
        <v>0</v>
      </c>
      <c r="L300" s="11" t="n">
        <f aca="false">IFERROR(VLOOKUP(A300,'Dados-Status-Invest'!$1:$1000,MATCH(L$1,'Dados-Status-Invest'!$2:$2,0),FALSE())/100,"")</f>
        <v>-0.0507</v>
      </c>
      <c r="M300" s="10" t="n">
        <f aca="false">IFERROR(VLOOKUP(A300,'Dados-Status-Invest'!$1:$1000,MATCH(M$1,'Dados-Status-Invest'!$2:$2,0),FALSE())/100,"")</f>
        <v>-0.007</v>
      </c>
      <c r="N300" s="10" t="n">
        <f aca="false">IFERROR(VLOOKUP(A300,'Dados-Status-Invest'!$1:$1000,MATCH(N$1,'Dados-Status-Invest'!$2:$2,0),FALSE())/100,"")</f>
        <v>0.0257</v>
      </c>
      <c r="O300" s="10" t="n">
        <f aca="false">IFERROR(VLOOKUP(A300,'Dados-Status-Invest'!$1:$1000,MATCH(O$1,'Dados-Status-Invest'!$2:$2,0),FALSE())/100,"")</f>
        <v>0.4708</v>
      </c>
      <c r="P300" s="10" t="n">
        <f aca="false">IFERROR(VLOOKUP(A300,'Dados-Status-Invest'!$1:$1000,MATCH(P$1,'Dados-Status-Invest'!$2:$2,0),FALSE())/100,"")</f>
        <v>0.0444</v>
      </c>
      <c r="Q300" s="10" t="n">
        <f aca="false">IFERROR(VLOOKUP(A300,'Dados-Status-Invest'!$1:$1000,MATCH(Q$1,'Dados-Status-Invest'!$2:$2,0),FALSE())/100,"")</f>
        <v>-0.0346</v>
      </c>
      <c r="R300" s="12" t="n">
        <f aca="false">IFERROR(VLOOKUP(A300,'Dados-Status-Invest'!$1:$1000,MATCH(R$1,'Dados-Status-Invest'!$2:$2,0),FALSE()),"")</f>
        <v>-1342.81</v>
      </c>
      <c r="S300" s="12" t="n">
        <f aca="false">IFERROR(VLOOKUP(A300,'Dados-Status-Invest'!$1:$1000,MATCH(S$1,'Dados-Status-Invest'!$2:$2,0),FALSE()),"")</f>
        <v>68.07</v>
      </c>
      <c r="T300" s="12" t="n">
        <f aca="false">IFERROR(VLOOKUP(A300,'Dados-Status-Invest'!$1:$1000,MATCH(T$1,'Dados-Status-Invest'!$2:$2,0),FALSE()),"")</f>
        <v>1049.04</v>
      </c>
      <c r="U300" s="12" t="n">
        <f aca="false">IFERROR(VLOOKUP(A300,'Dados-Status-Invest'!$1:$1000,MATCH(U$1,'Dados-Status-Invest'!$2:$2,0),FALSE()),"")</f>
        <v>0.84</v>
      </c>
      <c r="V300" s="12" t="n">
        <f aca="false">IFERROR(VLOOKUP(A300,'Dados-Status-Invest'!$1:$1000,MATCH(V$1,'Dados-Status-Invest'!$2:$2,0),FALSE()),"")</f>
        <v>15.24</v>
      </c>
      <c r="W300" s="10" t="n">
        <f aca="false">IFERROR(VLOOKUP(A300,'Dados-Status-Invest'!$1:$1000,MATCH(W$1,'Dados-Status-Invest'!$2:$2,0),FALSE())/100,"")</f>
        <v>0</v>
      </c>
      <c r="X300" s="10" t="n">
        <f aca="false">IFERROR(VLOOKUP(A300,'Dados-Status-Invest'!$1:$1000,MATCH(X$1,'Dados-Status-Invest'!$2:$2,0),FALSE())/100,"")</f>
        <v>0</v>
      </c>
    </row>
    <row r="301" customFormat="false" ht="15.75" hidden="false" customHeight="false" outlineLevel="0" collapsed="false">
      <c r="A301" s="6" t="s">
        <v>333</v>
      </c>
      <c r="B301" s="7" t="str">
        <f aca="false">IFERROR(VLOOKUP(LEFT(A301,4),Setor!A:D,2,FALSE()),"")</f>
        <v>Financeiro</v>
      </c>
      <c r="C301" s="8" t="n">
        <f aca="false">IFERROR(__xludf.dummyfunction("IFERROR(IFERROR(GOOGLEFINANCE(A307,""price""),VLOOKUP(A307,'Dados-Status-Invest'!A:B,2,FALSE)),"""")"),26)</f>
        <v>26</v>
      </c>
      <c r="D301" s="8" t="n">
        <f aca="false">IFERROR(VLOOKUP(A301,'Dados-Status-Invest'!$1:$1000,MATCH(D$1,'Dados-Status-Invest'!$2:$2,0),FALSE()),"")</f>
        <v>97538734.8</v>
      </c>
      <c r="E301" s="8" t="n">
        <f aca="false">IF(D301+H301&gt;0,D301+H301,"")</f>
        <v>1003755187.2</v>
      </c>
      <c r="F301" s="8" t="n">
        <f aca="false">IFERROR(D301/VLOOKUP(A301,'Dados-Status-Invest'!$1:$1000,5,FALSE()),"")</f>
        <v>-886715770.9</v>
      </c>
      <c r="G301" s="8" t="n">
        <f aca="false">IFERROR(D301/VLOOKUP(A301,'Dados-Status-Invest'!$1:$1000,6,FALSE()),"")</f>
        <v>191252421.2</v>
      </c>
      <c r="H301" s="8" t="n">
        <f aca="false">IFERROR(VLOOKUP(A301,'Dados-Status-Invest'!$1:$1000,12,FALSE())*J301,"")</f>
        <v>906216452.4</v>
      </c>
      <c r="I301" s="8" t="n">
        <f aca="false">IFERROR(D301/VLOOKUP(A301,'Dados-Status-Invest'!$1:$1000,14,FALSE()),"")</f>
        <v>5925804.058</v>
      </c>
      <c r="J301" s="9" t="n">
        <f aca="false">IFERROR(D301/VLOOKUP(A301,'Dados-Status-Invest'!$1:$1000,10,FALSE()),"")</f>
        <v>-38860053.71</v>
      </c>
      <c r="K301" s="10" t="n">
        <f aca="false">IFERROR(VLOOKUP(A301,'Dados-Status-Invest'!$1:$1000,3,FALSE())/100,"")</f>
        <v>0</v>
      </c>
      <c r="L301" s="11" t="n">
        <f aca="false">IFERROR(VLOOKUP(A301,'Dados-Status-Invest'!$1:$1000,MATCH(L$1,'Dados-Status-Invest'!$2:$2,0),FALSE())/100,"")</f>
        <v>-0.0987</v>
      </c>
      <c r="M301" s="10" t="n">
        <f aca="false">IFERROR(VLOOKUP(A301,'Dados-Status-Invest'!$1:$1000,MATCH(M$1,'Dados-Status-Invest'!$2:$2,0),FALSE())/100,"")</f>
        <v>-0.4771</v>
      </c>
      <c r="N301" s="10" t="n">
        <f aca="false">IFERROR(VLOOKUP(A301,'Dados-Status-Invest'!$1:$1000,MATCH(N$1,'Dados-Status-Invest'!$2:$2,0),FALSE())/100,"")</f>
        <v>1.9841</v>
      </c>
      <c r="O301" s="10" t="n">
        <f aca="false">IFERROR(VLOOKUP(A301,'Dados-Status-Invest'!$1:$1000,MATCH(O$1,'Dados-Status-Invest'!$2:$2,0),FALSE())/100,"")</f>
        <v>0.8085</v>
      </c>
      <c r="P301" s="10" t="n">
        <f aca="false">IFERROR(VLOOKUP(A301,'Dados-Status-Invest'!$1:$1000,MATCH(P$1,'Dados-Status-Invest'!$2:$2,0),FALSE())/100,"")</f>
        <v>-6.5578</v>
      </c>
      <c r="Q301" s="10" t="n">
        <f aca="false">IFERROR(VLOOKUP(A301,'Dados-Status-Invest'!$1:$1000,MATCH(Q$1,'Dados-Status-Invest'!$2:$2,0),FALSE())/100,"")</f>
        <v>-15.4207</v>
      </c>
      <c r="R301" s="12" t="n">
        <f aca="false">IFERROR(VLOOKUP(A301,'Dados-Status-Invest'!$1:$1000,MATCH(R$1,'Dados-Status-Invest'!$2:$2,0),FALSE()),"")</f>
        <v>-1.07</v>
      </c>
      <c r="S301" s="12" t="n">
        <f aca="false">IFERROR(VLOOKUP(A301,'Dados-Status-Invest'!$1:$1000,MATCH(S$1,'Dados-Status-Invest'!$2:$2,0),FALSE()),"")</f>
        <v>-0.11</v>
      </c>
      <c r="T301" s="12" t="n">
        <f aca="false">IFERROR(VLOOKUP(A301,'Dados-Status-Invest'!$1:$1000,MATCH(T$1,'Dados-Status-Invest'!$2:$2,0),FALSE()),"")</f>
        <v>-25.84</v>
      </c>
      <c r="U301" s="12" t="n">
        <f aca="false">IFERROR(VLOOKUP(A301,'Dados-Status-Invest'!$1:$1000,MATCH(U$1,'Dados-Status-Invest'!$2:$2,0),FALSE()),"")</f>
        <v>0.15</v>
      </c>
      <c r="V301" s="12" t="n">
        <f aca="false">IFERROR(VLOOKUP(A301,'Dados-Status-Invest'!$1:$1000,MATCH(V$1,'Dados-Status-Invest'!$2:$2,0),FALSE()),"")</f>
        <v>-23.32</v>
      </c>
      <c r="W301" s="10" t="n">
        <f aca="false">IFERROR(VLOOKUP(A301,'Dados-Status-Invest'!$1:$1000,MATCH(W$1,'Dados-Status-Invest'!$2:$2,0),FALSE())/100,"")</f>
        <v>-0.0875</v>
      </c>
      <c r="X301" s="10" t="n">
        <f aca="false">IFERROR(VLOOKUP(A301,'Dados-Status-Invest'!$1:$1000,MATCH(X$1,'Dados-Status-Invest'!$2:$2,0),FALSE())/100,"")</f>
        <v>0</v>
      </c>
    </row>
    <row r="302" customFormat="false" ht="15.75" hidden="false" customHeight="false" outlineLevel="0" collapsed="false">
      <c r="A302" s="6" t="s">
        <v>334</v>
      </c>
      <c r="B302" s="7" t="str">
        <f aca="false">IFERROR(VLOOKUP(LEFT(A302,4),Setor!A:D,2,FALSE()),"")</f>
        <v>Utilidade Pública</v>
      </c>
      <c r="C302" s="8" t="n">
        <f aca="false">IFERROR(__xludf.dummyfunction("IFERROR(IFERROR(GOOGLEFINANCE(A308,""price""),VLOOKUP(A308,'Dados-Status-Invest'!A:B,2,FALSE)),"""")"),0)</f>
        <v>0</v>
      </c>
      <c r="D302" s="8" t="n">
        <f aca="false">IFERROR(VLOOKUP(A302,'Dados-Status-Invest'!$1:$1000,MATCH(D$1,'Dados-Status-Invest'!$2:$2,0),FALSE()),"")</f>
        <v>0</v>
      </c>
      <c r="E302" s="8" t="str">
        <f aca="false">IF(D302+H302&gt;0,D302+H302,"")</f>
        <v/>
      </c>
      <c r="F302" s="8" t="str">
        <f aca="false">IFERROR(D302/VLOOKUP(A302,'Dados-Status-Invest'!$1:$1000,5,FALSE()),"")</f>
        <v/>
      </c>
      <c r="G302" s="8" t="str">
        <f aca="false">IFERROR(D302/VLOOKUP(A302,'Dados-Status-Invest'!$1:$1000,6,FALSE()),"")</f>
        <v/>
      </c>
      <c r="H302" s="8" t="n">
        <f aca="false">IFERROR(VLOOKUP(A302,'Dados-Status-Invest'!$1:$1000,12,FALSE())*J302,"")</f>
        <v>0</v>
      </c>
      <c r="I302" s="8" t="str">
        <f aca="false">IFERROR(D302/VLOOKUP(A302,'Dados-Status-Invest'!$1:$1000,14,FALSE()),"")</f>
        <v/>
      </c>
      <c r="J302" s="9" t="str">
        <f aca="false">IFERROR(D302/VLOOKUP(A302,'Dados-Status-Invest'!$1:$1000,10,FALSE()),"")</f>
        <v/>
      </c>
      <c r="K302" s="10" t="n">
        <f aca="false">IFERROR(VLOOKUP(A302,'Dados-Status-Invest'!$1:$1000,3,FALSE())/100,"")</f>
        <v>0</v>
      </c>
      <c r="L302" s="11" t="n">
        <f aca="false">IFERROR(VLOOKUP(A302,'Dados-Status-Invest'!$1:$1000,MATCH(L$1,'Dados-Status-Invest'!$2:$2,0),FALSE())/100,"")</f>
        <v>-0.0176</v>
      </c>
      <c r="M302" s="10" t="n">
        <f aca="false">IFERROR(VLOOKUP(A302,'Dados-Status-Invest'!$1:$1000,MATCH(M$1,'Dados-Status-Invest'!$2:$2,0),FALSE())/100,"")</f>
        <v>-0.0049</v>
      </c>
      <c r="N302" s="10" t="n">
        <f aca="false">IFERROR(VLOOKUP(A302,'Dados-Status-Invest'!$1:$1000,MATCH(N$1,'Dados-Status-Invest'!$2:$2,0),FALSE())/100,"")</f>
        <v>0.0525</v>
      </c>
      <c r="O302" s="10" t="n">
        <f aca="false">IFERROR(VLOOKUP(A302,'Dados-Status-Invest'!$1:$1000,MATCH(O$1,'Dados-Status-Invest'!$2:$2,0),FALSE())/100,"")</f>
        <v>0.4166</v>
      </c>
      <c r="P302" s="10" t="n">
        <f aca="false">IFERROR(VLOOKUP(A302,'Dados-Status-Invest'!$1:$1000,MATCH(P$1,'Dados-Status-Invest'!$2:$2,0),FALSE())/100,"")</f>
        <v>0.1977</v>
      </c>
      <c r="Q302" s="10" t="n">
        <f aca="false">IFERROR(VLOOKUP(A302,'Dados-Status-Invest'!$1:$1000,MATCH(Q$1,'Dados-Status-Invest'!$2:$2,0),FALSE())/100,"")</f>
        <v>-0.0186</v>
      </c>
      <c r="R302" s="12" t="n">
        <f aca="false">IFERROR(VLOOKUP(A302,'Dados-Status-Invest'!$1:$1000,MATCH(R$1,'Dados-Status-Invest'!$2:$2,0),FALSE()),"")</f>
        <v>0</v>
      </c>
      <c r="S302" s="12" t="n">
        <f aca="false">IFERROR(VLOOKUP(A302,'Dados-Status-Invest'!$1:$1000,MATCH(S$1,'Dados-Status-Invest'!$2:$2,0),FALSE()),"")</f>
        <v>0</v>
      </c>
      <c r="T302" s="12" t="n">
        <f aca="false">IFERROR(VLOOKUP(A302,'Dados-Status-Invest'!$1:$1000,MATCH(T$1,'Dados-Status-Invest'!$2:$2,0),FALSE()),"")</f>
        <v>8.56</v>
      </c>
      <c r="U302" s="12" t="n">
        <f aca="false">IFERROR(VLOOKUP(A302,'Dados-Status-Invest'!$1:$1000,MATCH(U$1,'Dados-Status-Invest'!$2:$2,0),FALSE()),"")</f>
        <v>2.06</v>
      </c>
      <c r="V302" s="12" t="n">
        <f aca="false">IFERROR(VLOOKUP(A302,'Dados-Status-Invest'!$1:$1000,MATCH(V$1,'Dados-Status-Invest'!$2:$2,0),FALSE()),"")</f>
        <v>8.56</v>
      </c>
      <c r="W302" s="10" t="n">
        <f aca="false">IFERROR(VLOOKUP(A302,'Dados-Status-Invest'!$1:$1000,MATCH(W$1,'Dados-Status-Invest'!$2:$2,0),FALSE())/100,"")</f>
        <v>0.1003</v>
      </c>
      <c r="X302" s="10" t="n">
        <f aca="false">IFERROR(VLOOKUP(A302,'Dados-Status-Invest'!$1:$1000,MATCH(X$1,'Dados-Status-Invest'!$2:$2,0),FALSE())/100,"")</f>
        <v>0</v>
      </c>
    </row>
    <row r="303" customFormat="false" ht="15.75" hidden="false" customHeight="false" outlineLevel="0" collapsed="false">
      <c r="A303" s="6" t="s">
        <v>335</v>
      </c>
      <c r="B303" s="7" t="str">
        <f aca="false">IFERROR(VLOOKUP(LEFT(A303,4),Setor!A:D,2,FALSE()),"")</f>
        <v>Financeiro</v>
      </c>
      <c r="C303" s="8" t="n">
        <f aca="false">IFERROR(__xludf.dummyfunction("IFERROR(IFERROR(GOOGLEFINANCE(A309,""price""),VLOOKUP(A309,'Dados-Status-Invest'!A:B,2,FALSE)),"""")"),39.04)</f>
        <v>39.04</v>
      </c>
      <c r="D303" s="8" t="n">
        <f aca="false">IFERROR(VLOOKUP(A303,'Dados-Status-Invest'!$1:$1000,MATCH(D$1,'Dados-Status-Invest'!$2:$2,0),FALSE()),"")</f>
        <v>6935536668</v>
      </c>
      <c r="E303" s="8" t="n">
        <f aca="false">IF(D303+H303&gt;0,D303+H303,"")</f>
        <v>8800585130</v>
      </c>
      <c r="F303" s="8" t="n">
        <f aca="false">IFERROR(D303/VLOOKUP(A303,'Dados-Status-Invest'!$1:$1000,5,FALSE()),"")</f>
        <v>3196099847</v>
      </c>
      <c r="G303" s="8" t="n">
        <f aca="false">IFERROR(D303/VLOOKUP(A303,'Dados-Status-Invest'!$1:$1000,6,FALSE()),"")</f>
        <v>6866867988</v>
      </c>
      <c r="H303" s="8" t="n">
        <f aca="false">IFERROR(VLOOKUP(A303,'Dados-Status-Invest'!$1:$1000,12,FALSE())*J303,"")</f>
        <v>1865048462</v>
      </c>
      <c r="I303" s="8" t="n">
        <f aca="false">IFERROR(D303/VLOOKUP(A303,'Dados-Status-Invest'!$1:$1000,14,FALSE()),"")</f>
        <v>689417163.8</v>
      </c>
      <c r="J303" s="9" t="n">
        <f aca="false">IFERROR(D303/VLOOKUP(A303,'Dados-Status-Invest'!$1:$1000,10,FALSE()),"")</f>
        <v>359354231.5</v>
      </c>
      <c r="K303" s="10" t="n">
        <f aca="false">IFERROR(VLOOKUP(A303,'Dados-Status-Invest'!$1:$1000,3,FALSE())/100,"")</f>
        <v>0.0073</v>
      </c>
      <c r="L303" s="11" t="n">
        <f aca="false">IFERROR(VLOOKUP(A303,'Dados-Status-Invest'!$1:$1000,MATCH(L$1,'Dados-Status-Invest'!$2:$2,0),FALSE())/100,"")</f>
        <v>0.0725</v>
      </c>
      <c r="M303" s="10" t="n">
        <f aca="false">IFERROR(VLOOKUP(A303,'Dados-Status-Invest'!$1:$1000,MATCH(M$1,'Dados-Status-Invest'!$2:$2,0),FALSE())/100,"")</f>
        <v>0.0338</v>
      </c>
      <c r="N303" s="10" t="n">
        <f aca="false">IFERROR(VLOOKUP(A303,'Dados-Status-Invest'!$1:$1000,MATCH(N$1,'Dados-Status-Invest'!$2:$2,0),FALSE())/100,"")</f>
        <v>0.0458</v>
      </c>
      <c r="O303" s="10" t="n">
        <f aca="false">IFERROR(VLOOKUP(A303,'Dados-Status-Invest'!$1:$1000,MATCH(O$1,'Dados-Status-Invest'!$2:$2,0),FALSE())/100,"")</f>
        <v>0.5807</v>
      </c>
      <c r="P303" s="10" t="n">
        <f aca="false">IFERROR(VLOOKUP(A303,'Dados-Status-Invest'!$1:$1000,MATCH(P$1,'Dados-Status-Invest'!$2:$2,0),FALSE())/100,"")</f>
        <v>0.5211</v>
      </c>
      <c r="Q303" s="10" t="n">
        <f aca="false">IFERROR(VLOOKUP(A303,'Dados-Status-Invest'!$1:$1000,MATCH(Q$1,'Dados-Status-Invest'!$2:$2,0),FALSE())/100,"")</f>
        <v>0.3357</v>
      </c>
      <c r="R303" s="12" t="n">
        <f aca="false">IFERROR(VLOOKUP(A303,'Dados-Status-Invest'!$1:$1000,MATCH(R$1,'Dados-Status-Invest'!$2:$2,0),FALSE()),"")</f>
        <v>29.96</v>
      </c>
      <c r="S303" s="12" t="n">
        <f aca="false">IFERROR(VLOOKUP(A303,'Dados-Status-Invest'!$1:$1000,MATCH(S$1,'Dados-Status-Invest'!$2:$2,0),FALSE()),"")</f>
        <v>2.17</v>
      </c>
      <c r="T303" s="12" t="n">
        <f aca="false">IFERROR(VLOOKUP(A303,'Dados-Status-Invest'!$1:$1000,MATCH(T$1,'Dados-Status-Invest'!$2:$2,0),FALSE()),"")</f>
        <v>24.55</v>
      </c>
      <c r="U303" s="12" t="n">
        <f aca="false">IFERROR(VLOOKUP(A303,'Dados-Status-Invest'!$1:$1000,MATCH(U$1,'Dados-Status-Invest'!$2:$2,0),FALSE()),"")</f>
        <v>2.39</v>
      </c>
      <c r="V303" s="12" t="n">
        <f aca="false">IFERROR(VLOOKUP(A303,'Dados-Status-Invest'!$1:$1000,MATCH(V$1,'Dados-Status-Invest'!$2:$2,0),FALSE()),"")</f>
        <v>5.19</v>
      </c>
      <c r="W303" s="10" t="n">
        <f aca="false">IFERROR(VLOOKUP(A303,'Dados-Status-Invest'!$1:$1000,MATCH(W$1,'Dados-Status-Invest'!$2:$2,0),FALSE())/100,"")</f>
        <v>0.0121</v>
      </c>
      <c r="X303" s="10" t="n">
        <f aca="false">IFERROR(VLOOKUP(A303,'Dados-Status-Invest'!$1:$1000,MATCH(X$1,'Dados-Status-Invest'!$2:$2,0),FALSE())/100,"")</f>
        <v>0.0088</v>
      </c>
    </row>
    <row r="304" customFormat="false" ht="15.75" hidden="false" customHeight="false" outlineLevel="0" collapsed="false">
      <c r="A304" s="6" t="s">
        <v>336</v>
      </c>
      <c r="B304" s="7" t="str">
        <f aca="false">IFERROR(VLOOKUP(LEFT(A304,4),Setor!A:D,2,FALSE()),"")</f>
        <v>Bens Industriais</v>
      </c>
      <c r="C304" s="8" t="n">
        <f aca="false">IFERROR(__xludf.dummyfunction("IFERROR(IFERROR(GOOGLEFINANCE(A310,""price""),VLOOKUP(A310,'Dados-Status-Invest'!A:B,2,FALSE)),"""")"),0.83)</f>
        <v>0.83</v>
      </c>
      <c r="D304" s="8" t="n">
        <f aca="false">IFERROR(VLOOKUP(A304,'Dados-Status-Invest'!$1:$1000,MATCH(D$1,'Dados-Status-Invest'!$2:$2,0),FALSE()),"")</f>
        <v>497586117.3</v>
      </c>
      <c r="E304" s="8" t="n">
        <f aca="false">IF(D304+H304&gt;0,D304+H304,"")</f>
        <v>1237241156.6</v>
      </c>
      <c r="F304" s="8" t="n">
        <f aca="false">IFERROR(D304/VLOOKUP(A304,'Dados-Status-Invest'!$1:$1000,5,FALSE()),"")</f>
        <v>-2163417901</v>
      </c>
      <c r="G304" s="8" t="n">
        <f aca="false">IFERROR(D304/VLOOKUP(A304,'Dados-Status-Invest'!$1:$1000,6,FALSE()),"")</f>
        <v>1382183659</v>
      </c>
      <c r="H304" s="8" t="n">
        <f aca="false">IFERROR(VLOOKUP(A304,'Dados-Status-Invest'!$1:$1000,12,FALSE())*J304,"")</f>
        <v>739655039.3</v>
      </c>
      <c r="I304" s="8" t="n">
        <f aca="false">IFERROR(D304/VLOOKUP(A304,'Dados-Status-Invest'!$1:$1000,14,FALSE()),"")</f>
        <v>12112612.4</v>
      </c>
      <c r="J304" s="9" t="n">
        <f aca="false">IFERROR(D304/VLOOKUP(A304,'Dados-Status-Invest'!$1:$1000,10,FALSE()),"")</f>
        <v>-336206836</v>
      </c>
      <c r="K304" s="10" t="n">
        <f aca="false">IFERROR(VLOOKUP(A304,'Dados-Status-Invest'!$1:$1000,3,FALSE())/100,"")</f>
        <v>0</v>
      </c>
      <c r="L304" s="11" t="n">
        <f aca="false">IFERROR(VLOOKUP(A304,'Dados-Status-Invest'!$1:$1000,MATCH(L$1,'Dados-Status-Invest'!$2:$2,0),FALSE())/100,"")</f>
        <v>-0.2254</v>
      </c>
      <c r="M304" s="10" t="n">
        <f aca="false">IFERROR(VLOOKUP(A304,'Dados-Status-Invest'!$1:$1000,MATCH(M$1,'Dados-Status-Invest'!$2:$2,0),FALSE())/100,"")</f>
        <v>-0.3527</v>
      </c>
      <c r="N304" s="10" t="n">
        <f aca="false">IFERROR(VLOOKUP(A304,'Dados-Status-Invest'!$1:$1000,MATCH(N$1,'Dados-Status-Invest'!$2:$2,0),FALSE())/100,"")</f>
        <v>0.2336</v>
      </c>
      <c r="O304" s="10" t="n">
        <f aca="false">IFERROR(VLOOKUP(A304,'Dados-Status-Invest'!$1:$1000,MATCH(O$1,'Dados-Status-Invest'!$2:$2,0),FALSE())/100,"")</f>
        <v>0.2683</v>
      </c>
      <c r="P304" s="10" t="n">
        <f aca="false">IFERROR(VLOOKUP(A304,'Dados-Status-Invest'!$1:$1000,MATCH(P$1,'Dados-Status-Invest'!$2:$2,0),FALSE())/100,"")</f>
        <v>-27.7685</v>
      </c>
      <c r="Q304" s="10" t="n">
        <f aca="false">IFERROR(VLOOKUP(A304,'Dados-Status-Invest'!$1:$1000,MATCH(Q$1,'Dados-Status-Invest'!$2:$2,0),FALSE())/100,"")</f>
        <v>-40.5641</v>
      </c>
      <c r="R304" s="12" t="n">
        <f aca="false">IFERROR(VLOOKUP(A304,'Dados-Status-Invest'!$1:$1000,MATCH(R$1,'Dados-Status-Invest'!$2:$2,0),FALSE()),"")</f>
        <v>-1.01</v>
      </c>
      <c r="S304" s="12" t="n">
        <f aca="false">IFERROR(VLOOKUP(A304,'Dados-Status-Invest'!$1:$1000,MATCH(S$1,'Dados-Status-Invest'!$2:$2,0),FALSE()),"")</f>
        <v>-0.23</v>
      </c>
      <c r="T304" s="12" t="n">
        <f aca="false">IFERROR(VLOOKUP(A304,'Dados-Status-Invest'!$1:$1000,MATCH(T$1,'Dados-Status-Invest'!$2:$2,0),FALSE()),"")</f>
        <v>-3.68</v>
      </c>
      <c r="U304" s="12" t="n">
        <f aca="false">IFERROR(VLOOKUP(A304,'Dados-Status-Invest'!$1:$1000,MATCH(U$1,'Dados-Status-Invest'!$2:$2,0),FALSE()),"")</f>
        <v>0.1</v>
      </c>
      <c r="V304" s="12" t="n">
        <f aca="false">IFERROR(VLOOKUP(A304,'Dados-Status-Invest'!$1:$1000,MATCH(V$1,'Dados-Status-Invest'!$2:$2,0),FALSE()),"")</f>
        <v>-2.2</v>
      </c>
      <c r="W304" s="10" t="n">
        <f aca="false">IFERROR(VLOOKUP(A304,'Dados-Status-Invest'!$1:$1000,MATCH(W$1,'Dados-Status-Invest'!$2:$2,0),FALSE())/100,"")</f>
        <v>-0.5372</v>
      </c>
      <c r="X304" s="10" t="n">
        <f aca="false">IFERROR(VLOOKUP(A304,'Dados-Status-Invest'!$1:$1000,MATCH(X$1,'Dados-Status-Invest'!$2:$2,0),FALSE())/100,"")</f>
        <v>0</v>
      </c>
    </row>
    <row r="305" customFormat="false" ht="15.75" hidden="false" customHeight="false" outlineLevel="0" collapsed="false">
      <c r="A305" s="6" t="s">
        <v>337</v>
      </c>
      <c r="B305" s="7" t="str">
        <f aca="false">IFERROR(VLOOKUP(LEFT(A305,4),Setor!A:D,2,FALSE()),"")</f>
        <v>Bens Industriais</v>
      </c>
      <c r="C305" s="8" t="n">
        <f aca="false">IFERROR(__xludf.dummyfunction("IFERROR(IFERROR(GOOGLEFINANCE(A311,""price""),VLOOKUP(A311,'Dados-Status-Invest'!A:B,2,FALSE)),"""")"),0.82)</f>
        <v>0.82</v>
      </c>
      <c r="D305" s="8" t="n">
        <f aca="false">IFERROR(VLOOKUP(A305,'Dados-Status-Invest'!$1:$1000,MATCH(D$1,'Dados-Status-Invest'!$2:$2,0),FALSE()),"")</f>
        <v>497586117.3</v>
      </c>
      <c r="E305" s="8" t="n">
        <f aca="false">IF(D305+H305&gt;0,D305+H305,"")</f>
        <v>1227379089.4</v>
      </c>
      <c r="F305" s="8" t="n">
        <f aca="false">IFERROR(D305/VLOOKUP(A305,'Dados-Status-Invest'!$1:$1000,5,FALSE()),"")</f>
        <v>-2163417901</v>
      </c>
      <c r="G305" s="8" t="n">
        <f aca="false">IFERROR(D305/VLOOKUP(A305,'Dados-Status-Invest'!$1:$1000,6,FALSE()),"")</f>
        <v>1382183659</v>
      </c>
      <c r="H305" s="8" t="n">
        <f aca="false">IFERROR(VLOOKUP(A305,'Dados-Status-Invest'!$1:$1000,12,FALSE())*J305,"")</f>
        <v>729792972.1</v>
      </c>
      <c r="I305" s="8" t="n">
        <f aca="false">IFERROR(D305/VLOOKUP(A305,'Dados-Status-Invest'!$1:$1000,14,FALSE()),"")</f>
        <v>11912523.76</v>
      </c>
      <c r="J305" s="9" t="n">
        <f aca="false">IFERROR(D305/VLOOKUP(A305,'Dados-Status-Invest'!$1:$1000,10,FALSE()),"")</f>
        <v>-331724078.2</v>
      </c>
      <c r="K305" s="10" t="n">
        <f aca="false">IFERROR(VLOOKUP(A305,'Dados-Status-Invest'!$1:$1000,3,FALSE())/100,"")</f>
        <v>0</v>
      </c>
      <c r="L305" s="11" t="n">
        <f aca="false">IFERROR(VLOOKUP(A305,'Dados-Status-Invest'!$1:$1000,MATCH(L$1,'Dados-Status-Invest'!$2:$2,0),FALSE())/100,"")</f>
        <v>-0.2254</v>
      </c>
      <c r="M305" s="10" t="n">
        <f aca="false">IFERROR(VLOOKUP(A305,'Dados-Status-Invest'!$1:$1000,MATCH(M$1,'Dados-Status-Invest'!$2:$2,0),FALSE())/100,"")</f>
        <v>-0.3527</v>
      </c>
      <c r="N305" s="10" t="n">
        <f aca="false">IFERROR(VLOOKUP(A305,'Dados-Status-Invest'!$1:$1000,MATCH(N$1,'Dados-Status-Invest'!$2:$2,0),FALSE())/100,"")</f>
        <v>0.2336</v>
      </c>
      <c r="O305" s="10" t="n">
        <f aca="false">IFERROR(VLOOKUP(A305,'Dados-Status-Invest'!$1:$1000,MATCH(O$1,'Dados-Status-Invest'!$2:$2,0),FALSE())/100,"")</f>
        <v>0.2683</v>
      </c>
      <c r="P305" s="10" t="n">
        <f aca="false">IFERROR(VLOOKUP(A305,'Dados-Status-Invest'!$1:$1000,MATCH(P$1,'Dados-Status-Invest'!$2:$2,0),FALSE())/100,"")</f>
        <v>-27.7685</v>
      </c>
      <c r="Q305" s="10" t="n">
        <f aca="false">IFERROR(VLOOKUP(A305,'Dados-Status-Invest'!$1:$1000,MATCH(Q$1,'Dados-Status-Invest'!$2:$2,0),FALSE())/100,"")</f>
        <v>-40.5641</v>
      </c>
      <c r="R305" s="12" t="n">
        <f aca="false">IFERROR(VLOOKUP(A305,'Dados-Status-Invest'!$1:$1000,MATCH(R$1,'Dados-Status-Invest'!$2:$2,0),FALSE()),"")</f>
        <v>-1.03</v>
      </c>
      <c r="S305" s="12" t="n">
        <f aca="false">IFERROR(VLOOKUP(A305,'Dados-Status-Invest'!$1:$1000,MATCH(S$1,'Dados-Status-Invest'!$2:$2,0),FALSE()),"")</f>
        <v>-0.23</v>
      </c>
      <c r="T305" s="12" t="n">
        <f aca="false">IFERROR(VLOOKUP(A305,'Dados-Status-Invest'!$1:$1000,MATCH(T$1,'Dados-Status-Invest'!$2:$2,0),FALSE()),"")</f>
        <v>-3.68</v>
      </c>
      <c r="U305" s="12" t="n">
        <f aca="false">IFERROR(VLOOKUP(A305,'Dados-Status-Invest'!$1:$1000,MATCH(U$1,'Dados-Status-Invest'!$2:$2,0),FALSE()),"")</f>
        <v>0.1</v>
      </c>
      <c r="V305" s="12" t="n">
        <f aca="false">IFERROR(VLOOKUP(A305,'Dados-Status-Invest'!$1:$1000,MATCH(V$1,'Dados-Status-Invest'!$2:$2,0),FALSE()),"")</f>
        <v>-2.2</v>
      </c>
      <c r="W305" s="10" t="n">
        <f aca="false">IFERROR(VLOOKUP(A305,'Dados-Status-Invest'!$1:$1000,MATCH(W$1,'Dados-Status-Invest'!$2:$2,0),FALSE())/100,"")</f>
        <v>-0.5372</v>
      </c>
      <c r="X305" s="10" t="n">
        <f aca="false">IFERROR(VLOOKUP(A305,'Dados-Status-Invest'!$1:$1000,MATCH(X$1,'Dados-Status-Invest'!$2:$2,0),FALSE())/100,"")</f>
        <v>0</v>
      </c>
    </row>
    <row r="306" customFormat="false" ht="15.75" hidden="false" customHeight="false" outlineLevel="0" collapsed="false">
      <c r="A306" s="6" t="s">
        <v>338</v>
      </c>
      <c r="B306" s="7" t="str">
        <f aca="false">IFERROR(VLOOKUP(LEFT(A306,4),Setor!A:D,2,FALSE()),"")</f>
        <v>Consumo Cíclico</v>
      </c>
      <c r="C306" s="8" t="n">
        <f aca="false">IFERROR(__xludf.dummyfunction("IFERROR(IFERROR(GOOGLEFINANCE(A312,""price""),VLOOKUP(A312,'Dados-Status-Invest'!A:B,2,FALSE)),"""")"),0)</f>
        <v>0</v>
      </c>
      <c r="D306" s="8" t="n">
        <f aca="false">IFERROR(VLOOKUP(A306,'Dados-Status-Invest'!$1:$1000,MATCH(D$1,'Dados-Status-Invest'!$2:$2,0),FALSE()),"")</f>
        <v>0</v>
      </c>
      <c r="E306" s="8" t="str">
        <f aca="false">IF(D306+H306&gt;0,D306+H306,"")</f>
        <v/>
      </c>
      <c r="F306" s="8" t="str">
        <f aca="false">IFERROR(D306/VLOOKUP(A306,'Dados-Status-Invest'!$1:$1000,5,FALSE()),"")</f>
        <v/>
      </c>
      <c r="G306" s="8" t="str">
        <f aca="false">IFERROR(D306/VLOOKUP(A306,'Dados-Status-Invest'!$1:$1000,6,FALSE()),"")</f>
        <v/>
      </c>
      <c r="H306" s="8" t="n">
        <f aca="false">IFERROR(VLOOKUP(A306,'Dados-Status-Invest'!$1:$1000,12,FALSE())*J306,"")</f>
        <v>0</v>
      </c>
      <c r="I306" s="8" t="str">
        <f aca="false">IFERROR(D306/VLOOKUP(A306,'Dados-Status-Invest'!$1:$1000,14,FALSE()),"")</f>
        <v/>
      </c>
      <c r="J306" s="9" t="str">
        <f aca="false">IFERROR(D306/VLOOKUP(A306,'Dados-Status-Invest'!$1:$1000,10,FALSE()),"")</f>
        <v/>
      </c>
      <c r="K306" s="10" t="n">
        <f aca="false">IFERROR(VLOOKUP(A306,'Dados-Status-Invest'!$1:$1000,3,FALSE())/100,"")</f>
        <v>0</v>
      </c>
      <c r="L306" s="11" t="n">
        <f aca="false">IFERROR(VLOOKUP(A306,'Dados-Status-Invest'!$1:$1000,MATCH(L$1,'Dados-Status-Invest'!$2:$2,0),FALSE())/100,"")</f>
        <v>-0.7322</v>
      </c>
      <c r="M306" s="10" t="n">
        <f aca="false">IFERROR(VLOOKUP(A306,'Dados-Status-Invest'!$1:$1000,MATCH(M$1,'Dados-Status-Invest'!$2:$2,0),FALSE())/100,"")</f>
        <v>-0.0475</v>
      </c>
      <c r="N306" s="10" t="n">
        <f aca="false">IFERROR(VLOOKUP(A306,'Dados-Status-Invest'!$1:$1000,MATCH(N$1,'Dados-Status-Invest'!$2:$2,0),FALSE())/100,"")</f>
        <v>-0.0947</v>
      </c>
      <c r="O306" s="10" t="n">
        <f aca="false">IFERROR(VLOOKUP(A306,'Dados-Status-Invest'!$1:$1000,MATCH(O$1,'Dados-Status-Invest'!$2:$2,0),FALSE())/100,"")</f>
        <v>0.1632</v>
      </c>
      <c r="P306" s="10" t="n">
        <f aca="false">IFERROR(VLOOKUP(A306,'Dados-Status-Invest'!$1:$1000,MATCH(P$1,'Dados-Status-Invest'!$2:$2,0),FALSE())/100,"")</f>
        <v>-0.0768</v>
      </c>
      <c r="Q306" s="10" t="n">
        <f aca="false">IFERROR(VLOOKUP(A306,'Dados-Status-Invest'!$1:$1000,MATCH(Q$1,'Dados-Status-Invest'!$2:$2,0),FALSE())/100,"")</f>
        <v>-0.1446</v>
      </c>
      <c r="R306" s="12" t="n">
        <f aca="false">IFERROR(VLOOKUP(A306,'Dados-Status-Invest'!$1:$1000,MATCH(R$1,'Dados-Status-Invest'!$2:$2,0),FALSE()),"")</f>
        <v>0</v>
      </c>
      <c r="S306" s="12" t="n">
        <f aca="false">IFERROR(VLOOKUP(A306,'Dados-Status-Invest'!$1:$1000,MATCH(S$1,'Dados-Status-Invest'!$2:$2,0),FALSE()),"")</f>
        <v>0</v>
      </c>
      <c r="T306" s="12" t="n">
        <f aca="false">IFERROR(VLOOKUP(A306,'Dados-Status-Invest'!$1:$1000,MATCH(T$1,'Dados-Status-Invest'!$2:$2,0),FALSE()),"")</f>
        <v>-7.75</v>
      </c>
      <c r="U306" s="12" t="n">
        <f aca="false">IFERROR(VLOOKUP(A306,'Dados-Status-Invest'!$1:$1000,MATCH(U$1,'Dados-Status-Invest'!$2:$2,0),FALSE()),"")</f>
        <v>1.34</v>
      </c>
      <c r="V306" s="12" t="n">
        <f aca="false">IFERROR(VLOOKUP(A306,'Dados-Status-Invest'!$1:$1000,MATCH(V$1,'Dados-Status-Invest'!$2:$2,0),FALSE()),"")</f>
        <v>-7.75</v>
      </c>
      <c r="W306" s="10" t="n">
        <f aca="false">IFERROR(VLOOKUP(A306,'Dados-Status-Invest'!$1:$1000,MATCH(W$1,'Dados-Status-Invest'!$2:$2,0),FALSE())/100,"")</f>
        <v>0.375</v>
      </c>
      <c r="X306" s="10" t="n">
        <f aca="false">IFERROR(VLOOKUP(A306,'Dados-Status-Invest'!$1:$1000,MATCH(X$1,'Dados-Status-Invest'!$2:$2,0),FALSE())/100,"")</f>
        <v>0</v>
      </c>
    </row>
    <row r="307" customFormat="false" ht="15.75" hidden="false" customHeight="false" outlineLevel="0" collapsed="false">
      <c r="A307" s="6" t="s">
        <v>339</v>
      </c>
      <c r="B307" s="7" t="s">
        <v>98</v>
      </c>
      <c r="C307" s="8" t="n">
        <f aca="false">IFERROR(__xludf.dummyfunction("IFERROR(IFERROR(GOOGLEFINANCE(A313,""price""),VLOOKUP(A313,'Dados-Status-Invest'!A:B,2,FALSE)),"""")"),27.55)</f>
        <v>27.55</v>
      </c>
      <c r="D307" s="8" t="n">
        <f aca="false">IFERROR(VLOOKUP(A307,'Dados-Status-Invest'!$1:$1000,MATCH(D$1,'Dados-Status-Invest'!$2:$2,0),FALSE()),"")</f>
        <v>9199319969</v>
      </c>
      <c r="E307" s="8" t="n">
        <f aca="false">IF(D307+H307&gt;0,D307+H307,"")</f>
        <v>8545518640.9</v>
      </c>
      <c r="F307" s="8" t="n">
        <f aca="false">IFERROR(D307/VLOOKUP(A307,'Dados-Status-Invest'!$1:$1000,5,FALSE()),"")</f>
        <v>1725951214</v>
      </c>
      <c r="G307" s="8" t="n">
        <f aca="false">IFERROR(D307/VLOOKUP(A307,'Dados-Status-Invest'!$1:$1000,6,FALSE()),"")</f>
        <v>3046132440</v>
      </c>
      <c r="H307" s="8" t="n">
        <f aca="false">IFERROR(VLOOKUP(A307,'Dados-Status-Invest'!$1:$1000,12,FALSE())*J307,"")</f>
        <v>-653801328.1</v>
      </c>
      <c r="I307" s="8" t="n">
        <f aca="false">IFERROR(D307/VLOOKUP(A307,'Dados-Status-Invest'!$1:$1000,14,FALSE()),"")</f>
        <v>2377085263</v>
      </c>
      <c r="J307" s="9" t="n">
        <f aca="false">IFERROR(D307/VLOOKUP(A307,'Dados-Status-Invest'!$1:$1000,10,FALSE()),"")</f>
        <v>419103415.4</v>
      </c>
      <c r="K307" s="10" t="n">
        <f aca="false">IFERROR(VLOOKUP(A307,'Dados-Status-Invest'!$1:$1000,3,FALSE())/100,"")</f>
        <v>0</v>
      </c>
      <c r="L307" s="11" t="n">
        <f aca="false">IFERROR(VLOOKUP(A307,'Dados-Status-Invest'!$1:$1000,MATCH(L$1,'Dados-Status-Invest'!$2:$2,0),FALSE())/100,"")</f>
        <v>0.2554</v>
      </c>
      <c r="M307" s="10" t="n">
        <f aca="false">IFERROR(VLOOKUP(A307,'Dados-Status-Invest'!$1:$1000,MATCH(M$1,'Dados-Status-Invest'!$2:$2,0),FALSE())/100,"")</f>
        <v>0.1446</v>
      </c>
      <c r="N307" s="10" t="n">
        <f aca="false">IFERROR(VLOOKUP(A307,'Dados-Status-Invest'!$1:$1000,MATCH(N$1,'Dados-Status-Invest'!$2:$2,0),FALSE())/100,"")</f>
        <v>0.1836</v>
      </c>
      <c r="O307" s="10" t="n">
        <f aca="false">IFERROR(VLOOKUP(A307,'Dados-Status-Invest'!$1:$1000,MATCH(O$1,'Dados-Status-Invest'!$2:$2,0),FALSE())/100,"")</f>
        <v>0.3157</v>
      </c>
      <c r="P307" s="10" t="n">
        <f aca="false">IFERROR(VLOOKUP(A307,'Dados-Status-Invest'!$1:$1000,MATCH(P$1,'Dados-Status-Invest'!$2:$2,0),FALSE())/100,"")</f>
        <v>0.1762</v>
      </c>
      <c r="Q307" s="10" t="n">
        <f aca="false">IFERROR(VLOOKUP(A307,'Dados-Status-Invest'!$1:$1000,MATCH(Q$1,'Dados-Status-Invest'!$2:$2,0),FALSE())/100,"")</f>
        <v>0.1853</v>
      </c>
      <c r="R307" s="12" t="n">
        <f aca="false">IFERROR(VLOOKUP(A307,'Dados-Status-Invest'!$1:$1000,MATCH(R$1,'Dados-Status-Invest'!$2:$2,0),FALSE()),"")</f>
        <v>20.87</v>
      </c>
      <c r="S307" s="12" t="n">
        <f aca="false">IFERROR(VLOOKUP(A307,'Dados-Status-Invest'!$1:$1000,MATCH(S$1,'Dados-Status-Invest'!$2:$2,0),FALSE()),"")</f>
        <v>5.33</v>
      </c>
      <c r="T307" s="12" t="n">
        <f aca="false">IFERROR(VLOOKUP(A307,'Dados-Status-Invest'!$1:$1000,MATCH(T$1,'Dados-Status-Invest'!$2:$2,0),FALSE()),"")</f>
        <v>20.33</v>
      </c>
      <c r="U307" s="12" t="n">
        <f aca="false">IFERROR(VLOOKUP(A307,'Dados-Status-Invest'!$1:$1000,MATCH(U$1,'Dados-Status-Invest'!$2:$2,0),FALSE()),"")</f>
        <v>2.72</v>
      </c>
      <c r="V307" s="12" t="n">
        <f aca="false">IFERROR(VLOOKUP(A307,'Dados-Status-Invest'!$1:$1000,MATCH(V$1,'Dados-Status-Invest'!$2:$2,0),FALSE()),"")</f>
        <v>-1.56</v>
      </c>
      <c r="W307" s="10" t="n">
        <f aca="false">IFERROR(VLOOKUP(A307,'Dados-Status-Invest'!$1:$1000,MATCH(W$1,'Dados-Status-Invest'!$2:$2,0),FALSE())/100,"")</f>
        <v>0</v>
      </c>
      <c r="X307" s="10" t="n">
        <f aca="false">IFERROR(VLOOKUP(A307,'Dados-Status-Invest'!$1:$1000,MATCH(X$1,'Dados-Status-Invest'!$2:$2,0),FALSE())/100,"")</f>
        <v>0</v>
      </c>
    </row>
    <row r="308" customFormat="false" ht="15.75" hidden="false" customHeight="false" outlineLevel="0" collapsed="false">
      <c r="A308" s="6" t="s">
        <v>340</v>
      </c>
      <c r="B308" s="7" t="str">
        <f aca="false">IFERROR(VLOOKUP(LEFT(A308,4),Setor!A:D,2,FALSE()),"")</f>
        <v>Financeiro</v>
      </c>
      <c r="C308" s="8" t="n">
        <f aca="false">IFERROR(__xludf.dummyfunction("IFERROR(IFERROR(GOOGLEFINANCE(A314,""price""),VLOOKUP(A314,'Dados-Status-Invest'!A:B,2,FALSE)),"""")"),2.87)</f>
        <v>2.87</v>
      </c>
      <c r="D308" s="8" t="n">
        <f aca="false">IFERROR(VLOOKUP(A308,'Dados-Status-Invest'!$1:$1000,MATCH(D$1,'Dados-Status-Invest'!$2:$2,0),FALSE()),"")</f>
        <v>7429837346</v>
      </c>
      <c r="E308" s="8" t="n">
        <f aca="false">IF(D308+H308&gt;0,D308+H308,"")</f>
        <v>7429837346</v>
      </c>
      <c r="F308" s="8" t="n">
        <f aca="false">IFERROR(D308/VLOOKUP(A308,'Dados-Status-Invest'!$1:$1000,5,FALSE()),"")</f>
        <v>4422522229</v>
      </c>
      <c r="G308" s="8" t="n">
        <f aca="false">IFERROR(D308/VLOOKUP(A308,'Dados-Status-Invest'!$1:$1000,6,FALSE()),"")</f>
        <v>23218241705</v>
      </c>
      <c r="H308" s="8" t="n">
        <f aca="false">IFERROR(VLOOKUP(A308,'Dados-Status-Invest'!$1:$1000,12,FALSE())*J308,"")</f>
        <v>0</v>
      </c>
      <c r="I308" s="8" t="n">
        <f aca="false">IFERROR(D308/VLOOKUP(A308,'Dados-Status-Invest'!$1:$1000,14,FALSE()),"")</f>
        <v>8540042926</v>
      </c>
      <c r="J308" s="9" t="n">
        <f aca="false">IFERROR(D308/VLOOKUP(A308,'Dados-Status-Invest'!$1:$1000,10,FALSE()),"")</f>
        <v>-1986587526</v>
      </c>
      <c r="K308" s="10" t="n">
        <f aca="false">IFERROR(VLOOKUP(A308,'Dados-Status-Invest'!$1:$1000,3,FALSE())/100,"")</f>
        <v>0.0226</v>
      </c>
      <c r="L308" s="11" t="n">
        <f aca="false">IFERROR(VLOOKUP(A308,'Dados-Status-Invest'!$1:$1000,MATCH(L$1,'Dados-Status-Invest'!$2:$2,0),FALSE())/100,"")</f>
        <v>-0.3377</v>
      </c>
      <c r="M308" s="10" t="n">
        <f aca="false">IFERROR(VLOOKUP(A308,'Dados-Status-Invest'!$1:$1000,MATCH(M$1,'Dados-Status-Invest'!$2:$2,0),FALSE())/100,"")</f>
        <v>-0.0634</v>
      </c>
      <c r="N308" s="10" t="n">
        <f aca="false">IFERROR(VLOOKUP(A308,'Dados-Status-Invest'!$1:$1000,MATCH(N$1,'Dados-Status-Invest'!$2:$2,0),FALSE())/100,"")</f>
        <v>0</v>
      </c>
      <c r="O308" s="10" t="n">
        <f aca="false">IFERROR(VLOOKUP(A308,'Dados-Status-Invest'!$1:$1000,MATCH(O$1,'Dados-Status-Invest'!$2:$2,0),FALSE())/100,"")</f>
        <v>-0.1842</v>
      </c>
      <c r="P308" s="10" t="n">
        <f aca="false">IFERROR(VLOOKUP(A308,'Dados-Status-Invest'!$1:$1000,MATCH(P$1,'Dados-Status-Invest'!$2:$2,0),FALSE())/100,"")</f>
        <v>-0.2322</v>
      </c>
      <c r="Q308" s="10" t="n">
        <f aca="false">IFERROR(VLOOKUP(A308,'Dados-Status-Invest'!$1:$1000,MATCH(Q$1,'Dados-Status-Invest'!$2:$2,0),FALSE())/100,"")</f>
        <v>-0.1739</v>
      </c>
      <c r="R308" s="12" t="n">
        <f aca="false">IFERROR(VLOOKUP(A308,'Dados-Status-Invest'!$1:$1000,MATCH(R$1,'Dados-Status-Invest'!$2:$2,0),FALSE()),"")</f>
        <v>-4.99</v>
      </c>
      <c r="S308" s="12" t="n">
        <f aca="false">IFERROR(VLOOKUP(A308,'Dados-Status-Invest'!$1:$1000,MATCH(S$1,'Dados-Status-Invest'!$2:$2,0),FALSE()),"")</f>
        <v>1.68</v>
      </c>
      <c r="T308" s="12" t="n">
        <f aca="false">IFERROR(VLOOKUP(A308,'Dados-Status-Invest'!$1:$1000,MATCH(T$1,'Dados-Status-Invest'!$2:$2,0),FALSE()),"")</f>
        <v>-3.75</v>
      </c>
      <c r="U308" s="12" t="n">
        <f aca="false">IFERROR(VLOOKUP(A308,'Dados-Status-Invest'!$1:$1000,MATCH(U$1,'Dados-Status-Invest'!$2:$2,0),FALSE()),"")</f>
        <v>0.95</v>
      </c>
      <c r="V308" s="12" t="n">
        <f aca="false">IFERROR(VLOOKUP(A308,'Dados-Status-Invest'!$1:$1000,MATCH(V$1,'Dados-Status-Invest'!$2:$2,0),FALSE()),"")</f>
        <v>0</v>
      </c>
      <c r="W308" s="10" t="n">
        <f aca="false">IFERROR(VLOOKUP(A308,'Dados-Status-Invest'!$1:$1000,MATCH(W$1,'Dados-Status-Invest'!$2:$2,0),FALSE())/100,"")</f>
        <v>0.1775</v>
      </c>
      <c r="X308" s="10" t="n">
        <f aca="false">IFERROR(VLOOKUP(A308,'Dados-Status-Invest'!$1:$1000,MATCH(X$1,'Dados-Status-Invest'!$2:$2,0),FALSE())/100,"")</f>
        <v>0</v>
      </c>
    </row>
    <row r="309" customFormat="false" ht="15.75" hidden="false" customHeight="false" outlineLevel="0" collapsed="false">
      <c r="A309" s="6" t="s">
        <v>341</v>
      </c>
      <c r="B309" s="7" t="s">
        <v>98</v>
      </c>
      <c r="C309" s="8" t="n">
        <f aca="false">IFERROR(__xludf.dummyfunction("IFERROR(IFERROR(GOOGLEFINANCE(A315,""price""),VLOOKUP(A315,'Dados-Status-Invest'!A:B,2,FALSE)),"""")"),40.1)</f>
        <v>40.1</v>
      </c>
      <c r="D309" s="8" t="n">
        <f aca="false">IFERROR(VLOOKUP(A309,'Dados-Status-Invest'!$1:$1000,MATCH(D$1,'Dados-Status-Invest'!$2:$2,0),FALSE()),"")</f>
        <v>443994658.6</v>
      </c>
      <c r="E309" s="8" t="n">
        <f aca="false">IF(D309+H309&gt;0,D309+H309,"")</f>
        <v>423477937.91</v>
      </c>
      <c r="F309" s="8" t="n">
        <f aca="false">IFERROR(D309/VLOOKUP(A309,'Dados-Status-Invest'!$1:$1000,5,FALSE()),"")</f>
        <v>20144948.21</v>
      </c>
      <c r="G309" s="8" t="n">
        <f aca="false">IFERROR(D309/VLOOKUP(A309,'Dados-Status-Invest'!$1:$1000,6,FALSE()),"")</f>
        <v>48155602.89</v>
      </c>
      <c r="H309" s="8" t="n">
        <f aca="false">IFERROR(VLOOKUP(A309,'Dados-Status-Invest'!$1:$1000,12,FALSE())*J309,"")</f>
        <v>-20516720.69</v>
      </c>
      <c r="I309" s="8" t="n">
        <f aca="false">IFERROR(D309/VLOOKUP(A309,'Dados-Status-Invest'!$1:$1000,14,FALSE()),"")</f>
        <v>170000.2139</v>
      </c>
      <c r="J309" s="9" t="n">
        <f aca="false">IFERROR(D309/VLOOKUP(A309,'Dados-Status-Invest'!$1:$1000,10,FALSE()),"")</f>
        <v>-32057376.07</v>
      </c>
      <c r="K309" s="10" t="n">
        <f aca="false">IFERROR(VLOOKUP(A309,'Dados-Status-Invest'!$1:$1000,3,FALSE())/100,"")</f>
        <v>0</v>
      </c>
      <c r="L309" s="11" t="n">
        <f aca="false">IFERROR(VLOOKUP(A309,'Dados-Status-Invest'!$1:$1000,MATCH(L$1,'Dados-Status-Invest'!$2:$2,0),FALSE())/100,"")</f>
        <v>-0.6276</v>
      </c>
      <c r="M309" s="10" t="n">
        <f aca="false">IFERROR(VLOOKUP(A309,'Dados-Status-Invest'!$1:$1000,MATCH(M$1,'Dados-Status-Invest'!$2:$2,0),FALSE())/100,"")</f>
        <v>-0.2624</v>
      </c>
      <c r="N309" s="10" t="n">
        <f aca="false">IFERROR(VLOOKUP(A309,'Dados-Status-Invest'!$1:$1000,MATCH(N$1,'Dados-Status-Invest'!$2:$2,0),FALSE())/100,"")</f>
        <v>-1.7407</v>
      </c>
      <c r="O309" s="10" t="n">
        <f aca="false">IFERROR(VLOOKUP(A309,'Dados-Status-Invest'!$1:$1000,MATCH(O$1,'Dados-Status-Invest'!$2:$2,0),FALSE())/100,"")</f>
        <v>-1.2118</v>
      </c>
      <c r="P309" s="10" t="n">
        <f aca="false">IFERROR(VLOOKUP(A309,'Dados-Status-Invest'!$1:$1000,MATCH(P$1,'Dados-Status-Invest'!$2:$2,0),FALSE())/100,"")</f>
        <v>-188.5294</v>
      </c>
      <c r="Q309" s="10" t="n">
        <f aca="false">IFERROR(VLOOKUP(A309,'Dados-Status-Invest'!$1:$1000,MATCH(Q$1,'Dados-Status-Invest'!$2:$2,0),FALSE())/100,"")</f>
        <v>-74.3588</v>
      </c>
      <c r="R309" s="12" t="n">
        <f aca="false">IFERROR(VLOOKUP(A309,'Dados-Status-Invest'!$1:$1000,MATCH(R$1,'Dados-Status-Invest'!$2:$2,0),FALSE()),"")</f>
        <v>-35.12</v>
      </c>
      <c r="S309" s="12" t="n">
        <f aca="false">IFERROR(VLOOKUP(A309,'Dados-Status-Invest'!$1:$1000,MATCH(S$1,'Dados-Status-Invest'!$2:$2,0),FALSE()),"")</f>
        <v>22.04</v>
      </c>
      <c r="T309" s="12" t="n">
        <f aca="false">IFERROR(VLOOKUP(A309,'Dados-Status-Invest'!$1:$1000,MATCH(T$1,'Dados-Status-Invest'!$2:$2,0),FALSE()),"")</f>
        <v>-13.21</v>
      </c>
      <c r="U309" s="12" t="n">
        <f aca="false">IFERROR(VLOOKUP(A309,'Dados-Status-Invest'!$1:$1000,MATCH(U$1,'Dados-Status-Invest'!$2:$2,0),FALSE()),"")</f>
        <v>5.23</v>
      </c>
      <c r="V309" s="12" t="n">
        <f aca="false">IFERROR(VLOOKUP(A309,'Dados-Status-Invest'!$1:$1000,MATCH(V$1,'Dados-Status-Invest'!$2:$2,0),FALSE()),"")</f>
        <v>0.64</v>
      </c>
      <c r="W309" s="10" t="n">
        <f aca="false">IFERROR(VLOOKUP(A309,'Dados-Status-Invest'!$1:$1000,MATCH(W$1,'Dados-Status-Invest'!$2:$2,0),FALSE())/100,"")</f>
        <v>-0.7529</v>
      </c>
      <c r="X309" s="10" t="n">
        <f aca="false">IFERROR(VLOOKUP(A309,'Dados-Status-Invest'!$1:$1000,MATCH(X$1,'Dados-Status-Invest'!$2:$2,0),FALSE())/100,"")</f>
        <v>0</v>
      </c>
    </row>
    <row r="310" customFormat="false" ht="15.75" hidden="false" customHeight="false" outlineLevel="0" collapsed="false">
      <c r="A310" s="6" t="s">
        <v>342</v>
      </c>
      <c r="B310" s="7" t="str">
        <f aca="false">IFERROR(VLOOKUP(LEFT(A310,4),Setor!A:D,2,FALSE()),"")</f>
        <v>Financeiro</v>
      </c>
      <c r="C310" s="8" t="n">
        <f aca="false">IFERROR(__xludf.dummyfunction("IFERROR(IFERROR(GOOGLEFINANCE(A316,""price""),VLOOKUP(A316,'Dados-Status-Invest'!A:B,2,FALSE)),"""")"),9.74)</f>
        <v>9.74</v>
      </c>
      <c r="D310" s="8" t="n">
        <f aca="false">IFERROR(VLOOKUP(A310,'Dados-Status-Invest'!$1:$1000,MATCH(D$1,'Dados-Status-Invest'!$2:$2,0),FALSE()),"")</f>
        <v>95034006202</v>
      </c>
      <c r="E310" s="8" t="n">
        <f aca="false">IF(D310+H310&gt;0,D310+H310,"")</f>
        <v>96696663769</v>
      </c>
      <c r="F310" s="8" t="n">
        <f aca="false">IFERROR(D310/VLOOKUP(A310,'Dados-Status-Invest'!$1:$1000,5,FALSE()),"")</f>
        <v>57947564757</v>
      </c>
      <c r="G310" s="8" t="n">
        <f aca="false">IFERROR(D310/VLOOKUP(A310,'Dados-Status-Invest'!$1:$1000,6,FALSE()),"")</f>
        <v>72545042902</v>
      </c>
      <c r="H310" s="8" t="n">
        <f aca="false">IFERROR(VLOOKUP(A310,'Dados-Status-Invest'!$1:$1000,12,FALSE())*J310,"")</f>
        <v>1662657567</v>
      </c>
      <c r="I310" s="8" t="n">
        <f aca="false">IFERROR(D310/VLOOKUP(A310,'Dados-Status-Invest'!$1:$1000,14,FALSE()),"")</f>
        <v>6412551026</v>
      </c>
      <c r="J310" s="9" t="n">
        <f aca="false">IFERROR(D310/VLOOKUP(A310,'Dados-Status-Invest'!$1:$1000,10,FALSE()),"")</f>
        <v>8750829300</v>
      </c>
      <c r="K310" s="10" t="n">
        <f aca="false">IFERROR(VLOOKUP(A310,'Dados-Status-Invest'!$1:$1000,3,FALSE())/100,"")</f>
        <v>0.026</v>
      </c>
      <c r="L310" s="11" t="n">
        <f aca="false">IFERROR(VLOOKUP(A310,'Dados-Status-Invest'!$1:$1000,MATCH(L$1,'Dados-Status-Invest'!$2:$2,0),FALSE())/100,"")</f>
        <v>0.1406</v>
      </c>
      <c r="M310" s="10" t="n">
        <f aca="false">IFERROR(VLOOKUP(A310,'Dados-Status-Invest'!$1:$1000,MATCH(M$1,'Dados-Status-Invest'!$2:$2,0),FALSE())/100,"")</f>
        <v>0.1126</v>
      </c>
      <c r="N310" s="10" t="n">
        <f aca="false">IFERROR(VLOOKUP(A310,'Dados-Status-Invest'!$1:$1000,MATCH(N$1,'Dados-Status-Invest'!$2:$2,0),FALSE())/100,"")</f>
        <v>0.1272</v>
      </c>
      <c r="O310" s="10" t="n">
        <f aca="false">IFERROR(VLOOKUP(A310,'Dados-Status-Invest'!$1:$1000,MATCH(O$1,'Dados-Status-Invest'!$2:$2,0),FALSE())/100,"")</f>
        <v>0.319</v>
      </c>
      <c r="P310" s="10" t="n">
        <f aca="false">IFERROR(VLOOKUP(A310,'Dados-Status-Invest'!$1:$1000,MATCH(P$1,'Dados-Status-Invest'!$2:$2,0),FALSE())/100,"")</f>
        <v>1.3649</v>
      </c>
      <c r="Q310" s="10" t="n">
        <f aca="false">IFERROR(VLOOKUP(A310,'Dados-Status-Invest'!$1:$1000,MATCH(Q$1,'Dados-Status-Invest'!$2:$2,0),FALSE())/100,"")</f>
        <v>1.2721</v>
      </c>
      <c r="R310" s="12" t="n">
        <f aca="false">IFERROR(VLOOKUP(A310,'Dados-Status-Invest'!$1:$1000,MATCH(R$1,'Dados-Status-Invest'!$2:$2,0),FALSE()),"")</f>
        <v>11.65</v>
      </c>
      <c r="S310" s="12" t="n">
        <f aca="false">IFERROR(VLOOKUP(A310,'Dados-Status-Invest'!$1:$1000,MATCH(S$1,'Dados-Status-Invest'!$2:$2,0),FALSE()),"")</f>
        <v>1.64</v>
      </c>
      <c r="T310" s="12" t="n">
        <f aca="false">IFERROR(VLOOKUP(A310,'Dados-Status-Invest'!$1:$1000,MATCH(T$1,'Dados-Status-Invest'!$2:$2,0),FALSE()),"")</f>
        <v>10.92</v>
      </c>
      <c r="U310" s="12" t="n">
        <f aca="false">IFERROR(VLOOKUP(A310,'Dados-Status-Invest'!$1:$1000,MATCH(U$1,'Dados-Status-Invest'!$2:$2,0),FALSE()),"")</f>
        <v>2.28</v>
      </c>
      <c r="V310" s="12" t="n">
        <f aca="false">IFERROR(VLOOKUP(A310,'Dados-Status-Invest'!$1:$1000,MATCH(V$1,'Dados-Status-Invest'!$2:$2,0),FALSE()),"")</f>
        <v>0.19</v>
      </c>
      <c r="W310" s="10" t="n">
        <f aca="false">IFERROR(VLOOKUP(A310,'Dados-Status-Invest'!$1:$1000,MATCH(W$1,'Dados-Status-Invest'!$2:$2,0),FALSE())/100,"")</f>
        <v>0.0378</v>
      </c>
      <c r="X310" s="10" t="n">
        <f aca="false">IFERROR(VLOOKUP(A310,'Dados-Status-Invest'!$1:$1000,MATCH(X$1,'Dados-Status-Invest'!$2:$2,0),FALSE())/100,"")</f>
        <v>-0.0397</v>
      </c>
    </row>
    <row r="311" customFormat="false" ht="15.75" hidden="false" customHeight="false" outlineLevel="0" collapsed="false">
      <c r="A311" s="6" t="s">
        <v>343</v>
      </c>
      <c r="B311" s="7" t="str">
        <f aca="false">IFERROR(VLOOKUP(LEFT(A311,4),Setor!A:D,2,FALSE()),"")</f>
        <v>Financeiro</v>
      </c>
      <c r="C311" s="8" t="n">
        <f aca="false">IFERROR(__xludf.dummyfunction("IFERROR(IFERROR(GOOGLEFINANCE(A317,""price""),VLOOKUP(A317,'Dados-Status-Invest'!A:B,2,FALSE)),"""")"),9.48)</f>
        <v>9.48</v>
      </c>
      <c r="D311" s="8" t="n">
        <f aca="false">IFERROR(VLOOKUP(A311,'Dados-Status-Invest'!$1:$1000,MATCH(D$1,'Dados-Status-Invest'!$2:$2,0),FALSE()),"")</f>
        <v>95034006202</v>
      </c>
      <c r="E311" s="8" t="n">
        <f aca="false">IF(D311+H311&gt;0,D311+H311,"")</f>
        <v>96729448566</v>
      </c>
      <c r="F311" s="8" t="n">
        <f aca="false">IFERROR(D311/VLOOKUP(A311,'Dados-Status-Invest'!$1:$1000,5,FALSE()),"")</f>
        <v>59027333045</v>
      </c>
      <c r="G311" s="8" t="n">
        <f aca="false">IFERROR(D311/VLOOKUP(A311,'Dados-Status-Invest'!$1:$1000,6,FALSE()),"")</f>
        <v>73669772249</v>
      </c>
      <c r="H311" s="8" t="n">
        <f aca="false">IFERROR(VLOOKUP(A311,'Dados-Status-Invest'!$1:$1000,12,FALSE())*J311,"")</f>
        <v>1695442364</v>
      </c>
      <c r="I311" s="8" t="n">
        <f aca="false">IFERROR(D311/VLOOKUP(A311,'Dados-Status-Invest'!$1:$1000,14,FALSE()),"")</f>
        <v>6536038941</v>
      </c>
      <c r="J311" s="9" t="n">
        <f aca="false">IFERROR(D311/VLOOKUP(A311,'Dados-Status-Invest'!$1:$1000,10,FALSE()),"")</f>
        <v>8923380864</v>
      </c>
      <c r="K311" s="10" t="n">
        <f aca="false">IFERROR(VLOOKUP(A311,'Dados-Status-Invest'!$1:$1000,3,FALSE())/100,"")</f>
        <v>0.0265</v>
      </c>
      <c r="L311" s="11" t="n">
        <f aca="false">IFERROR(VLOOKUP(A311,'Dados-Status-Invest'!$1:$1000,MATCH(L$1,'Dados-Status-Invest'!$2:$2,0),FALSE())/100,"")</f>
        <v>0.1406</v>
      </c>
      <c r="M311" s="10" t="n">
        <f aca="false">IFERROR(VLOOKUP(A311,'Dados-Status-Invest'!$1:$1000,MATCH(M$1,'Dados-Status-Invest'!$2:$2,0),FALSE())/100,"")</f>
        <v>0.1126</v>
      </c>
      <c r="N311" s="10" t="n">
        <f aca="false">IFERROR(VLOOKUP(A311,'Dados-Status-Invest'!$1:$1000,MATCH(N$1,'Dados-Status-Invest'!$2:$2,0),FALSE())/100,"")</f>
        <v>0.1272</v>
      </c>
      <c r="O311" s="10" t="n">
        <f aca="false">IFERROR(VLOOKUP(A311,'Dados-Status-Invest'!$1:$1000,MATCH(O$1,'Dados-Status-Invest'!$2:$2,0),FALSE())/100,"")</f>
        <v>0.319</v>
      </c>
      <c r="P311" s="10" t="n">
        <f aca="false">IFERROR(VLOOKUP(A311,'Dados-Status-Invest'!$1:$1000,MATCH(P$1,'Dados-Status-Invest'!$2:$2,0),FALSE())/100,"")</f>
        <v>1.3649</v>
      </c>
      <c r="Q311" s="10" t="n">
        <f aca="false">IFERROR(VLOOKUP(A311,'Dados-Status-Invest'!$1:$1000,MATCH(Q$1,'Dados-Status-Invest'!$2:$2,0),FALSE())/100,"")</f>
        <v>1.2721</v>
      </c>
      <c r="R311" s="12" t="n">
        <f aca="false">IFERROR(VLOOKUP(A311,'Dados-Status-Invest'!$1:$1000,MATCH(R$1,'Dados-Status-Invest'!$2:$2,0),FALSE()),"")</f>
        <v>11.43</v>
      </c>
      <c r="S311" s="12" t="n">
        <f aca="false">IFERROR(VLOOKUP(A311,'Dados-Status-Invest'!$1:$1000,MATCH(S$1,'Dados-Status-Invest'!$2:$2,0),FALSE()),"")</f>
        <v>1.61</v>
      </c>
      <c r="T311" s="12" t="n">
        <f aca="false">IFERROR(VLOOKUP(A311,'Dados-Status-Invest'!$1:$1000,MATCH(T$1,'Dados-Status-Invest'!$2:$2,0),FALSE()),"")</f>
        <v>10.92</v>
      </c>
      <c r="U311" s="12" t="n">
        <f aca="false">IFERROR(VLOOKUP(A311,'Dados-Status-Invest'!$1:$1000,MATCH(U$1,'Dados-Status-Invest'!$2:$2,0),FALSE()),"")</f>
        <v>2.28</v>
      </c>
      <c r="V311" s="12" t="n">
        <f aca="false">IFERROR(VLOOKUP(A311,'Dados-Status-Invest'!$1:$1000,MATCH(V$1,'Dados-Status-Invest'!$2:$2,0),FALSE()),"")</f>
        <v>0.19</v>
      </c>
      <c r="W311" s="10" t="n">
        <f aca="false">IFERROR(VLOOKUP(A311,'Dados-Status-Invest'!$1:$1000,MATCH(W$1,'Dados-Status-Invest'!$2:$2,0),FALSE())/100,"")</f>
        <v>0.0378</v>
      </c>
      <c r="X311" s="10" t="n">
        <f aca="false">IFERROR(VLOOKUP(A311,'Dados-Status-Invest'!$1:$1000,MATCH(X$1,'Dados-Status-Invest'!$2:$2,0),FALSE())/100,"")</f>
        <v>-0.0397</v>
      </c>
    </row>
    <row r="312" customFormat="false" ht="15.75" hidden="false" customHeight="false" outlineLevel="0" collapsed="false">
      <c r="A312" s="6" t="s">
        <v>344</v>
      </c>
      <c r="B312" s="7" t="str">
        <f aca="false">IFERROR(VLOOKUP(LEFT(A312,4),Setor!A:D,2,FALSE()),"")</f>
        <v>Financeiro</v>
      </c>
      <c r="C312" s="8" t="n">
        <f aca="false">IFERROR(__xludf.dummyfunction("IFERROR(IFERROR(GOOGLEFINANCE(A318,""price""),VLOOKUP(A318,'Dados-Status-Invest'!A:B,2,FALSE)),"""")"),22.05)</f>
        <v>22.05</v>
      </c>
      <c r="D312" s="8" t="n">
        <f aca="false">IFERROR(VLOOKUP(A312,'Dados-Status-Invest'!$1:$1000,MATCH(D$1,'Dados-Status-Invest'!$2:$2,0),FALSE()),"")</f>
        <v>278300367473</v>
      </c>
      <c r="E312" s="8" t="n">
        <f aca="false">IF(D312+H312&gt;0,D312+H312,"")</f>
        <v>278300367473</v>
      </c>
      <c r="F312" s="8" t="n">
        <f aca="false">IFERROR(D312/VLOOKUP(A312,'Dados-Status-Invest'!$1:$1000,5,FALSE()),"")</f>
        <v>156348521052</v>
      </c>
      <c r="G312" s="8" t="n">
        <f aca="false">IFERROR(D312/VLOOKUP(A312,'Dados-Status-Invest'!$1:$1000,6,FALSE()),"")</f>
        <v>2140772057481</v>
      </c>
      <c r="H312" s="8" t="n">
        <f aca="false">IFERROR(VLOOKUP(A312,'Dados-Status-Invest'!$1:$1000,12,FALSE())*J312,"")</f>
        <v>0</v>
      </c>
      <c r="I312" s="8" t="n">
        <f aca="false">IFERROR(D312/VLOOKUP(A312,'Dados-Status-Invest'!$1:$1000,14,FALSE()),"")</f>
        <v>184304879121</v>
      </c>
      <c r="J312" s="9" t="n">
        <f aca="false">IFERROR(D312/VLOOKUP(A312,'Dados-Status-Invest'!$1:$1000,10,FALSE()),"")</f>
        <v>24519856165</v>
      </c>
      <c r="K312" s="10" t="n">
        <f aca="false">IFERROR(VLOOKUP(A312,'Dados-Status-Invest'!$1:$1000,3,FALSE())/100,"")</f>
        <v>0.0243</v>
      </c>
      <c r="L312" s="11" t="n">
        <f aca="false">IFERROR(VLOOKUP(A312,'Dados-Status-Invest'!$1:$1000,MATCH(L$1,'Dados-Status-Invest'!$2:$2,0),FALSE())/100,"")</f>
        <v>0.1434</v>
      </c>
      <c r="M312" s="10" t="n">
        <f aca="false">IFERROR(VLOOKUP(A312,'Dados-Status-Invest'!$1:$1000,MATCH(M$1,'Dados-Status-Invest'!$2:$2,0),FALSE())/100,"")</f>
        <v>0.0104</v>
      </c>
      <c r="N312" s="10" t="n">
        <f aca="false">IFERROR(VLOOKUP(A312,'Dados-Status-Invest'!$1:$1000,MATCH(N$1,'Dados-Status-Invest'!$2:$2,0),FALSE())/100,"")</f>
        <v>0</v>
      </c>
      <c r="O312" s="10" t="n">
        <f aca="false">IFERROR(VLOOKUP(A312,'Dados-Status-Invest'!$1:$1000,MATCH(O$1,'Dados-Status-Invest'!$2:$2,0),FALSE())/100,"")</f>
        <v>0.6594</v>
      </c>
      <c r="P312" s="10" t="n">
        <f aca="false">IFERROR(VLOOKUP(A312,'Dados-Status-Invest'!$1:$1000,MATCH(P$1,'Dados-Status-Invest'!$2:$2,0),FALSE())/100,"")</f>
        <v>0.1328</v>
      </c>
      <c r="Q312" s="10" t="n">
        <f aca="false">IFERROR(VLOOKUP(A312,'Dados-Status-Invest'!$1:$1000,MATCH(Q$1,'Dados-Status-Invest'!$2:$2,0),FALSE())/100,"")</f>
        <v>0.1216</v>
      </c>
      <c r="R312" s="12" t="n">
        <f aca="false">IFERROR(VLOOKUP(A312,'Dados-Status-Invest'!$1:$1000,MATCH(R$1,'Dados-Status-Invest'!$2:$2,0),FALSE()),"")</f>
        <v>12.39</v>
      </c>
      <c r="S312" s="12" t="n">
        <f aca="false">IFERROR(VLOOKUP(A312,'Dados-Status-Invest'!$1:$1000,MATCH(S$1,'Dados-Status-Invest'!$2:$2,0),FALSE()),"")</f>
        <v>1.78</v>
      </c>
      <c r="T312" s="12" t="n">
        <f aca="false">IFERROR(VLOOKUP(A312,'Dados-Status-Invest'!$1:$1000,MATCH(T$1,'Dados-Status-Invest'!$2:$2,0),FALSE()),"")</f>
        <v>12.07</v>
      </c>
      <c r="U312" s="12" t="n">
        <f aca="false">IFERROR(VLOOKUP(A312,'Dados-Status-Invest'!$1:$1000,MATCH(U$1,'Dados-Status-Invest'!$2:$2,0),FALSE()),"")</f>
        <v>0</v>
      </c>
      <c r="V312" s="12" t="n">
        <f aca="false">IFERROR(VLOOKUP(A312,'Dados-Status-Invest'!$1:$1000,MATCH(V$1,'Dados-Status-Invest'!$2:$2,0),FALSE()),"")</f>
        <v>0</v>
      </c>
      <c r="W312" s="10" t="n">
        <f aca="false">IFERROR(VLOOKUP(A312,'Dados-Status-Invest'!$1:$1000,MATCH(W$1,'Dados-Status-Invest'!$2:$2,0),FALSE())/100,"")</f>
        <v>0.0604</v>
      </c>
      <c r="X312" s="10" t="n">
        <f aca="false">IFERROR(VLOOKUP(A312,'Dados-Status-Invest'!$1:$1000,MATCH(X$1,'Dados-Status-Invest'!$2:$2,0),FALSE())/100,"")</f>
        <v>-0.1045</v>
      </c>
    </row>
    <row r="313" customFormat="false" ht="15.75" hidden="false" customHeight="false" outlineLevel="0" collapsed="false">
      <c r="A313" s="6" t="s">
        <v>345</v>
      </c>
      <c r="B313" s="7" t="str">
        <f aca="false">IFERROR(VLOOKUP(LEFT(A313,4),Setor!A:D,2,FALSE()),"")</f>
        <v>Financeiro</v>
      </c>
      <c r="C313" s="8" t="n">
        <f aca="false">IFERROR(__xludf.dummyfunction("IFERROR(IFERROR(GOOGLEFINANCE(A319,""price""),VLOOKUP(A319,'Dados-Status-Invest'!A:B,2,FALSE)),"""")"),25.82)</f>
        <v>25.82</v>
      </c>
      <c r="D313" s="8" t="n">
        <f aca="false">IFERROR(VLOOKUP(A313,'Dados-Status-Invest'!$1:$1000,MATCH(D$1,'Dados-Status-Invest'!$2:$2,0),FALSE()),"")</f>
        <v>278300367473</v>
      </c>
      <c r="E313" s="8" t="n">
        <f aca="false">IF(D313+H313&gt;0,D313+H313,"")</f>
        <v>278300367473</v>
      </c>
      <c r="F313" s="8" t="n">
        <f aca="false">IFERROR(D313/VLOOKUP(A313,'Dados-Status-Invest'!$1:$1000,5,FALSE()),"")</f>
        <v>139150183736</v>
      </c>
      <c r="G313" s="8" t="n">
        <f aca="false">IFERROR(D313/VLOOKUP(A313,'Dados-Status-Invest'!$1:$1000,6,FALSE()),"")</f>
        <v>1855335783151</v>
      </c>
      <c r="H313" s="8" t="n">
        <f aca="false">IFERROR(VLOOKUP(A313,'Dados-Status-Invest'!$1:$1000,12,FALSE())*J313,"")</f>
        <v>0</v>
      </c>
      <c r="I313" s="8" t="n">
        <f aca="false">IFERROR(D313/VLOOKUP(A313,'Dados-Status-Invest'!$1:$1000,14,FALSE()),"")</f>
        <v>164674773652</v>
      </c>
      <c r="J313" s="9" t="n">
        <f aca="false">IFERROR(D313/VLOOKUP(A313,'Dados-Status-Invest'!$1:$1000,10,FALSE()),"")</f>
        <v>21810373626</v>
      </c>
      <c r="K313" s="10" t="n">
        <f aca="false">IFERROR(VLOOKUP(A313,'Dados-Status-Invest'!$1:$1000,3,FALSE())/100,"")</f>
        <v>0.0217</v>
      </c>
      <c r="L313" s="11" t="n">
        <f aca="false">IFERROR(VLOOKUP(A313,'Dados-Status-Invest'!$1:$1000,MATCH(L$1,'Dados-Status-Invest'!$2:$2,0),FALSE())/100,"")</f>
        <v>0.1434</v>
      </c>
      <c r="M313" s="10" t="n">
        <f aca="false">IFERROR(VLOOKUP(A313,'Dados-Status-Invest'!$1:$1000,MATCH(M$1,'Dados-Status-Invest'!$2:$2,0),FALSE())/100,"")</f>
        <v>0.0104</v>
      </c>
      <c r="N313" s="10" t="n">
        <f aca="false">IFERROR(VLOOKUP(A313,'Dados-Status-Invest'!$1:$1000,MATCH(N$1,'Dados-Status-Invest'!$2:$2,0),FALSE())/100,"")</f>
        <v>0</v>
      </c>
      <c r="O313" s="10" t="n">
        <f aca="false">IFERROR(VLOOKUP(A313,'Dados-Status-Invest'!$1:$1000,MATCH(O$1,'Dados-Status-Invest'!$2:$2,0),FALSE())/100,"")</f>
        <v>0.6594</v>
      </c>
      <c r="P313" s="10" t="n">
        <f aca="false">IFERROR(VLOOKUP(A313,'Dados-Status-Invest'!$1:$1000,MATCH(P$1,'Dados-Status-Invest'!$2:$2,0),FALSE())/100,"")</f>
        <v>0.1328</v>
      </c>
      <c r="Q313" s="10" t="n">
        <f aca="false">IFERROR(VLOOKUP(A313,'Dados-Status-Invest'!$1:$1000,MATCH(Q$1,'Dados-Status-Invest'!$2:$2,0),FALSE())/100,"")</f>
        <v>0.1216</v>
      </c>
      <c r="R313" s="12" t="n">
        <f aca="false">IFERROR(VLOOKUP(A313,'Dados-Status-Invest'!$1:$1000,MATCH(R$1,'Dados-Status-Invest'!$2:$2,0),FALSE()),"")</f>
        <v>13.93</v>
      </c>
      <c r="S313" s="12" t="n">
        <f aca="false">IFERROR(VLOOKUP(A313,'Dados-Status-Invest'!$1:$1000,MATCH(S$1,'Dados-Status-Invest'!$2:$2,0),FALSE()),"")</f>
        <v>2</v>
      </c>
      <c r="T313" s="12" t="n">
        <f aca="false">IFERROR(VLOOKUP(A313,'Dados-Status-Invest'!$1:$1000,MATCH(T$1,'Dados-Status-Invest'!$2:$2,0),FALSE()),"")</f>
        <v>12.07</v>
      </c>
      <c r="U313" s="12" t="n">
        <f aca="false">IFERROR(VLOOKUP(A313,'Dados-Status-Invest'!$1:$1000,MATCH(U$1,'Dados-Status-Invest'!$2:$2,0),FALSE()),"")</f>
        <v>0</v>
      </c>
      <c r="V313" s="12" t="n">
        <f aca="false">IFERROR(VLOOKUP(A313,'Dados-Status-Invest'!$1:$1000,MATCH(V$1,'Dados-Status-Invest'!$2:$2,0),FALSE()),"")</f>
        <v>0</v>
      </c>
      <c r="W313" s="10" t="n">
        <f aca="false">IFERROR(VLOOKUP(A313,'Dados-Status-Invest'!$1:$1000,MATCH(W$1,'Dados-Status-Invest'!$2:$2,0),FALSE())/100,"")</f>
        <v>0.0604</v>
      </c>
      <c r="X313" s="10" t="n">
        <f aca="false">IFERROR(VLOOKUP(A313,'Dados-Status-Invest'!$1:$1000,MATCH(X$1,'Dados-Status-Invest'!$2:$2,0),FALSE())/100,"")</f>
        <v>-0.1045</v>
      </c>
    </row>
    <row r="314" customFormat="false" ht="15.75" hidden="false" customHeight="false" outlineLevel="0" collapsed="false">
      <c r="A314" s="6" t="s">
        <v>346</v>
      </c>
      <c r="B314" s="7" t="s">
        <v>54</v>
      </c>
      <c r="C314" s="8" t="n">
        <f aca="false">IFERROR(__xludf.dummyfunction("IFERROR(IFERROR(GOOGLEFINANCE(A320,""price""),VLOOKUP(A320,'Dados-Status-Invest'!A:B,2,FALSE)),"""")"),9.58)</f>
        <v>9.58</v>
      </c>
      <c r="D314" s="8" t="n">
        <f aca="false">IFERROR(VLOOKUP(A314,'Dados-Status-Invest'!$1:$1000,MATCH(D$1,'Dados-Status-Invest'!$2:$2,0),FALSE()),"")</f>
        <v>3044220950</v>
      </c>
      <c r="E314" s="8" t="n">
        <f aca="false">IF(D314+H314&gt;0,D314+H314,"")</f>
        <v>3749835077.5</v>
      </c>
      <c r="F314" s="8" t="n">
        <f aca="false">IFERROR(D314/VLOOKUP(A314,'Dados-Status-Invest'!$1:$1000,5,FALSE()),"")</f>
        <v>1135903340</v>
      </c>
      <c r="G314" s="8" t="n">
        <f aca="false">IFERROR(D314/VLOOKUP(A314,'Dados-Status-Invest'!$1:$1000,6,FALSE()),"")</f>
        <v>3459341989</v>
      </c>
      <c r="H314" s="8" t="n">
        <f aca="false">IFERROR(VLOOKUP(A314,'Dados-Status-Invest'!$1:$1000,12,FALSE())*J314,"")</f>
        <v>705614127.5</v>
      </c>
      <c r="I314" s="8" t="n">
        <f aca="false">IFERROR(D314/VLOOKUP(A314,'Dados-Status-Invest'!$1:$1000,14,FALSE()),"")</f>
        <v>1529759271</v>
      </c>
      <c r="J314" s="9" t="n">
        <f aca="false">IFERROR(D314/VLOOKUP(A314,'Dados-Status-Invest'!$1:$1000,10,FALSE()),"")</f>
        <v>672013454.8</v>
      </c>
      <c r="K314" s="10" t="n">
        <f aca="false">IFERROR(VLOOKUP(A314,'Dados-Status-Invest'!$1:$1000,3,FALSE())/100,"")</f>
        <v>0</v>
      </c>
      <c r="L314" s="11" t="n">
        <f aca="false">IFERROR(VLOOKUP(A314,'Dados-Status-Invest'!$1:$1000,MATCH(L$1,'Dados-Status-Invest'!$2:$2,0),FALSE())/100,"")</f>
        <v>0.1908</v>
      </c>
      <c r="M314" s="10" t="n">
        <f aca="false">IFERROR(VLOOKUP(A314,'Dados-Status-Invest'!$1:$1000,MATCH(M$1,'Dados-Status-Invest'!$2:$2,0),FALSE())/100,"")</f>
        <v>0.0626</v>
      </c>
      <c r="N314" s="10" t="n">
        <f aca="false">IFERROR(VLOOKUP(A314,'Dados-Status-Invest'!$1:$1000,MATCH(N$1,'Dados-Status-Invest'!$2:$2,0),FALSE())/100,"")</f>
        <v>0.1932</v>
      </c>
      <c r="O314" s="10" t="n">
        <f aca="false">IFERROR(VLOOKUP(A314,'Dados-Status-Invest'!$1:$1000,MATCH(O$1,'Dados-Status-Invest'!$2:$2,0),FALSE())/100,"")</f>
        <v>0.5305</v>
      </c>
      <c r="P314" s="10" t="n">
        <f aca="false">IFERROR(VLOOKUP(A314,'Dados-Status-Invest'!$1:$1000,MATCH(P$1,'Dados-Status-Invest'!$2:$2,0),FALSE())/100,"")</f>
        <v>0.4387</v>
      </c>
      <c r="Q314" s="10" t="n">
        <f aca="false">IFERROR(VLOOKUP(A314,'Dados-Status-Invest'!$1:$1000,MATCH(Q$1,'Dados-Status-Invest'!$2:$2,0),FALSE())/100,"")</f>
        <v>0.1416</v>
      </c>
      <c r="R314" s="12" t="n">
        <f aca="false">IFERROR(VLOOKUP(A314,'Dados-Status-Invest'!$1:$1000,MATCH(R$1,'Dados-Status-Invest'!$2:$2,0),FALSE()),"")</f>
        <v>14.05</v>
      </c>
      <c r="S314" s="12" t="n">
        <f aca="false">IFERROR(VLOOKUP(A314,'Dados-Status-Invest'!$1:$1000,MATCH(S$1,'Dados-Status-Invest'!$2:$2,0),FALSE()),"")</f>
        <v>2.68</v>
      </c>
      <c r="T314" s="12" t="n">
        <f aca="false">IFERROR(VLOOKUP(A314,'Dados-Status-Invest'!$1:$1000,MATCH(T$1,'Dados-Status-Invest'!$2:$2,0),FALSE()),"")</f>
        <v>5.59</v>
      </c>
      <c r="U314" s="12" t="n">
        <f aca="false">IFERROR(VLOOKUP(A314,'Dados-Status-Invest'!$1:$1000,MATCH(U$1,'Dados-Status-Invest'!$2:$2,0),FALSE()),"")</f>
        <v>2.58</v>
      </c>
      <c r="V314" s="12" t="n">
        <f aca="false">IFERROR(VLOOKUP(A314,'Dados-Status-Invest'!$1:$1000,MATCH(V$1,'Dados-Status-Invest'!$2:$2,0),FALSE()),"")</f>
        <v>1.05</v>
      </c>
      <c r="W314" s="10" t="n">
        <f aca="false">IFERROR(VLOOKUP(A314,'Dados-Status-Invest'!$1:$1000,MATCH(W$1,'Dados-Status-Invest'!$2:$2,0),FALSE())/100,"")</f>
        <v>0</v>
      </c>
      <c r="X314" s="10" t="n">
        <f aca="false">IFERROR(VLOOKUP(A314,'Dados-Status-Invest'!$1:$1000,MATCH(X$1,'Dados-Status-Invest'!$2:$2,0),FALSE())/100,"")</f>
        <v>0</v>
      </c>
    </row>
    <row r="315" customFormat="false" ht="15.75" hidden="false" customHeight="false" outlineLevel="0" collapsed="false">
      <c r="A315" s="6" t="s">
        <v>347</v>
      </c>
      <c r="B315" s="7" t="str">
        <f aca="false">IFERROR(VLOOKUP(LEFT(A315,4),Setor!A:D,2,FALSE()),"")</f>
        <v>Outros</v>
      </c>
      <c r="C315" s="8" t="n">
        <f aca="false">IFERROR(__xludf.dummyfunction("IFERROR(IFERROR(GOOGLEFINANCE(A321,""price""),VLOOKUP(A321,'Dados-Status-Invest'!A:B,2,FALSE)),"""")"),10.25)</f>
        <v>10.25</v>
      </c>
      <c r="D315" s="8" t="n">
        <f aca="false">IFERROR(VLOOKUP(A315,'Dados-Status-Invest'!$1:$1000,MATCH(D$1,'Dados-Status-Invest'!$2:$2,0),FALSE()),"")</f>
        <v>38848347.95</v>
      </c>
      <c r="E315" s="8" t="n">
        <f aca="false">IF(D315+H315&gt;0,D315+H315,"")</f>
        <v>43316286.603</v>
      </c>
      <c r="F315" s="8" t="n">
        <f aca="false">IFERROR(D315/VLOOKUP(A315,'Dados-Status-Invest'!$1:$1000,5,FALSE()),"")</f>
        <v>46248033.27</v>
      </c>
      <c r="G315" s="8" t="n">
        <f aca="false">IFERROR(D315/VLOOKUP(A315,'Dados-Status-Invest'!$1:$1000,6,FALSE()),"")</f>
        <v>143882770.2</v>
      </c>
      <c r="H315" s="8" t="n">
        <f aca="false">IFERROR(VLOOKUP(A315,'Dados-Status-Invest'!$1:$1000,12,FALSE())*J315,"")</f>
        <v>4467938.653</v>
      </c>
      <c r="I315" s="8" t="str">
        <f aca="false">IFERROR(D315/VLOOKUP(A315,'Dados-Status-Invest'!$1:$1000,14,FALSE()),"")</f>
        <v/>
      </c>
      <c r="J315" s="9" t="n">
        <f aca="false">IFERROR(D315/VLOOKUP(A315,'Dados-Status-Invest'!$1:$1000,10,FALSE()),"")</f>
        <v>-7572777.378</v>
      </c>
      <c r="K315" s="10" t="n">
        <f aca="false">IFERROR(VLOOKUP(A315,'Dados-Status-Invest'!$1:$1000,3,FALSE())/100,"")</f>
        <v>0</v>
      </c>
      <c r="L315" s="11" t="n">
        <f aca="false">IFERROR(VLOOKUP(A315,'Dados-Status-Invest'!$1:$1000,MATCH(L$1,'Dados-Status-Invest'!$2:$2,0),FALSE())/100,"")</f>
        <v>-0.1668</v>
      </c>
      <c r="M315" s="10" t="n">
        <f aca="false">IFERROR(VLOOKUP(A315,'Dados-Status-Invest'!$1:$1000,MATCH(M$1,'Dados-Status-Invest'!$2:$2,0),FALSE())/100,"")</f>
        <v>-0.0535</v>
      </c>
      <c r="N315" s="10" t="n">
        <f aca="false">IFERROR(VLOOKUP(A315,'Dados-Status-Invest'!$1:$1000,MATCH(N$1,'Dados-Status-Invest'!$2:$2,0),FALSE())/100,"")</f>
        <v>-0.1496</v>
      </c>
      <c r="O315" s="10" t="n">
        <f aca="false">IFERROR(VLOOKUP(A315,'Dados-Status-Invest'!$1:$1000,MATCH(O$1,'Dados-Status-Invest'!$2:$2,0),FALSE())/100,"")</f>
        <v>0</v>
      </c>
      <c r="P315" s="10" t="n">
        <f aca="false">IFERROR(VLOOKUP(A315,'Dados-Status-Invest'!$1:$1000,MATCH(P$1,'Dados-Status-Invest'!$2:$2,0),FALSE())/100,"")</f>
        <v>0</v>
      </c>
      <c r="Q315" s="10" t="n">
        <f aca="false">IFERROR(VLOOKUP(A315,'Dados-Status-Invest'!$1:$1000,MATCH(Q$1,'Dados-Status-Invest'!$2:$2,0),FALSE())/100,"")</f>
        <v>0</v>
      </c>
      <c r="R315" s="12" t="n">
        <f aca="false">IFERROR(VLOOKUP(A315,'Dados-Status-Invest'!$1:$1000,MATCH(R$1,'Dados-Status-Invest'!$2:$2,0),FALSE()),"")</f>
        <v>-5.04</v>
      </c>
      <c r="S315" s="12" t="n">
        <f aca="false">IFERROR(VLOOKUP(A315,'Dados-Status-Invest'!$1:$1000,MATCH(S$1,'Dados-Status-Invest'!$2:$2,0),FALSE()),"")</f>
        <v>0.84</v>
      </c>
      <c r="T315" s="12" t="n">
        <f aca="false">IFERROR(VLOOKUP(A315,'Dados-Status-Invest'!$1:$1000,MATCH(T$1,'Dados-Status-Invest'!$2:$2,0),FALSE()),"")</f>
        <v>-4.46</v>
      </c>
      <c r="U315" s="12" t="n">
        <f aca="false">IFERROR(VLOOKUP(A315,'Dados-Status-Invest'!$1:$1000,MATCH(U$1,'Dados-Status-Invest'!$2:$2,0),FALSE()),"")</f>
        <v>0</v>
      </c>
      <c r="V315" s="12" t="n">
        <f aca="false">IFERROR(VLOOKUP(A315,'Dados-Status-Invest'!$1:$1000,MATCH(V$1,'Dados-Status-Invest'!$2:$2,0),FALSE()),"")</f>
        <v>-0.59</v>
      </c>
      <c r="W315" s="10" t="n">
        <f aca="false">IFERROR(VLOOKUP(A315,'Dados-Status-Invest'!$1:$1000,MATCH(W$1,'Dados-Status-Invest'!$2:$2,0),FALSE())/100,"")</f>
        <v>0</v>
      </c>
      <c r="X315" s="10" t="n">
        <f aca="false">IFERROR(VLOOKUP(A315,'Dados-Status-Invest'!$1:$1000,MATCH(X$1,'Dados-Status-Invest'!$2:$2,0),FALSE())/100,"")</f>
        <v>0</v>
      </c>
    </row>
    <row r="316" customFormat="false" ht="15.75" hidden="false" customHeight="false" outlineLevel="0" collapsed="false">
      <c r="A316" s="6" t="s">
        <v>348</v>
      </c>
      <c r="B316" s="7" t="str">
        <f aca="false">IFERROR(VLOOKUP(LEFT(A316,4),Setor!A:D,2,FALSE()),"")</f>
        <v>Outros</v>
      </c>
      <c r="C316" s="8" t="n">
        <f aca="false">IFERROR(__xludf.dummyfunction("IFERROR(IFERROR(GOOGLEFINANCE(A322,""price""),VLOOKUP(A322,'Dados-Status-Invest'!A:B,2,FALSE)),"""")"),6.6)</f>
        <v>6.6</v>
      </c>
      <c r="D316" s="8" t="n">
        <f aca="false">IFERROR(VLOOKUP(A316,'Dados-Status-Invest'!$1:$1000,MATCH(D$1,'Dados-Status-Invest'!$2:$2,0),FALSE()),"")</f>
        <v>38848347.95</v>
      </c>
      <c r="E316" s="8" t="n">
        <f aca="false">IF(D316+H316&gt;0,D316+H316,"")</f>
        <v>45793961.674</v>
      </c>
      <c r="F316" s="8" t="n">
        <f aca="false">IFERROR(D316/VLOOKUP(A316,'Dados-Status-Invest'!$1:$1000,5,FALSE()),"")</f>
        <v>71941385.09</v>
      </c>
      <c r="G316" s="8" t="n">
        <f aca="false">IFERROR(D316/VLOOKUP(A316,'Dados-Status-Invest'!$1:$1000,6,FALSE()),"")</f>
        <v>228519693.8</v>
      </c>
      <c r="H316" s="8" t="n">
        <f aca="false">IFERROR(VLOOKUP(A316,'Dados-Status-Invest'!$1:$1000,12,FALSE())*J316,"")</f>
        <v>6945613.724</v>
      </c>
      <c r="I316" s="8" t="str">
        <f aca="false">IFERROR(D316/VLOOKUP(A316,'Dados-Status-Invest'!$1:$1000,14,FALSE()),"")</f>
        <v/>
      </c>
      <c r="J316" s="9" t="n">
        <f aca="false">IFERROR(D316/VLOOKUP(A316,'Dados-Status-Invest'!$1:$1000,10,FALSE()),"")</f>
        <v>-11772226.65</v>
      </c>
      <c r="K316" s="10" t="n">
        <f aca="false">IFERROR(VLOOKUP(A316,'Dados-Status-Invest'!$1:$1000,3,FALSE())/100,"")</f>
        <v>0</v>
      </c>
      <c r="L316" s="11" t="n">
        <f aca="false">IFERROR(VLOOKUP(A316,'Dados-Status-Invest'!$1:$1000,MATCH(L$1,'Dados-Status-Invest'!$2:$2,0),FALSE())/100,"")</f>
        <v>-0.1668</v>
      </c>
      <c r="M316" s="10" t="n">
        <f aca="false">IFERROR(VLOOKUP(A316,'Dados-Status-Invest'!$1:$1000,MATCH(M$1,'Dados-Status-Invest'!$2:$2,0),FALSE())/100,"")</f>
        <v>-0.0535</v>
      </c>
      <c r="N316" s="10" t="n">
        <f aca="false">IFERROR(VLOOKUP(A316,'Dados-Status-Invest'!$1:$1000,MATCH(N$1,'Dados-Status-Invest'!$2:$2,0),FALSE())/100,"")</f>
        <v>-0.1496</v>
      </c>
      <c r="O316" s="10" t="n">
        <f aca="false">IFERROR(VLOOKUP(A316,'Dados-Status-Invest'!$1:$1000,MATCH(O$1,'Dados-Status-Invest'!$2:$2,0),FALSE())/100,"")</f>
        <v>0</v>
      </c>
      <c r="P316" s="10" t="n">
        <f aca="false">IFERROR(VLOOKUP(A316,'Dados-Status-Invest'!$1:$1000,MATCH(P$1,'Dados-Status-Invest'!$2:$2,0),FALSE())/100,"")</f>
        <v>0</v>
      </c>
      <c r="Q316" s="10" t="n">
        <f aca="false">IFERROR(VLOOKUP(A316,'Dados-Status-Invest'!$1:$1000,MATCH(Q$1,'Dados-Status-Invest'!$2:$2,0),FALSE())/100,"")</f>
        <v>0</v>
      </c>
      <c r="R316" s="12" t="n">
        <f aca="false">IFERROR(VLOOKUP(A316,'Dados-Status-Invest'!$1:$1000,MATCH(R$1,'Dados-Status-Invest'!$2:$2,0),FALSE()),"")</f>
        <v>-3.25</v>
      </c>
      <c r="S316" s="12" t="n">
        <f aca="false">IFERROR(VLOOKUP(A316,'Dados-Status-Invest'!$1:$1000,MATCH(S$1,'Dados-Status-Invest'!$2:$2,0),FALSE()),"")</f>
        <v>0.54</v>
      </c>
      <c r="T316" s="12" t="n">
        <f aca="false">IFERROR(VLOOKUP(A316,'Dados-Status-Invest'!$1:$1000,MATCH(T$1,'Dados-Status-Invest'!$2:$2,0),FALSE()),"")</f>
        <v>-4.46</v>
      </c>
      <c r="U316" s="12" t="n">
        <f aca="false">IFERROR(VLOOKUP(A316,'Dados-Status-Invest'!$1:$1000,MATCH(U$1,'Dados-Status-Invest'!$2:$2,0),FALSE()),"")</f>
        <v>0</v>
      </c>
      <c r="V316" s="12" t="n">
        <f aca="false">IFERROR(VLOOKUP(A316,'Dados-Status-Invest'!$1:$1000,MATCH(V$1,'Dados-Status-Invest'!$2:$2,0),FALSE()),"")</f>
        <v>-0.59</v>
      </c>
      <c r="W316" s="10" t="n">
        <f aca="false">IFERROR(VLOOKUP(A316,'Dados-Status-Invest'!$1:$1000,MATCH(W$1,'Dados-Status-Invest'!$2:$2,0),FALSE())/100,"")</f>
        <v>0</v>
      </c>
      <c r="X316" s="10" t="n">
        <f aca="false">IFERROR(VLOOKUP(A316,'Dados-Status-Invest'!$1:$1000,MATCH(X$1,'Dados-Status-Invest'!$2:$2,0),FALSE())/100,"")</f>
        <v>0</v>
      </c>
    </row>
    <row r="317" customFormat="false" ht="15.75" hidden="false" customHeight="false" outlineLevel="0" collapsed="false">
      <c r="A317" s="6" t="s">
        <v>349</v>
      </c>
      <c r="B317" s="7" t="str">
        <f aca="false">IFERROR(VLOOKUP(LEFT(A317,4),Setor!A:D,2,FALSE()),"")</f>
        <v>Consumo não Cíclico</v>
      </c>
      <c r="C317" s="8" t="n">
        <f aca="false">IFERROR(__xludf.dummyfunction("IFERROR(IFERROR(GOOGLEFINANCE(A323,""price""),VLOOKUP(A323,'Dados-Status-Invest'!A:B,2,FALSE)),"""")"),35.45)</f>
        <v>35.45</v>
      </c>
      <c r="D317" s="8" t="n">
        <f aca="false">IFERROR(VLOOKUP(A317,'Dados-Status-Invest'!$1:$1000,MATCH(D$1,'Dados-Status-Invest'!$2:$2,0),FALSE()),"")</f>
        <v>71868705737</v>
      </c>
      <c r="E317" s="8" t="n">
        <f aca="false">IF(D317+H317&gt;0,D317+H317,"")</f>
        <v>128907361084</v>
      </c>
      <c r="F317" s="8" t="n">
        <f aca="false">IFERROR(D317/VLOOKUP(A317,'Dados-Status-Invest'!$1:$1000,5,FALSE()),"")</f>
        <v>40150114937</v>
      </c>
      <c r="G317" s="8" t="n">
        <f aca="false">IFERROR(D317/VLOOKUP(A317,'Dados-Status-Invest'!$1:$1000,6,FALSE()),"")</f>
        <v>167136524971</v>
      </c>
      <c r="H317" s="8" t="n">
        <f aca="false">IFERROR(VLOOKUP(A317,'Dados-Status-Invest'!$1:$1000,12,FALSE())*J317,"")</f>
        <v>57038655347</v>
      </c>
      <c r="I317" s="8" t="n">
        <f aca="false">IFERROR(D317/VLOOKUP(A317,'Dados-Status-Invest'!$1:$1000,14,FALSE()),"")</f>
        <v>287474822950</v>
      </c>
      <c r="J317" s="9" t="n">
        <f aca="false">IFERROR(D317/VLOOKUP(A317,'Dados-Status-Invest'!$1:$1000,10,FALSE()),"")</f>
        <v>22815462139</v>
      </c>
      <c r="K317" s="10" t="n">
        <f aca="false">IFERROR(VLOOKUP(A317,'Dados-Status-Invest'!$1:$1000,3,FALSE())/100,"")</f>
        <v>0.0354</v>
      </c>
      <c r="L317" s="11" t="n">
        <f aca="false">IFERROR(VLOOKUP(A317,'Dados-Status-Invest'!$1:$1000,MATCH(L$1,'Dados-Status-Invest'!$2:$2,0),FALSE())/100,"")</f>
        <v>0.3128</v>
      </c>
      <c r="M317" s="10" t="n">
        <f aca="false">IFERROR(VLOOKUP(A317,'Dados-Status-Invest'!$1:$1000,MATCH(M$1,'Dados-Status-Invest'!$2:$2,0),FALSE())/100,"")</f>
        <v>0.0755</v>
      </c>
      <c r="N317" s="10" t="n">
        <f aca="false">IFERROR(VLOOKUP(A317,'Dados-Status-Invest'!$1:$1000,MATCH(N$1,'Dados-Status-Invest'!$2:$2,0),FALSE())/100,"")</f>
        <v>0.1526</v>
      </c>
      <c r="O317" s="10" t="n">
        <f aca="false">IFERROR(VLOOKUP(A317,'Dados-Status-Invest'!$1:$1000,MATCH(O$1,'Dados-Status-Invest'!$2:$2,0),FALSE())/100,"")</f>
        <v>0.1698</v>
      </c>
      <c r="P317" s="10" t="n">
        <f aca="false">IFERROR(VLOOKUP(A317,'Dados-Status-Invest'!$1:$1000,MATCH(P$1,'Dados-Status-Invest'!$2:$2,0),FALSE())/100,"")</f>
        <v>0.0791</v>
      </c>
      <c r="Q317" s="10" t="n">
        <f aca="false">IFERROR(VLOOKUP(A317,'Dados-Status-Invest'!$1:$1000,MATCH(Q$1,'Dados-Status-Invest'!$2:$2,0),FALSE())/100,"")</f>
        <v>0.0435</v>
      </c>
      <c r="R317" s="12" t="n">
        <f aca="false">IFERROR(VLOOKUP(A317,'Dados-Status-Invest'!$1:$1000,MATCH(R$1,'Dados-Status-Invest'!$2:$2,0),FALSE()),"")</f>
        <v>5.73</v>
      </c>
      <c r="S317" s="12" t="n">
        <f aca="false">IFERROR(VLOOKUP(A317,'Dados-Status-Invest'!$1:$1000,MATCH(S$1,'Dados-Status-Invest'!$2:$2,0),FALSE()),"")</f>
        <v>1.79</v>
      </c>
      <c r="T317" s="12" t="n">
        <f aca="false">IFERROR(VLOOKUP(A317,'Dados-Status-Invest'!$1:$1000,MATCH(T$1,'Dados-Status-Invest'!$2:$2,0),FALSE()),"")</f>
        <v>5.65</v>
      </c>
      <c r="U317" s="12" t="n">
        <f aca="false">IFERROR(VLOOKUP(A317,'Dados-Status-Invest'!$1:$1000,MATCH(U$1,'Dados-Status-Invest'!$2:$2,0),FALSE()),"")</f>
        <v>1.35</v>
      </c>
      <c r="V317" s="12" t="n">
        <f aca="false">IFERROR(VLOOKUP(A317,'Dados-Status-Invest'!$1:$1000,MATCH(V$1,'Dados-Status-Invest'!$2:$2,0),FALSE()),"")</f>
        <v>2.5</v>
      </c>
      <c r="W317" s="10" t="n">
        <f aca="false">IFERROR(VLOOKUP(A317,'Dados-Status-Invest'!$1:$1000,MATCH(W$1,'Dados-Status-Invest'!$2:$2,0),FALSE())/100,"")</f>
        <v>0.1065</v>
      </c>
      <c r="X317" s="10" t="n">
        <f aca="false">IFERROR(VLOOKUP(A317,'Dados-Status-Invest'!$1:$1000,MATCH(X$1,'Dados-Status-Invest'!$2:$2,0),FALSE())/100,"")</f>
        <v>-0.0192</v>
      </c>
    </row>
    <row r="318" customFormat="false" ht="15.75" hidden="false" customHeight="false" outlineLevel="0" collapsed="false">
      <c r="A318" s="6" t="s">
        <v>350</v>
      </c>
      <c r="B318" s="7" t="str">
        <f aca="false">IFERROR(VLOOKUP(LEFT(A318,4),Setor!A:D,2,FALSE()),"")</f>
        <v>Consumo Cíclico</v>
      </c>
      <c r="C318" s="8" t="n">
        <f aca="false">IFERROR(__xludf.dummyfunction("IFERROR(IFERROR(GOOGLEFINANCE(A324,""price""),VLOOKUP(A324,'Dados-Status-Invest'!A:B,2,FALSE)),"""")"),0.9)</f>
        <v>0.9</v>
      </c>
      <c r="D318" s="8" t="n">
        <f aca="false">IFERROR(VLOOKUP(A318,'Dados-Status-Invest'!$1:$1000,MATCH(D$1,'Dados-Status-Invest'!$2:$2,0),FALSE()),"")</f>
        <v>631222890</v>
      </c>
      <c r="E318" s="8" t="n">
        <f aca="false">IF(D318+H318&gt;0,D318+H318,"")</f>
        <v>1186238916.3</v>
      </c>
      <c r="F318" s="8" t="n">
        <f aca="false">IFERROR(D318/VLOOKUP(A318,'Dados-Status-Invest'!$1:$1000,5,FALSE()),"")</f>
        <v>-352638486</v>
      </c>
      <c r="G318" s="8" t="n">
        <f aca="false">IFERROR(D318/VLOOKUP(A318,'Dados-Status-Invest'!$1:$1000,6,FALSE()),"")</f>
        <v>1237691941</v>
      </c>
      <c r="H318" s="8" t="n">
        <f aca="false">IFERROR(VLOOKUP(A318,'Dados-Status-Invest'!$1:$1000,12,FALSE())*J318,"")</f>
        <v>555016026.3</v>
      </c>
      <c r="I318" s="8" t="n">
        <f aca="false">IFERROR(D318/VLOOKUP(A318,'Dados-Status-Invest'!$1:$1000,14,FALSE()),"")</f>
        <v>17968200.68</v>
      </c>
      <c r="J318" s="9" t="n">
        <f aca="false">IFERROR(D318/VLOOKUP(A318,'Dados-Status-Invest'!$1:$1000,10,FALSE()),"")</f>
        <v>-143786535.3</v>
      </c>
      <c r="K318" s="10" t="n">
        <f aca="false">IFERROR(VLOOKUP(A318,'Dados-Status-Invest'!$1:$1000,3,FALSE())/100,"")</f>
        <v>0</v>
      </c>
      <c r="L318" s="11" t="n">
        <f aca="false">IFERROR(VLOOKUP(A318,'Dados-Status-Invest'!$1:$1000,MATCH(L$1,'Dados-Status-Invest'!$2:$2,0),FALSE())/100,"")</f>
        <v>-0.3619</v>
      </c>
      <c r="M318" s="10" t="n">
        <f aca="false">IFERROR(VLOOKUP(A318,'Dados-Status-Invest'!$1:$1000,MATCH(M$1,'Dados-Status-Invest'!$2:$2,0),FALSE())/100,"")</f>
        <v>-0.1028</v>
      </c>
      <c r="N318" s="10" t="n">
        <f aca="false">IFERROR(VLOOKUP(A318,'Dados-Status-Invest'!$1:$1000,MATCH(N$1,'Dados-Status-Invest'!$2:$2,0),FALSE())/100,"")</f>
        <v>-1.3913</v>
      </c>
      <c r="O318" s="10" t="n">
        <f aca="false">IFERROR(VLOOKUP(A318,'Dados-Status-Invest'!$1:$1000,MATCH(O$1,'Dados-Status-Invest'!$2:$2,0),FALSE())/100,"")</f>
        <v>-0.5347</v>
      </c>
      <c r="P318" s="10" t="n">
        <f aca="false">IFERROR(VLOOKUP(A318,'Dados-Status-Invest'!$1:$1000,MATCH(P$1,'Dados-Status-Invest'!$2:$2,0),FALSE())/100,"")</f>
        <v>-8.0046</v>
      </c>
      <c r="Q318" s="10" t="n">
        <f aca="false">IFERROR(VLOOKUP(A318,'Dados-Status-Invest'!$1:$1000,MATCH(Q$1,'Dados-Status-Invest'!$2:$2,0),FALSE())/100,"")</f>
        <v>-7.1156</v>
      </c>
      <c r="R318" s="12" t="n">
        <f aca="false">IFERROR(VLOOKUP(A318,'Dados-Status-Invest'!$1:$1000,MATCH(R$1,'Dados-Status-Invest'!$2:$2,0),FALSE()),"")</f>
        <v>-4.94</v>
      </c>
      <c r="S318" s="12" t="n">
        <f aca="false">IFERROR(VLOOKUP(A318,'Dados-Status-Invest'!$1:$1000,MATCH(S$1,'Dados-Status-Invest'!$2:$2,0),FALSE()),"")</f>
        <v>-1.79</v>
      </c>
      <c r="T318" s="12" t="n">
        <f aca="false">IFERROR(VLOOKUP(A318,'Dados-Status-Invest'!$1:$1000,MATCH(T$1,'Dados-Status-Invest'!$2:$2,0),FALSE()),"")</f>
        <v>-8.15</v>
      </c>
      <c r="U318" s="12" t="n">
        <f aca="false">IFERROR(VLOOKUP(A318,'Dados-Status-Invest'!$1:$1000,MATCH(U$1,'Dados-Status-Invest'!$2:$2,0),FALSE()),"")</f>
        <v>0.91</v>
      </c>
      <c r="V318" s="12" t="n">
        <f aca="false">IFERROR(VLOOKUP(A318,'Dados-Status-Invest'!$1:$1000,MATCH(V$1,'Dados-Status-Invest'!$2:$2,0),FALSE()),"")</f>
        <v>-3.86</v>
      </c>
      <c r="W318" s="10" t="n">
        <f aca="false">IFERROR(VLOOKUP(A318,'Dados-Status-Invest'!$1:$1000,MATCH(W$1,'Dados-Status-Invest'!$2:$2,0),FALSE())/100,"")</f>
        <v>-0.4472</v>
      </c>
      <c r="X318" s="10" t="n">
        <f aca="false">IFERROR(VLOOKUP(A318,'Dados-Status-Invest'!$1:$1000,MATCH(X$1,'Dados-Status-Invest'!$2:$2,0),FALSE())/100,"")</f>
        <v>0</v>
      </c>
    </row>
    <row r="319" customFormat="false" ht="15.75" hidden="false" customHeight="false" outlineLevel="0" collapsed="false">
      <c r="A319" s="6" t="s">
        <v>351</v>
      </c>
      <c r="B319" s="7" t="str">
        <f aca="false">IFERROR(VLOOKUP(LEFT(A319,4),Setor!A:D,2,FALSE()),"")</f>
        <v>Consumo Cíclico</v>
      </c>
      <c r="C319" s="8" t="n">
        <f aca="false">IFERROR(__xludf.dummyfunction("IFERROR(IFERROR(GOOGLEFINANCE(A325,""price""),VLOOKUP(A325,'Dados-Status-Invest'!A:B,2,FALSE)),"""")"),7.14)</f>
        <v>7.14</v>
      </c>
      <c r="D319" s="8" t="n">
        <f aca="false">IFERROR(VLOOKUP(A319,'Dados-Status-Invest'!$1:$1000,MATCH(D$1,'Dados-Status-Invest'!$2:$2,0),FALSE()),"")</f>
        <v>4981646072</v>
      </c>
      <c r="E319" s="8" t="n">
        <f aca="false">IF(D319+H319&gt;0,D319+H319,"")</f>
        <v>5447765002.7</v>
      </c>
      <c r="F319" s="8" t="n">
        <f aca="false">IFERROR(D319/VLOOKUP(A319,'Dados-Status-Invest'!$1:$1000,5,FALSE()),"")</f>
        <v>3922555962</v>
      </c>
      <c r="G319" s="8" t="n">
        <f aca="false">IFERROR(D319/VLOOKUP(A319,'Dados-Status-Invest'!$1:$1000,6,FALSE()),"")</f>
        <v>7664070880</v>
      </c>
      <c r="H319" s="8" t="n">
        <f aca="false">IFERROR(VLOOKUP(A319,'Dados-Status-Invest'!$1:$1000,12,FALSE())*J319,"")</f>
        <v>466118930.7</v>
      </c>
      <c r="I319" s="8" t="n">
        <f aca="false">IFERROR(D319/VLOOKUP(A319,'Dados-Status-Invest'!$1:$1000,14,FALSE()),"")</f>
        <v>1387645145</v>
      </c>
      <c r="J319" s="9" t="n">
        <f aca="false">IFERROR(D319/VLOOKUP(A319,'Dados-Status-Invest'!$1:$1000,10,FALSE()),"")</f>
        <v>971081105.7</v>
      </c>
      <c r="K319" s="10" t="n">
        <f aca="false">IFERROR(VLOOKUP(A319,'Dados-Status-Invest'!$1:$1000,3,FALSE())/100,"")</f>
        <v>0.0492</v>
      </c>
      <c r="L319" s="11" t="n">
        <f aca="false">IFERROR(VLOOKUP(A319,'Dados-Status-Invest'!$1:$1000,MATCH(L$1,'Dados-Status-Invest'!$2:$2,0),FALSE())/100,"")</f>
        <v>0.2079</v>
      </c>
      <c r="M319" s="10" t="n">
        <f aca="false">IFERROR(VLOOKUP(A319,'Dados-Status-Invest'!$1:$1000,MATCH(M$1,'Dados-Status-Invest'!$2:$2,0),FALSE())/100,"")</f>
        <v>0.1073</v>
      </c>
      <c r="N319" s="10" t="n">
        <f aca="false">IFERROR(VLOOKUP(A319,'Dados-Status-Invest'!$1:$1000,MATCH(N$1,'Dados-Status-Invest'!$2:$2,0),FALSE())/100,"")</f>
        <v>0.1517</v>
      </c>
      <c r="O319" s="10" t="n">
        <f aca="false">IFERROR(VLOOKUP(A319,'Dados-Status-Invest'!$1:$1000,MATCH(O$1,'Dados-Status-Invest'!$2:$2,0),FALSE())/100,"")</f>
        <v>0.7296</v>
      </c>
      <c r="P319" s="10" t="n">
        <f aca="false">IFERROR(VLOOKUP(A319,'Dados-Status-Invest'!$1:$1000,MATCH(P$1,'Dados-Status-Invest'!$2:$2,0),FALSE())/100,"")</f>
        <v>0.6999</v>
      </c>
      <c r="Q319" s="10" t="n">
        <f aca="false">IFERROR(VLOOKUP(A319,'Dados-Status-Invest'!$1:$1000,MATCH(Q$1,'Dados-Status-Invest'!$2:$2,0),FALSE())/100,"")</f>
        <v>0.5888</v>
      </c>
      <c r="R319" s="12" t="n">
        <f aca="false">IFERROR(VLOOKUP(A319,'Dados-Status-Invest'!$1:$1000,MATCH(R$1,'Dados-Status-Invest'!$2:$2,0),FALSE()),"")</f>
        <v>6.1</v>
      </c>
      <c r="S319" s="12" t="n">
        <f aca="false">IFERROR(VLOOKUP(A319,'Dados-Status-Invest'!$1:$1000,MATCH(S$1,'Dados-Status-Invest'!$2:$2,0),FALSE()),"")</f>
        <v>1.27</v>
      </c>
      <c r="T319" s="12" t="n">
        <f aca="false">IFERROR(VLOOKUP(A319,'Dados-Status-Invest'!$1:$1000,MATCH(T$1,'Dados-Status-Invest'!$2:$2,0),FALSE()),"")</f>
        <v>5.61</v>
      </c>
      <c r="U319" s="12" t="n">
        <f aca="false">IFERROR(VLOOKUP(A319,'Dados-Status-Invest'!$1:$1000,MATCH(U$1,'Dados-Status-Invest'!$2:$2,0),FALSE()),"")</f>
        <v>2.35</v>
      </c>
      <c r="V319" s="12" t="n">
        <f aca="false">IFERROR(VLOOKUP(A319,'Dados-Status-Invest'!$1:$1000,MATCH(V$1,'Dados-Status-Invest'!$2:$2,0),FALSE()),"")</f>
        <v>0.48</v>
      </c>
      <c r="W319" s="10" t="n">
        <f aca="false">IFERROR(VLOOKUP(A319,'Dados-Status-Invest'!$1:$1000,MATCH(W$1,'Dados-Status-Invest'!$2:$2,0),FALSE())/100,"")</f>
        <v>0.1316</v>
      </c>
      <c r="X319" s="10" t="n">
        <f aca="false">IFERROR(VLOOKUP(A319,'Dados-Status-Invest'!$1:$1000,MATCH(X$1,'Dados-Status-Invest'!$2:$2,0),FALSE())/100,"")</f>
        <v>0.4224</v>
      </c>
    </row>
    <row r="320" customFormat="false" ht="15.75" hidden="false" customHeight="false" outlineLevel="0" collapsed="false">
      <c r="A320" s="6" t="s">
        <v>352</v>
      </c>
      <c r="B320" s="7" t="str">
        <f aca="false">IFERROR(VLOOKUP(LEFT(A320,4),Setor!A:D,2,FALSE()),"")</f>
        <v>Consumo não Cíclico</v>
      </c>
      <c r="C320" s="8" t="n">
        <f aca="false">IFERROR(__xludf.dummyfunction("IFERROR(IFERROR(GOOGLEFINANCE(A326,""price""),VLOOKUP(A326,'Dados-Status-Invest'!A:B,2,FALSE)),"""")"),23.52)</f>
        <v>23.52</v>
      </c>
      <c r="D320" s="8" t="n">
        <f aca="false">IFERROR(VLOOKUP(A320,'Dados-Status-Invest'!$1:$1000,MATCH(D$1,'Dados-Status-Invest'!$2:$2,0),FALSE()),"")</f>
        <v>393517877</v>
      </c>
      <c r="E320" s="8" t="n">
        <f aca="false">IF(D320+H320&gt;0,D320+H320,"")</f>
        <v>831807249</v>
      </c>
      <c r="F320" s="8" t="n">
        <f aca="false">IFERROR(D320/VLOOKUP(A320,'Dados-Status-Invest'!$1:$1000,5,FALSE()),"")</f>
        <v>531780914.9</v>
      </c>
      <c r="G320" s="8" t="n">
        <f aca="false">IFERROR(D320/VLOOKUP(A320,'Dados-Status-Invest'!$1:$1000,6,FALSE()),"")</f>
        <v>1967589385</v>
      </c>
      <c r="H320" s="8" t="n">
        <f aca="false">IFERROR(VLOOKUP(A320,'Dados-Status-Invest'!$1:$1000,12,FALSE())*J320,"")</f>
        <v>438289372</v>
      </c>
      <c r="I320" s="8" t="n">
        <f aca="false">IFERROR(D320/VLOOKUP(A320,'Dados-Status-Invest'!$1:$1000,14,FALSE()),"")</f>
        <v>1639657821</v>
      </c>
      <c r="J320" s="9" t="n">
        <f aca="false">IFERROR(D320/VLOOKUP(A320,'Dados-Status-Invest'!$1:$1000,10,FALSE()),"")</f>
        <v>117819723.7</v>
      </c>
      <c r="K320" s="10" t="n">
        <f aca="false">IFERROR(VLOOKUP(A320,'Dados-Status-Invest'!$1:$1000,3,FALSE())/100,"")</f>
        <v>0.0309</v>
      </c>
      <c r="L320" s="11" t="n">
        <f aca="false">IFERROR(VLOOKUP(A320,'Dados-Status-Invest'!$1:$1000,MATCH(L$1,'Dados-Status-Invest'!$2:$2,0),FALSE())/100,"")</f>
        <v>0.0621</v>
      </c>
      <c r="M320" s="10" t="n">
        <f aca="false">IFERROR(VLOOKUP(A320,'Dados-Status-Invest'!$1:$1000,MATCH(M$1,'Dados-Status-Invest'!$2:$2,0),FALSE())/100,"")</f>
        <v>0.0164</v>
      </c>
      <c r="N320" s="10" t="n">
        <f aca="false">IFERROR(VLOOKUP(A320,'Dados-Status-Invest'!$1:$1000,MATCH(N$1,'Dados-Status-Invest'!$2:$2,0),FALSE())/100,"")</f>
        <v>0.0411</v>
      </c>
      <c r="O320" s="10" t="n">
        <f aca="false">IFERROR(VLOOKUP(A320,'Dados-Status-Invest'!$1:$1000,MATCH(O$1,'Dados-Status-Invest'!$2:$2,0),FALSE())/100,"")</f>
        <v>0.2555</v>
      </c>
      <c r="P320" s="10" t="n">
        <f aca="false">IFERROR(VLOOKUP(A320,'Dados-Status-Invest'!$1:$1000,MATCH(P$1,'Dados-Status-Invest'!$2:$2,0),FALSE())/100,"")</f>
        <v>0.0711</v>
      </c>
      <c r="Q320" s="10" t="n">
        <f aca="false">IFERROR(VLOOKUP(A320,'Dados-Status-Invest'!$1:$1000,MATCH(Q$1,'Dados-Status-Invest'!$2:$2,0),FALSE())/100,"")</f>
        <v>0.0198</v>
      </c>
      <c r="R320" s="12" t="n">
        <f aca="false">IFERROR(VLOOKUP(A320,'Dados-Status-Invest'!$1:$1000,MATCH(R$1,'Dados-Status-Invest'!$2:$2,0),FALSE()),"")</f>
        <v>11.96</v>
      </c>
      <c r="S320" s="12" t="n">
        <f aca="false">IFERROR(VLOOKUP(A320,'Dados-Status-Invest'!$1:$1000,MATCH(S$1,'Dados-Status-Invest'!$2:$2,0),FALSE()),"")</f>
        <v>0.74</v>
      </c>
      <c r="T320" s="12" t="n">
        <f aca="false">IFERROR(VLOOKUP(A320,'Dados-Status-Invest'!$1:$1000,MATCH(T$1,'Dados-Status-Invest'!$2:$2,0),FALSE()),"")</f>
        <v>7.07</v>
      </c>
      <c r="U320" s="12" t="n">
        <f aca="false">IFERROR(VLOOKUP(A320,'Dados-Status-Invest'!$1:$1000,MATCH(U$1,'Dados-Status-Invest'!$2:$2,0),FALSE()),"")</f>
        <v>1.83</v>
      </c>
      <c r="V320" s="12" t="n">
        <f aca="false">IFERROR(VLOOKUP(A320,'Dados-Status-Invest'!$1:$1000,MATCH(V$1,'Dados-Status-Invest'!$2:$2,0),FALSE()),"")</f>
        <v>3.72</v>
      </c>
      <c r="W320" s="10" t="n">
        <f aca="false">IFERROR(VLOOKUP(A320,'Dados-Status-Invest'!$1:$1000,MATCH(W$1,'Dados-Status-Invest'!$2:$2,0),FALSE())/100,"")</f>
        <v>0.0816</v>
      </c>
      <c r="X320" s="10" t="n">
        <f aca="false">IFERROR(VLOOKUP(A320,'Dados-Status-Invest'!$1:$1000,MATCH(X$1,'Dados-Status-Invest'!$2:$2,0),FALSE())/100,"")</f>
        <v>0.0514</v>
      </c>
    </row>
    <row r="321" customFormat="false" ht="15.75" hidden="false" customHeight="false" outlineLevel="0" collapsed="false">
      <c r="A321" s="6" t="s">
        <v>353</v>
      </c>
      <c r="B321" s="7" t="str">
        <f aca="false">IFERROR(VLOOKUP(LEFT(A321,4),Setor!A:D,2,FALSE()),"")</f>
        <v>Consumo não Cíclico</v>
      </c>
      <c r="C321" s="8" t="n">
        <f aca="false">IFERROR(__xludf.dummyfunction("IFERROR(IFERROR(GOOGLEFINANCE(A327,""price""),VLOOKUP(A327,'Dados-Status-Invest'!A:B,2,FALSE)),"""")"),36)</f>
        <v>36</v>
      </c>
      <c r="D321" s="8" t="n">
        <f aca="false">IFERROR(VLOOKUP(A321,'Dados-Status-Invest'!$1:$1000,MATCH(D$1,'Dados-Status-Invest'!$2:$2,0),FALSE()),"")</f>
        <v>393517877</v>
      </c>
      <c r="E321" s="8" t="n">
        <f aca="false">IF(D321+H321&gt;0,D321+H321,"")</f>
        <v>705647195.2</v>
      </c>
      <c r="F321" s="8" t="n">
        <f aca="false">IFERROR(D321/VLOOKUP(A321,'Dados-Status-Invest'!$1:$1000,5,FALSE()),"")</f>
        <v>378382574</v>
      </c>
      <c r="G321" s="8" t="n">
        <f aca="false">IFERROR(D321/VLOOKUP(A321,'Dados-Status-Invest'!$1:$1000,6,FALSE()),"")</f>
        <v>1405420989</v>
      </c>
      <c r="H321" s="8" t="n">
        <f aca="false">IFERROR(VLOOKUP(A321,'Dados-Status-Invest'!$1:$1000,12,FALSE())*J321,"")</f>
        <v>312129318.2</v>
      </c>
      <c r="I321" s="8" t="n">
        <f aca="false">IFERROR(D321/VLOOKUP(A321,'Dados-Status-Invest'!$1:$1000,14,FALSE()),"")</f>
        <v>1192478415</v>
      </c>
      <c r="J321" s="9" t="n">
        <f aca="false">IFERROR(D321/VLOOKUP(A321,'Dados-Status-Invest'!$1:$1000,10,FALSE()),"")</f>
        <v>83905730.7</v>
      </c>
      <c r="K321" s="10" t="n">
        <f aca="false">IFERROR(VLOOKUP(A321,'Dados-Status-Invest'!$1:$1000,3,FALSE())/100,"")</f>
        <v>0.0242</v>
      </c>
      <c r="L321" s="11" t="n">
        <f aca="false">IFERROR(VLOOKUP(A321,'Dados-Status-Invest'!$1:$1000,MATCH(L$1,'Dados-Status-Invest'!$2:$2,0),FALSE())/100,"")</f>
        <v>0.0621</v>
      </c>
      <c r="M321" s="10" t="n">
        <f aca="false">IFERROR(VLOOKUP(A321,'Dados-Status-Invest'!$1:$1000,MATCH(M$1,'Dados-Status-Invest'!$2:$2,0),FALSE())/100,"")</f>
        <v>0.0164</v>
      </c>
      <c r="N321" s="10" t="n">
        <f aca="false">IFERROR(VLOOKUP(A321,'Dados-Status-Invest'!$1:$1000,MATCH(N$1,'Dados-Status-Invest'!$2:$2,0),FALSE())/100,"")</f>
        <v>0.0411</v>
      </c>
      <c r="O321" s="10" t="n">
        <f aca="false">IFERROR(VLOOKUP(A321,'Dados-Status-Invest'!$1:$1000,MATCH(O$1,'Dados-Status-Invest'!$2:$2,0),FALSE())/100,"")</f>
        <v>0.2555</v>
      </c>
      <c r="P321" s="10" t="n">
        <f aca="false">IFERROR(VLOOKUP(A321,'Dados-Status-Invest'!$1:$1000,MATCH(P$1,'Dados-Status-Invest'!$2:$2,0),FALSE())/100,"")</f>
        <v>0.0711</v>
      </c>
      <c r="Q321" s="10" t="n">
        <f aca="false">IFERROR(VLOOKUP(A321,'Dados-Status-Invest'!$1:$1000,MATCH(Q$1,'Dados-Status-Invest'!$2:$2,0),FALSE())/100,"")</f>
        <v>0.0198</v>
      </c>
      <c r="R321" s="12" t="n">
        <f aca="false">IFERROR(VLOOKUP(A321,'Dados-Status-Invest'!$1:$1000,MATCH(R$1,'Dados-Status-Invest'!$2:$2,0),FALSE()),"")</f>
        <v>16.81</v>
      </c>
      <c r="S321" s="12" t="n">
        <f aca="false">IFERROR(VLOOKUP(A321,'Dados-Status-Invest'!$1:$1000,MATCH(S$1,'Dados-Status-Invest'!$2:$2,0),FALSE()),"")</f>
        <v>1.04</v>
      </c>
      <c r="T321" s="12" t="n">
        <f aca="false">IFERROR(VLOOKUP(A321,'Dados-Status-Invest'!$1:$1000,MATCH(T$1,'Dados-Status-Invest'!$2:$2,0),FALSE()),"")</f>
        <v>7.07</v>
      </c>
      <c r="U321" s="12" t="n">
        <f aca="false">IFERROR(VLOOKUP(A321,'Dados-Status-Invest'!$1:$1000,MATCH(U$1,'Dados-Status-Invest'!$2:$2,0),FALSE()),"")</f>
        <v>1.83</v>
      </c>
      <c r="V321" s="12" t="n">
        <f aca="false">IFERROR(VLOOKUP(A321,'Dados-Status-Invest'!$1:$1000,MATCH(V$1,'Dados-Status-Invest'!$2:$2,0),FALSE()),"")</f>
        <v>3.72</v>
      </c>
      <c r="W321" s="10" t="n">
        <f aca="false">IFERROR(VLOOKUP(A321,'Dados-Status-Invest'!$1:$1000,MATCH(W$1,'Dados-Status-Invest'!$2:$2,0),FALSE())/100,"")</f>
        <v>0.0816</v>
      </c>
      <c r="X321" s="10" t="n">
        <f aca="false">IFERROR(VLOOKUP(A321,'Dados-Status-Invest'!$1:$1000,MATCH(X$1,'Dados-Status-Invest'!$2:$2,0),FALSE())/100,"")</f>
        <v>0.0514</v>
      </c>
    </row>
    <row r="322" customFormat="false" ht="15.75" hidden="false" customHeight="false" outlineLevel="0" collapsed="false">
      <c r="A322" s="6" t="s">
        <v>354</v>
      </c>
      <c r="B322" s="7" t="str">
        <f aca="false">IFERROR(VLOOKUP(LEFT(A322,4),Setor!A:D,2,FALSE()),"")</f>
        <v>Financeiro</v>
      </c>
      <c r="C322" s="8" t="n">
        <f aca="false">IFERROR(__xludf.dummyfunction("IFERROR(IFERROR(GOOGLEFINANCE(A328,""price""),VLOOKUP(A328,'Dados-Status-Invest'!A:B,2,FALSE)),"""")"),33.03)</f>
        <v>33.03</v>
      </c>
      <c r="D322" s="8" t="n">
        <f aca="false">IFERROR(VLOOKUP(A322,'Dados-Status-Invest'!$1:$1000,MATCH(D$1,'Dados-Status-Invest'!$2:$2,0),FALSE()),"")</f>
        <v>2902100525</v>
      </c>
      <c r="E322" s="8" t="n">
        <f aca="false">IF(D322+H322&gt;0,D322+H322,"")</f>
        <v>4843505704</v>
      </c>
      <c r="F322" s="8" t="n">
        <f aca="false">IFERROR(D322/VLOOKUP(A322,'Dados-Status-Invest'!$1:$1000,5,FALSE()),"")</f>
        <v>1630393554</v>
      </c>
      <c r="G322" s="8" t="n">
        <f aca="false">IFERROR(D322/VLOOKUP(A322,'Dados-Status-Invest'!$1:$1000,6,FALSE()),"")</f>
        <v>6909763156</v>
      </c>
      <c r="H322" s="8" t="n">
        <f aca="false">IFERROR(VLOOKUP(A322,'Dados-Status-Invest'!$1:$1000,12,FALSE())*J322,"")</f>
        <v>1941405179</v>
      </c>
      <c r="I322" s="8" t="n">
        <f aca="false">IFERROR(D322/VLOOKUP(A322,'Dados-Status-Invest'!$1:$1000,14,FALSE()),"")</f>
        <v>686075774.3</v>
      </c>
      <c r="J322" s="9" t="n">
        <f aca="false">IFERROR(D322/VLOOKUP(A322,'Dados-Status-Invest'!$1:$1000,10,FALSE()),"")</f>
        <v>333574773</v>
      </c>
      <c r="K322" s="10" t="n">
        <f aca="false">IFERROR(VLOOKUP(A322,'Dados-Status-Invest'!$1:$1000,3,FALSE())/100,"")</f>
        <v>0.0076</v>
      </c>
      <c r="L322" s="11" t="n">
        <f aca="false">IFERROR(VLOOKUP(A322,'Dados-Status-Invest'!$1:$1000,MATCH(L$1,'Dados-Status-Invest'!$2:$2,0),FALSE())/100,"")</f>
        <v>0.0608</v>
      </c>
      <c r="M322" s="10" t="n">
        <f aca="false">IFERROR(VLOOKUP(A322,'Dados-Status-Invest'!$1:$1000,MATCH(M$1,'Dados-Status-Invest'!$2:$2,0),FALSE())/100,"")</f>
        <v>0.0143</v>
      </c>
      <c r="N322" s="10" t="n">
        <f aca="false">IFERROR(VLOOKUP(A322,'Dados-Status-Invest'!$1:$1000,MATCH(N$1,'Dados-Status-Invest'!$2:$2,0),FALSE())/100,"")</f>
        <v>0.0414</v>
      </c>
      <c r="O322" s="10" t="n">
        <f aca="false">IFERROR(VLOOKUP(A322,'Dados-Status-Invest'!$1:$1000,MATCH(O$1,'Dados-Status-Invest'!$2:$2,0),FALSE())/100,"")</f>
        <v>0.5813</v>
      </c>
      <c r="P322" s="10" t="n">
        <f aca="false">IFERROR(VLOOKUP(A322,'Dados-Status-Invest'!$1:$1000,MATCH(P$1,'Dados-Status-Invest'!$2:$2,0),FALSE())/100,"")</f>
        <v>0.4864</v>
      </c>
      <c r="Q322" s="10" t="n">
        <f aca="false">IFERROR(VLOOKUP(A322,'Dados-Status-Invest'!$1:$1000,MATCH(Q$1,'Dados-Status-Invest'!$2:$2,0),FALSE())/100,"")</f>
        <v>0.1446</v>
      </c>
      <c r="R322" s="12" t="n">
        <f aca="false">IFERROR(VLOOKUP(A322,'Dados-Status-Invest'!$1:$1000,MATCH(R$1,'Dados-Status-Invest'!$2:$2,0),FALSE()),"")</f>
        <v>29.26</v>
      </c>
      <c r="S322" s="12" t="n">
        <f aca="false">IFERROR(VLOOKUP(A322,'Dados-Status-Invest'!$1:$1000,MATCH(S$1,'Dados-Status-Invest'!$2:$2,0),FALSE()),"")</f>
        <v>1.78</v>
      </c>
      <c r="T322" s="12" t="n">
        <f aca="false">IFERROR(VLOOKUP(A322,'Dados-Status-Invest'!$1:$1000,MATCH(T$1,'Dados-Status-Invest'!$2:$2,0),FALSE()),"")</f>
        <v>14.49</v>
      </c>
      <c r="U322" s="12" t="n">
        <f aca="false">IFERROR(VLOOKUP(A322,'Dados-Status-Invest'!$1:$1000,MATCH(U$1,'Dados-Status-Invest'!$2:$2,0),FALSE()),"")</f>
        <v>2.36</v>
      </c>
      <c r="V322" s="12" t="n">
        <f aca="false">IFERROR(VLOOKUP(A322,'Dados-Status-Invest'!$1:$1000,MATCH(V$1,'Dados-Status-Invest'!$2:$2,0),FALSE()),"")</f>
        <v>5.82</v>
      </c>
      <c r="W322" s="10" t="n">
        <f aca="false">IFERROR(VLOOKUP(A322,'Dados-Status-Invest'!$1:$1000,MATCH(W$1,'Dados-Status-Invest'!$2:$2,0),FALSE())/100,"")</f>
        <v>0.0123</v>
      </c>
      <c r="X322" s="10" t="n">
        <f aca="false">IFERROR(VLOOKUP(A322,'Dados-Status-Invest'!$1:$1000,MATCH(X$1,'Dados-Status-Invest'!$2:$2,0),FALSE())/100,"")</f>
        <v>0</v>
      </c>
    </row>
    <row r="323" customFormat="false" ht="15.75" hidden="false" customHeight="false" outlineLevel="0" collapsed="false">
      <c r="A323" s="6" t="s">
        <v>355</v>
      </c>
      <c r="B323" s="7" t="s">
        <v>29</v>
      </c>
      <c r="C323" s="8" t="n">
        <f aca="false">IFERROR(__xludf.dummyfunction("IFERROR(IFERROR(GOOGLEFINANCE(A329,""price""),VLOOKUP(A329,'Dados-Status-Invest'!A:B,2,FALSE)),"""")"),5.99)</f>
        <v>5.99</v>
      </c>
      <c r="D323" s="8" t="n">
        <f aca="false">IFERROR(VLOOKUP(A323,'Dados-Status-Invest'!$1:$1000,MATCH(D$1,'Dados-Status-Invest'!$2:$2,0),FALSE()),"")</f>
        <v>3233896951</v>
      </c>
      <c r="E323" s="8" t="n">
        <f aca="false">IF(D323+H323&gt;0,D323+H323,"")</f>
        <v>5082177013</v>
      </c>
      <c r="F323" s="8" t="n">
        <f aca="false">IFERROR(D323/VLOOKUP(A323,'Dados-Status-Invest'!$1:$1000,5,FALSE()),"")</f>
        <v>1163272284</v>
      </c>
      <c r="G323" s="8" t="n">
        <f aca="false">IFERROR(D323/VLOOKUP(A323,'Dados-Status-Invest'!$1:$1000,6,FALSE()),"")</f>
        <v>4755730810</v>
      </c>
      <c r="H323" s="8" t="n">
        <f aca="false">IFERROR(VLOOKUP(A323,'Dados-Status-Invest'!$1:$1000,12,FALSE())*J323,"")</f>
        <v>1848280062</v>
      </c>
      <c r="I323" s="8" t="n">
        <f aca="false">IFERROR(D323/VLOOKUP(A323,'Dados-Status-Invest'!$1:$1000,14,FALSE()),"")</f>
        <v>1325367603</v>
      </c>
      <c r="J323" s="9" t="n">
        <f aca="false">IFERROR(D323/VLOOKUP(A323,'Dados-Status-Invest'!$1:$1000,10,FALSE()),"")</f>
        <v>237263165.9</v>
      </c>
      <c r="K323" s="10" t="n">
        <f aca="false">IFERROR(VLOOKUP(A323,'Dados-Status-Invest'!$1:$1000,3,FALSE())/100,"")</f>
        <v>0.0116</v>
      </c>
      <c r="L323" s="11" t="n">
        <f aca="false">IFERROR(VLOOKUP(A323,'Dados-Status-Invest'!$1:$1000,MATCH(L$1,'Dados-Status-Invest'!$2:$2,0),FALSE())/100,"")</f>
        <v>0.218</v>
      </c>
      <c r="M323" s="10" t="n">
        <f aca="false">IFERROR(VLOOKUP(A323,'Dados-Status-Invest'!$1:$1000,MATCH(M$1,'Dados-Status-Invest'!$2:$2,0),FALSE())/100,"")</f>
        <v>0.0533</v>
      </c>
      <c r="N323" s="10" t="n">
        <f aca="false">IFERROR(VLOOKUP(A323,'Dados-Status-Invest'!$1:$1000,MATCH(N$1,'Dados-Status-Invest'!$2:$2,0),FALSE())/100,"")</f>
        <v>0.0592</v>
      </c>
      <c r="O323" s="10" t="n">
        <f aca="false">IFERROR(VLOOKUP(A323,'Dados-Status-Invest'!$1:$1000,MATCH(O$1,'Dados-Status-Invest'!$2:$2,0),FALSE())/100,"")</f>
        <v>-0.0628</v>
      </c>
      <c r="P323" s="10" t="n">
        <f aca="false">IFERROR(VLOOKUP(A323,'Dados-Status-Invest'!$1:$1000,MATCH(P$1,'Dados-Status-Invest'!$2:$2,0),FALSE())/100,"")</f>
        <v>0.1787</v>
      </c>
      <c r="Q323" s="10" t="n">
        <f aca="false">IFERROR(VLOOKUP(A323,'Dados-Status-Invest'!$1:$1000,MATCH(Q$1,'Dados-Status-Invest'!$2:$2,0),FALSE())/100,"")</f>
        <v>0.1912</v>
      </c>
      <c r="R323" s="12" t="n">
        <f aca="false">IFERROR(VLOOKUP(A323,'Dados-Status-Invest'!$1:$1000,MATCH(R$1,'Dados-Status-Invest'!$2:$2,0),FALSE()),"")</f>
        <v>12.74</v>
      </c>
      <c r="S323" s="12" t="n">
        <f aca="false">IFERROR(VLOOKUP(A323,'Dados-Status-Invest'!$1:$1000,MATCH(S$1,'Dados-Status-Invest'!$2:$2,0),FALSE()),"")</f>
        <v>2.78</v>
      </c>
      <c r="T323" s="12" t="n">
        <f aca="false">IFERROR(VLOOKUP(A323,'Dados-Status-Invest'!$1:$1000,MATCH(T$1,'Dados-Status-Invest'!$2:$2,0),FALSE()),"")</f>
        <v>21.32</v>
      </c>
      <c r="U323" s="12" t="n">
        <f aca="false">IFERROR(VLOOKUP(A323,'Dados-Status-Invest'!$1:$1000,MATCH(U$1,'Dados-Status-Invest'!$2:$2,0),FALSE()),"")</f>
        <v>2.12</v>
      </c>
      <c r="V323" s="12" t="n">
        <f aca="false">IFERROR(VLOOKUP(A323,'Dados-Status-Invest'!$1:$1000,MATCH(V$1,'Dados-Status-Invest'!$2:$2,0),FALSE()),"")</f>
        <v>7.79</v>
      </c>
      <c r="W323" s="10" t="n">
        <f aca="false">IFERROR(VLOOKUP(A323,'Dados-Status-Invest'!$1:$1000,MATCH(W$1,'Dados-Status-Invest'!$2:$2,0),FALSE())/100,"")</f>
        <v>-0.1395</v>
      </c>
      <c r="X323" s="10" t="n">
        <f aca="false">IFERROR(VLOOKUP(A323,'Dados-Status-Invest'!$1:$1000,MATCH(X$1,'Dados-Status-Invest'!$2:$2,0),FALSE())/100,"")</f>
        <v>0.2294</v>
      </c>
    </row>
    <row r="324" customFormat="false" ht="15.75" hidden="false" customHeight="false" outlineLevel="0" collapsed="false">
      <c r="A324" s="6" t="s">
        <v>356</v>
      </c>
      <c r="B324" s="7" t="str">
        <f aca="false">IFERROR(VLOOKUP(LEFT(A324,4),Setor!A:D,2,FALSE()),"")</f>
        <v>Bens Industriais</v>
      </c>
      <c r="C324" s="8" t="n">
        <f aca="false">IFERROR(__xludf.dummyfunction("IFERROR(IFERROR(GOOGLEFINANCE(A330,""price""),VLOOKUP(A330,'Dados-Status-Invest'!A:B,2,FALSE)),"""")"),18.91)</f>
        <v>18.91</v>
      </c>
      <c r="D324" s="8" t="n">
        <f aca="false">IFERROR(VLOOKUP(A324,'Dados-Status-Invest'!$1:$1000,MATCH(D$1,'Dados-Status-Invest'!$2:$2,0),FALSE()),"")</f>
        <v>1723630734</v>
      </c>
      <c r="E324" s="8" t="n">
        <f aca="false">IF(D324+H324&gt;0,D324+H324,"")</f>
        <v>1505400736.2</v>
      </c>
      <c r="F324" s="8" t="n">
        <f aca="false">IFERROR(D324/VLOOKUP(A324,'Dados-Status-Invest'!$1:$1000,5,FALSE()),"")</f>
        <v>536956615.1</v>
      </c>
      <c r="G324" s="8" t="n">
        <f aca="false">IFERROR(D324/VLOOKUP(A324,'Dados-Status-Invest'!$1:$1000,6,FALSE()),"")</f>
        <v>957572630.3</v>
      </c>
      <c r="H324" s="8" t="n">
        <f aca="false">IFERROR(VLOOKUP(A324,'Dados-Status-Invest'!$1:$1000,12,FALSE())*J324,"")</f>
        <v>-218229997.8</v>
      </c>
      <c r="I324" s="8" t="n">
        <f aca="false">IFERROR(D324/VLOOKUP(A324,'Dados-Status-Invest'!$1:$1000,14,FALSE()),"")</f>
        <v>783468515.7</v>
      </c>
      <c r="J324" s="9" t="n">
        <f aca="false">IFERROR(D324/VLOOKUP(A324,'Dados-Status-Invest'!$1:$1000,10,FALSE()),"")</f>
        <v>96561945.91</v>
      </c>
      <c r="K324" s="10" t="n">
        <f aca="false">IFERROR(VLOOKUP(A324,'Dados-Status-Invest'!$1:$1000,3,FALSE())/100,"")</f>
        <v>0.035</v>
      </c>
      <c r="L324" s="11" t="n">
        <f aca="false">IFERROR(VLOOKUP(A324,'Dados-Status-Invest'!$1:$1000,MATCH(L$1,'Dados-Status-Invest'!$2:$2,0),FALSE())/100,"")</f>
        <v>0.1423</v>
      </c>
      <c r="M324" s="10" t="n">
        <f aca="false">IFERROR(VLOOKUP(A324,'Dados-Status-Invest'!$1:$1000,MATCH(M$1,'Dados-Status-Invest'!$2:$2,0),FALSE())/100,"")</f>
        <v>0.08</v>
      </c>
      <c r="N324" s="10" t="n">
        <f aca="false">IFERROR(VLOOKUP(A324,'Dados-Status-Invest'!$1:$1000,MATCH(N$1,'Dados-Status-Invest'!$2:$2,0),FALSE())/100,"")</f>
        <v>0.1279</v>
      </c>
      <c r="O324" s="10" t="n">
        <f aca="false">IFERROR(VLOOKUP(A324,'Dados-Status-Invest'!$1:$1000,MATCH(O$1,'Dados-Status-Invest'!$2:$2,0),FALSE())/100,"")</f>
        <v>0.2359</v>
      </c>
      <c r="P324" s="10" t="n">
        <f aca="false">IFERROR(VLOOKUP(A324,'Dados-Status-Invest'!$1:$1000,MATCH(P$1,'Dados-Status-Invest'!$2:$2,0),FALSE())/100,"")</f>
        <v>0.1234</v>
      </c>
      <c r="Q324" s="10" t="n">
        <f aca="false">IFERROR(VLOOKUP(A324,'Dados-Status-Invest'!$1:$1000,MATCH(Q$1,'Dados-Status-Invest'!$2:$2,0),FALSE())/100,"")</f>
        <v>0.0976</v>
      </c>
      <c r="R324" s="12" t="n">
        <f aca="false">IFERROR(VLOOKUP(A324,'Dados-Status-Invest'!$1:$1000,MATCH(R$1,'Dados-Status-Invest'!$2:$2,0),FALSE()),"")</f>
        <v>22.56</v>
      </c>
      <c r="S324" s="12" t="n">
        <f aca="false">IFERROR(VLOOKUP(A324,'Dados-Status-Invest'!$1:$1000,MATCH(S$1,'Dados-Status-Invest'!$2:$2,0),FALSE()),"")</f>
        <v>3.21</v>
      </c>
      <c r="T324" s="12" t="n">
        <f aca="false">IFERROR(VLOOKUP(A324,'Dados-Status-Invest'!$1:$1000,MATCH(T$1,'Dados-Status-Invest'!$2:$2,0),FALSE()),"")</f>
        <v>15.66</v>
      </c>
      <c r="U324" s="12" t="n">
        <f aca="false">IFERROR(VLOOKUP(A324,'Dados-Status-Invest'!$1:$1000,MATCH(U$1,'Dados-Status-Invest'!$2:$2,0),FALSE()),"")</f>
        <v>1.45</v>
      </c>
      <c r="V324" s="12" t="n">
        <f aca="false">IFERROR(VLOOKUP(A324,'Dados-Status-Invest'!$1:$1000,MATCH(V$1,'Dados-Status-Invest'!$2:$2,0),FALSE()),"")</f>
        <v>-2.26</v>
      </c>
      <c r="W324" s="10" t="n">
        <f aca="false">IFERROR(VLOOKUP(A324,'Dados-Status-Invest'!$1:$1000,MATCH(W$1,'Dados-Status-Invest'!$2:$2,0),FALSE())/100,"")</f>
        <v>-0.01</v>
      </c>
      <c r="X324" s="10" t="n">
        <f aca="false">IFERROR(VLOOKUP(A324,'Dados-Status-Invest'!$1:$1000,MATCH(X$1,'Dados-Status-Invest'!$2:$2,0),FALSE())/100,"")</f>
        <v>0.6109</v>
      </c>
    </row>
    <row r="325" customFormat="false" ht="15.75" hidden="false" customHeight="false" outlineLevel="0" collapsed="false">
      <c r="A325" s="6" t="s">
        <v>357</v>
      </c>
      <c r="B325" s="7" t="str">
        <f aca="false">IFERROR(VLOOKUP(LEFT(A325,4),Setor!A:D,2,FALSE()),"")</f>
        <v>Materiais Básicos</v>
      </c>
      <c r="C325" s="8" t="n">
        <f aca="false">IFERROR(__xludf.dummyfunction("IFERROR(IFERROR(GOOGLEFINANCE(A331,""price""),VLOOKUP(A331,'Dados-Status-Invest'!A:B,2,FALSE)),"""")"),21.85)</f>
        <v>21.85</v>
      </c>
      <c r="D325" s="8" t="n">
        <f aca="false">IFERROR(VLOOKUP(A325,'Dados-Status-Invest'!$1:$1000,MATCH(D$1,'Dados-Status-Invest'!$2:$2,0),FALSE()),"")</f>
        <v>29527644326</v>
      </c>
      <c r="E325" s="8" t="n">
        <f aca="false">IF(D325+H325&gt;0,D325+H325,"")</f>
        <v>51209464746</v>
      </c>
      <c r="F325" s="8" t="n">
        <f aca="false">IFERROR(D325/VLOOKUP(A325,'Dados-Status-Invest'!$1:$1000,5,FALSE()),"")</f>
        <v>3059859516</v>
      </c>
      <c r="G325" s="8" t="n">
        <f aca="false">IFERROR(D325/VLOOKUP(A325,'Dados-Status-Invest'!$1:$1000,6,FALSE()),"")</f>
        <v>38347590033</v>
      </c>
      <c r="H325" s="8" t="n">
        <f aca="false">IFERROR(VLOOKUP(A325,'Dados-Status-Invest'!$1:$1000,12,FALSE())*J325,"")</f>
        <v>21681820420</v>
      </c>
      <c r="I325" s="8" t="n">
        <f aca="false">IFERROR(D325/VLOOKUP(A325,'Dados-Status-Invest'!$1:$1000,14,FALSE()),"")</f>
        <v>12782530011</v>
      </c>
      <c r="J325" s="9" t="n">
        <f aca="false">IFERROR(D325/VLOOKUP(A325,'Dados-Status-Invest'!$1:$1000,10,FALSE()),"")</f>
        <v>3255528592</v>
      </c>
      <c r="K325" s="10" t="n">
        <f aca="false">IFERROR(VLOOKUP(A325,'Dados-Status-Invest'!$1:$1000,3,FALSE())/100,"")</f>
        <v>0</v>
      </c>
      <c r="L325" s="11" t="n">
        <f aca="false">IFERROR(VLOOKUP(A325,'Dados-Status-Invest'!$1:$1000,MATCH(L$1,'Dados-Status-Invest'!$2:$2,0),FALSE())/100,"")</f>
        <v>0.3436</v>
      </c>
      <c r="M325" s="10" t="n">
        <f aca="false">IFERROR(VLOOKUP(A325,'Dados-Status-Invest'!$1:$1000,MATCH(M$1,'Dados-Status-Invest'!$2:$2,0),FALSE())/100,"")</f>
        <v>0.0273</v>
      </c>
      <c r="N325" s="10" t="n">
        <f aca="false">IFERROR(VLOOKUP(A325,'Dados-Status-Invest'!$1:$1000,MATCH(N$1,'Dados-Status-Invest'!$2:$2,0),FALSE())/100,"")</f>
        <v>0.0857</v>
      </c>
      <c r="O325" s="10" t="n">
        <f aca="false">IFERROR(VLOOKUP(A325,'Dados-Status-Invest'!$1:$1000,MATCH(O$1,'Dados-Status-Invest'!$2:$2,0),FALSE())/100,"")</f>
        <v>0.378</v>
      </c>
      <c r="P325" s="10" t="n">
        <f aca="false">IFERROR(VLOOKUP(A325,'Dados-Status-Invest'!$1:$1000,MATCH(P$1,'Dados-Status-Invest'!$2:$2,0),FALSE())/100,"")</f>
        <v>0.2545</v>
      </c>
      <c r="Q325" s="10" t="n">
        <f aca="false">IFERROR(VLOOKUP(A325,'Dados-Status-Invest'!$1:$1000,MATCH(Q$1,'Dados-Status-Invest'!$2:$2,0),FALSE())/100,"")</f>
        <v>0.0822</v>
      </c>
      <c r="R325" s="12" t="n">
        <f aca="false">IFERROR(VLOOKUP(A325,'Dados-Status-Invest'!$1:$1000,MATCH(R$1,'Dados-Status-Invest'!$2:$2,0),FALSE()),"")</f>
        <v>28.07</v>
      </c>
      <c r="S325" s="12" t="n">
        <f aca="false">IFERROR(VLOOKUP(A325,'Dados-Status-Invest'!$1:$1000,MATCH(S$1,'Dados-Status-Invest'!$2:$2,0),FALSE()),"")</f>
        <v>9.65</v>
      </c>
      <c r="T325" s="12" t="n">
        <f aca="false">IFERROR(VLOOKUP(A325,'Dados-Status-Invest'!$1:$1000,MATCH(T$1,'Dados-Status-Invest'!$2:$2,0),FALSE()),"")</f>
        <v>15.71</v>
      </c>
      <c r="U325" s="12" t="n">
        <f aca="false">IFERROR(VLOOKUP(A325,'Dados-Status-Invest'!$1:$1000,MATCH(U$1,'Dados-Status-Invest'!$2:$2,0),FALSE()),"")</f>
        <v>2.92</v>
      </c>
      <c r="V325" s="12" t="n">
        <f aca="false">IFERROR(VLOOKUP(A325,'Dados-Status-Invest'!$1:$1000,MATCH(V$1,'Dados-Status-Invest'!$2:$2,0),FALSE()),"")</f>
        <v>6.66</v>
      </c>
      <c r="W325" s="10" t="n">
        <f aca="false">IFERROR(VLOOKUP(A325,'Dados-Status-Invest'!$1:$1000,MATCH(W$1,'Dados-Status-Invest'!$2:$2,0),FALSE())/100,"")</f>
        <v>0.1601</v>
      </c>
      <c r="X325" s="10" t="n">
        <f aca="false">IFERROR(VLOOKUP(A325,'Dados-Status-Invest'!$1:$1000,MATCH(X$1,'Dados-Status-Invest'!$2:$2,0),FALSE())/100,"")</f>
        <v>0</v>
      </c>
    </row>
    <row r="326" customFormat="false" ht="15.75" hidden="false" customHeight="false" outlineLevel="0" collapsed="false">
      <c r="A326" s="6" t="s">
        <v>358</v>
      </c>
      <c r="B326" s="7" t="str">
        <f aca="false">IFERROR(VLOOKUP(LEFT(A326,4),Setor!A:D,2,FALSE()),"")</f>
        <v>Materiais Básicos</v>
      </c>
      <c r="C326" s="8" t="n">
        <f aca="false">IFERROR(__xludf.dummyfunction("IFERROR(IFERROR(GOOGLEFINANCE(A332,""price""),VLOOKUP(A332,'Dados-Status-Invest'!A:B,2,FALSE)),"""")"),4.95)</f>
        <v>4.95</v>
      </c>
      <c r="D326" s="8" t="n">
        <f aca="false">IFERROR(VLOOKUP(A326,'Dados-Status-Invest'!$1:$1000,MATCH(D$1,'Dados-Status-Invest'!$2:$2,0),FALSE()),"")</f>
        <v>29527644326</v>
      </c>
      <c r="E326" s="8" t="n">
        <f aca="false">IF(D326+H326&gt;0,D326+H326,"")</f>
        <v>47838082986</v>
      </c>
      <c r="F326" s="8" t="n">
        <f aca="false">IFERROR(D326/VLOOKUP(A326,'Dados-Status-Invest'!$1:$1000,5,FALSE()),"")</f>
        <v>2583345960</v>
      </c>
      <c r="G326" s="8" t="n">
        <f aca="false">IFERROR(D326/VLOOKUP(A326,'Dados-Status-Invest'!$1:$1000,6,FALSE()),"")</f>
        <v>32447960797</v>
      </c>
      <c r="H326" s="8" t="n">
        <f aca="false">IFERROR(VLOOKUP(A326,'Dados-Status-Invest'!$1:$1000,12,FALSE())*J326,"")</f>
        <v>18310438660</v>
      </c>
      <c r="I326" s="8" t="n">
        <f aca="false">IFERROR(D326/VLOOKUP(A326,'Dados-Status-Invest'!$1:$1000,14,FALSE()),"")</f>
        <v>10815986932</v>
      </c>
      <c r="J326" s="9" t="n">
        <f aca="false">IFERROR(D326/VLOOKUP(A326,'Dados-Status-Invest'!$1:$1000,10,FALSE()),"")</f>
        <v>2749315114</v>
      </c>
      <c r="K326" s="10" t="n">
        <f aca="false">IFERROR(VLOOKUP(A326,'Dados-Status-Invest'!$1:$1000,3,FALSE())/100,"")</f>
        <v>0</v>
      </c>
      <c r="L326" s="11" t="n">
        <f aca="false">IFERROR(VLOOKUP(A326,'Dados-Status-Invest'!$1:$1000,MATCH(L$1,'Dados-Status-Invest'!$2:$2,0),FALSE())/100,"")</f>
        <v>0.3436</v>
      </c>
      <c r="M326" s="10" t="n">
        <f aca="false">IFERROR(VLOOKUP(A326,'Dados-Status-Invest'!$1:$1000,MATCH(M$1,'Dados-Status-Invest'!$2:$2,0),FALSE())/100,"")</f>
        <v>0.0273</v>
      </c>
      <c r="N326" s="10" t="n">
        <f aca="false">IFERROR(VLOOKUP(A326,'Dados-Status-Invest'!$1:$1000,MATCH(N$1,'Dados-Status-Invest'!$2:$2,0),FALSE())/100,"")</f>
        <v>0.0857</v>
      </c>
      <c r="O326" s="10" t="n">
        <f aca="false">IFERROR(VLOOKUP(A326,'Dados-Status-Invest'!$1:$1000,MATCH(O$1,'Dados-Status-Invest'!$2:$2,0),FALSE())/100,"")</f>
        <v>0.378</v>
      </c>
      <c r="P326" s="10" t="n">
        <f aca="false">IFERROR(VLOOKUP(A326,'Dados-Status-Invest'!$1:$1000,MATCH(P$1,'Dados-Status-Invest'!$2:$2,0),FALSE())/100,"")</f>
        <v>0.2545</v>
      </c>
      <c r="Q326" s="10" t="n">
        <f aca="false">IFERROR(VLOOKUP(A326,'Dados-Status-Invest'!$1:$1000,MATCH(Q$1,'Dados-Status-Invest'!$2:$2,0),FALSE())/100,"")</f>
        <v>0.0822</v>
      </c>
      <c r="R326" s="12" t="n">
        <f aca="false">IFERROR(VLOOKUP(A326,'Dados-Status-Invest'!$1:$1000,MATCH(R$1,'Dados-Status-Invest'!$2:$2,0),FALSE()),"")</f>
        <v>33.26</v>
      </c>
      <c r="S326" s="12" t="n">
        <f aca="false">IFERROR(VLOOKUP(A326,'Dados-Status-Invest'!$1:$1000,MATCH(S$1,'Dados-Status-Invest'!$2:$2,0),FALSE()),"")</f>
        <v>11.43</v>
      </c>
      <c r="T326" s="12" t="n">
        <f aca="false">IFERROR(VLOOKUP(A326,'Dados-Status-Invest'!$1:$1000,MATCH(T$1,'Dados-Status-Invest'!$2:$2,0),FALSE()),"")</f>
        <v>15.71</v>
      </c>
      <c r="U326" s="12" t="n">
        <f aca="false">IFERROR(VLOOKUP(A326,'Dados-Status-Invest'!$1:$1000,MATCH(U$1,'Dados-Status-Invest'!$2:$2,0),FALSE()),"")</f>
        <v>2.92</v>
      </c>
      <c r="V326" s="12" t="n">
        <f aca="false">IFERROR(VLOOKUP(A326,'Dados-Status-Invest'!$1:$1000,MATCH(V$1,'Dados-Status-Invest'!$2:$2,0),FALSE()),"")</f>
        <v>6.66</v>
      </c>
      <c r="W326" s="10" t="n">
        <f aca="false">IFERROR(VLOOKUP(A326,'Dados-Status-Invest'!$1:$1000,MATCH(W$1,'Dados-Status-Invest'!$2:$2,0),FALSE())/100,"")</f>
        <v>0.1601</v>
      </c>
      <c r="X326" s="10" t="n">
        <f aca="false">IFERROR(VLOOKUP(A326,'Dados-Status-Invest'!$1:$1000,MATCH(X$1,'Dados-Status-Invest'!$2:$2,0),FALSE())/100,"")</f>
        <v>0</v>
      </c>
    </row>
    <row r="327" customFormat="false" ht="15.75" hidden="false" customHeight="false" outlineLevel="0" collapsed="false">
      <c r="A327" s="6" t="s">
        <v>359</v>
      </c>
      <c r="B327" s="7" t="str">
        <f aca="false">IFERROR(VLOOKUP(LEFT(A327,4),Setor!A:D,2,FALSE()),"")</f>
        <v>Materiais Básicos</v>
      </c>
      <c r="C327" s="8" t="n">
        <f aca="false">IFERROR(__xludf.dummyfunction("IFERROR(IFERROR(GOOGLEFINANCE(A333,""price""),VLOOKUP(A333,'Dados-Status-Invest'!A:B,2,FALSE)),"""")"),4.22)</f>
        <v>4.22</v>
      </c>
      <c r="D327" s="8" t="n">
        <f aca="false">IFERROR(VLOOKUP(A327,'Dados-Status-Invest'!$1:$1000,MATCH(D$1,'Dados-Status-Invest'!$2:$2,0),FALSE()),"")</f>
        <v>29527644326</v>
      </c>
      <c r="E327" s="8" t="n">
        <f aca="false">IF(D327+H327&gt;0,D327+H327,"")</f>
        <v>52288536827</v>
      </c>
      <c r="F327" s="8" t="n">
        <f aca="false">IFERROR(D327/VLOOKUP(A327,'Dados-Status-Invest'!$1:$1000,5,FALSE()),"")</f>
        <v>3209526557</v>
      </c>
      <c r="G327" s="8" t="n">
        <f aca="false">IFERROR(D327/VLOOKUP(A327,'Dados-Status-Invest'!$1:$1000,6,FALSE()),"")</f>
        <v>40448827843</v>
      </c>
      <c r="H327" s="8" t="n">
        <f aca="false">IFERROR(VLOOKUP(A327,'Dados-Status-Invest'!$1:$1000,12,FALSE())*J327,"")</f>
        <v>22760892501</v>
      </c>
      <c r="I327" s="8" t="n">
        <f aca="false">IFERROR(D327/VLOOKUP(A327,'Dados-Status-Invest'!$1:$1000,14,FALSE()),"")</f>
        <v>13421656512</v>
      </c>
      <c r="J327" s="9" t="n">
        <f aca="false">IFERROR(D327/VLOOKUP(A327,'Dados-Status-Invest'!$1:$1000,10,FALSE()),"")</f>
        <v>3417551427</v>
      </c>
      <c r="K327" s="10" t="n">
        <f aca="false">IFERROR(VLOOKUP(A327,'Dados-Status-Invest'!$1:$1000,3,FALSE())/100,"")</f>
        <v>0</v>
      </c>
      <c r="L327" s="11" t="n">
        <f aca="false">IFERROR(VLOOKUP(A327,'Dados-Status-Invest'!$1:$1000,MATCH(L$1,'Dados-Status-Invest'!$2:$2,0),FALSE())/100,"")</f>
        <v>0.3436</v>
      </c>
      <c r="M327" s="10" t="n">
        <f aca="false">IFERROR(VLOOKUP(A327,'Dados-Status-Invest'!$1:$1000,MATCH(M$1,'Dados-Status-Invest'!$2:$2,0),FALSE())/100,"")</f>
        <v>0.0273</v>
      </c>
      <c r="N327" s="10" t="n">
        <f aca="false">IFERROR(VLOOKUP(A327,'Dados-Status-Invest'!$1:$1000,MATCH(N$1,'Dados-Status-Invest'!$2:$2,0),FALSE())/100,"")</f>
        <v>0.0857</v>
      </c>
      <c r="O327" s="10" t="n">
        <f aca="false">IFERROR(VLOOKUP(A327,'Dados-Status-Invest'!$1:$1000,MATCH(O$1,'Dados-Status-Invest'!$2:$2,0),FALSE())/100,"")</f>
        <v>0.378</v>
      </c>
      <c r="P327" s="10" t="n">
        <f aca="false">IFERROR(VLOOKUP(A327,'Dados-Status-Invest'!$1:$1000,MATCH(P$1,'Dados-Status-Invest'!$2:$2,0),FALSE())/100,"")</f>
        <v>0.2545</v>
      </c>
      <c r="Q327" s="10" t="n">
        <f aca="false">IFERROR(VLOOKUP(A327,'Dados-Status-Invest'!$1:$1000,MATCH(Q$1,'Dados-Status-Invest'!$2:$2,0),FALSE())/100,"")</f>
        <v>0.0822</v>
      </c>
      <c r="R327" s="12" t="n">
        <f aca="false">IFERROR(VLOOKUP(A327,'Dados-Status-Invest'!$1:$1000,MATCH(R$1,'Dados-Status-Invest'!$2:$2,0),FALSE()),"")</f>
        <v>26.76</v>
      </c>
      <c r="S327" s="12" t="n">
        <f aca="false">IFERROR(VLOOKUP(A327,'Dados-Status-Invest'!$1:$1000,MATCH(S$1,'Dados-Status-Invest'!$2:$2,0),FALSE()),"")</f>
        <v>9.2</v>
      </c>
      <c r="T327" s="12" t="n">
        <f aca="false">IFERROR(VLOOKUP(A327,'Dados-Status-Invest'!$1:$1000,MATCH(T$1,'Dados-Status-Invest'!$2:$2,0),FALSE()),"")</f>
        <v>15.71</v>
      </c>
      <c r="U327" s="12" t="n">
        <f aca="false">IFERROR(VLOOKUP(A327,'Dados-Status-Invest'!$1:$1000,MATCH(U$1,'Dados-Status-Invest'!$2:$2,0),FALSE()),"")</f>
        <v>2.92</v>
      </c>
      <c r="V327" s="12" t="n">
        <f aca="false">IFERROR(VLOOKUP(A327,'Dados-Status-Invest'!$1:$1000,MATCH(V$1,'Dados-Status-Invest'!$2:$2,0),FALSE()),"")</f>
        <v>6.66</v>
      </c>
      <c r="W327" s="10" t="n">
        <f aca="false">IFERROR(VLOOKUP(A327,'Dados-Status-Invest'!$1:$1000,MATCH(W$1,'Dados-Status-Invest'!$2:$2,0),FALSE())/100,"")</f>
        <v>0.1601</v>
      </c>
      <c r="X327" s="10" t="n">
        <f aca="false">IFERROR(VLOOKUP(A327,'Dados-Status-Invest'!$1:$1000,MATCH(X$1,'Dados-Status-Invest'!$2:$2,0),FALSE())/100,"")</f>
        <v>0</v>
      </c>
    </row>
    <row r="328" customFormat="false" ht="15.75" hidden="false" customHeight="false" outlineLevel="0" collapsed="false">
      <c r="A328" s="6" t="s">
        <v>360</v>
      </c>
      <c r="B328" s="7" t="str">
        <f aca="false">IFERROR(VLOOKUP(LEFT(A328,4),Setor!A:D,2,FALSE()),"")</f>
        <v>Consumo Cíclico</v>
      </c>
      <c r="C328" s="8" t="n">
        <f aca="false">IFERROR(__xludf.dummyfunction("IFERROR(IFERROR(GOOGLEFINANCE(A334,""price""),VLOOKUP(A334,'Dados-Status-Invest'!A:B,2,FALSE)),"""")"),21.09)</f>
        <v>21.09</v>
      </c>
      <c r="D328" s="8" t="n">
        <f aca="false">IFERROR(VLOOKUP(A328,'Dados-Status-Invest'!$1:$1000,MATCH(D$1,'Dados-Status-Invest'!$2:$2,0),FALSE()),"")</f>
        <v>40797570473</v>
      </c>
      <c r="E328" s="8" t="n">
        <f aca="false">IF(D328+H328&gt;0,D328+H328,"")</f>
        <v>42756456590</v>
      </c>
      <c r="F328" s="8" t="n">
        <f aca="false">IFERROR(D328/VLOOKUP(A328,'Dados-Status-Invest'!$1:$1000,5,FALSE()),"")</f>
        <v>12709523512</v>
      </c>
      <c r="G328" s="8" t="n">
        <f aca="false">IFERROR(D328/VLOOKUP(A328,'Dados-Status-Invest'!$1:$1000,6,FALSE()),"")</f>
        <v>45330633859</v>
      </c>
      <c r="H328" s="8" t="n">
        <f aca="false">IFERROR(VLOOKUP(A328,'Dados-Status-Invest'!$1:$1000,12,FALSE())*J328,"")</f>
        <v>1958886117</v>
      </c>
      <c r="I328" s="8" t="n">
        <f aca="false">IFERROR(D328/VLOOKUP(A328,'Dados-Status-Invest'!$1:$1000,14,FALSE()),"")</f>
        <v>23049474844</v>
      </c>
      <c r="J328" s="9" t="n">
        <f aca="false">IFERROR(D328/VLOOKUP(A328,'Dados-Status-Invest'!$1:$1000,10,FALSE()),"")</f>
        <v>1255696229</v>
      </c>
      <c r="K328" s="10" t="n">
        <f aca="false">IFERROR(VLOOKUP(A328,'Dados-Status-Invest'!$1:$1000,3,FALSE())/100,"")</f>
        <v>0.0102</v>
      </c>
      <c r="L328" s="11" t="n">
        <f aca="false">IFERROR(VLOOKUP(A328,'Dados-Status-Invest'!$1:$1000,MATCH(L$1,'Dados-Status-Invest'!$2:$2,0),FALSE())/100,"")</f>
        <v>0.0226</v>
      </c>
      <c r="M328" s="10" t="n">
        <f aca="false">IFERROR(VLOOKUP(A328,'Dados-Status-Invest'!$1:$1000,MATCH(M$1,'Dados-Status-Invest'!$2:$2,0),FALSE())/100,"")</f>
        <v>0.0064</v>
      </c>
      <c r="N328" s="10" t="n">
        <f aca="false">IFERROR(VLOOKUP(A328,'Dados-Status-Invest'!$1:$1000,MATCH(N$1,'Dados-Status-Invest'!$2:$2,0),FALSE())/100,"")</f>
        <v>0.033</v>
      </c>
      <c r="O328" s="10" t="n">
        <f aca="false">IFERROR(VLOOKUP(A328,'Dados-Status-Invest'!$1:$1000,MATCH(O$1,'Dados-Status-Invest'!$2:$2,0),FALSE())/100,"")</f>
        <v>0.3291</v>
      </c>
      <c r="P328" s="10" t="n">
        <f aca="false">IFERROR(VLOOKUP(A328,'Dados-Status-Invest'!$1:$1000,MATCH(P$1,'Dados-Status-Invest'!$2:$2,0),FALSE())/100,"")</f>
        <v>0.0544</v>
      </c>
      <c r="Q328" s="10" t="n">
        <f aca="false">IFERROR(VLOOKUP(A328,'Dados-Status-Invest'!$1:$1000,MATCH(Q$1,'Dados-Status-Invest'!$2:$2,0),FALSE())/100,"")</f>
        <v>0.0125</v>
      </c>
      <c r="R328" s="12" t="n">
        <f aca="false">IFERROR(VLOOKUP(A328,'Dados-Status-Invest'!$1:$1000,MATCH(R$1,'Dados-Status-Invest'!$2:$2,0),FALSE()),"")</f>
        <v>141.82</v>
      </c>
      <c r="S328" s="12" t="n">
        <f aca="false">IFERROR(VLOOKUP(A328,'Dados-Status-Invest'!$1:$1000,MATCH(S$1,'Dados-Status-Invest'!$2:$2,0),FALSE()),"")</f>
        <v>3.21</v>
      </c>
      <c r="T328" s="12" t="n">
        <f aca="false">IFERROR(VLOOKUP(A328,'Dados-Status-Invest'!$1:$1000,MATCH(T$1,'Dados-Status-Invest'!$2:$2,0),FALSE()),"")</f>
        <v>34.92</v>
      </c>
      <c r="U328" s="12" t="n">
        <f aca="false">IFERROR(VLOOKUP(A328,'Dados-Status-Invest'!$1:$1000,MATCH(U$1,'Dados-Status-Invest'!$2:$2,0),FALSE()),"")</f>
        <v>2.45</v>
      </c>
      <c r="V328" s="12" t="n">
        <f aca="false">IFERROR(VLOOKUP(A328,'Dados-Status-Invest'!$1:$1000,MATCH(V$1,'Dados-Status-Invest'!$2:$2,0),FALSE()),"")</f>
        <v>1.56</v>
      </c>
      <c r="W328" s="10" t="n">
        <f aca="false">IFERROR(VLOOKUP(A328,'Dados-Status-Invest'!$1:$1000,MATCH(W$1,'Dados-Status-Invest'!$2:$2,0),FALSE())/100,"")</f>
        <v>0.035</v>
      </c>
      <c r="X328" s="10" t="n">
        <f aca="false">IFERROR(VLOOKUP(A328,'Dados-Status-Invest'!$1:$1000,MATCH(X$1,'Dados-Status-Invest'!$2:$2,0),FALSE())/100,"")</f>
        <v>0.3733</v>
      </c>
    </row>
    <row r="329" customFormat="false" ht="15.75" hidden="false" customHeight="false" outlineLevel="0" collapsed="false">
      <c r="A329" s="6" t="s">
        <v>361</v>
      </c>
      <c r="B329" s="7" t="str">
        <f aca="false">IFERROR(VLOOKUP(LEFT(A329,4),Setor!A:D,2,FALSE()),"")</f>
        <v>Consumo Cíclico</v>
      </c>
      <c r="C329" s="8" t="n">
        <f aca="false">IFERROR(__xludf.dummyfunction("IFERROR(IFERROR(GOOGLEFINANCE(A335,""price""),VLOOKUP(A335,'Dados-Status-Invest'!A:B,2,FALSE)),"""")"),21.92)</f>
        <v>21.92</v>
      </c>
      <c r="D329" s="8" t="n">
        <f aca="false">IFERROR(VLOOKUP(A329,'Dados-Status-Invest'!$1:$1000,MATCH(D$1,'Dados-Status-Invest'!$2:$2,0),FALSE()),"")</f>
        <v>40797570473</v>
      </c>
      <c r="E329" s="8" t="n">
        <f aca="false">IF(D329+H329&gt;0,D329+H329,"")</f>
        <v>42682208019</v>
      </c>
      <c r="F329" s="8" t="n">
        <f aca="false">IFERROR(D329/VLOOKUP(A329,'Dados-Status-Invest'!$1:$1000,5,FALSE()),"")</f>
        <v>12251522665</v>
      </c>
      <c r="G329" s="8" t="n">
        <f aca="false">IFERROR(D329/VLOOKUP(A329,'Dados-Status-Invest'!$1:$1000,6,FALSE()),"")</f>
        <v>43401670716</v>
      </c>
      <c r="H329" s="8" t="n">
        <f aca="false">IFERROR(VLOOKUP(A329,'Dados-Status-Invest'!$1:$1000,12,FALSE())*J329,"")</f>
        <v>1884637546</v>
      </c>
      <c r="I329" s="8" t="n">
        <f aca="false">IFERROR(D329/VLOOKUP(A329,'Dados-Status-Invest'!$1:$1000,14,FALSE()),"")</f>
        <v>22172592648</v>
      </c>
      <c r="J329" s="9" t="n">
        <f aca="false">IFERROR(D329/VLOOKUP(A329,'Dados-Status-Invest'!$1:$1000,10,FALSE()),"")</f>
        <v>1208100991</v>
      </c>
      <c r="K329" s="10" t="n">
        <f aca="false">IFERROR(VLOOKUP(A329,'Dados-Status-Invest'!$1:$1000,3,FALSE())/100,"")</f>
        <v>0.0098</v>
      </c>
      <c r="L329" s="11" t="n">
        <f aca="false">IFERROR(VLOOKUP(A329,'Dados-Status-Invest'!$1:$1000,MATCH(L$1,'Dados-Status-Invest'!$2:$2,0),FALSE())/100,"")</f>
        <v>0.0226</v>
      </c>
      <c r="M329" s="10" t="n">
        <f aca="false">IFERROR(VLOOKUP(A329,'Dados-Status-Invest'!$1:$1000,MATCH(M$1,'Dados-Status-Invest'!$2:$2,0),FALSE())/100,"")</f>
        <v>0.0064</v>
      </c>
      <c r="N329" s="10" t="n">
        <f aca="false">IFERROR(VLOOKUP(A329,'Dados-Status-Invest'!$1:$1000,MATCH(N$1,'Dados-Status-Invest'!$2:$2,0),FALSE())/100,"")</f>
        <v>0.033</v>
      </c>
      <c r="O329" s="10" t="n">
        <f aca="false">IFERROR(VLOOKUP(A329,'Dados-Status-Invest'!$1:$1000,MATCH(O$1,'Dados-Status-Invest'!$2:$2,0),FALSE())/100,"")</f>
        <v>0.3291</v>
      </c>
      <c r="P329" s="10" t="n">
        <f aca="false">IFERROR(VLOOKUP(A329,'Dados-Status-Invest'!$1:$1000,MATCH(P$1,'Dados-Status-Invest'!$2:$2,0),FALSE())/100,"")</f>
        <v>0.0544</v>
      </c>
      <c r="Q329" s="10" t="n">
        <f aca="false">IFERROR(VLOOKUP(A329,'Dados-Status-Invest'!$1:$1000,MATCH(Q$1,'Dados-Status-Invest'!$2:$2,0),FALSE())/100,"")</f>
        <v>0.0125</v>
      </c>
      <c r="R329" s="12" t="n">
        <f aca="false">IFERROR(VLOOKUP(A329,'Dados-Status-Invest'!$1:$1000,MATCH(R$1,'Dados-Status-Invest'!$2:$2,0),FALSE()),"")</f>
        <v>147.41</v>
      </c>
      <c r="S329" s="12" t="n">
        <f aca="false">IFERROR(VLOOKUP(A329,'Dados-Status-Invest'!$1:$1000,MATCH(S$1,'Dados-Status-Invest'!$2:$2,0),FALSE()),"")</f>
        <v>3.33</v>
      </c>
      <c r="T329" s="12" t="n">
        <f aca="false">IFERROR(VLOOKUP(A329,'Dados-Status-Invest'!$1:$1000,MATCH(T$1,'Dados-Status-Invest'!$2:$2,0),FALSE()),"")</f>
        <v>34.92</v>
      </c>
      <c r="U329" s="12" t="n">
        <f aca="false">IFERROR(VLOOKUP(A329,'Dados-Status-Invest'!$1:$1000,MATCH(U$1,'Dados-Status-Invest'!$2:$2,0),FALSE()),"")</f>
        <v>2.45</v>
      </c>
      <c r="V329" s="12" t="n">
        <f aca="false">IFERROR(VLOOKUP(A329,'Dados-Status-Invest'!$1:$1000,MATCH(V$1,'Dados-Status-Invest'!$2:$2,0),FALSE()),"")</f>
        <v>1.56</v>
      </c>
      <c r="W329" s="10" t="n">
        <f aca="false">IFERROR(VLOOKUP(A329,'Dados-Status-Invest'!$1:$1000,MATCH(W$1,'Dados-Status-Invest'!$2:$2,0),FALSE())/100,"")</f>
        <v>0.035</v>
      </c>
      <c r="X329" s="10" t="n">
        <f aca="false">IFERROR(VLOOKUP(A329,'Dados-Status-Invest'!$1:$1000,MATCH(X$1,'Dados-Status-Invest'!$2:$2,0),FALSE())/100,"")</f>
        <v>0.3733</v>
      </c>
    </row>
    <row r="330" customFormat="false" ht="15.75" hidden="false" customHeight="false" outlineLevel="0" collapsed="false">
      <c r="A330" s="6" t="s">
        <v>362</v>
      </c>
      <c r="B330" s="7" t="str">
        <f aca="false">IFERROR(VLOOKUP(LEFT(A330,4),Setor!A:D,2,FALSE()),"")</f>
        <v>Consumo Cíclico</v>
      </c>
      <c r="C330" s="8" t="n">
        <f aca="false">IFERROR(__xludf.dummyfunction("IFERROR(IFERROR(GOOGLEFINANCE(A336,""price""),VLOOKUP(A336,'Dados-Status-Invest'!A:B,2,FALSE)),"""")"),5.18)</f>
        <v>5.18</v>
      </c>
      <c r="D330" s="8" t="n">
        <f aca="false">IFERROR(VLOOKUP(A330,'Dados-Status-Invest'!$1:$1000,MATCH(D$1,'Dados-Status-Invest'!$2:$2,0),FALSE()),"")</f>
        <v>1753516087</v>
      </c>
      <c r="E330" s="8" t="n">
        <f aca="false">IF(D330+H330&gt;0,D330+H330,"")</f>
        <v>970380114.6</v>
      </c>
      <c r="F330" s="8" t="n">
        <f aca="false">IFERROR(D330/VLOOKUP(A330,'Dados-Status-Invest'!$1:$1000,5,FALSE()),"")</f>
        <v>1234870484</v>
      </c>
      <c r="G330" s="8" t="n">
        <f aca="false">IFERROR(D330/VLOOKUP(A330,'Dados-Status-Invest'!$1:$1000,6,FALSE()),"")</f>
        <v>1686073160</v>
      </c>
      <c r="H330" s="8" t="n">
        <f aca="false">IFERROR(VLOOKUP(A330,'Dados-Status-Invest'!$1:$1000,12,FALSE())*J330,"")</f>
        <v>-783135972.4</v>
      </c>
      <c r="I330" s="8" t="n">
        <f aca="false">IFERROR(D330/VLOOKUP(A330,'Dados-Status-Invest'!$1:$1000,14,FALSE()),"")</f>
        <v>407794438.8</v>
      </c>
      <c r="J330" s="9" t="n">
        <f aca="false">IFERROR(D330/VLOOKUP(A330,'Dados-Status-Invest'!$1:$1000,10,FALSE()),"")</f>
        <v>126516312.2</v>
      </c>
      <c r="K330" s="10" t="n">
        <f aca="false">IFERROR(VLOOKUP(A330,'Dados-Status-Invest'!$1:$1000,3,FALSE())/100,"")</f>
        <v>0.0127</v>
      </c>
      <c r="L330" s="11" t="n">
        <f aca="false">IFERROR(VLOOKUP(A330,'Dados-Status-Invest'!$1:$1000,MATCH(L$1,'Dados-Status-Invest'!$2:$2,0),FALSE())/100,"")</f>
        <v>0.0823</v>
      </c>
      <c r="M330" s="10" t="n">
        <f aca="false">IFERROR(VLOOKUP(A330,'Dados-Status-Invest'!$1:$1000,MATCH(M$1,'Dados-Status-Invest'!$2:$2,0),FALSE())/100,"")</f>
        <v>0.0603</v>
      </c>
      <c r="N330" s="10" t="n">
        <f aca="false">IFERROR(VLOOKUP(A330,'Dados-Status-Invest'!$1:$1000,MATCH(N$1,'Dados-Status-Invest'!$2:$2,0),FALSE())/100,"")</f>
        <v>0.086</v>
      </c>
      <c r="O330" s="10" t="n">
        <f aca="false">IFERROR(VLOOKUP(A330,'Dados-Status-Invest'!$1:$1000,MATCH(O$1,'Dados-Status-Invest'!$2:$2,0),FALSE())/100,"")</f>
        <v>0.4157</v>
      </c>
      <c r="P330" s="10" t="n">
        <f aca="false">IFERROR(VLOOKUP(A330,'Dados-Status-Invest'!$1:$1000,MATCH(P$1,'Dados-Status-Invest'!$2:$2,0),FALSE())/100,"")</f>
        <v>0.3104</v>
      </c>
      <c r="Q330" s="10" t="n">
        <f aca="false">IFERROR(VLOOKUP(A330,'Dados-Status-Invest'!$1:$1000,MATCH(Q$1,'Dados-Status-Invest'!$2:$2,0),FALSE())/100,"")</f>
        <v>0.2493</v>
      </c>
      <c r="R330" s="12" t="n">
        <f aca="false">IFERROR(VLOOKUP(A330,'Dados-Status-Invest'!$1:$1000,MATCH(R$1,'Dados-Status-Invest'!$2:$2,0),FALSE()),"")</f>
        <v>17.26</v>
      </c>
      <c r="S330" s="12" t="n">
        <f aca="false">IFERROR(VLOOKUP(A330,'Dados-Status-Invest'!$1:$1000,MATCH(S$1,'Dados-Status-Invest'!$2:$2,0),FALSE()),"")</f>
        <v>1.42</v>
      </c>
      <c r="T330" s="12" t="n">
        <f aca="false">IFERROR(VLOOKUP(A330,'Dados-Status-Invest'!$1:$1000,MATCH(T$1,'Dados-Status-Invest'!$2:$2,0),FALSE()),"")</f>
        <v>7.68</v>
      </c>
      <c r="U330" s="12" t="n">
        <f aca="false">IFERROR(VLOOKUP(A330,'Dados-Status-Invest'!$1:$1000,MATCH(U$1,'Dados-Status-Invest'!$2:$2,0),FALSE()),"")</f>
        <v>5.04</v>
      </c>
      <c r="V330" s="12" t="n">
        <f aca="false">IFERROR(VLOOKUP(A330,'Dados-Status-Invest'!$1:$1000,MATCH(V$1,'Dados-Status-Invest'!$2:$2,0),FALSE()),"")</f>
        <v>-6.19</v>
      </c>
      <c r="W330" s="10" t="n">
        <f aca="false">IFERROR(VLOOKUP(A330,'Dados-Status-Invest'!$1:$1000,MATCH(W$1,'Dados-Status-Invest'!$2:$2,0),FALSE())/100,"")</f>
        <v>0</v>
      </c>
      <c r="X330" s="10" t="n">
        <f aca="false">IFERROR(VLOOKUP(A330,'Dados-Status-Invest'!$1:$1000,MATCH(X$1,'Dados-Status-Invest'!$2:$2,0),FALSE())/100,"")</f>
        <v>0</v>
      </c>
    </row>
    <row r="331" customFormat="false" ht="15.75" hidden="false" customHeight="false" outlineLevel="0" collapsed="false">
      <c r="A331" s="6" t="s">
        <v>363</v>
      </c>
      <c r="B331" s="7" t="str">
        <f aca="false">IFERROR(VLOOKUP(LEFT(A331,4),Setor!A:D,2,FALSE()),"")</f>
        <v>Consumo Cíclico</v>
      </c>
      <c r="C331" s="8" t="n">
        <f aca="false">IFERROR(__xludf.dummyfunction("IFERROR(IFERROR(GOOGLEFINANCE(A337,""price""),VLOOKUP(A337,'Dados-Status-Invest'!A:B,2,FALSE)),"""")"),24.28)</f>
        <v>24.28</v>
      </c>
      <c r="D331" s="8" t="n">
        <f aca="false">IFERROR(VLOOKUP(A331,'Dados-Status-Invest'!$1:$1000,MATCH(D$1,'Dados-Status-Invest'!$2:$2,0),FALSE()),"")</f>
        <v>13842527273</v>
      </c>
      <c r="E331" s="8" t="n">
        <f aca="false">IF(D331+H331&gt;0,D331+H331,"")</f>
        <v>18195074508</v>
      </c>
      <c r="F331" s="8" t="n">
        <f aca="false">IFERROR(D331/VLOOKUP(A331,'Dados-Status-Invest'!$1:$1000,5,FALSE()),"")</f>
        <v>4394453103</v>
      </c>
      <c r="G331" s="8" t="n">
        <f aca="false">IFERROR(D331/VLOOKUP(A331,'Dados-Status-Invest'!$1:$1000,6,FALSE()),"")</f>
        <v>13204486.49</v>
      </c>
      <c r="H331" s="8" t="n">
        <f aca="false">IFERROR(VLOOKUP(A331,'Dados-Status-Invest'!$1:$1000,12,FALSE())*J331,"")</f>
        <v>4352547235</v>
      </c>
      <c r="I331" s="8" t="n">
        <f aca="false">IFERROR(D331/VLOOKUP(A331,'Dados-Status-Invest'!$1:$1000,14,FALSE()),"")</f>
        <v>5966606583</v>
      </c>
      <c r="J331" s="9" t="n">
        <f aca="false">IFERROR(D331/VLOOKUP(A331,'Dados-Status-Invest'!$1:$1000,10,FALSE()),"")</f>
        <v>1019331905</v>
      </c>
      <c r="K331" s="10" t="n">
        <f aca="false">IFERROR(VLOOKUP(A331,'Dados-Status-Invest'!$1:$1000,3,FALSE())/100,"")</f>
        <v>0.0168</v>
      </c>
      <c r="L331" s="11" t="n">
        <f aca="false">IFERROR(VLOOKUP(A331,'Dados-Status-Invest'!$1:$1000,MATCH(L$1,'Dados-Status-Invest'!$2:$2,0),FALSE())/100,"")</f>
        <v>0.1194</v>
      </c>
      <c r="M331" s="10" t="n">
        <f aca="false">IFERROR(VLOOKUP(A331,'Dados-Status-Invest'!$1:$1000,MATCH(M$1,'Dados-Status-Invest'!$2:$2,0),FALSE())/100,"")</f>
        <v>39.7006</v>
      </c>
      <c r="N331" s="10" t="n">
        <f aca="false">IFERROR(VLOOKUP(A331,'Dados-Status-Invest'!$1:$1000,MATCH(N$1,'Dados-Status-Invest'!$2:$2,0),FALSE())/100,"")</f>
        <v>0.0773</v>
      </c>
      <c r="O331" s="10" t="n">
        <f aca="false">IFERROR(VLOOKUP(A331,'Dados-Status-Invest'!$1:$1000,MATCH(O$1,'Dados-Status-Invest'!$2:$2,0),FALSE())/100,"")</f>
        <v>0.2787</v>
      </c>
      <c r="P331" s="10" t="n">
        <f aca="false">IFERROR(VLOOKUP(A331,'Dados-Status-Invest'!$1:$1000,MATCH(P$1,'Dados-Status-Invest'!$2:$2,0),FALSE())/100,"")</f>
        <v>0.1705</v>
      </c>
      <c r="Q331" s="10" t="n">
        <f aca="false">IFERROR(VLOOKUP(A331,'Dados-Status-Invest'!$1:$1000,MATCH(Q$1,'Dados-Status-Invest'!$2:$2,0),FALSE())/100,"")</f>
        <v>0.0877</v>
      </c>
      <c r="R331" s="12" t="n">
        <f aca="false">IFERROR(VLOOKUP(A331,'Dados-Status-Invest'!$1:$1000,MATCH(R$1,'Dados-Status-Invest'!$2:$2,0),FALSE()),"")</f>
        <v>26.41</v>
      </c>
      <c r="S331" s="12" t="n">
        <f aca="false">IFERROR(VLOOKUP(A331,'Dados-Status-Invest'!$1:$1000,MATCH(S$1,'Dados-Status-Invest'!$2:$2,0),FALSE()),"")</f>
        <v>3.15</v>
      </c>
      <c r="T331" s="12" t="n">
        <f aca="false">IFERROR(VLOOKUP(A331,'Dados-Status-Invest'!$1:$1000,MATCH(T$1,'Dados-Status-Invest'!$2:$2,0),FALSE()),"")</f>
        <v>17.82</v>
      </c>
      <c r="U331" s="12" t="n">
        <f aca="false">IFERROR(VLOOKUP(A331,'Dados-Status-Invest'!$1:$1000,MATCH(U$1,'Dados-Status-Invest'!$2:$2,0),FALSE()),"")</f>
        <v>1.28</v>
      </c>
      <c r="V331" s="12" t="n">
        <f aca="false">IFERROR(VLOOKUP(A331,'Dados-Status-Invest'!$1:$1000,MATCH(V$1,'Dados-Status-Invest'!$2:$2,0),FALSE()),"")</f>
        <v>4.27</v>
      </c>
      <c r="W331" s="10" t="n">
        <f aca="false">IFERROR(VLOOKUP(A331,'Dados-Status-Invest'!$1:$1000,MATCH(W$1,'Dados-Status-Invest'!$2:$2,0),FALSE())/100,"")</f>
        <v>0.5117</v>
      </c>
      <c r="X331" s="10" t="n">
        <f aca="false">IFERROR(VLOOKUP(A331,'Dados-Status-Invest'!$1:$1000,MATCH(X$1,'Dados-Status-Invest'!$2:$2,0),FALSE())/100,"")</f>
        <v>0.8345</v>
      </c>
    </row>
    <row r="332" customFormat="false" ht="15.75" hidden="false" customHeight="false" outlineLevel="0" collapsed="false">
      <c r="A332" s="6" t="s">
        <v>364</v>
      </c>
      <c r="B332" s="7" t="str">
        <f aca="false">IFERROR(VLOOKUP(LEFT(A332,4),Setor!A:D,2,FALSE()),"")</f>
        <v>Consumo Cíclico</v>
      </c>
      <c r="C332" s="8" t="n">
        <f aca="false">IFERROR(__xludf.dummyfunction("IFERROR(IFERROR(GOOGLEFINANCE(A338,""price""),VLOOKUP(A338,'Dados-Status-Invest'!A:B,2,FALSE)),"""")"),23.42)</f>
        <v>23.42</v>
      </c>
      <c r="D332" s="8" t="n">
        <f aca="false">IFERROR(VLOOKUP(A332,'Dados-Status-Invest'!$1:$1000,MATCH(D$1,'Dados-Status-Invest'!$2:$2,0),FALSE()),"")</f>
        <v>4244445180</v>
      </c>
      <c r="E332" s="8" t="n">
        <f aca="false">IF(D332+H332&gt;0,D332+H332,"")</f>
        <v>4166123267.52</v>
      </c>
      <c r="F332" s="8" t="n">
        <f aca="false">IFERROR(D332/VLOOKUP(A332,'Dados-Status-Invest'!$1:$1000,5,FALSE()),"")</f>
        <v>1478900760</v>
      </c>
      <c r="G332" s="8" t="n">
        <f aca="false">IFERROR(D332/VLOOKUP(A332,'Dados-Status-Invest'!$1:$1000,6,FALSE()),"")</f>
        <v>2738351729</v>
      </c>
      <c r="H332" s="8" t="n">
        <f aca="false">IFERROR(VLOOKUP(A332,'Dados-Status-Invest'!$1:$1000,12,FALSE())*J332,"")</f>
        <v>-78321912.48</v>
      </c>
      <c r="I332" s="8" t="n">
        <f aca="false">IFERROR(D332/VLOOKUP(A332,'Dados-Status-Invest'!$1:$1000,14,FALSE()),"")</f>
        <v>2669462377</v>
      </c>
      <c r="J332" s="9" t="n">
        <f aca="false">IFERROR(D332/VLOOKUP(A332,'Dados-Status-Invest'!$1:$1000,10,FALSE()),"")</f>
        <v>301238124.9</v>
      </c>
      <c r="K332" s="10" t="n">
        <f aca="false">IFERROR(VLOOKUP(A332,'Dados-Status-Invest'!$1:$1000,3,FALSE())/100,"")</f>
        <v>0.0281</v>
      </c>
      <c r="L332" s="11" t="n">
        <f aca="false">IFERROR(VLOOKUP(A332,'Dados-Status-Invest'!$1:$1000,MATCH(L$1,'Dados-Status-Invest'!$2:$2,0),FALSE())/100,"")</f>
        <v>0.1555</v>
      </c>
      <c r="M332" s="10" t="n">
        <f aca="false">IFERROR(VLOOKUP(A332,'Dados-Status-Invest'!$1:$1000,MATCH(M$1,'Dados-Status-Invest'!$2:$2,0),FALSE())/100,"")</f>
        <v>0.0836</v>
      </c>
      <c r="N332" s="10" t="n">
        <f aca="false">IFERROR(VLOOKUP(A332,'Dados-Status-Invest'!$1:$1000,MATCH(N$1,'Dados-Status-Invest'!$2:$2,0),FALSE())/100,"")</f>
        <v>0.1621</v>
      </c>
      <c r="O332" s="10" t="n">
        <f aca="false">IFERROR(VLOOKUP(A332,'Dados-Status-Invest'!$1:$1000,MATCH(O$1,'Dados-Status-Invest'!$2:$2,0),FALSE())/100,"")</f>
        <v>0.2709</v>
      </c>
      <c r="P332" s="10" t="n">
        <f aca="false">IFERROR(VLOOKUP(A332,'Dados-Status-Invest'!$1:$1000,MATCH(P$1,'Dados-Status-Invest'!$2:$2,0),FALSE())/100,"")</f>
        <v>0.1129</v>
      </c>
      <c r="Q332" s="10" t="n">
        <f aca="false">IFERROR(VLOOKUP(A332,'Dados-Status-Invest'!$1:$1000,MATCH(Q$1,'Dados-Status-Invest'!$2:$2,0),FALSE())/100,"")</f>
        <v>0.0861</v>
      </c>
      <c r="R332" s="12" t="n">
        <f aca="false">IFERROR(VLOOKUP(A332,'Dados-Status-Invest'!$1:$1000,MATCH(R$1,'Dados-Status-Invest'!$2:$2,0),FALSE()),"")</f>
        <v>18.49</v>
      </c>
      <c r="S332" s="12" t="n">
        <f aca="false">IFERROR(VLOOKUP(A332,'Dados-Status-Invest'!$1:$1000,MATCH(S$1,'Dados-Status-Invest'!$2:$2,0),FALSE()),"")</f>
        <v>2.87</v>
      </c>
      <c r="T332" s="12" t="n">
        <f aca="false">IFERROR(VLOOKUP(A332,'Dados-Status-Invest'!$1:$1000,MATCH(T$1,'Dados-Status-Invest'!$2:$2,0),FALSE()),"")</f>
        <v>13.85</v>
      </c>
      <c r="U332" s="12" t="n">
        <f aca="false">IFERROR(VLOOKUP(A332,'Dados-Status-Invest'!$1:$1000,MATCH(U$1,'Dados-Status-Invest'!$2:$2,0),FALSE()),"")</f>
        <v>1.75</v>
      </c>
      <c r="V332" s="12" t="n">
        <f aca="false">IFERROR(VLOOKUP(A332,'Dados-Status-Invest'!$1:$1000,MATCH(V$1,'Dados-Status-Invest'!$2:$2,0),FALSE()),"")</f>
        <v>-0.26</v>
      </c>
      <c r="W332" s="10" t="n">
        <f aca="false">IFERROR(VLOOKUP(A332,'Dados-Status-Invest'!$1:$1000,MATCH(W$1,'Dados-Status-Invest'!$2:$2,0),FALSE())/100,"")</f>
        <v>-0.0025</v>
      </c>
      <c r="X332" s="10" t="n">
        <f aca="false">IFERROR(VLOOKUP(A332,'Dados-Status-Invest'!$1:$1000,MATCH(X$1,'Dados-Status-Invest'!$2:$2,0),FALSE())/100,"")</f>
        <v>-0.0662</v>
      </c>
    </row>
    <row r="333" customFormat="false" ht="15.75" hidden="false" customHeight="false" outlineLevel="0" collapsed="false">
      <c r="A333" s="6" t="s">
        <v>365</v>
      </c>
      <c r="B333" s="7" t="s">
        <v>109</v>
      </c>
      <c r="C333" s="8" t="n">
        <f aca="false">IFERROR(__xludf.dummyfunction("IFERROR(IFERROR(GOOGLEFINANCE(A339,""price""),VLOOKUP(A339,'Dados-Status-Invest'!A:B,2,FALSE)),"""")"),0)</f>
        <v>0</v>
      </c>
      <c r="D333" s="8" t="n">
        <f aca="false">IFERROR(VLOOKUP(A333,'Dados-Status-Invest'!$1:$1000,MATCH(D$1,'Dados-Status-Invest'!$2:$2,0),FALSE()),"")</f>
        <v>0</v>
      </c>
      <c r="E333" s="8" t="str">
        <f aca="false">IF(D333+H333&gt;0,D333+H333,"")</f>
        <v/>
      </c>
      <c r="F333" s="8" t="str">
        <f aca="false">IFERROR(D333/VLOOKUP(A333,'Dados-Status-Invest'!$1:$1000,5,FALSE()),"")</f>
        <v/>
      </c>
      <c r="G333" s="8" t="str">
        <f aca="false">IFERROR(D333/VLOOKUP(A333,'Dados-Status-Invest'!$1:$1000,6,FALSE()),"")</f>
        <v/>
      </c>
      <c r="H333" s="8" t="n">
        <f aca="false">IFERROR(VLOOKUP(A333,'Dados-Status-Invest'!$1:$1000,12,FALSE())*J333,"")</f>
        <v>0</v>
      </c>
      <c r="I333" s="8" t="str">
        <f aca="false">IFERROR(D333/VLOOKUP(A333,'Dados-Status-Invest'!$1:$1000,14,FALSE()),"")</f>
        <v/>
      </c>
      <c r="J333" s="9" t="str">
        <f aca="false">IFERROR(D333/VLOOKUP(A333,'Dados-Status-Invest'!$1:$1000,10,FALSE()),"")</f>
        <v/>
      </c>
      <c r="K333" s="10" t="n">
        <f aca="false">IFERROR(VLOOKUP(A333,'Dados-Status-Invest'!$1:$1000,3,FALSE())/100,"")</f>
        <v>0</v>
      </c>
      <c r="L333" s="11" t="n">
        <f aca="false">IFERROR(VLOOKUP(A333,'Dados-Status-Invest'!$1:$1000,MATCH(L$1,'Dados-Status-Invest'!$2:$2,0),FALSE())/100,"")</f>
        <v>0.0195</v>
      </c>
      <c r="M333" s="10" t="n">
        <f aca="false">IFERROR(VLOOKUP(A333,'Dados-Status-Invest'!$1:$1000,MATCH(M$1,'Dados-Status-Invest'!$2:$2,0),FALSE())/100,"")</f>
        <v>0.0067</v>
      </c>
      <c r="N333" s="10" t="n">
        <f aca="false">IFERROR(VLOOKUP(A333,'Dados-Status-Invest'!$1:$1000,MATCH(N$1,'Dados-Status-Invest'!$2:$2,0),FALSE())/100,"")</f>
        <v>0.0394</v>
      </c>
      <c r="O333" s="10" t="n">
        <f aca="false">IFERROR(VLOOKUP(A333,'Dados-Status-Invest'!$1:$1000,MATCH(O$1,'Dados-Status-Invest'!$2:$2,0),FALSE())/100,"")</f>
        <v>0.6341</v>
      </c>
      <c r="P333" s="10" t="n">
        <f aca="false">IFERROR(VLOOKUP(A333,'Dados-Status-Invest'!$1:$1000,MATCH(P$1,'Dados-Status-Invest'!$2:$2,0),FALSE())/100,"")</f>
        <v>0.2235</v>
      </c>
      <c r="Q333" s="10" t="n">
        <f aca="false">IFERROR(VLOOKUP(A333,'Dados-Status-Invest'!$1:$1000,MATCH(Q$1,'Dados-Status-Invest'!$2:$2,0),FALSE())/100,"")</f>
        <v>0.1099</v>
      </c>
      <c r="R333" s="12" t="n">
        <f aca="false">IFERROR(VLOOKUP(A333,'Dados-Status-Invest'!$1:$1000,MATCH(R$1,'Dados-Status-Invest'!$2:$2,0),FALSE()),"")</f>
        <v>0</v>
      </c>
      <c r="S333" s="12" t="n">
        <f aca="false">IFERROR(VLOOKUP(A333,'Dados-Status-Invest'!$1:$1000,MATCH(S$1,'Dados-Status-Invest'!$2:$2,0),FALSE()),"")</f>
        <v>0</v>
      </c>
      <c r="T333" s="12" t="n">
        <f aca="false">IFERROR(VLOOKUP(A333,'Dados-Status-Invest'!$1:$1000,MATCH(T$1,'Dados-Status-Invest'!$2:$2,0),FALSE()),"")</f>
        <v>-3.77</v>
      </c>
      <c r="U333" s="12" t="n">
        <f aca="false">IFERROR(VLOOKUP(A333,'Dados-Status-Invest'!$1:$1000,MATCH(U$1,'Dados-Status-Invest'!$2:$2,0),FALSE()),"")</f>
        <v>6.36</v>
      </c>
      <c r="V333" s="12" t="n">
        <f aca="false">IFERROR(VLOOKUP(A333,'Dados-Status-Invest'!$1:$1000,MATCH(V$1,'Dados-Status-Invest'!$2:$2,0),FALSE()),"")</f>
        <v>-3.77</v>
      </c>
      <c r="W333" s="10" t="n">
        <f aca="false">IFERROR(VLOOKUP(A333,'Dados-Status-Invest'!$1:$1000,MATCH(W$1,'Dados-Status-Invest'!$2:$2,0),FALSE())/100,"")</f>
        <v>0.0431</v>
      </c>
      <c r="X333" s="10" t="n">
        <f aca="false">IFERROR(VLOOKUP(A333,'Dados-Status-Invest'!$1:$1000,MATCH(X$1,'Dados-Status-Invest'!$2:$2,0),FALSE())/100,"")</f>
        <v>-0.5159</v>
      </c>
    </row>
    <row r="334" customFormat="false" ht="15.75" hidden="false" customHeight="false" outlineLevel="0" collapsed="false">
      <c r="A334" s="6" t="s">
        <v>366</v>
      </c>
      <c r="B334" s="7" t="s">
        <v>109</v>
      </c>
      <c r="C334" s="8" t="n">
        <f aca="false">IFERROR(__xludf.dummyfunction("IFERROR(IFERROR(GOOGLEFINANCE(A340,""price""),VLOOKUP(A340,'Dados-Status-Invest'!A:B,2,FALSE)),"""")"),0)</f>
        <v>0</v>
      </c>
      <c r="D334" s="8" t="n">
        <f aca="false">IFERROR(VLOOKUP(A334,'Dados-Status-Invest'!$1:$1000,MATCH(D$1,'Dados-Status-Invest'!$2:$2,0),FALSE()),"")</f>
        <v>0</v>
      </c>
      <c r="E334" s="8" t="str">
        <f aca="false">IF(D334+H334&gt;0,D334+H334,"")</f>
        <v/>
      </c>
      <c r="F334" s="8" t="str">
        <f aca="false">IFERROR(D334/VLOOKUP(A334,'Dados-Status-Invest'!$1:$1000,5,FALSE()),"")</f>
        <v/>
      </c>
      <c r="G334" s="8" t="str">
        <f aca="false">IFERROR(D334/VLOOKUP(A334,'Dados-Status-Invest'!$1:$1000,6,FALSE()),"")</f>
        <v/>
      </c>
      <c r="H334" s="8" t="n">
        <f aca="false">IFERROR(VLOOKUP(A334,'Dados-Status-Invest'!$1:$1000,12,FALSE())*J334,"")</f>
        <v>0</v>
      </c>
      <c r="I334" s="8" t="str">
        <f aca="false">IFERROR(D334/VLOOKUP(A334,'Dados-Status-Invest'!$1:$1000,14,FALSE()),"")</f>
        <v/>
      </c>
      <c r="J334" s="9" t="str">
        <f aca="false">IFERROR(D334/VLOOKUP(A334,'Dados-Status-Invest'!$1:$1000,10,FALSE()),"")</f>
        <v/>
      </c>
      <c r="K334" s="10" t="n">
        <f aca="false">IFERROR(VLOOKUP(A334,'Dados-Status-Invest'!$1:$1000,3,FALSE())/100,"")</f>
        <v>0</v>
      </c>
      <c r="L334" s="11" t="n">
        <f aca="false">IFERROR(VLOOKUP(A334,'Dados-Status-Invest'!$1:$1000,MATCH(L$1,'Dados-Status-Invest'!$2:$2,0),FALSE())/100,"")</f>
        <v>0.0195</v>
      </c>
      <c r="M334" s="10" t="n">
        <f aca="false">IFERROR(VLOOKUP(A334,'Dados-Status-Invest'!$1:$1000,MATCH(M$1,'Dados-Status-Invest'!$2:$2,0),FALSE())/100,"")</f>
        <v>0.0067</v>
      </c>
      <c r="N334" s="10" t="n">
        <f aca="false">IFERROR(VLOOKUP(A334,'Dados-Status-Invest'!$1:$1000,MATCH(N$1,'Dados-Status-Invest'!$2:$2,0),FALSE())/100,"")</f>
        <v>0.0394</v>
      </c>
      <c r="O334" s="10" t="n">
        <f aca="false">IFERROR(VLOOKUP(A334,'Dados-Status-Invest'!$1:$1000,MATCH(O$1,'Dados-Status-Invest'!$2:$2,0),FALSE())/100,"")</f>
        <v>0.6341</v>
      </c>
      <c r="P334" s="10" t="n">
        <f aca="false">IFERROR(VLOOKUP(A334,'Dados-Status-Invest'!$1:$1000,MATCH(P$1,'Dados-Status-Invest'!$2:$2,0),FALSE())/100,"")</f>
        <v>0.2235</v>
      </c>
      <c r="Q334" s="10" t="n">
        <f aca="false">IFERROR(VLOOKUP(A334,'Dados-Status-Invest'!$1:$1000,MATCH(Q$1,'Dados-Status-Invest'!$2:$2,0),FALSE())/100,"")</f>
        <v>0.1099</v>
      </c>
      <c r="R334" s="12" t="n">
        <f aca="false">IFERROR(VLOOKUP(A334,'Dados-Status-Invest'!$1:$1000,MATCH(R$1,'Dados-Status-Invest'!$2:$2,0),FALSE()),"")</f>
        <v>0</v>
      </c>
      <c r="S334" s="12" t="n">
        <f aca="false">IFERROR(VLOOKUP(A334,'Dados-Status-Invest'!$1:$1000,MATCH(S$1,'Dados-Status-Invest'!$2:$2,0),FALSE()),"")</f>
        <v>0</v>
      </c>
      <c r="T334" s="12" t="n">
        <f aca="false">IFERROR(VLOOKUP(A334,'Dados-Status-Invest'!$1:$1000,MATCH(T$1,'Dados-Status-Invest'!$2:$2,0),FALSE()),"")</f>
        <v>-3.77</v>
      </c>
      <c r="U334" s="12" t="n">
        <f aca="false">IFERROR(VLOOKUP(A334,'Dados-Status-Invest'!$1:$1000,MATCH(U$1,'Dados-Status-Invest'!$2:$2,0),FALSE()),"")</f>
        <v>6.36</v>
      </c>
      <c r="V334" s="12" t="n">
        <f aca="false">IFERROR(VLOOKUP(A334,'Dados-Status-Invest'!$1:$1000,MATCH(V$1,'Dados-Status-Invest'!$2:$2,0),FALSE()),"")</f>
        <v>-3.77</v>
      </c>
      <c r="W334" s="10" t="n">
        <f aca="false">IFERROR(VLOOKUP(A334,'Dados-Status-Invest'!$1:$1000,MATCH(W$1,'Dados-Status-Invest'!$2:$2,0),FALSE())/100,"")</f>
        <v>0.0431</v>
      </c>
      <c r="X334" s="10" t="n">
        <f aca="false">IFERROR(VLOOKUP(A334,'Dados-Status-Invest'!$1:$1000,MATCH(X$1,'Dados-Status-Invest'!$2:$2,0),FALSE())/100,"")</f>
        <v>-0.5159</v>
      </c>
    </row>
    <row r="335" customFormat="false" ht="15.75" hidden="false" customHeight="false" outlineLevel="0" collapsed="false">
      <c r="A335" s="6" t="s">
        <v>367</v>
      </c>
      <c r="B335" s="7" t="str">
        <f aca="false">IFERROR(VLOOKUP(LEFT(A335,4),Setor!A:D,2,FALSE()),"")</f>
        <v>Utilidade Pública</v>
      </c>
      <c r="C335" s="8" t="n">
        <f aca="false">IFERROR(__xludf.dummyfunction("IFERROR(IFERROR(GOOGLEFINANCE(A341,""price""),VLOOKUP(A341,'Dados-Status-Invest'!A:B,2,FALSE)),"""")"),8.18)</f>
        <v>8.18</v>
      </c>
      <c r="D335" s="8" t="n">
        <f aca="false">IFERROR(VLOOKUP(A335,'Dados-Status-Invest'!$1:$1000,MATCH(D$1,'Dados-Status-Invest'!$2:$2,0),FALSE()),"")</f>
        <v>5811863054</v>
      </c>
      <c r="E335" s="8" t="n">
        <f aca="false">IF(D335+H335&gt;0,D335+H335,"")</f>
        <v>11500816618</v>
      </c>
      <c r="F335" s="8" t="n">
        <f aca="false">IFERROR(D335/VLOOKUP(A335,'Dados-Status-Invest'!$1:$1000,5,FALSE()),"")</f>
        <v>8422989934</v>
      </c>
      <c r="G335" s="8" t="n">
        <f aca="false">IFERROR(D335/VLOOKUP(A335,'Dados-Status-Invest'!$1:$1000,6,FALSE()),"")</f>
        <v>27675538354</v>
      </c>
      <c r="H335" s="8" t="n">
        <f aca="false">IFERROR(VLOOKUP(A335,'Dados-Status-Invest'!$1:$1000,12,FALSE())*J335,"")</f>
        <v>5688953564</v>
      </c>
      <c r="I335" s="8" t="n">
        <f aca="false">IFERROR(D335/VLOOKUP(A335,'Dados-Status-Invest'!$1:$1000,14,FALSE()),"")</f>
        <v>13837769177</v>
      </c>
      <c r="J335" s="9" t="n">
        <f aca="false">IFERROR(D335/VLOOKUP(A335,'Dados-Status-Invest'!$1:$1000,10,FALSE()),"")</f>
        <v>1755849865</v>
      </c>
      <c r="K335" s="10" t="n">
        <f aca="false">IFERROR(VLOOKUP(A335,'Dados-Status-Invest'!$1:$1000,3,FALSE())/100,"")</f>
        <v>0.0283</v>
      </c>
      <c r="L335" s="11" t="n">
        <f aca="false">IFERROR(VLOOKUP(A335,'Dados-Status-Invest'!$1:$1000,MATCH(L$1,'Dados-Status-Invest'!$2:$2,0),FALSE())/100,"")</f>
        <v>0.0577</v>
      </c>
      <c r="M335" s="10" t="n">
        <f aca="false">IFERROR(VLOOKUP(A335,'Dados-Status-Invest'!$1:$1000,MATCH(M$1,'Dados-Status-Invest'!$2:$2,0),FALSE())/100,"")</f>
        <v>0.0172</v>
      </c>
      <c r="N335" s="10" t="n">
        <f aca="false">IFERROR(VLOOKUP(A335,'Dados-Status-Invest'!$1:$1000,MATCH(N$1,'Dados-Status-Invest'!$2:$2,0),FALSE())/100,"")</f>
        <v>0.0831</v>
      </c>
      <c r="O335" s="10" t="n">
        <f aca="false">IFERROR(VLOOKUP(A335,'Dados-Status-Invest'!$1:$1000,MATCH(O$1,'Dados-Status-Invest'!$2:$2,0),FALSE())/100,"")</f>
        <v>0.2295</v>
      </c>
      <c r="P335" s="10" t="n">
        <f aca="false">IFERROR(VLOOKUP(A335,'Dados-Status-Invest'!$1:$1000,MATCH(P$1,'Dados-Status-Invest'!$2:$2,0),FALSE())/100,"")</f>
        <v>0.1279</v>
      </c>
      <c r="Q335" s="10" t="n">
        <f aca="false">IFERROR(VLOOKUP(A335,'Dados-Status-Invest'!$1:$1000,MATCH(Q$1,'Dados-Status-Invest'!$2:$2,0),FALSE())/100,"")</f>
        <v>0.0352</v>
      </c>
      <c r="R335" s="12" t="n">
        <f aca="false">IFERROR(VLOOKUP(A335,'Dados-Status-Invest'!$1:$1000,MATCH(R$1,'Dados-Status-Invest'!$2:$2,0),FALSE()),"")</f>
        <v>12.02</v>
      </c>
      <c r="S335" s="12" t="n">
        <f aca="false">IFERROR(VLOOKUP(A335,'Dados-Status-Invest'!$1:$1000,MATCH(S$1,'Dados-Status-Invest'!$2:$2,0),FALSE()),"")</f>
        <v>0.69</v>
      </c>
      <c r="T335" s="12" t="n">
        <f aca="false">IFERROR(VLOOKUP(A335,'Dados-Status-Invest'!$1:$1000,MATCH(T$1,'Dados-Status-Invest'!$2:$2,0),FALSE()),"")</f>
        <v>6.55</v>
      </c>
      <c r="U335" s="12" t="n">
        <f aca="false">IFERROR(VLOOKUP(A335,'Dados-Status-Invest'!$1:$1000,MATCH(U$1,'Dados-Status-Invest'!$2:$2,0),FALSE()),"")</f>
        <v>1.23</v>
      </c>
      <c r="V335" s="12" t="n">
        <f aca="false">IFERROR(VLOOKUP(A335,'Dados-Status-Invest'!$1:$1000,MATCH(V$1,'Dados-Status-Invest'!$2:$2,0),FALSE()),"")</f>
        <v>3.24</v>
      </c>
      <c r="W335" s="10" t="n">
        <f aca="false">IFERROR(VLOOKUP(A335,'Dados-Status-Invest'!$1:$1000,MATCH(W$1,'Dados-Status-Invest'!$2:$2,0),FALSE())/100,"")</f>
        <v>0.0368</v>
      </c>
      <c r="X335" s="10" t="n">
        <f aca="false">IFERROR(VLOOKUP(A335,'Dados-Status-Invest'!$1:$1000,MATCH(X$1,'Dados-Status-Invest'!$2:$2,0),FALSE())/100,"")</f>
        <v>0.7883</v>
      </c>
    </row>
    <row r="336" customFormat="false" ht="15.75" hidden="false" customHeight="false" outlineLevel="0" collapsed="false">
      <c r="A336" s="6" t="s">
        <v>368</v>
      </c>
      <c r="B336" s="7" t="str">
        <f aca="false">IFERROR(VLOOKUP(LEFT(A336,4),Setor!A:D,2,FALSE()),"")</f>
        <v>Tecnologia da Informação</v>
      </c>
      <c r="C336" s="8" t="n">
        <f aca="false">IFERROR(__xludf.dummyfunction("IFERROR(IFERROR(GOOGLEFINANCE(A342,""price""),VLOOKUP(A342,'Dados-Status-Invest'!A:B,2,FALSE)),"""")"),37.4)</f>
        <v>37.4</v>
      </c>
      <c r="D336" s="8" t="n">
        <f aca="false">IFERROR(VLOOKUP(A336,'Dados-Status-Invest'!$1:$1000,MATCH(D$1,'Dados-Status-Invest'!$2:$2,0),FALSE()),"")</f>
        <v>7083895104</v>
      </c>
      <c r="E336" s="8" t="n">
        <f aca="false">IF(D336+H336&gt;0,D336+H336,"")</f>
        <v>6860800644.9</v>
      </c>
      <c r="F336" s="8" t="n">
        <f aca="false">IFERROR(D336/VLOOKUP(A336,'Dados-Status-Invest'!$1:$1000,5,FALSE()),"")</f>
        <v>1617327649</v>
      </c>
      <c r="G336" s="8" t="n">
        <f aca="false">IFERROR(D336/VLOOKUP(A336,'Dados-Status-Invest'!$1:$1000,6,FALSE()),"")</f>
        <v>2585363177</v>
      </c>
      <c r="H336" s="8" t="n">
        <f aca="false">IFERROR(VLOOKUP(A336,'Dados-Status-Invest'!$1:$1000,12,FALSE())*J336,"")</f>
        <v>-223094459.1</v>
      </c>
      <c r="I336" s="8" t="n">
        <f aca="false">IFERROR(D336/VLOOKUP(A336,'Dados-Status-Invest'!$1:$1000,14,FALSE()),"")</f>
        <v>898971459.9</v>
      </c>
      <c r="J336" s="9" t="n">
        <f aca="false">IFERROR(D336/VLOOKUP(A336,'Dados-Status-Invest'!$1:$1000,10,FALSE()),"")</f>
        <v>-43068428.4</v>
      </c>
      <c r="K336" s="10" t="n">
        <f aca="false">IFERROR(VLOOKUP(A336,'Dados-Status-Invest'!$1:$1000,3,FALSE())/100,"")</f>
        <v>0.0151</v>
      </c>
      <c r="L336" s="11" t="n">
        <f aca="false">IFERROR(VLOOKUP(A336,'Dados-Status-Invest'!$1:$1000,MATCH(L$1,'Dados-Status-Invest'!$2:$2,0),FALSE())/100,"")</f>
        <v>-0.0481</v>
      </c>
      <c r="M336" s="10" t="n">
        <f aca="false">IFERROR(VLOOKUP(A336,'Dados-Status-Invest'!$1:$1000,MATCH(M$1,'Dados-Status-Invest'!$2:$2,0),FALSE())/100,"")</f>
        <v>-0.0302</v>
      </c>
      <c r="N336" s="10" t="n">
        <f aca="false">IFERROR(VLOOKUP(A336,'Dados-Status-Invest'!$1:$1000,MATCH(N$1,'Dados-Status-Invest'!$2:$2,0),FALSE())/100,"")</f>
        <v>-0.0223</v>
      </c>
      <c r="O336" s="10" t="n">
        <f aca="false">IFERROR(VLOOKUP(A336,'Dados-Status-Invest'!$1:$1000,MATCH(O$1,'Dados-Status-Invest'!$2:$2,0),FALSE())/100,"")</f>
        <v>0.687</v>
      </c>
      <c r="P336" s="10" t="n">
        <f aca="false">IFERROR(VLOOKUP(A336,'Dados-Status-Invest'!$1:$1000,MATCH(P$1,'Dados-Status-Invest'!$2:$2,0),FALSE())/100,"")</f>
        <v>-0.0479</v>
      </c>
      <c r="Q336" s="10" t="n">
        <f aca="false">IFERROR(VLOOKUP(A336,'Dados-Status-Invest'!$1:$1000,MATCH(Q$1,'Dados-Status-Invest'!$2:$2,0),FALSE())/100,"")</f>
        <v>-0.0867</v>
      </c>
      <c r="R336" s="12" t="n">
        <f aca="false">IFERROR(VLOOKUP(A336,'Dados-Status-Invest'!$1:$1000,MATCH(R$1,'Dados-Status-Invest'!$2:$2,0),FALSE()),"")</f>
        <v>-90.95</v>
      </c>
      <c r="S336" s="12" t="n">
        <f aca="false">IFERROR(VLOOKUP(A336,'Dados-Status-Invest'!$1:$1000,MATCH(S$1,'Dados-Status-Invest'!$2:$2,0),FALSE()),"")</f>
        <v>4.38</v>
      </c>
      <c r="T336" s="12" t="n">
        <f aca="false">IFERROR(VLOOKUP(A336,'Dados-Status-Invest'!$1:$1000,MATCH(T$1,'Dados-Status-Invest'!$2:$2,0),FALSE()),"")</f>
        <v>-159.3</v>
      </c>
      <c r="U336" s="12" t="n">
        <f aca="false">IFERROR(VLOOKUP(A336,'Dados-Status-Invest'!$1:$1000,MATCH(U$1,'Dados-Status-Invest'!$2:$2,0),FALSE()),"")</f>
        <v>2.14</v>
      </c>
      <c r="V336" s="12" t="n">
        <f aca="false">IFERROR(VLOOKUP(A336,'Dados-Status-Invest'!$1:$1000,MATCH(V$1,'Dados-Status-Invest'!$2:$2,0),FALSE()),"")</f>
        <v>5.18</v>
      </c>
      <c r="W336" s="10" t="n">
        <f aca="false">IFERROR(VLOOKUP(A336,'Dados-Status-Invest'!$1:$1000,MATCH(W$1,'Dados-Status-Invest'!$2:$2,0),FALSE())/100,"")</f>
        <v>0.143</v>
      </c>
      <c r="X336" s="10" t="n">
        <f aca="false">IFERROR(VLOOKUP(A336,'Dados-Status-Invest'!$1:$1000,MATCH(X$1,'Dados-Status-Invest'!$2:$2,0),FALSE())/100,"")</f>
        <v>0</v>
      </c>
    </row>
    <row r="337" customFormat="false" ht="15.75" hidden="false" customHeight="false" outlineLevel="0" collapsed="false">
      <c r="A337" s="6" t="s">
        <v>369</v>
      </c>
      <c r="B337" s="7" t="str">
        <f aca="false">IFERROR(VLOOKUP(LEFT(A337,4),Setor!A:D,2,FALSE()),"")</f>
        <v>Utilidade Pública</v>
      </c>
      <c r="C337" s="8" t="n">
        <f aca="false">IFERROR(__xludf.dummyfunction("IFERROR(IFERROR(GOOGLEFINANCE(A343,""price""),VLOOKUP(A343,'Dados-Status-Invest'!A:B,2,FALSE)),"""")"),63.4)</f>
        <v>63.4</v>
      </c>
      <c r="D337" s="8" t="n">
        <f aca="false">IFERROR(VLOOKUP(A337,'Dados-Status-Invest'!$1:$1000,MATCH(D$1,'Dados-Status-Invest'!$2:$2,0),FALSE()),"")</f>
        <v>788247563</v>
      </c>
      <c r="E337" s="8" t="n">
        <f aca="false">IF(D337+H337&gt;0,D337+H337,"")</f>
        <v>691706084.11</v>
      </c>
      <c r="F337" s="8" t="n">
        <f aca="false">IFERROR(D337/VLOOKUP(A337,'Dados-Status-Invest'!$1:$1000,5,FALSE()),"")</f>
        <v>209640309.3</v>
      </c>
      <c r="G337" s="8" t="n">
        <f aca="false">IFERROR(D337/VLOOKUP(A337,'Dados-Status-Invest'!$1:$1000,6,FALSE()),"")</f>
        <v>252643449.7</v>
      </c>
      <c r="H337" s="8" t="n">
        <f aca="false">IFERROR(VLOOKUP(A337,'Dados-Status-Invest'!$1:$1000,12,FALSE())*J337,"")</f>
        <v>-96541478.89</v>
      </c>
      <c r="I337" s="8" t="str">
        <f aca="false">IFERROR(D337/VLOOKUP(A337,'Dados-Status-Invest'!$1:$1000,14,FALSE()),"")</f>
        <v/>
      </c>
      <c r="J337" s="9" t="n">
        <f aca="false">IFERROR(D337/VLOOKUP(A337,'Dados-Status-Invest'!$1:$1000,10,FALSE()),"")</f>
        <v>20941752.47</v>
      </c>
      <c r="K337" s="10" t="n">
        <f aca="false">IFERROR(VLOOKUP(A337,'Dados-Status-Invest'!$1:$1000,3,FALSE())/100,"")</f>
        <v>0.0255</v>
      </c>
      <c r="L337" s="11" t="n">
        <f aca="false">IFERROR(VLOOKUP(A337,'Dados-Status-Invest'!$1:$1000,MATCH(L$1,'Dados-Status-Invest'!$2:$2,0),FALSE())/100,"")</f>
        <v>0.112</v>
      </c>
      <c r="M337" s="10" t="n">
        <f aca="false">IFERROR(VLOOKUP(A337,'Dados-Status-Invest'!$1:$1000,MATCH(M$1,'Dados-Status-Invest'!$2:$2,0),FALSE())/100,"")</f>
        <v>0.0928</v>
      </c>
      <c r="N337" s="10" t="n">
        <f aca="false">IFERROR(VLOOKUP(A337,'Dados-Status-Invest'!$1:$1000,MATCH(N$1,'Dados-Status-Invest'!$2:$2,0),FALSE())/100,"")</f>
        <v>0.0959</v>
      </c>
      <c r="O337" s="10" t="n">
        <f aca="false">IFERROR(VLOOKUP(A337,'Dados-Status-Invest'!$1:$1000,MATCH(O$1,'Dados-Status-Invest'!$2:$2,0),FALSE())/100,"")</f>
        <v>0</v>
      </c>
      <c r="P337" s="10" t="n">
        <f aca="false">IFERROR(VLOOKUP(A337,'Dados-Status-Invest'!$1:$1000,MATCH(P$1,'Dados-Status-Invest'!$2:$2,0),FALSE())/100,"")</f>
        <v>0</v>
      </c>
      <c r="Q337" s="10" t="n">
        <f aca="false">IFERROR(VLOOKUP(A337,'Dados-Status-Invest'!$1:$1000,MATCH(Q$1,'Dados-Status-Invest'!$2:$2,0),FALSE())/100,"")</f>
        <v>0</v>
      </c>
      <c r="R337" s="12" t="n">
        <f aca="false">IFERROR(VLOOKUP(A337,'Dados-Status-Invest'!$1:$1000,MATCH(R$1,'Dados-Status-Invest'!$2:$2,0),FALSE()),"")</f>
        <v>33.56</v>
      </c>
      <c r="S337" s="12" t="n">
        <f aca="false">IFERROR(VLOOKUP(A337,'Dados-Status-Invest'!$1:$1000,MATCH(S$1,'Dados-Status-Invest'!$2:$2,0),FALSE()),"")</f>
        <v>3.76</v>
      </c>
      <c r="T337" s="12" t="n">
        <f aca="false">IFERROR(VLOOKUP(A337,'Dados-Status-Invest'!$1:$1000,MATCH(T$1,'Dados-Status-Invest'!$2:$2,0),FALSE()),"")</f>
        <v>33.02</v>
      </c>
      <c r="U337" s="12" t="n">
        <f aca="false">IFERROR(VLOOKUP(A337,'Dados-Status-Invest'!$1:$1000,MATCH(U$1,'Dados-Status-Invest'!$2:$2,0),FALSE()),"")</f>
        <v>3.21</v>
      </c>
      <c r="V337" s="12" t="n">
        <f aca="false">IFERROR(VLOOKUP(A337,'Dados-Status-Invest'!$1:$1000,MATCH(V$1,'Dados-Status-Invest'!$2:$2,0),FALSE()),"")</f>
        <v>-4.61</v>
      </c>
      <c r="W337" s="10" t="n">
        <f aca="false">IFERROR(VLOOKUP(A337,'Dados-Status-Invest'!$1:$1000,MATCH(W$1,'Dados-Status-Invest'!$2:$2,0),FALSE())/100,"")</f>
        <v>0</v>
      </c>
      <c r="X337" s="10" t="n">
        <f aca="false">IFERROR(VLOOKUP(A337,'Dados-Status-Invest'!$1:$1000,MATCH(X$1,'Dados-Status-Invest'!$2:$2,0),FALSE())/100,"")</f>
        <v>0.5351</v>
      </c>
    </row>
    <row r="338" customFormat="false" ht="15.75" hidden="false" customHeight="false" outlineLevel="0" collapsed="false">
      <c r="A338" s="6" t="s">
        <v>370</v>
      </c>
      <c r="B338" s="7" t="str">
        <f aca="false">IFERROR(VLOOKUP(LEFT(A338,4),Setor!A:D,2,FALSE()),"")</f>
        <v>Consumo Cíclico</v>
      </c>
      <c r="C338" s="8" t="n">
        <f aca="false">IFERROR(__xludf.dummyfunction("IFERROR(IFERROR(GOOGLEFINANCE(A344,""price""),VLOOKUP(A344,'Dados-Status-Invest'!A:B,2,FALSE)),"""")"),8.32)</f>
        <v>8.32</v>
      </c>
      <c r="D338" s="8" t="n">
        <f aca="false">IFERROR(VLOOKUP(A338,'Dados-Status-Invest'!$1:$1000,MATCH(D$1,'Dados-Status-Invest'!$2:$2,0),FALSE()),"")</f>
        <v>4350752949</v>
      </c>
      <c r="E338" s="8" t="n">
        <f aca="false">IF(D338+H338&gt;0,D338+H338,"")</f>
        <v>4384152668.61</v>
      </c>
      <c r="F338" s="8" t="n">
        <f aca="false">IFERROR(D338/VLOOKUP(A338,'Dados-Status-Invest'!$1:$1000,5,FALSE()),"")</f>
        <v>493842559.5</v>
      </c>
      <c r="G338" s="8" t="n">
        <f aca="false">IFERROR(D338/VLOOKUP(A338,'Dados-Status-Invest'!$1:$1000,6,FALSE()),"")</f>
        <v>2071787119</v>
      </c>
      <c r="H338" s="8" t="n">
        <f aca="false">IFERROR(VLOOKUP(A338,'Dados-Status-Invest'!$1:$1000,12,FALSE())*J338,"")</f>
        <v>33399719.61</v>
      </c>
      <c r="I338" s="8" t="n">
        <f aca="false">IFERROR(D338/VLOOKUP(A338,'Dados-Status-Invest'!$1:$1000,14,FALSE()),"")</f>
        <v>1740301180</v>
      </c>
      <c r="J338" s="9" t="n">
        <f aca="false">IFERROR(D338/VLOOKUP(A338,'Dados-Status-Invest'!$1:$1000,10,FALSE()),"")</f>
        <v>175787997.9</v>
      </c>
      <c r="K338" s="10" t="n">
        <f aca="false">IFERROR(VLOOKUP(A338,'Dados-Status-Invest'!$1:$1000,3,FALSE())/100,"")</f>
        <v>0.0037</v>
      </c>
      <c r="L338" s="11" t="n">
        <f aca="false">IFERROR(VLOOKUP(A338,'Dados-Status-Invest'!$1:$1000,MATCH(L$1,'Dados-Status-Invest'!$2:$2,0),FALSE())/100,"")</f>
        <v>0.1642</v>
      </c>
      <c r="M338" s="10" t="n">
        <f aca="false">IFERROR(VLOOKUP(A338,'Dados-Status-Invest'!$1:$1000,MATCH(M$1,'Dados-Status-Invest'!$2:$2,0),FALSE())/100,"")</f>
        <v>0.0392</v>
      </c>
      <c r="N338" s="10" t="n">
        <f aca="false">IFERROR(VLOOKUP(A338,'Dados-Status-Invest'!$1:$1000,MATCH(N$1,'Dados-Status-Invest'!$2:$2,0),FALSE())/100,"")</f>
        <v>0.1672</v>
      </c>
      <c r="O338" s="10" t="n">
        <f aca="false">IFERROR(VLOOKUP(A338,'Dados-Status-Invest'!$1:$1000,MATCH(O$1,'Dados-Status-Invest'!$2:$2,0),FALSE())/100,"")</f>
        <v>0.4124</v>
      </c>
      <c r="P338" s="10" t="n">
        <f aca="false">IFERROR(VLOOKUP(A338,'Dados-Status-Invest'!$1:$1000,MATCH(P$1,'Dados-Status-Invest'!$2:$2,0),FALSE())/100,"")</f>
        <v>0.1009</v>
      </c>
      <c r="Q338" s="10" t="n">
        <f aca="false">IFERROR(VLOOKUP(A338,'Dados-Status-Invest'!$1:$1000,MATCH(Q$1,'Dados-Status-Invest'!$2:$2,0),FALSE())/100,"")</f>
        <v>0.0465</v>
      </c>
      <c r="R338" s="12" t="n">
        <f aca="false">IFERROR(VLOOKUP(A338,'Dados-Status-Invest'!$1:$1000,MATCH(R$1,'Dados-Status-Invest'!$2:$2,0),FALSE()),"")</f>
        <v>53.68</v>
      </c>
      <c r="S338" s="12" t="n">
        <f aca="false">IFERROR(VLOOKUP(A338,'Dados-Status-Invest'!$1:$1000,MATCH(S$1,'Dados-Status-Invest'!$2:$2,0),FALSE()),"")</f>
        <v>8.81</v>
      </c>
      <c r="T338" s="12" t="n">
        <f aca="false">IFERROR(VLOOKUP(A338,'Dados-Status-Invest'!$1:$1000,MATCH(T$1,'Dados-Status-Invest'!$2:$2,0),FALSE()),"")</f>
        <v>24.95</v>
      </c>
      <c r="U338" s="12" t="n">
        <f aca="false">IFERROR(VLOOKUP(A338,'Dados-Status-Invest'!$1:$1000,MATCH(U$1,'Dados-Status-Invest'!$2:$2,0),FALSE()),"")</f>
        <v>1.69</v>
      </c>
      <c r="V338" s="12" t="n">
        <f aca="false">IFERROR(VLOOKUP(A338,'Dados-Status-Invest'!$1:$1000,MATCH(V$1,'Dados-Status-Invest'!$2:$2,0),FALSE()),"")</f>
        <v>0.19</v>
      </c>
      <c r="W338" s="10" t="n">
        <f aca="false">IFERROR(VLOOKUP(A338,'Dados-Status-Invest'!$1:$1000,MATCH(W$1,'Dados-Status-Invest'!$2:$2,0),FALSE())/100,"")</f>
        <v>0</v>
      </c>
      <c r="X338" s="10" t="n">
        <f aca="false">IFERROR(VLOOKUP(A338,'Dados-Status-Invest'!$1:$1000,MATCH(X$1,'Dados-Status-Invest'!$2:$2,0),FALSE())/100,"")</f>
        <v>0</v>
      </c>
    </row>
    <row r="339" customFormat="false" ht="15.75" hidden="false" customHeight="false" outlineLevel="0" collapsed="false">
      <c r="A339" s="6" t="s">
        <v>371</v>
      </c>
      <c r="B339" s="7" t="str">
        <f aca="false">IFERROR(VLOOKUP(LEFT(A339,4),Setor!A:D,2,FALSE()),"")</f>
        <v>Consumo Cíclico</v>
      </c>
      <c r="C339" s="8" t="n">
        <f aca="false">IFERROR(__xludf.dummyfunction("IFERROR(IFERROR(GOOGLEFINANCE(A345,""price""),VLOOKUP(A345,'Dados-Status-Invest'!A:B,2,FALSE)),"""")"),1.52)</f>
        <v>1.52</v>
      </c>
      <c r="D339" s="8" t="n">
        <f aca="false">IFERROR(VLOOKUP(A339,'Dados-Status-Invest'!$1:$1000,MATCH(D$1,'Dados-Status-Invest'!$2:$2,0),FALSE()),"")</f>
        <v>290550498.4</v>
      </c>
      <c r="E339" s="8" t="n">
        <f aca="false">IF(D339+H339&gt;0,D339+H339,"")</f>
        <v>1857244362.4</v>
      </c>
      <c r="F339" s="8" t="n">
        <f aca="false">IFERROR(D339/VLOOKUP(A339,'Dados-Status-Invest'!$1:$1000,5,FALSE()),"")</f>
        <v>238156146.2</v>
      </c>
      <c r="G339" s="8" t="n">
        <f aca="false">IFERROR(D339/VLOOKUP(A339,'Dados-Status-Invest'!$1:$1000,6,FALSE()),"")</f>
        <v>2075360703</v>
      </c>
      <c r="H339" s="8" t="n">
        <f aca="false">IFERROR(VLOOKUP(A339,'Dados-Status-Invest'!$1:$1000,12,FALSE())*J339,"")</f>
        <v>1566693864</v>
      </c>
      <c r="I339" s="8" t="n">
        <f aca="false">IFERROR(D339/VLOOKUP(A339,'Dados-Status-Invest'!$1:$1000,14,FALSE()),"")</f>
        <v>558750958.4</v>
      </c>
      <c r="J339" s="9" t="n">
        <f aca="false">IFERROR(D339/VLOOKUP(A339,'Dados-Status-Invest'!$1:$1000,10,FALSE()),"")</f>
        <v>-569706859.6</v>
      </c>
      <c r="K339" s="10" t="n">
        <f aca="false">IFERROR(VLOOKUP(A339,'Dados-Status-Invest'!$1:$1000,3,FALSE())/100,"")</f>
        <v>0</v>
      </c>
      <c r="L339" s="11" t="n">
        <f aca="false">IFERROR(VLOOKUP(A339,'Dados-Status-Invest'!$1:$1000,MATCH(L$1,'Dados-Status-Invest'!$2:$2,0),FALSE())/100,"")</f>
        <v>-8.4073</v>
      </c>
      <c r="M339" s="10" t="n">
        <f aca="false">IFERROR(VLOOKUP(A339,'Dados-Status-Invest'!$1:$1000,MATCH(M$1,'Dados-Status-Invest'!$2:$2,0),FALSE())/100,"")</f>
        <v>-0.9475</v>
      </c>
      <c r="N339" s="10" t="n">
        <f aca="false">IFERROR(VLOOKUP(A339,'Dados-Status-Invest'!$1:$1000,MATCH(N$1,'Dados-Status-Invest'!$2:$2,0),FALSE())/100,"")</f>
        <v>-0.3303</v>
      </c>
      <c r="O339" s="10" t="n">
        <f aca="false">IFERROR(VLOOKUP(A339,'Dados-Status-Invest'!$1:$1000,MATCH(O$1,'Dados-Status-Invest'!$2:$2,0),FALSE())/100,"")</f>
        <v>0.4392</v>
      </c>
      <c r="P339" s="10" t="n">
        <f aca="false">IFERROR(VLOOKUP(A339,'Dados-Status-Invest'!$1:$1000,MATCH(P$1,'Dados-Status-Invest'!$2:$2,0),FALSE())/100,"")</f>
        <v>-1.0279</v>
      </c>
      <c r="Q339" s="10" t="n">
        <f aca="false">IFERROR(VLOOKUP(A339,'Dados-Status-Invest'!$1:$1000,MATCH(Q$1,'Dados-Status-Invest'!$2:$2,0),FALSE())/100,"")</f>
        <v>-3.5932</v>
      </c>
      <c r="R339" s="12" t="n">
        <f aca="false">IFERROR(VLOOKUP(A339,'Dados-Status-Invest'!$1:$1000,MATCH(R$1,'Dados-Status-Invest'!$2:$2,0),FALSE()),"")</f>
        <v>-0.15</v>
      </c>
      <c r="S339" s="12" t="n">
        <f aca="false">IFERROR(VLOOKUP(A339,'Dados-Status-Invest'!$1:$1000,MATCH(S$1,'Dados-Status-Invest'!$2:$2,0),FALSE()),"")</f>
        <v>1.22</v>
      </c>
      <c r="T339" s="12" t="n">
        <f aca="false">IFERROR(VLOOKUP(A339,'Dados-Status-Invest'!$1:$1000,MATCH(T$1,'Dados-Status-Invest'!$2:$2,0),FALSE()),"")</f>
        <v>-3.26</v>
      </c>
      <c r="U339" s="12" t="n">
        <f aca="false">IFERROR(VLOOKUP(A339,'Dados-Status-Invest'!$1:$1000,MATCH(U$1,'Dados-Status-Invest'!$2:$2,0),FALSE()),"")</f>
        <v>1.68</v>
      </c>
      <c r="V339" s="12" t="n">
        <f aca="false">IFERROR(VLOOKUP(A339,'Dados-Status-Invest'!$1:$1000,MATCH(V$1,'Dados-Status-Invest'!$2:$2,0),FALSE()),"")</f>
        <v>-2.75</v>
      </c>
      <c r="W339" s="10" t="n">
        <f aca="false">IFERROR(VLOOKUP(A339,'Dados-Status-Invest'!$1:$1000,MATCH(W$1,'Dados-Status-Invest'!$2:$2,0),FALSE())/100,"")</f>
        <v>-0.1282</v>
      </c>
      <c r="X339" s="10" t="n">
        <f aca="false">IFERROR(VLOOKUP(A339,'Dados-Status-Invest'!$1:$1000,MATCH(X$1,'Dados-Status-Invest'!$2:$2,0),FALSE())/100,"")</f>
        <v>0</v>
      </c>
    </row>
    <row r="340" customFormat="false" ht="15.75" hidden="false" customHeight="false" outlineLevel="0" collapsed="false">
      <c r="A340" s="6" t="s">
        <v>372</v>
      </c>
      <c r="B340" s="7" t="str">
        <f aca="false">IFERROR(VLOOKUP(LEFT(A340,4),Setor!A:D,2,FALSE()),"")</f>
        <v>Financeiro</v>
      </c>
      <c r="C340" s="8" t="n">
        <f aca="false">IFERROR(__xludf.dummyfunction("IFERROR(IFERROR(GOOGLEFINANCE(A346,""price""),VLOOKUP(A346,'Dados-Status-Invest'!A:B,2,FALSE)),"""")"),22.97)</f>
        <v>22.97</v>
      </c>
      <c r="D340" s="8" t="n">
        <f aca="false">IFERROR(VLOOKUP(A340,'Dados-Status-Invest'!$1:$1000,MATCH(D$1,'Dados-Status-Invest'!$2:$2,0),FALSE()),"")</f>
        <v>3234358816</v>
      </c>
      <c r="E340" s="8" t="n">
        <f aca="false">IF(D340+H340&gt;0,D340+H340,"")</f>
        <v>3756266715.8</v>
      </c>
      <c r="F340" s="8" t="n">
        <f aca="false">IFERROR(D340/VLOOKUP(A340,'Dados-Status-Invest'!$1:$1000,5,FALSE()),"")</f>
        <v>3170940015</v>
      </c>
      <c r="G340" s="8" t="n">
        <f aca="false">IFERROR(D340/VLOOKUP(A340,'Dados-Status-Invest'!$1:$1000,6,FALSE()),"")</f>
        <v>4620512594</v>
      </c>
      <c r="H340" s="8" t="n">
        <f aca="false">IFERROR(VLOOKUP(A340,'Dados-Status-Invest'!$1:$1000,12,FALSE())*J340,"")</f>
        <v>521907899.8</v>
      </c>
      <c r="I340" s="8" t="n">
        <f aca="false">IFERROR(D340/VLOOKUP(A340,'Dados-Status-Invest'!$1:$1000,14,FALSE()),"")</f>
        <v>144197896.4</v>
      </c>
      <c r="J340" s="9" t="n">
        <f aca="false">IFERROR(D340/VLOOKUP(A340,'Dados-Status-Invest'!$1:$1000,10,FALSE()),"")</f>
        <v>367540774.5</v>
      </c>
      <c r="K340" s="10" t="n">
        <f aca="false">IFERROR(VLOOKUP(A340,'Dados-Status-Invest'!$1:$1000,3,FALSE())/100,"")</f>
        <v>0.0103</v>
      </c>
      <c r="L340" s="11" t="n">
        <f aca="false">IFERROR(VLOOKUP(A340,'Dados-Status-Invest'!$1:$1000,MATCH(L$1,'Dados-Status-Invest'!$2:$2,0),FALSE())/100,"")</f>
        <v>0.0733</v>
      </c>
      <c r="M340" s="10" t="n">
        <f aca="false">IFERROR(VLOOKUP(A340,'Dados-Status-Invest'!$1:$1000,MATCH(M$1,'Dados-Status-Invest'!$2:$2,0),FALSE())/100,"")</f>
        <v>0.0505</v>
      </c>
      <c r="N340" s="10" t="n">
        <f aca="false">IFERROR(VLOOKUP(A340,'Dados-Status-Invest'!$1:$1000,MATCH(N$1,'Dados-Status-Invest'!$2:$2,0),FALSE())/100,"")</f>
        <v>0.0597</v>
      </c>
      <c r="O340" s="10" t="n">
        <f aca="false">IFERROR(VLOOKUP(A340,'Dados-Status-Invest'!$1:$1000,MATCH(O$1,'Dados-Status-Invest'!$2:$2,0),FALSE())/100,"")</f>
        <v>0.9882</v>
      </c>
      <c r="P340" s="10" t="n">
        <f aca="false">IFERROR(VLOOKUP(A340,'Dados-Status-Invest'!$1:$1000,MATCH(P$1,'Dados-Status-Invest'!$2:$2,0),FALSE())/100,"")</f>
        <v>2.5489</v>
      </c>
      <c r="Q340" s="10" t="n">
        <f aca="false">IFERROR(VLOOKUP(A340,'Dados-Status-Invest'!$1:$1000,MATCH(Q$1,'Dados-Status-Invest'!$2:$2,0),FALSE())/100,"")</f>
        <v>1.6103</v>
      </c>
      <c r="R340" s="12" t="n">
        <f aca="false">IFERROR(VLOOKUP(A340,'Dados-Status-Invest'!$1:$1000,MATCH(R$1,'Dados-Status-Invest'!$2:$2,0),FALSE()),"")</f>
        <v>13.93</v>
      </c>
      <c r="S340" s="12" t="n">
        <f aca="false">IFERROR(VLOOKUP(A340,'Dados-Status-Invest'!$1:$1000,MATCH(S$1,'Dados-Status-Invest'!$2:$2,0),FALSE()),"")</f>
        <v>1.02</v>
      </c>
      <c r="T340" s="12" t="n">
        <f aca="false">IFERROR(VLOOKUP(A340,'Dados-Status-Invest'!$1:$1000,MATCH(T$1,'Dados-Status-Invest'!$2:$2,0),FALSE()),"")</f>
        <v>10.21</v>
      </c>
      <c r="U340" s="12" t="n">
        <f aca="false">IFERROR(VLOOKUP(A340,'Dados-Status-Invest'!$1:$1000,MATCH(U$1,'Dados-Status-Invest'!$2:$2,0),FALSE()),"")</f>
        <v>2.5</v>
      </c>
      <c r="V340" s="12" t="n">
        <f aca="false">IFERROR(VLOOKUP(A340,'Dados-Status-Invest'!$1:$1000,MATCH(V$1,'Dados-Status-Invest'!$2:$2,0),FALSE()),"")</f>
        <v>1.42</v>
      </c>
      <c r="W340" s="10" t="n">
        <f aca="false">IFERROR(VLOOKUP(A340,'Dados-Status-Invest'!$1:$1000,MATCH(W$1,'Dados-Status-Invest'!$2:$2,0),FALSE())/100,"")</f>
        <v>0.0878</v>
      </c>
      <c r="X340" s="10" t="n">
        <f aca="false">IFERROR(VLOOKUP(A340,'Dados-Status-Invest'!$1:$1000,MATCH(X$1,'Dados-Status-Invest'!$2:$2,0),FALSE())/100,"")</f>
        <v>0.5267</v>
      </c>
    </row>
    <row r="341" customFormat="false" ht="15.75" hidden="false" customHeight="false" outlineLevel="0" collapsed="false">
      <c r="A341" s="6" t="s">
        <v>373</v>
      </c>
      <c r="B341" s="7" t="str">
        <f aca="false">IFERROR(VLOOKUP(LEFT(A341,4),Setor!A:D,2,FALSE()),"")</f>
        <v>Bens Industriais</v>
      </c>
      <c r="C341" s="8" t="n">
        <f aca="false">IFERROR(__xludf.dummyfunction("IFERROR(IFERROR(GOOGLEFINANCE(A347,""price""),VLOOKUP(A347,'Dados-Status-Invest'!A:B,2,FALSE)),"""")"),33.09)</f>
        <v>33.09</v>
      </c>
      <c r="D341" s="8" t="n">
        <f aca="false">IFERROR(VLOOKUP(A341,'Dados-Status-Invest'!$1:$1000,MATCH(D$1,'Dados-Status-Invest'!$2:$2,0),FALSE()),"")</f>
        <v>1978171131</v>
      </c>
      <c r="E341" s="8" t="n">
        <f aca="false">IF(D341+H341&gt;0,D341+H341,"")</f>
        <v>2816964433.9</v>
      </c>
      <c r="F341" s="8" t="n">
        <f aca="false">IFERROR(D341/VLOOKUP(A341,'Dados-Status-Invest'!$1:$1000,5,FALSE()),"")</f>
        <v>328054913.9</v>
      </c>
      <c r="G341" s="8" t="n">
        <f aca="false">IFERROR(D341/VLOOKUP(A341,'Dados-Status-Invest'!$1:$1000,6,FALSE()),"")</f>
        <v>2173814430</v>
      </c>
      <c r="H341" s="8" t="n">
        <f aca="false">IFERROR(VLOOKUP(A341,'Dados-Status-Invest'!$1:$1000,12,FALSE())*J341,"")</f>
        <v>838793302.9</v>
      </c>
      <c r="I341" s="8" t="n">
        <f aca="false">IFERROR(D341/VLOOKUP(A341,'Dados-Status-Invest'!$1:$1000,14,FALSE()),"")</f>
        <v>1150099495</v>
      </c>
      <c r="J341" s="9" t="n">
        <f aca="false">IFERROR(D341/VLOOKUP(A341,'Dados-Status-Invest'!$1:$1000,10,FALSE()),"")</f>
        <v>203097652</v>
      </c>
      <c r="K341" s="10" t="n">
        <f aca="false">IFERROR(VLOOKUP(A341,'Dados-Status-Invest'!$1:$1000,3,FALSE())/100,"")</f>
        <v>0</v>
      </c>
      <c r="L341" s="11" t="n">
        <f aca="false">IFERROR(VLOOKUP(A341,'Dados-Status-Invest'!$1:$1000,MATCH(L$1,'Dados-Status-Invest'!$2:$2,0),FALSE())/100,"")</f>
        <v>0.3232</v>
      </c>
      <c r="M341" s="10" t="n">
        <f aca="false">IFERROR(VLOOKUP(A341,'Dados-Status-Invest'!$1:$1000,MATCH(M$1,'Dados-Status-Invest'!$2:$2,0),FALSE())/100,"")</f>
        <v>0.0488</v>
      </c>
      <c r="N341" s="10" t="n">
        <f aca="false">IFERROR(VLOOKUP(A341,'Dados-Status-Invest'!$1:$1000,MATCH(N$1,'Dados-Status-Invest'!$2:$2,0),FALSE())/100,"")</f>
        <v>0.0889</v>
      </c>
      <c r="O341" s="10" t="n">
        <f aca="false">IFERROR(VLOOKUP(A341,'Dados-Status-Invest'!$1:$1000,MATCH(O$1,'Dados-Status-Invest'!$2:$2,0),FALSE())/100,"")</f>
        <v>0.2129</v>
      </c>
      <c r="P341" s="10" t="n">
        <f aca="false">IFERROR(VLOOKUP(A341,'Dados-Status-Invest'!$1:$1000,MATCH(P$1,'Dados-Status-Invest'!$2:$2,0),FALSE())/100,"")</f>
        <v>0.1768</v>
      </c>
      <c r="Q341" s="10" t="n">
        <f aca="false">IFERROR(VLOOKUP(A341,'Dados-Status-Invest'!$1:$1000,MATCH(Q$1,'Dados-Status-Invest'!$2:$2,0),FALSE())/100,"")</f>
        <v>0.0923</v>
      </c>
      <c r="R341" s="12" t="n">
        <f aca="false">IFERROR(VLOOKUP(A341,'Dados-Status-Invest'!$1:$1000,MATCH(R$1,'Dados-Status-Invest'!$2:$2,0),FALSE()),"")</f>
        <v>18.66</v>
      </c>
      <c r="S341" s="12" t="n">
        <f aca="false">IFERROR(VLOOKUP(A341,'Dados-Status-Invest'!$1:$1000,MATCH(S$1,'Dados-Status-Invest'!$2:$2,0),FALSE()),"")</f>
        <v>6.03</v>
      </c>
      <c r="T341" s="12" t="n">
        <f aca="false">IFERROR(VLOOKUP(A341,'Dados-Status-Invest'!$1:$1000,MATCH(T$1,'Dados-Status-Invest'!$2:$2,0),FALSE()),"")</f>
        <v>13.85</v>
      </c>
      <c r="U341" s="12" t="n">
        <f aca="false">IFERROR(VLOOKUP(A341,'Dados-Status-Invest'!$1:$1000,MATCH(U$1,'Dados-Status-Invest'!$2:$2,0),FALSE()),"")</f>
        <v>2.26</v>
      </c>
      <c r="V341" s="12" t="n">
        <f aca="false">IFERROR(VLOOKUP(A341,'Dados-Status-Invest'!$1:$1000,MATCH(V$1,'Dados-Status-Invest'!$2:$2,0),FALSE()),"")</f>
        <v>4.13</v>
      </c>
      <c r="W341" s="10" t="n">
        <f aca="false">IFERROR(VLOOKUP(A341,'Dados-Status-Invest'!$1:$1000,MATCH(W$1,'Dados-Status-Invest'!$2:$2,0),FALSE())/100,"")</f>
        <v>0.0471</v>
      </c>
      <c r="X341" s="10" t="n">
        <f aca="false">IFERROR(VLOOKUP(A341,'Dados-Status-Invest'!$1:$1000,MATCH(X$1,'Dados-Status-Invest'!$2:$2,0),FALSE())/100,"")</f>
        <v>0</v>
      </c>
    </row>
    <row r="342" customFormat="false" ht="15.75" hidden="false" customHeight="false" outlineLevel="0" collapsed="false">
      <c r="A342" s="6" t="s">
        <v>374</v>
      </c>
      <c r="B342" s="7" t="str">
        <f aca="false">IFERROR(VLOOKUP(LEFT(A342,4),Setor!A:D,2,FALSE()),"")</f>
        <v>Financeiro</v>
      </c>
      <c r="C342" s="8" t="n">
        <f aca="false">IFERROR(__xludf.dummyfunction("IFERROR(IFERROR(GOOGLEFINANCE(A348,""price""),VLOOKUP(A348,'Dados-Status-Invest'!A:B,2,FALSE)),"""")"),3.04)</f>
        <v>3.04</v>
      </c>
      <c r="D342" s="8" t="n">
        <f aca="false">IFERROR(VLOOKUP(A342,'Dados-Status-Invest'!$1:$1000,MATCH(D$1,'Dados-Status-Invest'!$2:$2,0),FALSE()),"")</f>
        <v>662520293.2</v>
      </c>
      <c r="E342" s="8" t="n">
        <f aca="false">IF(D342+H342&gt;0,D342+H342,"")</f>
        <v>526033341.3</v>
      </c>
      <c r="F342" s="8" t="n">
        <f aca="false">IFERROR(D342/VLOOKUP(A342,'Dados-Status-Invest'!$1:$1000,5,FALSE()),"")</f>
        <v>180032688.4</v>
      </c>
      <c r="G342" s="8" t="n">
        <f aca="false">IFERROR(D342/VLOOKUP(A342,'Dados-Status-Invest'!$1:$1000,6,FALSE()),"")</f>
        <v>394357317.4</v>
      </c>
      <c r="H342" s="8" t="n">
        <f aca="false">IFERROR(VLOOKUP(A342,'Dados-Status-Invest'!$1:$1000,12,FALSE())*J342,"")</f>
        <v>-136486951.9</v>
      </c>
      <c r="I342" s="8" t="n">
        <f aca="false">IFERROR(D342/VLOOKUP(A342,'Dados-Status-Invest'!$1:$1000,14,FALSE()),"")</f>
        <v>186625434.7</v>
      </c>
      <c r="J342" s="9" t="n">
        <f aca="false">IFERROR(D342/VLOOKUP(A342,'Dados-Status-Invest'!$1:$1000,10,FALSE()),"")</f>
        <v>48571869</v>
      </c>
      <c r="K342" s="10" t="n">
        <f aca="false">IFERROR(VLOOKUP(A342,'Dados-Status-Invest'!$1:$1000,3,FALSE())/100,"")</f>
        <v>0</v>
      </c>
      <c r="L342" s="11" t="n">
        <f aca="false">IFERROR(VLOOKUP(A342,'Dados-Status-Invest'!$1:$1000,MATCH(L$1,'Dados-Status-Invest'!$2:$2,0),FALSE())/100,"")</f>
        <v>0.0361</v>
      </c>
      <c r="M342" s="10" t="n">
        <f aca="false">IFERROR(VLOOKUP(A342,'Dados-Status-Invest'!$1:$1000,MATCH(M$1,'Dados-Status-Invest'!$2:$2,0),FALSE())/100,"")</f>
        <v>0.0165</v>
      </c>
      <c r="N342" s="10" t="n">
        <f aca="false">IFERROR(VLOOKUP(A342,'Dados-Status-Invest'!$1:$1000,MATCH(N$1,'Dados-Status-Invest'!$2:$2,0),FALSE())/100,"")</f>
        <v>0.185</v>
      </c>
      <c r="O342" s="10" t="n">
        <f aca="false">IFERROR(VLOOKUP(A342,'Dados-Status-Invest'!$1:$1000,MATCH(O$1,'Dados-Status-Invest'!$2:$2,0),FALSE())/100,"")</f>
        <v>0.8589</v>
      </c>
      <c r="P342" s="10" t="n">
        <f aca="false">IFERROR(VLOOKUP(A342,'Dados-Status-Invest'!$1:$1000,MATCH(P$1,'Dados-Status-Invest'!$2:$2,0),FALSE())/100,"")</f>
        <v>0.2603</v>
      </c>
      <c r="Q342" s="10" t="n">
        <f aca="false">IFERROR(VLOOKUP(A342,'Dados-Status-Invest'!$1:$1000,MATCH(Q$1,'Dados-Status-Invest'!$2:$2,0),FALSE())/100,"")</f>
        <v>0.0348</v>
      </c>
      <c r="R342" s="12" t="n">
        <f aca="false">IFERROR(VLOOKUP(A342,'Dados-Status-Invest'!$1:$1000,MATCH(R$1,'Dados-Status-Invest'!$2:$2,0),FALSE()),"")</f>
        <v>101.92</v>
      </c>
      <c r="S342" s="12" t="n">
        <f aca="false">IFERROR(VLOOKUP(A342,'Dados-Status-Invest'!$1:$1000,MATCH(S$1,'Dados-Status-Invest'!$2:$2,0),FALSE()),"")</f>
        <v>3.68</v>
      </c>
      <c r="T342" s="12" t="n">
        <f aca="false">IFERROR(VLOOKUP(A342,'Dados-Status-Invest'!$1:$1000,MATCH(T$1,'Dados-Status-Invest'!$2:$2,0),FALSE()),"")</f>
        <v>10.8</v>
      </c>
      <c r="U342" s="12" t="n">
        <f aca="false">IFERROR(VLOOKUP(A342,'Dados-Status-Invest'!$1:$1000,MATCH(U$1,'Dados-Status-Invest'!$2:$2,0),FALSE()),"")</f>
        <v>2.6</v>
      </c>
      <c r="V342" s="12" t="n">
        <f aca="false">IFERROR(VLOOKUP(A342,'Dados-Status-Invest'!$1:$1000,MATCH(V$1,'Dados-Status-Invest'!$2:$2,0),FALSE()),"")</f>
        <v>-2.81</v>
      </c>
      <c r="W342" s="10" t="n">
        <f aca="false">IFERROR(VLOOKUP(A342,'Dados-Status-Invest'!$1:$1000,MATCH(W$1,'Dados-Status-Invest'!$2:$2,0),FALSE())/100,"")</f>
        <v>-0.0397</v>
      </c>
      <c r="X342" s="10" t="n">
        <f aca="false">IFERROR(VLOOKUP(A342,'Dados-Status-Invest'!$1:$1000,MATCH(X$1,'Dados-Status-Invest'!$2:$2,0),FALSE())/100,"")</f>
        <v>0</v>
      </c>
    </row>
    <row r="343" customFormat="false" ht="15.75" hidden="false" customHeight="false" outlineLevel="0" collapsed="false">
      <c r="A343" s="6" t="s">
        <v>375</v>
      </c>
      <c r="B343" s="7" t="str">
        <f aca="false">IFERROR(VLOOKUP(LEFT(A343,4),Setor!A:D,2,FALSE()),"")</f>
        <v>Consumo Cíclico</v>
      </c>
      <c r="C343" s="8" t="n">
        <f aca="false">IFERROR(__xludf.dummyfunction("IFERROR(IFERROR(GOOGLEFINANCE(A349,""price""),VLOOKUP(A349,'Dados-Status-Invest'!A:B,2,FALSE)),"""")"),24.95)</f>
        <v>24.95</v>
      </c>
      <c r="D343" s="8" t="n">
        <f aca="false">IFERROR(VLOOKUP(A343,'Dados-Status-Invest'!$1:$1000,MATCH(D$1,'Dados-Status-Invest'!$2:$2,0),FALSE()),"")</f>
        <v>39435510634</v>
      </c>
      <c r="E343" s="8" t="n">
        <f aca="false">IF(D343+H343&gt;0,D343+H343,"")</f>
        <v>40411833078.6</v>
      </c>
      <c r="F343" s="8" t="n">
        <f aca="false">IFERROR(D343/VLOOKUP(A343,'Dados-Status-Invest'!$1:$1000,5,FALSE()),"")</f>
        <v>5365375596</v>
      </c>
      <c r="G343" s="8" t="n">
        <f aca="false">IFERROR(D343/VLOOKUP(A343,'Dados-Status-Invest'!$1:$1000,6,FALSE()),"")</f>
        <v>14714742774</v>
      </c>
      <c r="H343" s="8" t="n">
        <f aca="false">IFERROR(VLOOKUP(A343,'Dados-Status-Invest'!$1:$1000,12,FALSE())*J343,"")</f>
        <v>976322444.6</v>
      </c>
      <c r="I343" s="8" t="n">
        <f aca="false">IFERROR(D343/VLOOKUP(A343,'Dados-Status-Invest'!$1:$1000,14,FALSE()),"")</f>
        <v>7249174749</v>
      </c>
      <c r="J343" s="9" t="n">
        <f aca="false">IFERROR(D343/VLOOKUP(A343,'Dados-Status-Invest'!$1:$1000,10,FALSE()),"")</f>
        <v>659677327.4</v>
      </c>
      <c r="K343" s="10" t="n">
        <f aca="false">IFERROR(VLOOKUP(A343,'Dados-Status-Invest'!$1:$1000,3,FALSE())/100,"")</f>
        <v>0.0084</v>
      </c>
      <c r="L343" s="11" t="n">
        <f aca="false">IFERROR(VLOOKUP(A343,'Dados-Status-Invest'!$1:$1000,MATCH(L$1,'Dados-Status-Invest'!$2:$2,0),FALSE())/100,"")</f>
        <v>0.1748</v>
      </c>
      <c r="M343" s="10" t="n">
        <f aca="false">IFERROR(VLOOKUP(A343,'Dados-Status-Invest'!$1:$1000,MATCH(M$1,'Dados-Status-Invest'!$2:$2,0),FALSE())/100,"")</f>
        <v>0.0637</v>
      </c>
      <c r="N343" s="10" t="n">
        <f aca="false">IFERROR(VLOOKUP(A343,'Dados-Status-Invest'!$1:$1000,MATCH(N$1,'Dados-Status-Invest'!$2:$2,0),FALSE())/100,"")</f>
        <v>0.0691</v>
      </c>
      <c r="O343" s="10" t="n">
        <f aca="false">IFERROR(VLOOKUP(A343,'Dados-Status-Invest'!$1:$1000,MATCH(O$1,'Dados-Status-Invest'!$2:$2,0),FALSE())/100,"")</f>
        <v>0.561</v>
      </c>
      <c r="P343" s="10" t="n">
        <f aca="false">IFERROR(VLOOKUP(A343,'Dados-Status-Invest'!$1:$1000,MATCH(P$1,'Dados-Status-Invest'!$2:$2,0),FALSE())/100,"")</f>
        <v>0.091</v>
      </c>
      <c r="Q343" s="10" t="n">
        <f aca="false">IFERROR(VLOOKUP(A343,'Dados-Status-Invest'!$1:$1000,MATCH(Q$1,'Dados-Status-Invest'!$2:$2,0),FALSE())/100,"")</f>
        <v>0.1293</v>
      </c>
      <c r="R343" s="12" t="n">
        <f aca="false">IFERROR(VLOOKUP(A343,'Dados-Status-Invest'!$1:$1000,MATCH(R$1,'Dados-Status-Invest'!$2:$2,0),FALSE()),"")</f>
        <v>42.06</v>
      </c>
      <c r="S343" s="12" t="n">
        <f aca="false">IFERROR(VLOOKUP(A343,'Dados-Status-Invest'!$1:$1000,MATCH(S$1,'Dados-Status-Invest'!$2:$2,0),FALSE()),"")</f>
        <v>7.35</v>
      </c>
      <c r="T343" s="12" t="n">
        <f aca="false">IFERROR(VLOOKUP(A343,'Dados-Status-Invest'!$1:$1000,MATCH(T$1,'Dados-Status-Invest'!$2:$2,0),FALSE()),"")</f>
        <v>61.21</v>
      </c>
      <c r="U343" s="12" t="n">
        <f aca="false">IFERROR(VLOOKUP(A343,'Dados-Status-Invest'!$1:$1000,MATCH(U$1,'Dados-Status-Invest'!$2:$2,0),FALSE()),"")</f>
        <v>1.86</v>
      </c>
      <c r="V343" s="12" t="n">
        <f aca="false">IFERROR(VLOOKUP(A343,'Dados-Status-Invest'!$1:$1000,MATCH(V$1,'Dados-Status-Invest'!$2:$2,0),FALSE()),"")</f>
        <v>1.48</v>
      </c>
      <c r="W343" s="10" t="n">
        <f aca="false">IFERROR(VLOOKUP(A343,'Dados-Status-Invest'!$1:$1000,MATCH(W$1,'Dados-Status-Invest'!$2:$2,0),FALSE())/100,"")</f>
        <v>0.0417</v>
      </c>
      <c r="X343" s="10" t="n">
        <f aca="false">IFERROR(VLOOKUP(A343,'Dados-Status-Invest'!$1:$1000,MATCH(X$1,'Dados-Status-Invest'!$2:$2,0),FALSE())/100,"")</f>
        <v>0.1362</v>
      </c>
    </row>
    <row r="344" customFormat="false" ht="15.75" hidden="false" customHeight="false" outlineLevel="0" collapsed="false">
      <c r="A344" s="6" t="s">
        <v>376</v>
      </c>
      <c r="B344" s="7" t="str">
        <f aca="false">IFERROR(VLOOKUP(LEFT(A344,4),Setor!A:D,2,FALSE()),"")</f>
        <v>Materiais Básicos</v>
      </c>
      <c r="C344" s="8" t="n">
        <f aca="false">IFERROR(__xludf.dummyfunction("IFERROR(IFERROR(GOOGLEFINANCE(A350,""price""),VLOOKUP(A350,'Dados-Status-Invest'!A:B,2,FALSE)),"""")"),0)</f>
        <v>0</v>
      </c>
      <c r="D344" s="8" t="n">
        <f aca="false">IFERROR(VLOOKUP(A344,'Dados-Status-Invest'!$1:$1000,MATCH(D$1,'Dados-Status-Invest'!$2:$2,0),FALSE()),"")</f>
        <v>18664056854</v>
      </c>
      <c r="E344" s="8" t="n">
        <f aca="false">IF(D344+H344&gt;0,D344+H344,"")</f>
        <v>18439188699.1</v>
      </c>
      <c r="F344" s="8" t="n">
        <f aca="false">IFERROR(D344/VLOOKUP(A344,'Dados-Status-Invest'!$1:$1000,5,FALSE()),"")</f>
        <v>3212402212</v>
      </c>
      <c r="G344" s="8" t="n">
        <f aca="false">IFERROR(D344/VLOOKUP(A344,'Dados-Status-Invest'!$1:$1000,6,FALSE()),"")</f>
        <v>3315107789</v>
      </c>
      <c r="H344" s="8" t="n">
        <f aca="false">IFERROR(VLOOKUP(A344,'Dados-Status-Invest'!$1:$1000,12,FALSE())*J344,"")</f>
        <v>-224868154.9</v>
      </c>
      <c r="I344" s="8" t="str">
        <f aca="false">IFERROR(D344/VLOOKUP(A344,'Dados-Status-Invest'!$1:$1000,14,FALSE()),"")</f>
        <v/>
      </c>
      <c r="J344" s="9" t="n">
        <f aca="false">IFERROR(D344/VLOOKUP(A344,'Dados-Status-Invest'!$1:$1000,10,FALSE()),"")</f>
        <v>803100553.1</v>
      </c>
      <c r="K344" s="10" t="n">
        <f aca="false">IFERROR(VLOOKUP(A344,'Dados-Status-Invest'!$1:$1000,3,FALSE())/100,"")</f>
        <v>0.0114</v>
      </c>
      <c r="L344" s="11" t="n">
        <f aca="false">IFERROR(VLOOKUP(A344,'Dados-Status-Invest'!$1:$1000,MATCH(L$1,'Dados-Status-Invest'!$2:$2,0),FALSE())/100,"")</f>
        <v>0.245</v>
      </c>
      <c r="M344" s="10" t="n">
        <f aca="false">IFERROR(VLOOKUP(A344,'Dados-Status-Invest'!$1:$1000,MATCH(M$1,'Dados-Status-Invest'!$2:$2,0),FALSE())/100,"")</f>
        <v>0.2374</v>
      </c>
      <c r="N344" s="10" t="n">
        <f aca="false">IFERROR(VLOOKUP(A344,'Dados-Status-Invest'!$1:$1000,MATCH(N$1,'Dados-Status-Invest'!$2:$2,0),FALSE())/100,"")</f>
        <v>0.2467</v>
      </c>
      <c r="O344" s="10" t="n">
        <f aca="false">IFERROR(VLOOKUP(A344,'Dados-Status-Invest'!$1:$1000,MATCH(O$1,'Dados-Status-Invest'!$2:$2,0),FALSE())/100,"")</f>
        <v>0</v>
      </c>
      <c r="P344" s="10" t="n">
        <f aca="false">IFERROR(VLOOKUP(A344,'Dados-Status-Invest'!$1:$1000,MATCH(P$1,'Dados-Status-Invest'!$2:$2,0),FALSE())/100,"")</f>
        <v>0</v>
      </c>
      <c r="Q344" s="10" t="n">
        <f aca="false">IFERROR(VLOOKUP(A344,'Dados-Status-Invest'!$1:$1000,MATCH(Q$1,'Dados-Status-Invest'!$2:$2,0),FALSE())/100,"")</f>
        <v>0</v>
      </c>
      <c r="R344" s="12" t="n">
        <f aca="false">IFERROR(VLOOKUP(A344,'Dados-Status-Invest'!$1:$1000,MATCH(R$1,'Dados-Status-Invest'!$2:$2,0),FALSE()),"")</f>
        <v>23.71</v>
      </c>
      <c r="S344" s="12" t="n">
        <f aca="false">IFERROR(VLOOKUP(A344,'Dados-Status-Invest'!$1:$1000,MATCH(S$1,'Dados-Status-Invest'!$2:$2,0),FALSE()),"")</f>
        <v>5.81</v>
      </c>
      <c r="T344" s="12" t="n">
        <f aca="false">IFERROR(VLOOKUP(A344,'Dados-Status-Invest'!$1:$1000,MATCH(T$1,'Dados-Status-Invest'!$2:$2,0),FALSE()),"")</f>
        <v>22.96</v>
      </c>
      <c r="U344" s="12" t="n">
        <f aca="false">IFERROR(VLOOKUP(A344,'Dados-Status-Invest'!$1:$1000,MATCH(U$1,'Dados-Status-Invest'!$2:$2,0),FALSE()),"")</f>
        <v>2.41</v>
      </c>
      <c r="V344" s="12" t="n">
        <f aca="false">IFERROR(VLOOKUP(A344,'Dados-Status-Invest'!$1:$1000,MATCH(V$1,'Dados-Status-Invest'!$2:$2,0),FALSE()),"")</f>
        <v>-0.28</v>
      </c>
      <c r="W344" s="10" t="n">
        <f aca="false">IFERROR(VLOOKUP(A344,'Dados-Status-Invest'!$1:$1000,MATCH(W$1,'Dados-Status-Invest'!$2:$2,0),FALSE())/100,"")</f>
        <v>0</v>
      </c>
      <c r="X344" s="10" t="n">
        <f aca="false">IFERROR(VLOOKUP(A344,'Dados-Status-Invest'!$1:$1000,MATCH(X$1,'Dados-Status-Invest'!$2:$2,0),FALSE())/100,"")</f>
        <v>0</v>
      </c>
    </row>
    <row r="345" customFormat="false" ht="15.75" hidden="false" customHeight="false" outlineLevel="0" collapsed="false">
      <c r="A345" s="6" t="s">
        <v>377</v>
      </c>
      <c r="B345" s="7" t="str">
        <f aca="false">IFERROR(VLOOKUP(LEFT(A345,4),Setor!A:D,2,FALSE()),"")</f>
        <v>Petróleo, Gás e Biocombustíveis</v>
      </c>
      <c r="C345" s="8" t="n">
        <f aca="false">IFERROR(__xludf.dummyfunction("IFERROR(IFERROR(GOOGLEFINANCE(A351,""price""),VLOOKUP(A351,'Dados-Status-Invest'!A:B,2,FALSE)),"""")"),4.77)</f>
        <v>4.77</v>
      </c>
      <c r="D345" s="8" t="n">
        <f aca="false">IFERROR(VLOOKUP(A345,'Dados-Status-Invest'!$1:$1000,MATCH(D$1,'Dados-Status-Invest'!$2:$2,0),FALSE()),"")</f>
        <v>178839962.3</v>
      </c>
      <c r="E345" s="8" t="n">
        <f aca="false">IF(D345+H345&gt;0,D345+H345,"")</f>
        <v>287419722.2</v>
      </c>
      <c r="F345" s="8" t="n">
        <f aca="false">IFERROR(D345/VLOOKUP(A345,'Dados-Status-Invest'!$1:$1000,5,FALSE()),"")</f>
        <v>137569201.8</v>
      </c>
      <c r="G345" s="8" t="n">
        <f aca="false">IFERROR(D345/VLOOKUP(A345,'Dados-Status-Invest'!$1:$1000,6,FALSE()),"")</f>
        <v>496777673</v>
      </c>
      <c r="H345" s="8" t="n">
        <f aca="false">IFERROR(VLOOKUP(A345,'Dados-Status-Invest'!$1:$1000,12,FALSE())*J345,"")</f>
        <v>108579759.9</v>
      </c>
      <c r="I345" s="8" t="n">
        <f aca="false">IFERROR(D345/VLOOKUP(A345,'Dados-Status-Invest'!$1:$1000,14,FALSE()),"")</f>
        <v>60013410.16</v>
      </c>
      <c r="J345" s="9" t="n">
        <f aca="false">IFERROR(D345/VLOOKUP(A345,'Dados-Status-Invest'!$1:$1000,10,FALSE()),"")</f>
        <v>-658298.5323</v>
      </c>
      <c r="K345" s="10" t="n">
        <f aca="false">IFERROR(VLOOKUP(A345,'Dados-Status-Invest'!$1:$1000,3,FALSE())/100,"")</f>
        <v>0</v>
      </c>
      <c r="L345" s="11" t="n">
        <f aca="false">IFERROR(VLOOKUP(A345,'Dados-Status-Invest'!$1:$1000,MATCH(L$1,'Dados-Status-Invest'!$2:$2,0),FALSE())/100,"")</f>
        <v>0.3053</v>
      </c>
      <c r="M345" s="10" t="n">
        <f aca="false">IFERROR(VLOOKUP(A345,'Dados-Status-Invest'!$1:$1000,MATCH(M$1,'Dados-Status-Invest'!$2:$2,0),FALSE())/100,"")</f>
        <v>0.0838</v>
      </c>
      <c r="N345" s="10" t="n">
        <f aca="false">IFERROR(VLOOKUP(A345,'Dados-Status-Invest'!$1:$1000,MATCH(N$1,'Dados-Status-Invest'!$2:$2,0),FALSE())/100,"")</f>
        <v>-0.0056</v>
      </c>
      <c r="O345" s="10" t="n">
        <f aca="false">IFERROR(VLOOKUP(A345,'Dados-Status-Invest'!$1:$1000,MATCH(O$1,'Dados-Status-Invest'!$2:$2,0),FALSE())/100,"")</f>
        <v>0.2253</v>
      </c>
      <c r="P345" s="10" t="n">
        <f aca="false">IFERROR(VLOOKUP(A345,'Dados-Status-Invest'!$1:$1000,MATCH(P$1,'Dados-Status-Invest'!$2:$2,0),FALSE())/100,"")</f>
        <v>-0.011</v>
      </c>
      <c r="Q345" s="10" t="n">
        <f aca="false">IFERROR(VLOOKUP(A345,'Dados-Status-Invest'!$1:$1000,MATCH(Q$1,'Dados-Status-Invest'!$2:$2,0),FALSE())/100,"")</f>
        <v>0.7021</v>
      </c>
      <c r="R345" s="12" t="n">
        <f aca="false">IFERROR(VLOOKUP(A345,'Dados-Status-Invest'!$1:$1000,MATCH(R$1,'Dados-Status-Invest'!$2:$2,0),FALSE()),"")</f>
        <v>4.25</v>
      </c>
      <c r="S345" s="12" t="n">
        <f aca="false">IFERROR(VLOOKUP(A345,'Dados-Status-Invest'!$1:$1000,MATCH(S$1,'Dados-Status-Invest'!$2:$2,0),FALSE()),"")</f>
        <v>1.3</v>
      </c>
      <c r="T345" s="12" t="n">
        <f aca="false">IFERROR(VLOOKUP(A345,'Dados-Status-Invest'!$1:$1000,MATCH(T$1,'Dados-Status-Invest'!$2:$2,0),FALSE()),"")</f>
        <v>-439.24</v>
      </c>
      <c r="U345" s="12" t="n">
        <f aca="false">IFERROR(VLOOKUP(A345,'Dados-Status-Invest'!$1:$1000,MATCH(U$1,'Dados-Status-Invest'!$2:$2,0),FALSE()),"")</f>
        <v>2.47</v>
      </c>
      <c r="V345" s="12" t="n">
        <f aca="false">IFERROR(VLOOKUP(A345,'Dados-Status-Invest'!$1:$1000,MATCH(V$1,'Dados-Status-Invest'!$2:$2,0),FALSE()),"")</f>
        <v>-164.94</v>
      </c>
      <c r="W345" s="10" t="n">
        <f aca="false">IFERROR(VLOOKUP(A345,'Dados-Status-Invest'!$1:$1000,MATCH(W$1,'Dados-Status-Invest'!$2:$2,0),FALSE())/100,"")</f>
        <v>-0.2727</v>
      </c>
      <c r="X345" s="10" t="n">
        <f aca="false">IFERROR(VLOOKUP(A345,'Dados-Status-Invest'!$1:$1000,MATCH(X$1,'Dados-Status-Invest'!$2:$2,0),FALSE())/100,"")</f>
        <v>0</v>
      </c>
    </row>
    <row r="346" customFormat="false" ht="15.75" hidden="false" customHeight="false" outlineLevel="0" collapsed="false">
      <c r="A346" s="6" t="s">
        <v>378</v>
      </c>
      <c r="B346" s="7" t="str">
        <f aca="false">IFERROR(VLOOKUP(LEFT(A346,4),Setor!A:D,2,FALSE()),"")</f>
        <v>Bens Industriais</v>
      </c>
      <c r="C346" s="8" t="n">
        <f aca="false">IFERROR(__xludf.dummyfunction("IFERROR(IFERROR(GOOGLEFINANCE(A352,""price""),VLOOKUP(A352,'Dados-Status-Invest'!A:B,2,FALSE)),"""")"),0)</f>
        <v>0</v>
      </c>
      <c r="D346" s="8" t="n">
        <f aca="false">IFERROR(VLOOKUP(A346,'Dados-Status-Invest'!$1:$1000,MATCH(D$1,'Dados-Status-Invest'!$2:$2,0),FALSE()),"")</f>
        <v>213003000</v>
      </c>
      <c r="E346" s="8" t="n">
        <f aca="false">IF(D346+H346&gt;0,D346+H346,"")</f>
        <v>213003000</v>
      </c>
      <c r="F346" s="8" t="str">
        <f aca="false">IFERROR(D346/VLOOKUP(A346,'Dados-Status-Invest'!$1:$1000,5,FALSE()),"")</f>
        <v/>
      </c>
      <c r="G346" s="8" t="str">
        <f aca="false">IFERROR(D346/VLOOKUP(A346,'Dados-Status-Invest'!$1:$1000,6,FALSE()),"")</f>
        <v/>
      </c>
      <c r="H346" s="8" t="n">
        <f aca="false">IFERROR(VLOOKUP(A346,'Dados-Status-Invest'!$1:$1000,12,FALSE())*J346,"")</f>
        <v>0</v>
      </c>
      <c r="I346" s="8" t="str">
        <f aca="false">IFERROR(D346/VLOOKUP(A346,'Dados-Status-Invest'!$1:$1000,14,FALSE()),"")</f>
        <v/>
      </c>
      <c r="J346" s="9" t="str">
        <f aca="false">IFERROR(D346/VLOOKUP(A346,'Dados-Status-Invest'!$1:$1000,10,FALSE()),"")</f>
        <v/>
      </c>
      <c r="K346" s="10" t="n">
        <f aca="false">IFERROR(VLOOKUP(A346,'Dados-Status-Invest'!$1:$1000,3,FALSE())/100,"")</f>
        <v>0</v>
      </c>
      <c r="L346" s="11" t="n">
        <f aca="false">IFERROR(VLOOKUP(A346,'Dados-Status-Invest'!$1:$1000,MATCH(L$1,'Dados-Status-Invest'!$2:$2,0),FALSE())/100,"")</f>
        <v>0.0969</v>
      </c>
      <c r="M346" s="10" t="n">
        <f aca="false">IFERROR(VLOOKUP(A346,'Dados-Status-Invest'!$1:$1000,MATCH(M$1,'Dados-Status-Invest'!$2:$2,0),FALSE())/100,"")</f>
        <v>0.0602</v>
      </c>
      <c r="N346" s="10" t="n">
        <f aca="false">IFERROR(VLOOKUP(A346,'Dados-Status-Invest'!$1:$1000,MATCH(N$1,'Dados-Status-Invest'!$2:$2,0),FALSE())/100,"")</f>
        <v>0.0913</v>
      </c>
      <c r="O346" s="10" t="n">
        <f aca="false">IFERROR(VLOOKUP(A346,'Dados-Status-Invest'!$1:$1000,MATCH(O$1,'Dados-Status-Invest'!$2:$2,0),FALSE())/100,"")</f>
        <v>0.2583</v>
      </c>
      <c r="P346" s="10" t="n">
        <f aca="false">IFERROR(VLOOKUP(A346,'Dados-Status-Invest'!$1:$1000,MATCH(P$1,'Dados-Status-Invest'!$2:$2,0),FALSE())/100,"")</f>
        <v>0.1434</v>
      </c>
      <c r="Q346" s="10" t="n">
        <f aca="false">IFERROR(VLOOKUP(A346,'Dados-Status-Invest'!$1:$1000,MATCH(Q$1,'Dados-Status-Invest'!$2:$2,0),FALSE())/100,"")</f>
        <v>0.0869</v>
      </c>
      <c r="R346" s="12" t="n">
        <f aca="false">IFERROR(VLOOKUP(A346,'Dados-Status-Invest'!$1:$1000,MATCH(R$1,'Dados-Status-Invest'!$2:$2,0),FALSE()),"")</f>
        <v>0</v>
      </c>
      <c r="S346" s="12" t="n">
        <f aca="false">IFERROR(VLOOKUP(A346,'Dados-Status-Invest'!$1:$1000,MATCH(S$1,'Dados-Status-Invest'!$2:$2,0),FALSE()),"")</f>
        <v>0</v>
      </c>
      <c r="T346" s="12" t="n">
        <f aca="false">IFERROR(VLOOKUP(A346,'Dados-Status-Invest'!$1:$1000,MATCH(T$1,'Dados-Status-Invest'!$2:$2,0),FALSE()),"")</f>
        <v>14.12</v>
      </c>
      <c r="U346" s="12" t="n">
        <f aca="false">IFERROR(VLOOKUP(A346,'Dados-Status-Invest'!$1:$1000,MATCH(U$1,'Dados-Status-Invest'!$2:$2,0),FALSE()),"")</f>
        <v>1.98</v>
      </c>
      <c r="V346" s="12" t="n">
        <f aca="false">IFERROR(VLOOKUP(A346,'Dados-Status-Invest'!$1:$1000,MATCH(V$1,'Dados-Status-Invest'!$2:$2,0),FALSE()),"")</f>
        <v>0.14</v>
      </c>
      <c r="W346" s="10" t="n">
        <f aca="false">IFERROR(VLOOKUP(A346,'Dados-Status-Invest'!$1:$1000,MATCH(W$1,'Dados-Status-Invest'!$2:$2,0),FALSE())/100,"")</f>
        <v>0.0704</v>
      </c>
      <c r="X346" s="10" t="n">
        <f aca="false">IFERROR(VLOOKUP(A346,'Dados-Status-Invest'!$1:$1000,MATCH(X$1,'Dados-Status-Invest'!$2:$2,0),FALSE())/100,"")</f>
        <v>-0.0009</v>
      </c>
    </row>
    <row r="347" customFormat="false" ht="15.75" hidden="false" customHeight="false" outlineLevel="0" collapsed="false">
      <c r="A347" s="6" t="s">
        <v>379</v>
      </c>
      <c r="B347" s="7" t="str">
        <f aca="false">IFERROR(VLOOKUP(LEFT(A347,4),Setor!A:D,2,FALSE()),"")</f>
        <v>Bens Industriais</v>
      </c>
      <c r="C347" s="8" t="n">
        <f aca="false">IFERROR(__xludf.dummyfunction("IFERROR(IFERROR(GOOGLEFINANCE(A353,""price""),VLOOKUP(A353,'Dados-Status-Invest'!A:B,2,FALSE)),"""")"),84.25)</f>
        <v>84.25</v>
      </c>
      <c r="D347" s="8" t="n">
        <f aca="false">IFERROR(VLOOKUP(A347,'Dados-Status-Invest'!$1:$1000,MATCH(D$1,'Dados-Status-Invest'!$2:$2,0),FALSE()),"")</f>
        <v>213003000</v>
      </c>
      <c r="E347" s="8" t="n">
        <f aca="false">IF(D347+H347&gt;0,D347+H347,"")</f>
        <v>214189646.24</v>
      </c>
      <c r="F347" s="8" t="n">
        <f aca="false">IFERROR(D347/VLOOKUP(A347,'Dados-Status-Invest'!$1:$1000,5,FALSE()),"")</f>
        <v>52985820.9</v>
      </c>
      <c r="G347" s="8" t="n">
        <f aca="false">IFERROR(D347/VLOOKUP(A347,'Dados-Status-Invest'!$1:$1000,6,FALSE()),"")</f>
        <v>85201200</v>
      </c>
      <c r="H347" s="8" t="n">
        <f aca="false">IFERROR(VLOOKUP(A347,'Dados-Status-Invest'!$1:$1000,12,FALSE())*J347,"")</f>
        <v>1186646.24</v>
      </c>
      <c r="I347" s="8" t="n">
        <f aca="false">IFERROR(D347/VLOOKUP(A347,'Dados-Status-Invest'!$1:$1000,14,FALSE()),"")</f>
        <v>59003601.11</v>
      </c>
      <c r="J347" s="9" t="n">
        <f aca="false">IFERROR(D347/VLOOKUP(A347,'Dados-Status-Invest'!$1:$1000,10,FALSE()),"")</f>
        <v>8476044.568</v>
      </c>
      <c r="K347" s="10" t="n">
        <f aca="false">IFERROR(VLOOKUP(A347,'Dados-Status-Invest'!$1:$1000,3,FALSE())/100,"")</f>
        <v>0.0852</v>
      </c>
      <c r="L347" s="11" t="n">
        <f aca="false">IFERROR(VLOOKUP(A347,'Dados-Status-Invest'!$1:$1000,MATCH(L$1,'Dados-Status-Invest'!$2:$2,0),FALSE())/100,"")</f>
        <v>0.0969</v>
      </c>
      <c r="M347" s="10" t="n">
        <f aca="false">IFERROR(VLOOKUP(A347,'Dados-Status-Invest'!$1:$1000,MATCH(M$1,'Dados-Status-Invest'!$2:$2,0),FALSE())/100,"")</f>
        <v>0.0602</v>
      </c>
      <c r="N347" s="10" t="n">
        <f aca="false">IFERROR(VLOOKUP(A347,'Dados-Status-Invest'!$1:$1000,MATCH(N$1,'Dados-Status-Invest'!$2:$2,0),FALSE())/100,"")</f>
        <v>0.0913</v>
      </c>
      <c r="O347" s="10" t="n">
        <f aca="false">IFERROR(VLOOKUP(A347,'Dados-Status-Invest'!$1:$1000,MATCH(O$1,'Dados-Status-Invest'!$2:$2,0),FALSE())/100,"")</f>
        <v>0.2583</v>
      </c>
      <c r="P347" s="10" t="n">
        <f aca="false">IFERROR(VLOOKUP(A347,'Dados-Status-Invest'!$1:$1000,MATCH(P$1,'Dados-Status-Invest'!$2:$2,0),FALSE())/100,"")</f>
        <v>0.1434</v>
      </c>
      <c r="Q347" s="10" t="n">
        <f aca="false">IFERROR(VLOOKUP(A347,'Dados-Status-Invest'!$1:$1000,MATCH(Q$1,'Dados-Status-Invest'!$2:$2,0),FALSE())/100,"")</f>
        <v>0.0869</v>
      </c>
      <c r="R347" s="12" t="n">
        <f aca="false">IFERROR(VLOOKUP(A347,'Dados-Status-Invest'!$1:$1000,MATCH(R$1,'Dados-Status-Invest'!$2:$2,0),FALSE()),"")</f>
        <v>41.47</v>
      </c>
      <c r="S347" s="12" t="n">
        <f aca="false">IFERROR(VLOOKUP(A347,'Dados-Status-Invest'!$1:$1000,MATCH(S$1,'Dados-Status-Invest'!$2:$2,0),FALSE()),"")</f>
        <v>4.02</v>
      </c>
      <c r="T347" s="12" t="n">
        <f aca="false">IFERROR(VLOOKUP(A347,'Dados-Status-Invest'!$1:$1000,MATCH(T$1,'Dados-Status-Invest'!$2:$2,0),FALSE()),"")</f>
        <v>14.12</v>
      </c>
      <c r="U347" s="12" t="n">
        <f aca="false">IFERROR(VLOOKUP(A347,'Dados-Status-Invest'!$1:$1000,MATCH(U$1,'Dados-Status-Invest'!$2:$2,0),FALSE()),"")</f>
        <v>1.98</v>
      </c>
      <c r="V347" s="12" t="n">
        <f aca="false">IFERROR(VLOOKUP(A347,'Dados-Status-Invest'!$1:$1000,MATCH(V$1,'Dados-Status-Invest'!$2:$2,0),FALSE()),"")</f>
        <v>0.14</v>
      </c>
      <c r="W347" s="10" t="n">
        <f aca="false">IFERROR(VLOOKUP(A347,'Dados-Status-Invest'!$1:$1000,MATCH(W$1,'Dados-Status-Invest'!$2:$2,0),FALSE())/100,"")</f>
        <v>0.0704</v>
      </c>
      <c r="X347" s="10" t="n">
        <f aca="false">IFERROR(VLOOKUP(A347,'Dados-Status-Invest'!$1:$1000,MATCH(X$1,'Dados-Status-Invest'!$2:$2,0),FALSE())/100,"")</f>
        <v>-0.0009</v>
      </c>
    </row>
    <row r="348" customFormat="false" ht="15.75" hidden="false" customHeight="false" outlineLevel="0" collapsed="false">
      <c r="A348" s="6" t="s">
        <v>380</v>
      </c>
      <c r="B348" s="7" t="str">
        <f aca="false">IFERROR(VLOOKUP(LEFT(A348,4),Setor!A:D,2,FALSE()),"")</f>
        <v>Tecnologia da Informação</v>
      </c>
      <c r="C348" s="8" t="n">
        <f aca="false">IFERROR(__xludf.dummyfunction("IFERROR(IFERROR(GOOGLEFINANCE(A354,""price""),VLOOKUP(A354,'Dados-Status-Invest'!A:B,2,FALSE)),"""")"),6.59)</f>
        <v>6.59</v>
      </c>
      <c r="D348" s="8" t="n">
        <f aca="false">IFERROR(VLOOKUP(A348,'Dados-Status-Invest'!$1:$1000,MATCH(D$1,'Dados-Status-Invest'!$2:$2,0),FALSE()),"")</f>
        <v>15942124052</v>
      </c>
      <c r="E348" s="8" t="n">
        <f aca="false">IF(D348+H348&gt;0,D348+H348,"")</f>
        <v>13699804117</v>
      </c>
      <c r="F348" s="8" t="n">
        <f aca="false">IFERROR(D348/VLOOKUP(A348,'Dados-Status-Invest'!$1:$1000,5,FALSE()),"")</f>
        <v>2903847733</v>
      </c>
      <c r="G348" s="8" t="n">
        <f aca="false">IFERROR(D348/VLOOKUP(A348,'Dados-Status-Invest'!$1:$1000,6,FALSE()),"")</f>
        <v>3850754602</v>
      </c>
      <c r="H348" s="8" t="n">
        <f aca="false">IFERROR(VLOOKUP(A348,'Dados-Status-Invest'!$1:$1000,12,FALSE())*J348,"")</f>
        <v>-2242319935</v>
      </c>
      <c r="I348" s="8" t="n">
        <f aca="false">IFERROR(D348/VLOOKUP(A348,'Dados-Status-Invest'!$1:$1000,14,FALSE()),"")</f>
        <v>537858436.3</v>
      </c>
      <c r="J348" s="9" t="n">
        <f aca="false">IFERROR(D348/VLOOKUP(A348,'Dados-Status-Invest'!$1:$1000,10,FALSE()),"")</f>
        <v>40776867.33</v>
      </c>
      <c r="K348" s="10" t="n">
        <f aca="false">IFERROR(VLOOKUP(A348,'Dados-Status-Invest'!$1:$1000,3,FALSE())/100,"")</f>
        <v>0.0012</v>
      </c>
      <c r="L348" s="11" t="n">
        <f aca="false">IFERROR(VLOOKUP(A348,'Dados-Status-Invest'!$1:$1000,MATCH(L$1,'Dados-Status-Invest'!$2:$2,0),FALSE())/100,"")</f>
        <v>0.0046</v>
      </c>
      <c r="M348" s="10" t="n">
        <f aca="false">IFERROR(VLOOKUP(A348,'Dados-Status-Invest'!$1:$1000,MATCH(M$1,'Dados-Status-Invest'!$2:$2,0),FALSE())/100,"")</f>
        <v>0.0035</v>
      </c>
      <c r="N348" s="10" t="n">
        <f aca="false">IFERROR(VLOOKUP(A348,'Dados-Status-Invest'!$1:$1000,MATCH(N$1,'Dados-Status-Invest'!$2:$2,0),FALSE())/100,"")</f>
        <v>0.0099</v>
      </c>
      <c r="O348" s="10" t="n">
        <f aca="false">IFERROR(VLOOKUP(A348,'Dados-Status-Invest'!$1:$1000,MATCH(O$1,'Dados-Status-Invest'!$2:$2,0),FALSE())/100,"")</f>
        <v>0.427</v>
      </c>
      <c r="P348" s="10" t="n">
        <f aca="false">IFERROR(VLOOKUP(A348,'Dados-Status-Invest'!$1:$1000,MATCH(P$1,'Dados-Status-Invest'!$2:$2,0),FALSE())/100,"")</f>
        <v>0.0758</v>
      </c>
      <c r="Q348" s="10" t="n">
        <f aca="false">IFERROR(VLOOKUP(A348,'Dados-Status-Invest'!$1:$1000,MATCH(Q$1,'Dados-Status-Invest'!$2:$2,0),FALSE())/100,"")</f>
        <v>0.025</v>
      </c>
      <c r="R348" s="12" t="n">
        <f aca="false">IFERROR(VLOOKUP(A348,'Dados-Status-Invest'!$1:$1000,MATCH(R$1,'Dados-Status-Invest'!$2:$2,0),FALSE()),"")</f>
        <v>1183.89</v>
      </c>
      <c r="S348" s="12" t="n">
        <f aca="false">IFERROR(VLOOKUP(A348,'Dados-Status-Invest'!$1:$1000,MATCH(S$1,'Dados-Status-Invest'!$2:$2,0),FALSE()),"")</f>
        <v>5.49</v>
      </c>
      <c r="T348" s="12" t="n">
        <f aca="false">IFERROR(VLOOKUP(A348,'Dados-Status-Invest'!$1:$1000,MATCH(T$1,'Dados-Status-Invest'!$2:$2,0),FALSE()),"")</f>
        <v>331.15</v>
      </c>
      <c r="U348" s="12" t="n">
        <f aca="false">IFERROR(VLOOKUP(A348,'Dados-Status-Invest'!$1:$1000,MATCH(U$1,'Dados-Status-Invest'!$2:$2,0),FALSE()),"")</f>
        <v>5.57</v>
      </c>
      <c r="V348" s="12" t="n">
        <f aca="false">IFERROR(VLOOKUP(A348,'Dados-Status-Invest'!$1:$1000,MATCH(V$1,'Dados-Status-Invest'!$2:$2,0),FALSE()),"")</f>
        <v>-54.99</v>
      </c>
      <c r="W348" s="10" t="n">
        <f aca="false">IFERROR(VLOOKUP(A348,'Dados-Status-Invest'!$1:$1000,MATCH(W$1,'Dados-Status-Invest'!$2:$2,0),FALSE())/100,"")</f>
        <v>0</v>
      </c>
      <c r="X348" s="10" t="n">
        <f aca="false">IFERROR(VLOOKUP(A348,'Dados-Status-Invest'!$1:$1000,MATCH(X$1,'Dados-Status-Invest'!$2:$2,0),FALSE())/100,"")</f>
        <v>0</v>
      </c>
    </row>
    <row r="349" customFormat="false" ht="15.75" hidden="false" customHeight="false" outlineLevel="0" collapsed="false">
      <c r="A349" s="6" t="s">
        <v>381</v>
      </c>
      <c r="B349" s="7" t="str">
        <f aca="false">IFERROR(VLOOKUP(LEFT(A349,4),Setor!A:D,2,FALSE()),"")</f>
        <v>Outros</v>
      </c>
      <c r="C349" s="8" t="n">
        <f aca="false">IFERROR(__xludf.dummyfunction("IFERROR(IFERROR(GOOGLEFINANCE(A355,""price""),VLOOKUP(A355,'Dados-Status-Invest'!A:B,2,FALSE)),"""")"),37)</f>
        <v>37</v>
      </c>
      <c r="D349" s="8" t="n">
        <f aca="false">IFERROR(VLOOKUP(A349,'Dados-Status-Invest'!$1:$1000,MATCH(D$1,'Dados-Status-Invest'!$2:$2,0),FALSE()),"")</f>
        <v>38643515</v>
      </c>
      <c r="E349" s="8" t="n">
        <f aca="false">IF(D349+H349&gt;0,D349+H349,"")</f>
        <v>38643515</v>
      </c>
      <c r="F349" s="8" t="n">
        <f aca="false">IFERROR(D349/VLOOKUP(A349,'Dados-Status-Invest'!$1:$1000,5,FALSE()),"")</f>
        <v>-6605729.06</v>
      </c>
      <c r="G349" s="8" t="n">
        <f aca="false">IFERROR(D349/VLOOKUP(A349,'Dados-Status-Invest'!$1:$1000,6,FALSE()),"")</f>
        <v>878661.096</v>
      </c>
      <c r="H349" s="8" t="n">
        <f aca="false">IFERROR(VLOOKUP(A349,'Dados-Status-Invest'!$1:$1000,12,FALSE())*J349,"")</f>
        <v>0</v>
      </c>
      <c r="I349" s="8" t="str">
        <f aca="false">IFERROR(D349/VLOOKUP(A349,'Dados-Status-Invest'!$1:$1000,14,FALSE()),"")</f>
        <v/>
      </c>
      <c r="J349" s="9" t="n">
        <f aca="false">IFERROR(D349/VLOOKUP(A349,'Dados-Status-Invest'!$1:$1000,10,FALSE()),"")</f>
        <v>-173897.5565</v>
      </c>
      <c r="K349" s="10" t="n">
        <f aca="false">IFERROR(VLOOKUP(A349,'Dados-Status-Invest'!$1:$1000,3,FALSE())/100,"")</f>
        <v>0</v>
      </c>
      <c r="L349" s="11" t="n">
        <f aca="false">IFERROR(VLOOKUP(A349,'Dados-Status-Invest'!$1:$1000,MATCH(L$1,'Dados-Status-Invest'!$2:$2,0),FALSE())/100,"")</f>
        <v>-0.0265</v>
      </c>
      <c r="M349" s="10" t="n">
        <f aca="false">IFERROR(VLOOKUP(A349,'Dados-Status-Invest'!$1:$1000,MATCH(M$1,'Dados-Status-Invest'!$2:$2,0),FALSE())/100,"")</f>
        <v>-0.1992</v>
      </c>
      <c r="N349" s="10" t="n">
        <f aca="false">IFERROR(VLOOKUP(A349,'Dados-Status-Invest'!$1:$1000,MATCH(N$1,'Dados-Status-Invest'!$2:$2,0),FALSE())/100,"")</f>
        <v>0.0263</v>
      </c>
      <c r="O349" s="10" t="n">
        <f aca="false">IFERROR(VLOOKUP(A349,'Dados-Status-Invest'!$1:$1000,MATCH(O$1,'Dados-Status-Invest'!$2:$2,0),FALSE())/100,"")</f>
        <v>0</v>
      </c>
      <c r="P349" s="10" t="n">
        <f aca="false">IFERROR(VLOOKUP(A349,'Dados-Status-Invest'!$1:$1000,MATCH(P$1,'Dados-Status-Invest'!$2:$2,0),FALSE())/100,"")</f>
        <v>0</v>
      </c>
      <c r="Q349" s="10" t="n">
        <f aca="false">IFERROR(VLOOKUP(A349,'Dados-Status-Invest'!$1:$1000,MATCH(Q$1,'Dados-Status-Invest'!$2:$2,0),FALSE())/100,"")</f>
        <v>0</v>
      </c>
      <c r="R349" s="12" t="n">
        <f aca="false">IFERROR(VLOOKUP(A349,'Dados-Status-Invest'!$1:$1000,MATCH(R$1,'Dados-Status-Invest'!$2:$2,0),FALSE()),"")</f>
        <v>-220.77</v>
      </c>
      <c r="S349" s="12" t="n">
        <f aca="false">IFERROR(VLOOKUP(A349,'Dados-Status-Invest'!$1:$1000,MATCH(S$1,'Dados-Status-Invest'!$2:$2,0),FALSE()),"")</f>
        <v>-5.85</v>
      </c>
      <c r="T349" s="12" t="n">
        <f aca="false">IFERROR(VLOOKUP(A349,'Dados-Status-Invest'!$1:$1000,MATCH(T$1,'Dados-Status-Invest'!$2:$2,0),FALSE()),"")</f>
        <v>-252.57</v>
      </c>
      <c r="U349" s="12" t="n">
        <f aca="false">IFERROR(VLOOKUP(A349,'Dados-Status-Invest'!$1:$1000,MATCH(U$1,'Dados-Status-Invest'!$2:$2,0),FALSE()),"")</f>
        <v>0</v>
      </c>
      <c r="V349" s="12" t="n">
        <f aca="false">IFERROR(VLOOKUP(A349,'Dados-Status-Invest'!$1:$1000,MATCH(V$1,'Dados-Status-Invest'!$2:$2,0),FALSE()),"")</f>
        <v>0</v>
      </c>
      <c r="W349" s="10" t="n">
        <f aca="false">IFERROR(VLOOKUP(A349,'Dados-Status-Invest'!$1:$1000,MATCH(W$1,'Dados-Status-Invest'!$2:$2,0),FALSE())/100,"")</f>
        <v>0</v>
      </c>
      <c r="X349" s="10" t="n">
        <f aca="false">IFERROR(VLOOKUP(A349,'Dados-Status-Invest'!$1:$1000,MATCH(X$1,'Dados-Status-Invest'!$2:$2,0),FALSE())/100,"")</f>
        <v>0</v>
      </c>
    </row>
    <row r="350" customFormat="false" ht="15.75" hidden="false" customHeight="false" outlineLevel="0" collapsed="false">
      <c r="A350" s="6" t="s">
        <v>382</v>
      </c>
      <c r="B350" s="7" t="str">
        <f aca="false">IFERROR(VLOOKUP(LEFT(A350,4),Setor!A:D,2,FALSE()),"")</f>
        <v>Outros</v>
      </c>
      <c r="C350" s="8" t="n">
        <f aca="false">IFERROR(__xludf.dummyfunction("IFERROR(IFERROR(GOOGLEFINANCE(A356,""price""),VLOOKUP(A356,'Dados-Status-Invest'!A:B,2,FALSE)),"""")"),15.24)</f>
        <v>15.24</v>
      </c>
      <c r="D350" s="8" t="n">
        <f aca="false">IFERROR(VLOOKUP(A350,'Dados-Status-Invest'!$1:$1000,MATCH(D$1,'Dados-Status-Invest'!$2:$2,0),FALSE()),"")</f>
        <v>38643515</v>
      </c>
      <c r="E350" s="8" t="n">
        <f aca="false">IF(D350+H350&gt;0,D350+H350,"")</f>
        <v>38643515</v>
      </c>
      <c r="F350" s="8" t="n">
        <f aca="false">IFERROR(D350/VLOOKUP(A350,'Dados-Status-Invest'!$1:$1000,5,FALSE()),"")</f>
        <v>-5201011.44</v>
      </c>
      <c r="G350" s="8" t="n">
        <f aca="false">IFERROR(D350/VLOOKUP(A350,'Dados-Status-Invest'!$1:$1000,6,FALSE()),"")</f>
        <v>691668.4267</v>
      </c>
      <c r="H350" s="8" t="n">
        <f aca="false">IFERROR(VLOOKUP(A350,'Dados-Status-Invest'!$1:$1000,12,FALSE())*J350,"")</f>
        <v>0</v>
      </c>
      <c r="I350" s="8" t="str">
        <f aca="false">IFERROR(D350/VLOOKUP(A350,'Dados-Status-Invest'!$1:$1000,14,FALSE()),"")</f>
        <v/>
      </c>
      <c r="J350" s="9" t="n">
        <f aca="false">IFERROR(D350/VLOOKUP(A350,'Dados-Status-Invest'!$1:$1000,10,FALSE()),"")</f>
        <v>-136902.6641</v>
      </c>
      <c r="K350" s="10" t="n">
        <f aca="false">IFERROR(VLOOKUP(A350,'Dados-Status-Invest'!$1:$1000,3,FALSE())/100,"")</f>
        <v>0</v>
      </c>
      <c r="L350" s="11" t="n">
        <f aca="false">IFERROR(VLOOKUP(A350,'Dados-Status-Invest'!$1:$1000,MATCH(L$1,'Dados-Status-Invest'!$2:$2,0),FALSE())/100,"")</f>
        <v>-0.0265</v>
      </c>
      <c r="M350" s="10" t="n">
        <f aca="false">IFERROR(VLOOKUP(A350,'Dados-Status-Invest'!$1:$1000,MATCH(M$1,'Dados-Status-Invest'!$2:$2,0),FALSE())/100,"")</f>
        <v>-0.1992</v>
      </c>
      <c r="N350" s="10" t="n">
        <f aca="false">IFERROR(VLOOKUP(A350,'Dados-Status-Invest'!$1:$1000,MATCH(N$1,'Dados-Status-Invest'!$2:$2,0),FALSE())/100,"")</f>
        <v>0.0263</v>
      </c>
      <c r="O350" s="10" t="n">
        <f aca="false">IFERROR(VLOOKUP(A350,'Dados-Status-Invest'!$1:$1000,MATCH(O$1,'Dados-Status-Invest'!$2:$2,0),FALSE())/100,"")</f>
        <v>0</v>
      </c>
      <c r="P350" s="10" t="n">
        <f aca="false">IFERROR(VLOOKUP(A350,'Dados-Status-Invest'!$1:$1000,MATCH(P$1,'Dados-Status-Invest'!$2:$2,0),FALSE())/100,"")</f>
        <v>0</v>
      </c>
      <c r="Q350" s="10" t="n">
        <f aca="false">IFERROR(VLOOKUP(A350,'Dados-Status-Invest'!$1:$1000,MATCH(Q$1,'Dados-Status-Invest'!$2:$2,0),FALSE())/100,"")</f>
        <v>0</v>
      </c>
      <c r="R350" s="12" t="n">
        <f aca="false">IFERROR(VLOOKUP(A350,'Dados-Status-Invest'!$1:$1000,MATCH(R$1,'Dados-Status-Invest'!$2:$2,0),FALSE()),"")</f>
        <v>-280.44</v>
      </c>
      <c r="S350" s="12" t="n">
        <f aca="false">IFERROR(VLOOKUP(A350,'Dados-Status-Invest'!$1:$1000,MATCH(S$1,'Dados-Status-Invest'!$2:$2,0),FALSE()),"")</f>
        <v>-7.43</v>
      </c>
      <c r="T350" s="12" t="n">
        <f aca="false">IFERROR(VLOOKUP(A350,'Dados-Status-Invest'!$1:$1000,MATCH(T$1,'Dados-Status-Invest'!$2:$2,0),FALSE()),"")</f>
        <v>-252.57</v>
      </c>
      <c r="U350" s="12" t="n">
        <f aca="false">IFERROR(VLOOKUP(A350,'Dados-Status-Invest'!$1:$1000,MATCH(U$1,'Dados-Status-Invest'!$2:$2,0),FALSE()),"")</f>
        <v>0</v>
      </c>
      <c r="V350" s="12" t="n">
        <f aca="false">IFERROR(VLOOKUP(A350,'Dados-Status-Invest'!$1:$1000,MATCH(V$1,'Dados-Status-Invest'!$2:$2,0),FALSE()),"")</f>
        <v>0</v>
      </c>
      <c r="W350" s="10" t="n">
        <f aca="false">IFERROR(VLOOKUP(A350,'Dados-Status-Invest'!$1:$1000,MATCH(W$1,'Dados-Status-Invest'!$2:$2,0),FALSE())/100,"")</f>
        <v>0</v>
      </c>
      <c r="X350" s="10" t="n">
        <f aca="false">IFERROR(VLOOKUP(A350,'Dados-Status-Invest'!$1:$1000,MATCH(X$1,'Dados-Status-Invest'!$2:$2,0),FALSE())/100,"")</f>
        <v>0</v>
      </c>
    </row>
    <row r="351" customFormat="false" ht="15.75" hidden="false" customHeight="false" outlineLevel="0" collapsed="false">
      <c r="A351" s="6" t="s">
        <v>383</v>
      </c>
      <c r="B351" s="7" t="s">
        <v>90</v>
      </c>
      <c r="C351" s="8" t="n">
        <f aca="false">IFERROR(__xludf.dummyfunction("IFERROR(IFERROR(GOOGLEFINANCE(A357,""price""),VLOOKUP(A357,'Dados-Status-Invest'!A:B,2,FALSE)),"""")"),9.4)</f>
        <v>9.4</v>
      </c>
      <c r="D351" s="8" t="n">
        <f aca="false">IFERROR(VLOOKUP(A351,'Dados-Status-Invest'!$1:$1000,MATCH(D$1,'Dados-Status-Invest'!$2:$2,0),FALSE()),"")</f>
        <v>5872644318</v>
      </c>
      <c r="E351" s="8" t="n">
        <f aca="false">IF(D351+H351&gt;0,D351+H351,"")</f>
        <v>5875079752.47</v>
      </c>
      <c r="F351" s="8" t="n">
        <f aca="false">IFERROR(D351/VLOOKUP(A351,'Dados-Status-Invest'!$1:$1000,5,FALSE()),"")</f>
        <v>288015905.7</v>
      </c>
      <c r="G351" s="8" t="n">
        <f aca="false">IFERROR(D351/VLOOKUP(A351,'Dados-Status-Invest'!$1:$1000,6,FALSE()),"")</f>
        <v>1198498840</v>
      </c>
      <c r="H351" s="8" t="n">
        <f aca="false">IFERROR(VLOOKUP(A351,'Dados-Status-Invest'!$1:$1000,12,FALSE())*J351,"")</f>
        <v>2435434.47</v>
      </c>
      <c r="I351" s="8" t="n">
        <f aca="false">IFERROR(D351/VLOOKUP(A351,'Dados-Status-Invest'!$1:$1000,14,FALSE()),"")</f>
        <v>397606250.4</v>
      </c>
      <c r="J351" s="9" t="n">
        <f aca="false">IFERROR(D351/VLOOKUP(A351,'Dados-Status-Invest'!$1:$1000,10,FALSE()),"")</f>
        <v>81181148.99</v>
      </c>
      <c r="K351" s="10" t="n">
        <f aca="false">IFERROR(VLOOKUP(A351,'Dados-Status-Invest'!$1:$1000,3,FALSE())/100,"")</f>
        <v>0</v>
      </c>
      <c r="L351" s="11" t="n">
        <f aca="false">IFERROR(VLOOKUP(A351,'Dados-Status-Invest'!$1:$1000,MATCH(L$1,'Dados-Status-Invest'!$2:$2,0),FALSE())/100,"")</f>
        <v>0.1456</v>
      </c>
      <c r="M351" s="10" t="n">
        <f aca="false">IFERROR(VLOOKUP(A351,'Dados-Status-Invest'!$1:$1000,MATCH(M$1,'Dados-Status-Invest'!$2:$2,0),FALSE())/100,"")</f>
        <v>0.035</v>
      </c>
      <c r="N351" s="10" t="n">
        <f aca="false">IFERROR(VLOOKUP(A351,'Dados-Status-Invest'!$1:$1000,MATCH(N$1,'Dados-Status-Invest'!$2:$2,0),FALSE())/100,"")</f>
        <v>0.1163</v>
      </c>
      <c r="O351" s="10" t="n">
        <f aca="false">IFERROR(VLOOKUP(A351,'Dados-Status-Invest'!$1:$1000,MATCH(O$1,'Dados-Status-Invest'!$2:$2,0),FALSE())/100,"")</f>
        <v>0.3752</v>
      </c>
      <c r="P351" s="10" t="n">
        <f aca="false">IFERROR(VLOOKUP(A351,'Dados-Status-Invest'!$1:$1000,MATCH(P$1,'Dados-Status-Invest'!$2:$2,0),FALSE())/100,"")</f>
        <v>0.2041</v>
      </c>
      <c r="Q351" s="10" t="n">
        <f aca="false">IFERROR(VLOOKUP(A351,'Dados-Status-Invest'!$1:$1000,MATCH(Q$1,'Dados-Status-Invest'!$2:$2,0),FALSE())/100,"")</f>
        <v>0.1054</v>
      </c>
      <c r="R351" s="12" t="n">
        <f aca="false">IFERROR(VLOOKUP(A351,'Dados-Status-Invest'!$1:$1000,MATCH(R$1,'Dados-Status-Invest'!$2:$2,0),FALSE()),"")</f>
        <v>140.07</v>
      </c>
      <c r="S351" s="12" t="n">
        <f aca="false">IFERROR(VLOOKUP(A351,'Dados-Status-Invest'!$1:$1000,MATCH(S$1,'Dados-Status-Invest'!$2:$2,0),FALSE()),"")</f>
        <v>20.39</v>
      </c>
      <c r="T351" s="12" t="n">
        <f aca="false">IFERROR(VLOOKUP(A351,'Dados-Status-Invest'!$1:$1000,MATCH(T$1,'Dados-Status-Invest'!$2:$2,0),FALSE()),"")</f>
        <v>72.5</v>
      </c>
      <c r="U351" s="12" t="n">
        <f aca="false">IFERROR(VLOOKUP(A351,'Dados-Status-Invest'!$1:$1000,MATCH(U$1,'Dados-Status-Invest'!$2:$2,0),FALSE()),"")</f>
        <v>2.25</v>
      </c>
      <c r="V351" s="12" t="n">
        <f aca="false">IFERROR(VLOOKUP(A351,'Dados-Status-Invest'!$1:$1000,MATCH(V$1,'Dados-Status-Invest'!$2:$2,0),FALSE()),"")</f>
        <v>0.03</v>
      </c>
      <c r="W351" s="10" t="n">
        <f aca="false">IFERROR(VLOOKUP(A351,'Dados-Status-Invest'!$1:$1000,MATCH(W$1,'Dados-Status-Invest'!$2:$2,0),FALSE())/100,"")</f>
        <v>0</v>
      </c>
      <c r="X351" s="10" t="n">
        <f aca="false">IFERROR(VLOOKUP(A351,'Dados-Status-Invest'!$1:$1000,MATCH(X$1,'Dados-Status-Invest'!$2:$2,0),FALSE())/100,"")</f>
        <v>0</v>
      </c>
    </row>
    <row r="352" customFormat="false" ht="15.75" hidden="false" customHeight="false" outlineLevel="0" collapsed="false">
      <c r="A352" s="6" t="s">
        <v>384</v>
      </c>
      <c r="B352" s="7" t="s">
        <v>38</v>
      </c>
      <c r="C352" s="8" t="n">
        <f aca="false">IFERROR(__xludf.dummyfunction("IFERROR(IFERROR(GOOGLEFINANCE(A358,""price""),VLOOKUP(A358,'Dados-Status-Invest'!A:B,2,FALSE)),"""")"),3.27)</f>
        <v>3.27</v>
      </c>
      <c r="D352" s="8" t="n">
        <f aca="false">IFERROR(VLOOKUP(A352,'Dados-Status-Invest'!$1:$1000,MATCH(D$1,'Dados-Status-Invest'!$2:$2,0),FALSE()),"")</f>
        <v>1824172056</v>
      </c>
      <c r="E352" s="8" t="n">
        <f aca="false">IF(D352+H352&gt;0,D352+H352,"")</f>
        <v>1309458946.4</v>
      </c>
      <c r="F352" s="8" t="n">
        <f aca="false">IFERROR(D352/VLOOKUP(A352,'Dados-Status-Invest'!$1:$1000,5,FALSE()),"")</f>
        <v>696248876.2</v>
      </c>
      <c r="G352" s="8" t="n">
        <f aca="false">IFERROR(D352/VLOOKUP(A352,'Dados-Status-Invest'!$1:$1000,6,FALSE()),"")</f>
        <v>935472849</v>
      </c>
      <c r="H352" s="8" t="n">
        <f aca="false">IFERROR(VLOOKUP(A352,'Dados-Status-Invest'!$1:$1000,12,FALSE())*J352,"")</f>
        <v>-514713109.6</v>
      </c>
      <c r="I352" s="8" t="n">
        <f aca="false">IFERROR(D352/VLOOKUP(A352,'Dados-Status-Invest'!$1:$1000,14,FALSE()),"")</f>
        <v>658545868.4</v>
      </c>
      <c r="J352" s="9" t="n">
        <f aca="false">IFERROR(D352/VLOOKUP(A352,'Dados-Status-Invest'!$1:$1000,10,FALSE()),"")</f>
        <v>-35993923.75</v>
      </c>
      <c r="K352" s="10" t="n">
        <f aca="false">IFERROR(VLOOKUP(A352,'Dados-Status-Invest'!$1:$1000,3,FALSE())/100,"")</f>
        <v>0</v>
      </c>
      <c r="L352" s="11" t="n">
        <f aca="false">IFERROR(VLOOKUP(A352,'Dados-Status-Invest'!$1:$1000,MATCH(L$1,'Dados-Status-Invest'!$2:$2,0),FALSE())/100,"")</f>
        <v>-0.079</v>
      </c>
      <c r="M352" s="10" t="n">
        <f aca="false">IFERROR(VLOOKUP(A352,'Dados-Status-Invest'!$1:$1000,MATCH(M$1,'Dados-Status-Invest'!$2:$2,0),FALSE())/100,"")</f>
        <v>-0.0588</v>
      </c>
      <c r="N352" s="10" t="n">
        <f aca="false">IFERROR(VLOOKUP(A352,'Dados-Status-Invest'!$1:$1000,MATCH(N$1,'Dados-Status-Invest'!$2:$2,0),FALSE())/100,"")</f>
        <v>-0.048</v>
      </c>
      <c r="O352" s="10" t="n">
        <f aca="false">IFERROR(VLOOKUP(A352,'Dados-Status-Invest'!$1:$1000,MATCH(O$1,'Dados-Status-Invest'!$2:$2,0),FALSE())/100,"")</f>
        <v>0.4049</v>
      </c>
      <c r="P352" s="10" t="n">
        <f aca="false">IFERROR(VLOOKUP(A352,'Dados-Status-Invest'!$1:$1000,MATCH(P$1,'Dados-Status-Invest'!$2:$2,0),FALSE())/100,"")</f>
        <v>-0.0546</v>
      </c>
      <c r="Q352" s="10" t="n">
        <f aca="false">IFERROR(VLOOKUP(A352,'Dados-Status-Invest'!$1:$1000,MATCH(Q$1,'Dados-Status-Invest'!$2:$2,0),FALSE())/100,"")</f>
        <v>-0.0834</v>
      </c>
      <c r="R352" s="12" t="n">
        <f aca="false">IFERROR(VLOOKUP(A352,'Dados-Status-Invest'!$1:$1000,MATCH(R$1,'Dados-Status-Invest'!$2:$2,0),FALSE()),"")</f>
        <v>-33.19</v>
      </c>
      <c r="S352" s="12" t="n">
        <f aca="false">IFERROR(VLOOKUP(A352,'Dados-Status-Invest'!$1:$1000,MATCH(S$1,'Dados-Status-Invest'!$2:$2,0),FALSE()),"")</f>
        <v>2.62</v>
      </c>
      <c r="T352" s="12" t="n">
        <f aca="false">IFERROR(VLOOKUP(A352,'Dados-Status-Invest'!$1:$1000,MATCH(T$1,'Dados-Status-Invest'!$2:$2,0),FALSE()),"")</f>
        <v>-36.44</v>
      </c>
      <c r="U352" s="12" t="n">
        <f aca="false">IFERROR(VLOOKUP(A352,'Dados-Status-Invest'!$1:$1000,MATCH(U$1,'Dados-Status-Invest'!$2:$2,0),FALSE()),"")</f>
        <v>4.25</v>
      </c>
      <c r="V352" s="12" t="n">
        <f aca="false">IFERROR(VLOOKUP(A352,'Dados-Status-Invest'!$1:$1000,MATCH(V$1,'Dados-Status-Invest'!$2:$2,0),FALSE()),"")</f>
        <v>14.3</v>
      </c>
      <c r="W352" s="10" t="n">
        <f aca="false">IFERROR(VLOOKUP(A352,'Dados-Status-Invest'!$1:$1000,MATCH(W$1,'Dados-Status-Invest'!$2:$2,0),FALSE())/100,"")</f>
        <v>0</v>
      </c>
      <c r="X352" s="10" t="n">
        <f aca="false">IFERROR(VLOOKUP(A352,'Dados-Status-Invest'!$1:$1000,MATCH(X$1,'Dados-Status-Invest'!$2:$2,0),FALSE())/100,"")</f>
        <v>0</v>
      </c>
    </row>
    <row r="353" customFormat="false" ht="15.75" hidden="false" customHeight="false" outlineLevel="0" collapsed="false">
      <c r="A353" s="6" t="s">
        <v>385</v>
      </c>
      <c r="B353" s="7" t="str">
        <f aca="false">IFERROR(VLOOKUP(LEFT(A353,4),Setor!A:D,2,FALSE()),"")</f>
        <v>Consumo não Cíclico</v>
      </c>
      <c r="C353" s="8" t="n">
        <f aca="false">IFERROR(__xludf.dummyfunction("IFERROR(IFERROR(GOOGLEFINANCE(A359,""price""),VLOOKUP(A359,'Dados-Status-Invest'!A:B,2,FALSE)),"""")"),24.29)</f>
        <v>24.29</v>
      </c>
      <c r="D353" s="8" t="n">
        <f aca="false">IFERROR(VLOOKUP(A353,'Dados-Status-Invest'!$1:$1000,MATCH(D$1,'Dados-Status-Invest'!$2:$2,0),FALSE()),"")</f>
        <v>10749690000</v>
      </c>
      <c r="E353" s="8" t="n">
        <f aca="false">IF(D353+H353&gt;0,D353+H353,"")</f>
        <v>11186840548.8</v>
      </c>
      <c r="F353" s="8" t="n">
        <f aca="false">IFERROR(D353/VLOOKUP(A353,'Dados-Status-Invest'!$1:$1000,5,FALSE()),"")</f>
        <v>6635611111</v>
      </c>
      <c r="G353" s="8" t="n">
        <f aca="false">IFERROR(D353/VLOOKUP(A353,'Dados-Status-Invest'!$1:$1000,6,FALSE()),"")</f>
        <v>10336240385</v>
      </c>
      <c r="H353" s="8" t="n">
        <f aca="false">IFERROR(VLOOKUP(A353,'Dados-Status-Invest'!$1:$1000,12,FALSE())*J353,"")</f>
        <v>437150548.8</v>
      </c>
      <c r="I353" s="8" t="n">
        <f aca="false">IFERROR(D353/VLOOKUP(A353,'Dados-Status-Invest'!$1:$1000,14,FALSE()),"")</f>
        <v>7072164474</v>
      </c>
      <c r="J353" s="9" t="n">
        <f aca="false">IFERROR(D353/VLOOKUP(A353,'Dados-Status-Invest'!$1:$1000,10,FALSE()),"")</f>
        <v>526687408.1</v>
      </c>
      <c r="K353" s="10" t="n">
        <f aca="false">IFERROR(VLOOKUP(A353,'Dados-Status-Invest'!$1:$1000,3,FALSE())/100,"")</f>
        <v>0.0175</v>
      </c>
      <c r="L353" s="11" t="n">
        <f aca="false">IFERROR(VLOOKUP(A353,'Dados-Status-Invest'!$1:$1000,MATCH(L$1,'Dados-Status-Invest'!$2:$2,0),FALSE())/100,"")</f>
        <v>0.0961</v>
      </c>
      <c r="M353" s="10" t="n">
        <f aca="false">IFERROR(VLOOKUP(A353,'Dados-Status-Invest'!$1:$1000,MATCH(M$1,'Dados-Status-Invest'!$2:$2,0),FALSE())/100,"")</f>
        <v>0.0616</v>
      </c>
      <c r="N353" s="10" t="n">
        <f aca="false">IFERROR(VLOOKUP(A353,'Dados-Status-Invest'!$1:$1000,MATCH(N$1,'Dados-Status-Invest'!$2:$2,0),FALSE())/100,"")</f>
        <v>0.0576</v>
      </c>
      <c r="O353" s="10" t="n">
        <f aca="false">IFERROR(VLOOKUP(A353,'Dados-Status-Invest'!$1:$1000,MATCH(O$1,'Dados-Status-Invest'!$2:$2,0),FALSE())/100,"")</f>
        <v>0.3034</v>
      </c>
      <c r="P353" s="10" t="n">
        <f aca="false">IFERROR(VLOOKUP(A353,'Dados-Status-Invest'!$1:$1000,MATCH(P$1,'Dados-Status-Invest'!$2:$2,0),FALSE())/100,"")</f>
        <v>0.0744</v>
      </c>
      <c r="Q353" s="10" t="n">
        <f aca="false">IFERROR(VLOOKUP(A353,'Dados-Status-Invest'!$1:$1000,MATCH(Q$1,'Dados-Status-Invest'!$2:$2,0),FALSE())/100,"")</f>
        <v>0.0903</v>
      </c>
      <c r="R353" s="12" t="n">
        <f aca="false">IFERROR(VLOOKUP(A353,'Dados-Status-Invest'!$1:$1000,MATCH(R$1,'Dados-Status-Invest'!$2:$2,0),FALSE()),"")</f>
        <v>16.82</v>
      </c>
      <c r="S353" s="12" t="n">
        <f aca="false">IFERROR(VLOOKUP(A353,'Dados-Status-Invest'!$1:$1000,MATCH(S$1,'Dados-Status-Invest'!$2:$2,0),FALSE()),"")</f>
        <v>1.62</v>
      </c>
      <c r="T353" s="12" t="n">
        <f aca="false">IFERROR(VLOOKUP(A353,'Dados-Status-Invest'!$1:$1000,MATCH(T$1,'Dados-Status-Invest'!$2:$2,0),FALSE()),"")</f>
        <v>21.15</v>
      </c>
      <c r="U353" s="12" t="n">
        <f aca="false">IFERROR(VLOOKUP(A353,'Dados-Status-Invest'!$1:$1000,MATCH(U$1,'Dados-Status-Invest'!$2:$2,0),FALSE()),"")</f>
        <v>3.13</v>
      </c>
      <c r="V353" s="12" t="n">
        <f aca="false">IFERROR(VLOOKUP(A353,'Dados-Status-Invest'!$1:$1000,MATCH(V$1,'Dados-Status-Invest'!$2:$2,0),FALSE()),"")</f>
        <v>0.83</v>
      </c>
      <c r="W353" s="10" t="n">
        <f aca="false">IFERROR(VLOOKUP(A353,'Dados-Status-Invest'!$1:$1000,MATCH(W$1,'Dados-Status-Invest'!$2:$2,0),FALSE())/100,"")</f>
        <v>0.0943</v>
      </c>
      <c r="X353" s="10" t="n">
        <f aca="false">IFERROR(VLOOKUP(A353,'Dados-Status-Invest'!$1:$1000,MATCH(X$1,'Dados-Status-Invest'!$2:$2,0),FALSE())/100,"")</f>
        <v>0.0481</v>
      </c>
    </row>
    <row r="354" customFormat="false" ht="15.75" hidden="false" customHeight="false" outlineLevel="0" collapsed="false">
      <c r="A354" s="6" t="s">
        <v>386</v>
      </c>
      <c r="B354" s="7" t="str">
        <f aca="false">IFERROR(VLOOKUP(LEFT(A354,4),Setor!A:D,2,FALSE()),"")</f>
        <v>Consumo Cíclico</v>
      </c>
      <c r="C354" s="8" t="n">
        <f aca="false">IFERROR(__xludf.dummyfunction("IFERROR(IFERROR(GOOGLEFINANCE(A360,""price""),VLOOKUP(A360,'Dados-Status-Invest'!A:B,2,FALSE)),"""")"),6.32)</f>
        <v>6.32</v>
      </c>
      <c r="D354" s="8" t="n">
        <f aca="false">IFERROR(VLOOKUP(A354,'Dados-Status-Invest'!$1:$1000,MATCH(D$1,'Dados-Status-Invest'!$2:$2,0),FALSE()),"")</f>
        <v>850791937.5</v>
      </c>
      <c r="E354" s="8" t="n">
        <f aca="false">IF(D354+H354&gt;0,D354+H354,"")</f>
        <v>872163505.31</v>
      </c>
      <c r="F354" s="8" t="n">
        <f aca="false">IFERROR(D354/VLOOKUP(A354,'Dados-Status-Invest'!$1:$1000,5,FALSE()),"")</f>
        <v>1025050527</v>
      </c>
      <c r="G354" s="8" t="n">
        <f aca="false">IFERROR(D354/VLOOKUP(A354,'Dados-Status-Invest'!$1:$1000,6,FALSE()),"")</f>
        <v>2181517788</v>
      </c>
      <c r="H354" s="8" t="n">
        <f aca="false">IFERROR(VLOOKUP(A354,'Dados-Status-Invest'!$1:$1000,12,FALSE())*J354,"")</f>
        <v>21371567.81</v>
      </c>
      <c r="I354" s="8" t="n">
        <f aca="false">IFERROR(D354/VLOOKUP(A354,'Dados-Status-Invest'!$1:$1000,14,FALSE()),"")</f>
        <v>607708526.8</v>
      </c>
      <c r="J354" s="9" t="n">
        <f aca="false">IFERROR(D354/VLOOKUP(A354,'Dados-Status-Invest'!$1:$1000,10,FALSE()),"")</f>
        <v>-50884685.26</v>
      </c>
      <c r="K354" s="10" t="n">
        <f aca="false">IFERROR(VLOOKUP(A354,'Dados-Status-Invest'!$1:$1000,3,FALSE())/100,"")</f>
        <v>0</v>
      </c>
      <c r="L354" s="11" t="n">
        <f aca="false">IFERROR(VLOOKUP(A354,'Dados-Status-Invest'!$1:$1000,MATCH(L$1,'Dados-Status-Invest'!$2:$2,0),FALSE())/100,"")</f>
        <v>-0.0497</v>
      </c>
      <c r="M354" s="10" t="n">
        <f aca="false">IFERROR(VLOOKUP(A354,'Dados-Status-Invest'!$1:$1000,MATCH(M$1,'Dados-Status-Invest'!$2:$2,0),FALSE())/100,"")</f>
        <v>-0.0233</v>
      </c>
      <c r="N354" s="10" t="n">
        <f aca="false">IFERROR(VLOOKUP(A354,'Dados-Status-Invest'!$1:$1000,MATCH(N$1,'Dados-Status-Invest'!$2:$2,0),FALSE())/100,"")</f>
        <v>-0.0533</v>
      </c>
      <c r="O354" s="10" t="n">
        <f aca="false">IFERROR(VLOOKUP(A354,'Dados-Status-Invest'!$1:$1000,MATCH(O$1,'Dados-Status-Invest'!$2:$2,0),FALSE())/100,"")</f>
        <v>0.2927</v>
      </c>
      <c r="P354" s="10" t="n">
        <f aca="false">IFERROR(VLOOKUP(A354,'Dados-Status-Invest'!$1:$1000,MATCH(P$1,'Dados-Status-Invest'!$2:$2,0),FALSE())/100,"")</f>
        <v>-0.0839</v>
      </c>
      <c r="Q354" s="10" t="n">
        <f aca="false">IFERROR(VLOOKUP(A354,'Dados-Status-Invest'!$1:$1000,MATCH(Q$1,'Dados-Status-Invest'!$2:$2,0),FALSE())/100,"")</f>
        <v>-0.0836</v>
      </c>
      <c r="R354" s="12" t="n">
        <f aca="false">IFERROR(VLOOKUP(A354,'Dados-Status-Invest'!$1:$1000,MATCH(R$1,'Dados-Status-Invest'!$2:$2,0),FALSE()),"")</f>
        <v>-16.78</v>
      </c>
      <c r="S354" s="12" t="n">
        <f aca="false">IFERROR(VLOOKUP(A354,'Dados-Status-Invest'!$1:$1000,MATCH(S$1,'Dados-Status-Invest'!$2:$2,0),FALSE()),"")</f>
        <v>0.83</v>
      </c>
      <c r="T354" s="12" t="n">
        <f aca="false">IFERROR(VLOOKUP(A354,'Dados-Status-Invest'!$1:$1000,MATCH(T$1,'Dados-Status-Invest'!$2:$2,0),FALSE()),"")</f>
        <v>-17.1</v>
      </c>
      <c r="U354" s="12" t="n">
        <f aca="false">IFERROR(VLOOKUP(A354,'Dados-Status-Invest'!$1:$1000,MATCH(U$1,'Dados-Status-Invest'!$2:$2,0),FALSE()),"")</f>
        <v>2.04</v>
      </c>
      <c r="V354" s="12" t="n">
        <f aca="false">IFERROR(VLOOKUP(A354,'Dados-Status-Invest'!$1:$1000,MATCH(V$1,'Dados-Status-Invest'!$2:$2,0),FALSE()),"")</f>
        <v>-0.42</v>
      </c>
      <c r="W354" s="10" t="n">
        <f aca="false">IFERROR(VLOOKUP(A354,'Dados-Status-Invest'!$1:$1000,MATCH(W$1,'Dados-Status-Invest'!$2:$2,0),FALSE())/100,"")</f>
        <v>-0.0809</v>
      </c>
      <c r="X354" s="10" t="n">
        <f aca="false">IFERROR(VLOOKUP(A354,'Dados-Status-Invest'!$1:$1000,MATCH(X$1,'Dados-Status-Invest'!$2:$2,0),FALSE())/100,"")</f>
        <v>0</v>
      </c>
    </row>
    <row r="355" customFormat="false" ht="15.75" hidden="false" customHeight="false" outlineLevel="0" collapsed="false">
      <c r="A355" s="6" t="s">
        <v>387</v>
      </c>
      <c r="B355" s="7" t="str">
        <f aca="false">IFERROR(VLOOKUP(LEFT(A355,4),Setor!A:D,2,FALSE()),"")</f>
        <v>Consumo Cíclico</v>
      </c>
      <c r="C355" s="8" t="n">
        <f aca="false">IFERROR(__xludf.dummyfunction("IFERROR(IFERROR(GOOGLEFINANCE(A361,""price""),VLOOKUP(A361,'Dados-Status-Invest'!A:B,2,FALSE)),"""")"),2.11)</f>
        <v>2.11</v>
      </c>
      <c r="D355" s="8" t="n">
        <f aca="false">IFERROR(VLOOKUP(A355,'Dados-Status-Invest'!$1:$1000,MATCH(D$1,'Dados-Status-Invest'!$2:$2,0),FALSE()),"")</f>
        <v>1156932901</v>
      </c>
      <c r="E355" s="8" t="n">
        <f aca="false">IF(D355+H355&gt;0,D355+H355,"")</f>
        <v>1341371479.5</v>
      </c>
      <c r="F355" s="8" t="n">
        <f aca="false">IFERROR(D355/VLOOKUP(A355,'Dados-Status-Invest'!$1:$1000,5,FALSE()),"")</f>
        <v>1156932901</v>
      </c>
      <c r="G355" s="8" t="n">
        <f aca="false">IFERROR(D355/VLOOKUP(A355,'Dados-Status-Invest'!$1:$1000,6,FALSE()),"")</f>
        <v>2754602146</v>
      </c>
      <c r="H355" s="8" t="n">
        <f aca="false">IFERROR(VLOOKUP(A355,'Dados-Status-Invest'!$1:$1000,12,FALSE())*J355,"")</f>
        <v>184438578.5</v>
      </c>
      <c r="I355" s="8" t="n">
        <f aca="false">IFERROR(D355/VLOOKUP(A355,'Dados-Status-Invest'!$1:$1000,14,FALSE()),"")</f>
        <v>1101840858</v>
      </c>
      <c r="J355" s="9" t="n">
        <f aca="false">IFERROR(D355/VLOOKUP(A355,'Dados-Status-Invest'!$1:$1000,10,FALSE()),"")</f>
        <v>-558904783.2</v>
      </c>
      <c r="K355" s="10" t="n">
        <f aca="false">IFERROR(VLOOKUP(A355,'Dados-Status-Invest'!$1:$1000,3,FALSE())/100,"")</f>
        <v>0</v>
      </c>
      <c r="L355" s="11" t="n">
        <f aca="false">IFERROR(VLOOKUP(A355,'Dados-Status-Invest'!$1:$1000,MATCH(L$1,'Dados-Status-Invest'!$2:$2,0),FALSE())/100,"")</f>
        <v>-0.4161</v>
      </c>
      <c r="M355" s="10" t="n">
        <f aca="false">IFERROR(VLOOKUP(A355,'Dados-Status-Invest'!$1:$1000,MATCH(M$1,'Dados-Status-Invest'!$2:$2,0),FALSE())/100,"")</f>
        <v>-0.1741</v>
      </c>
      <c r="N355" s="10" t="n">
        <f aca="false">IFERROR(VLOOKUP(A355,'Dados-Status-Invest'!$1:$1000,MATCH(N$1,'Dados-Status-Invest'!$2:$2,0),FALSE())/100,"")</f>
        <v>-0.3689</v>
      </c>
      <c r="O355" s="10" t="n">
        <f aca="false">IFERROR(VLOOKUP(A355,'Dados-Status-Invest'!$1:$1000,MATCH(O$1,'Dados-Status-Invest'!$2:$2,0),FALSE())/100,"")</f>
        <v>0.2349</v>
      </c>
      <c r="P355" s="10" t="n">
        <f aca="false">IFERROR(VLOOKUP(A355,'Dados-Status-Invest'!$1:$1000,MATCH(P$1,'Dados-Status-Invest'!$2:$2,0),FALSE())/100,"")</f>
        <v>-0.5077</v>
      </c>
      <c r="Q355" s="10" t="n">
        <f aca="false">IFERROR(VLOOKUP(A355,'Dados-Status-Invest'!$1:$1000,MATCH(Q$1,'Dados-Status-Invest'!$2:$2,0),FALSE())/100,"")</f>
        <v>-0.4355</v>
      </c>
      <c r="R355" s="12" t="n">
        <f aca="false">IFERROR(VLOOKUP(A355,'Dados-Status-Invest'!$1:$1000,MATCH(R$1,'Dados-Status-Invest'!$2:$2,0),FALSE()),"")</f>
        <v>-2.41</v>
      </c>
      <c r="S355" s="12" t="n">
        <f aca="false">IFERROR(VLOOKUP(A355,'Dados-Status-Invest'!$1:$1000,MATCH(S$1,'Dados-Status-Invest'!$2:$2,0),FALSE()),"")</f>
        <v>1</v>
      </c>
      <c r="T355" s="12" t="n">
        <f aca="false">IFERROR(VLOOKUP(A355,'Dados-Status-Invest'!$1:$1000,MATCH(T$1,'Dados-Status-Invest'!$2:$2,0),FALSE()),"")</f>
        <v>-2.39</v>
      </c>
      <c r="U355" s="12" t="n">
        <f aca="false">IFERROR(VLOOKUP(A355,'Dados-Status-Invest'!$1:$1000,MATCH(U$1,'Dados-Status-Invest'!$2:$2,0),FALSE()),"")</f>
        <v>1.68</v>
      </c>
      <c r="V355" s="12" t="n">
        <f aca="false">IFERROR(VLOOKUP(A355,'Dados-Status-Invest'!$1:$1000,MATCH(V$1,'Dados-Status-Invest'!$2:$2,0),FALSE()),"")</f>
        <v>-0.33</v>
      </c>
      <c r="W355" s="10" t="n">
        <f aca="false">IFERROR(VLOOKUP(A355,'Dados-Status-Invest'!$1:$1000,MATCH(W$1,'Dados-Status-Invest'!$2:$2,0),FALSE())/100,"")</f>
        <v>-0.0651</v>
      </c>
      <c r="X355" s="10" t="n">
        <f aca="false">IFERROR(VLOOKUP(A355,'Dados-Status-Invest'!$1:$1000,MATCH(X$1,'Dados-Status-Invest'!$2:$2,0),FALSE())/100,"")</f>
        <v>0</v>
      </c>
    </row>
    <row r="356" customFormat="false" ht="15.75" hidden="false" customHeight="false" outlineLevel="0" collapsed="false">
      <c r="A356" s="6" t="s">
        <v>388</v>
      </c>
      <c r="B356" s="7" t="str">
        <f aca="false">IFERROR(VLOOKUP(LEFT(A356,4),Setor!A:D,2,FALSE()),"")</f>
        <v>Consumo Cíclico</v>
      </c>
      <c r="C356" s="8" t="n">
        <f aca="false">IFERROR(__xludf.dummyfunction("IFERROR(IFERROR(GOOGLEFINANCE(A362,""price""),VLOOKUP(A362,'Dados-Status-Invest'!A:B,2,FALSE)),"""")"),3.8)</f>
        <v>3.8</v>
      </c>
      <c r="D356" s="8" t="n">
        <f aca="false">IFERROR(VLOOKUP(A356,'Dados-Status-Invest'!$1:$1000,MATCH(D$1,'Dados-Status-Invest'!$2:$2,0),FALSE()),"")</f>
        <v>1289409914</v>
      </c>
      <c r="E356" s="8" t="n">
        <f aca="false">IF(D356+H356&gt;0,D356+H356,"")</f>
        <v>685923282.6</v>
      </c>
      <c r="F356" s="8" t="n">
        <f aca="false">IFERROR(D356/VLOOKUP(A356,'Dados-Status-Invest'!$1:$1000,5,FALSE()),"")</f>
        <v>1161630553</v>
      </c>
      <c r="G356" s="8" t="n">
        <f aca="false">IFERROR(D356/VLOOKUP(A356,'Dados-Status-Invest'!$1:$1000,6,FALSE()),"")</f>
        <v>1842014163</v>
      </c>
      <c r="H356" s="8" t="n">
        <f aca="false">IFERROR(VLOOKUP(A356,'Dados-Status-Invest'!$1:$1000,12,FALSE())*J356,"")</f>
        <v>-603486631.4</v>
      </c>
      <c r="I356" s="8" t="n">
        <f aca="false">IFERROR(D356/VLOOKUP(A356,'Dados-Status-Invest'!$1:$1000,14,FALSE()),"")</f>
        <v>611094746.1</v>
      </c>
      <c r="J356" s="9" t="n">
        <f aca="false">IFERROR(D356/VLOOKUP(A356,'Dados-Status-Invest'!$1:$1000,10,FALSE()),"")</f>
        <v>62928741.54</v>
      </c>
      <c r="K356" s="10" t="n">
        <f aca="false">IFERROR(VLOOKUP(A356,'Dados-Status-Invest'!$1:$1000,3,FALSE())/100,"")</f>
        <v>0.001</v>
      </c>
      <c r="L356" s="11" t="n">
        <f aca="false">IFERROR(VLOOKUP(A356,'Dados-Status-Invest'!$1:$1000,MATCH(L$1,'Dados-Status-Invest'!$2:$2,0),FALSE())/100,"")</f>
        <v>0.0465</v>
      </c>
      <c r="M356" s="10" t="n">
        <f aca="false">IFERROR(VLOOKUP(A356,'Dados-Status-Invest'!$1:$1000,MATCH(M$1,'Dados-Status-Invest'!$2:$2,0),FALSE())/100,"")</f>
        <v>0.0295</v>
      </c>
      <c r="N356" s="10" t="n">
        <f aca="false">IFERROR(VLOOKUP(A356,'Dados-Status-Invest'!$1:$1000,MATCH(N$1,'Dados-Status-Invest'!$2:$2,0),FALSE())/100,"")</f>
        <v>0.039</v>
      </c>
      <c r="O356" s="10" t="n">
        <f aca="false">IFERROR(VLOOKUP(A356,'Dados-Status-Invest'!$1:$1000,MATCH(O$1,'Dados-Status-Invest'!$2:$2,0),FALSE())/100,"")</f>
        <v>0.2246</v>
      </c>
      <c r="P356" s="10" t="n">
        <f aca="false">IFERROR(VLOOKUP(A356,'Dados-Status-Invest'!$1:$1000,MATCH(P$1,'Dados-Status-Invest'!$2:$2,0),FALSE())/100,"")</f>
        <v>0.1028</v>
      </c>
      <c r="Q356" s="10" t="n">
        <f aca="false">IFERROR(VLOOKUP(A356,'Dados-Status-Invest'!$1:$1000,MATCH(Q$1,'Dados-Status-Invest'!$2:$2,0),FALSE())/100,"")</f>
        <v>0.0883</v>
      </c>
      <c r="R356" s="12" t="n">
        <f aca="false">IFERROR(VLOOKUP(A356,'Dados-Status-Invest'!$1:$1000,MATCH(R$1,'Dados-Status-Invest'!$2:$2,0),FALSE()),"")</f>
        <v>23.84</v>
      </c>
      <c r="S356" s="12" t="n">
        <f aca="false">IFERROR(VLOOKUP(A356,'Dados-Status-Invest'!$1:$1000,MATCH(S$1,'Dados-Status-Invest'!$2:$2,0),FALSE()),"")</f>
        <v>1.11</v>
      </c>
      <c r="T356" s="12" t="n">
        <f aca="false">IFERROR(VLOOKUP(A356,'Dados-Status-Invest'!$1:$1000,MATCH(T$1,'Dados-Status-Invest'!$2:$2,0),FALSE()),"")</f>
        <v>10.9</v>
      </c>
      <c r="U356" s="12" t="n">
        <f aca="false">IFERROR(VLOOKUP(A356,'Dados-Status-Invest'!$1:$1000,MATCH(U$1,'Dados-Status-Invest'!$2:$2,0),FALSE()),"")</f>
        <v>3.1</v>
      </c>
      <c r="V356" s="12" t="n">
        <f aca="false">IFERROR(VLOOKUP(A356,'Dados-Status-Invest'!$1:$1000,MATCH(V$1,'Dados-Status-Invest'!$2:$2,0),FALSE()),"")</f>
        <v>-9.59</v>
      </c>
      <c r="W356" s="10" t="n">
        <f aca="false">IFERROR(VLOOKUP(A356,'Dados-Status-Invest'!$1:$1000,MATCH(W$1,'Dados-Status-Invest'!$2:$2,0),FALSE())/100,"")</f>
        <v>0</v>
      </c>
      <c r="X356" s="10" t="n">
        <f aca="false">IFERROR(VLOOKUP(A356,'Dados-Status-Invest'!$1:$1000,MATCH(X$1,'Dados-Status-Invest'!$2:$2,0),FALSE())/100,"")</f>
        <v>0</v>
      </c>
    </row>
    <row r="357" customFormat="false" ht="15.75" hidden="false" customHeight="false" outlineLevel="0" collapsed="false">
      <c r="A357" s="6" t="s">
        <v>389</v>
      </c>
      <c r="B357" s="7" t="str">
        <f aca="false">IFERROR(VLOOKUP(LEFT(A357,4),Setor!A:D,2,FALSE()),"")</f>
        <v>Financeiro</v>
      </c>
      <c r="C357" s="8" t="n">
        <f aca="false">IFERROR(__xludf.dummyfunction("IFERROR(IFERROR(GOOGLEFINANCE(A363,""price""),VLOOKUP(A363,'Dados-Status-Invest'!A:B,2,FALSE)),"""")"),25)</f>
        <v>25</v>
      </c>
      <c r="D357" s="8" t="n">
        <f aca="false">IFERROR(VLOOKUP(A357,'Dados-Status-Invest'!$1:$1000,MATCH(D$1,'Dados-Status-Invest'!$2:$2,0),FALSE()),"")</f>
        <v>376683062.2</v>
      </c>
      <c r="E357" s="8" t="n">
        <f aca="false">IF(D357+H357&gt;0,D357+H357,"")</f>
        <v>376683062.2</v>
      </c>
      <c r="F357" s="8" t="n">
        <f aca="false">IFERROR(D357/VLOOKUP(A357,'Dados-Status-Invest'!$1:$1000,5,FALSE()),"")</f>
        <v>192185235.8</v>
      </c>
      <c r="G357" s="8" t="n">
        <f aca="false">IFERROR(D357/VLOOKUP(A357,'Dados-Status-Invest'!$1:$1000,6,FALSE()),"")</f>
        <v>221578271.9</v>
      </c>
      <c r="H357" s="8" t="n">
        <f aca="false">IFERROR(VLOOKUP(A357,'Dados-Status-Invest'!$1:$1000,12,FALSE())*J357,"")</f>
        <v>0</v>
      </c>
      <c r="I357" s="8" t="n">
        <f aca="false">IFERROR(D357/VLOOKUP(A357,'Dados-Status-Invest'!$1:$1000,14,FALSE()),"")</f>
        <v>41668480.33</v>
      </c>
      <c r="J357" s="9" t="n">
        <f aca="false">IFERROR(D357/VLOOKUP(A357,'Dados-Status-Invest'!$1:$1000,10,FALSE()),"")</f>
        <v>9656064.141</v>
      </c>
      <c r="K357" s="10" t="n">
        <f aca="false">IFERROR(VLOOKUP(A357,'Dados-Status-Invest'!$1:$1000,3,FALSE())/100,"")</f>
        <v>0</v>
      </c>
      <c r="L357" s="11" t="n">
        <f aca="false">IFERROR(VLOOKUP(A357,'Dados-Status-Invest'!$1:$1000,MATCH(L$1,'Dados-Status-Invest'!$2:$2,0),FALSE())/100,"")</f>
        <v>0.0347</v>
      </c>
      <c r="M357" s="10" t="n">
        <f aca="false">IFERROR(VLOOKUP(A357,'Dados-Status-Invest'!$1:$1000,MATCH(M$1,'Dados-Status-Invest'!$2:$2,0),FALSE())/100,"")</f>
        <v>0.0302</v>
      </c>
      <c r="N357" s="10" t="n">
        <f aca="false">IFERROR(VLOOKUP(A357,'Dados-Status-Invest'!$1:$1000,MATCH(N$1,'Dados-Status-Invest'!$2:$2,0),FALSE())/100,"")</f>
        <v>0</v>
      </c>
      <c r="O357" s="10" t="n">
        <f aca="false">IFERROR(VLOOKUP(A357,'Dados-Status-Invest'!$1:$1000,MATCH(O$1,'Dados-Status-Invest'!$2:$2,0),FALSE())/100,"")</f>
        <v>0.8007</v>
      </c>
      <c r="P357" s="10" t="n">
        <f aca="false">IFERROR(VLOOKUP(A357,'Dados-Status-Invest'!$1:$1000,MATCH(P$1,'Dados-Status-Invest'!$2:$2,0),FALSE())/100,"")</f>
        <v>0.2318</v>
      </c>
      <c r="Q357" s="10" t="n">
        <f aca="false">IFERROR(VLOOKUP(A357,'Dados-Status-Invest'!$1:$1000,MATCH(Q$1,'Dados-Status-Invest'!$2:$2,0),FALSE())/100,"")</f>
        <v>0.1604</v>
      </c>
      <c r="R357" s="12" t="n">
        <f aca="false">IFERROR(VLOOKUP(A357,'Dados-Status-Invest'!$1:$1000,MATCH(R$1,'Dados-Status-Invest'!$2:$2,0),FALSE()),"")</f>
        <v>56.39</v>
      </c>
      <c r="S357" s="12" t="n">
        <f aca="false">IFERROR(VLOOKUP(A357,'Dados-Status-Invest'!$1:$1000,MATCH(S$1,'Dados-Status-Invest'!$2:$2,0),FALSE()),"")</f>
        <v>1.96</v>
      </c>
      <c r="T357" s="12" t="n">
        <f aca="false">IFERROR(VLOOKUP(A357,'Dados-Status-Invest'!$1:$1000,MATCH(T$1,'Dados-Status-Invest'!$2:$2,0),FALSE()),"")</f>
        <v>30.16</v>
      </c>
      <c r="U357" s="12" t="n">
        <f aca="false">IFERROR(VLOOKUP(A357,'Dados-Status-Invest'!$1:$1000,MATCH(U$1,'Dados-Status-Invest'!$2:$2,0),FALSE()),"")</f>
        <v>11.96</v>
      </c>
      <c r="V357" s="12" t="n">
        <f aca="false">IFERROR(VLOOKUP(A357,'Dados-Status-Invest'!$1:$1000,MATCH(V$1,'Dados-Status-Invest'!$2:$2,0),FALSE()),"")</f>
        <v>0</v>
      </c>
      <c r="W357" s="10" t="n">
        <f aca="false">IFERROR(VLOOKUP(A357,'Dados-Status-Invest'!$1:$1000,MATCH(W$1,'Dados-Status-Invest'!$2:$2,0),FALSE())/100,"")</f>
        <v>-0.3032</v>
      </c>
      <c r="X357" s="10" t="n">
        <f aca="false">IFERROR(VLOOKUP(A357,'Dados-Status-Invest'!$1:$1000,MATCH(X$1,'Dados-Status-Invest'!$2:$2,0),FALSE())/100,"")</f>
        <v>0</v>
      </c>
    </row>
    <row r="358" customFormat="false" ht="15.75" hidden="false" customHeight="false" outlineLevel="0" collapsed="false">
      <c r="A358" s="6" t="s">
        <v>390</v>
      </c>
      <c r="B358" s="7" t="str">
        <f aca="false">IFERROR(VLOOKUP(LEFT(A358,4),Setor!A:D,2,FALSE()),"")</f>
        <v>Financeiro</v>
      </c>
      <c r="C358" s="8" t="n">
        <f aca="false">IFERROR(__xludf.dummyfunction("IFERROR(IFERROR(GOOGLEFINANCE(A364,""price""),VLOOKUP(A364,'Dados-Status-Invest'!A:B,2,FALSE)),"""")"),9.1)</f>
        <v>9.1</v>
      </c>
      <c r="D358" s="8" t="n">
        <f aca="false">IFERROR(VLOOKUP(A358,'Dados-Status-Invest'!$1:$1000,MATCH(D$1,'Dados-Status-Invest'!$2:$2,0),FALSE()),"")</f>
        <v>376683062.2</v>
      </c>
      <c r="E358" s="8" t="n">
        <f aca="false">IF(D358+H358&gt;0,D358+H358,"")</f>
        <v>376683062.2</v>
      </c>
      <c r="F358" s="8" t="n">
        <f aca="false">IFERROR(D358/VLOOKUP(A358,'Dados-Status-Invest'!$1:$1000,5,FALSE()),"")</f>
        <v>400726661.9</v>
      </c>
      <c r="G358" s="8" t="n">
        <f aca="false">IFERROR(D358/VLOOKUP(A358,'Dados-Status-Invest'!$1:$1000,6,FALSE()),"")</f>
        <v>459369588</v>
      </c>
      <c r="H358" s="8" t="n">
        <f aca="false">IFERROR(VLOOKUP(A358,'Dados-Status-Invest'!$1:$1000,12,FALSE())*J358,"")</f>
        <v>0</v>
      </c>
      <c r="I358" s="8" t="n">
        <f aca="false">IFERROR(D358/VLOOKUP(A358,'Dados-Status-Invest'!$1:$1000,14,FALSE()),"")</f>
        <v>86993778.79</v>
      </c>
      <c r="J358" s="9" t="n">
        <f aca="false">IFERROR(D358/VLOOKUP(A358,'Dados-Status-Invest'!$1:$1000,10,FALSE()),"")</f>
        <v>20186659.28</v>
      </c>
      <c r="K358" s="10" t="n">
        <f aca="false">IFERROR(VLOOKUP(A358,'Dados-Status-Invest'!$1:$1000,3,FALSE())/100,"")</f>
        <v>0.0382</v>
      </c>
      <c r="L358" s="11" t="n">
        <f aca="false">IFERROR(VLOOKUP(A358,'Dados-Status-Invest'!$1:$1000,MATCH(L$1,'Dados-Status-Invest'!$2:$2,0),FALSE())/100,"")</f>
        <v>0.0347</v>
      </c>
      <c r="M358" s="10" t="n">
        <f aca="false">IFERROR(VLOOKUP(A358,'Dados-Status-Invest'!$1:$1000,MATCH(M$1,'Dados-Status-Invest'!$2:$2,0),FALSE())/100,"")</f>
        <v>0.0302</v>
      </c>
      <c r="N358" s="10" t="n">
        <f aca="false">IFERROR(VLOOKUP(A358,'Dados-Status-Invest'!$1:$1000,MATCH(N$1,'Dados-Status-Invest'!$2:$2,0),FALSE())/100,"")</f>
        <v>0</v>
      </c>
      <c r="O358" s="10" t="n">
        <f aca="false">IFERROR(VLOOKUP(A358,'Dados-Status-Invest'!$1:$1000,MATCH(O$1,'Dados-Status-Invest'!$2:$2,0),FALSE())/100,"")</f>
        <v>0.8007</v>
      </c>
      <c r="P358" s="10" t="n">
        <f aca="false">IFERROR(VLOOKUP(A358,'Dados-Status-Invest'!$1:$1000,MATCH(P$1,'Dados-Status-Invest'!$2:$2,0),FALSE())/100,"")</f>
        <v>0.2318</v>
      </c>
      <c r="Q358" s="10" t="n">
        <f aca="false">IFERROR(VLOOKUP(A358,'Dados-Status-Invest'!$1:$1000,MATCH(Q$1,'Dados-Status-Invest'!$2:$2,0),FALSE())/100,"")</f>
        <v>0.1604</v>
      </c>
      <c r="R358" s="12" t="n">
        <f aca="false">IFERROR(VLOOKUP(A358,'Dados-Status-Invest'!$1:$1000,MATCH(R$1,'Dados-Status-Invest'!$2:$2,0),FALSE()),"")</f>
        <v>26.97</v>
      </c>
      <c r="S358" s="12" t="n">
        <f aca="false">IFERROR(VLOOKUP(A358,'Dados-Status-Invest'!$1:$1000,MATCH(S$1,'Dados-Status-Invest'!$2:$2,0),FALSE()),"")</f>
        <v>0.94</v>
      </c>
      <c r="T358" s="12" t="n">
        <f aca="false">IFERROR(VLOOKUP(A358,'Dados-Status-Invest'!$1:$1000,MATCH(T$1,'Dados-Status-Invest'!$2:$2,0),FALSE()),"")</f>
        <v>30.16</v>
      </c>
      <c r="U358" s="12" t="n">
        <f aca="false">IFERROR(VLOOKUP(A358,'Dados-Status-Invest'!$1:$1000,MATCH(U$1,'Dados-Status-Invest'!$2:$2,0),FALSE()),"")</f>
        <v>11.96</v>
      </c>
      <c r="V358" s="12" t="n">
        <f aca="false">IFERROR(VLOOKUP(A358,'Dados-Status-Invest'!$1:$1000,MATCH(V$1,'Dados-Status-Invest'!$2:$2,0),FALSE()),"")</f>
        <v>0</v>
      </c>
      <c r="W358" s="10" t="n">
        <f aca="false">IFERROR(VLOOKUP(A358,'Dados-Status-Invest'!$1:$1000,MATCH(W$1,'Dados-Status-Invest'!$2:$2,0),FALSE())/100,"")</f>
        <v>-0.3032</v>
      </c>
      <c r="X358" s="10" t="n">
        <f aca="false">IFERROR(VLOOKUP(A358,'Dados-Status-Invest'!$1:$1000,MATCH(X$1,'Dados-Status-Invest'!$2:$2,0),FALSE())/100,"")</f>
        <v>0</v>
      </c>
    </row>
    <row r="359" customFormat="false" ht="15.75" hidden="false" customHeight="false" outlineLevel="0" collapsed="false">
      <c r="A359" s="6" t="s">
        <v>391</v>
      </c>
      <c r="B359" s="7" t="str">
        <f aca="false">IFERROR(VLOOKUP(LEFT(A359,4),Setor!A:D,2,FALSE()),"")</f>
        <v>Materiais Básicos</v>
      </c>
      <c r="C359" s="8" t="n">
        <f aca="false">IFERROR(__xludf.dummyfunction("IFERROR(IFERROR(GOOGLEFINANCE(A365,""price""),VLOOKUP(A365,'Dados-Status-Invest'!A:B,2,FALSE)),"""")"),0)</f>
        <v>0</v>
      </c>
      <c r="D359" s="8" t="n">
        <f aca="false">IFERROR(VLOOKUP(A359,'Dados-Status-Invest'!$1:$1000,MATCH(D$1,'Dados-Status-Invest'!$2:$2,0),FALSE()),"")</f>
        <v>113122544.8</v>
      </c>
      <c r="E359" s="8" t="n">
        <f aca="false">IF(D359+H359&gt;0,D359+H359,"")</f>
        <v>815673086.1</v>
      </c>
      <c r="F359" s="8" t="n">
        <f aca="false">IFERROR(D359/VLOOKUP(A359,'Dados-Status-Invest'!$1:$1000,5,FALSE()),"")</f>
        <v>-418972388.1</v>
      </c>
      <c r="G359" s="8" t="n">
        <f aca="false">IFERROR(D359/VLOOKUP(A359,'Dados-Status-Invest'!$1:$1000,6,FALSE()),"")</f>
        <v>471343936.6</v>
      </c>
      <c r="H359" s="8" t="n">
        <f aca="false">IFERROR(VLOOKUP(A359,'Dados-Status-Invest'!$1:$1000,12,FALSE())*J359,"")</f>
        <v>702550541.3</v>
      </c>
      <c r="I359" s="8" t="n">
        <f aca="false">IFERROR(D359/VLOOKUP(A359,'Dados-Status-Invest'!$1:$1000,14,FALSE()),"")</f>
        <v>628458582.2</v>
      </c>
      <c r="J359" s="9" t="n">
        <f aca="false">IFERROR(D359/VLOOKUP(A359,'Dados-Status-Invest'!$1:$1000,10,FALSE()),"")</f>
        <v>99230302.45</v>
      </c>
      <c r="K359" s="10" t="n">
        <f aca="false">IFERROR(VLOOKUP(A359,'Dados-Status-Invest'!$1:$1000,3,FALSE())/100,"")</f>
        <v>0</v>
      </c>
      <c r="L359" s="11" t="n">
        <f aca="false">IFERROR(VLOOKUP(A359,'Dados-Status-Invest'!$1:$1000,MATCH(L$1,'Dados-Status-Invest'!$2:$2,0),FALSE())/100,"")</f>
        <v>-0.1068</v>
      </c>
      <c r="M359" s="10" t="n">
        <f aca="false">IFERROR(VLOOKUP(A359,'Dados-Status-Invest'!$1:$1000,MATCH(M$1,'Dados-Status-Invest'!$2:$2,0),FALSE())/100,"")</f>
        <v>0.0947</v>
      </c>
      <c r="N359" s="10" t="n">
        <f aca="false">IFERROR(VLOOKUP(A359,'Dados-Status-Invest'!$1:$1000,MATCH(N$1,'Dados-Status-Invest'!$2:$2,0),FALSE())/100,"")</f>
        <v>0.2648</v>
      </c>
      <c r="O359" s="10" t="n">
        <f aca="false">IFERROR(VLOOKUP(A359,'Dados-Status-Invest'!$1:$1000,MATCH(O$1,'Dados-Status-Invest'!$2:$2,0),FALSE())/100,"")</f>
        <v>0.1521</v>
      </c>
      <c r="P359" s="10" t="n">
        <f aca="false">IFERROR(VLOOKUP(A359,'Dados-Status-Invest'!$1:$1000,MATCH(P$1,'Dados-Status-Invest'!$2:$2,0),FALSE())/100,"")</f>
        <v>0.1606</v>
      </c>
      <c r="Q359" s="10" t="n">
        <f aca="false">IFERROR(VLOOKUP(A359,'Dados-Status-Invest'!$1:$1000,MATCH(Q$1,'Dados-Status-Invest'!$2:$2,0),FALSE())/100,"")</f>
        <v>0.0738</v>
      </c>
      <c r="R359" s="12" t="n">
        <f aca="false">IFERROR(VLOOKUP(A359,'Dados-Status-Invest'!$1:$1000,MATCH(R$1,'Dados-Status-Invest'!$2:$2,0),FALSE()),"")</f>
        <v>2.49</v>
      </c>
      <c r="S359" s="12" t="n">
        <f aca="false">IFERROR(VLOOKUP(A359,'Dados-Status-Invest'!$1:$1000,MATCH(S$1,'Dados-Status-Invest'!$2:$2,0),FALSE()),"")</f>
        <v>-0.27</v>
      </c>
      <c r="T359" s="12" t="n">
        <f aca="false">IFERROR(VLOOKUP(A359,'Dados-Status-Invest'!$1:$1000,MATCH(T$1,'Dados-Status-Invest'!$2:$2,0),FALSE()),"")</f>
        <v>8.25</v>
      </c>
      <c r="U359" s="12" t="n">
        <f aca="false">IFERROR(VLOOKUP(A359,'Dados-Status-Invest'!$1:$1000,MATCH(U$1,'Dados-Status-Invest'!$2:$2,0),FALSE()),"")</f>
        <v>2.42</v>
      </c>
      <c r="V359" s="12" t="n">
        <f aca="false">IFERROR(VLOOKUP(A359,'Dados-Status-Invest'!$1:$1000,MATCH(V$1,'Dados-Status-Invest'!$2:$2,0),FALSE()),"")</f>
        <v>7.08</v>
      </c>
      <c r="W359" s="10" t="n">
        <f aca="false">IFERROR(VLOOKUP(A359,'Dados-Status-Invest'!$1:$1000,MATCH(W$1,'Dados-Status-Invest'!$2:$2,0),FALSE())/100,"")</f>
        <v>0.0503</v>
      </c>
      <c r="X359" s="10" t="n">
        <f aca="false">IFERROR(VLOOKUP(A359,'Dados-Status-Invest'!$1:$1000,MATCH(X$1,'Dados-Status-Invest'!$2:$2,0),FALSE())/100,"")</f>
        <v>0</v>
      </c>
    </row>
    <row r="360" customFormat="false" ht="15.75" hidden="false" customHeight="false" outlineLevel="0" collapsed="false">
      <c r="A360" s="6" t="s">
        <v>392</v>
      </c>
      <c r="B360" s="7" t="str">
        <f aca="false">IFERROR(VLOOKUP(LEFT(A360,4),Setor!A:D,2,FALSE()),"")</f>
        <v>Materiais Básicos</v>
      </c>
      <c r="C360" s="8" t="n">
        <f aca="false">IFERROR(__xludf.dummyfunction("IFERROR(IFERROR(GOOGLEFINANCE(A366,""price""),VLOOKUP(A366,'Dados-Status-Invest'!A:B,2,FALSE)),"""")"),17.7)</f>
        <v>17.7</v>
      </c>
      <c r="D360" s="8" t="n">
        <f aca="false">IFERROR(VLOOKUP(A360,'Dados-Status-Invest'!$1:$1000,MATCH(D$1,'Dados-Status-Invest'!$2:$2,0),FALSE()),"")</f>
        <v>113122544.8</v>
      </c>
      <c r="E360" s="8" t="n">
        <f aca="false">IF(D360+H360&gt;0,D360+H360,"")</f>
        <v>791857813.5</v>
      </c>
      <c r="F360" s="8" t="n">
        <f aca="false">IFERROR(D360/VLOOKUP(A360,'Dados-Status-Invest'!$1:$1000,5,FALSE()),"")</f>
        <v>-404009088.5</v>
      </c>
      <c r="G360" s="8" t="n">
        <f aca="false">IFERROR(D360/VLOOKUP(A360,'Dados-Status-Invest'!$1:$1000,6,FALSE()),"")</f>
        <v>471343936.6</v>
      </c>
      <c r="H360" s="8" t="n">
        <f aca="false">IFERROR(VLOOKUP(A360,'Dados-Status-Invest'!$1:$1000,12,FALSE())*J360,"")</f>
        <v>678735268.7</v>
      </c>
      <c r="I360" s="8" t="n">
        <f aca="false">IFERROR(D360/VLOOKUP(A360,'Dados-Status-Invest'!$1:$1000,14,FALSE()),"")</f>
        <v>595381814.7</v>
      </c>
      <c r="J360" s="9" t="n">
        <f aca="false">IFERROR(D360/VLOOKUP(A360,'Dados-Status-Invest'!$1:$1000,10,FALSE()),"")</f>
        <v>95866563.38</v>
      </c>
      <c r="K360" s="10" t="n">
        <f aca="false">IFERROR(VLOOKUP(A360,'Dados-Status-Invest'!$1:$1000,3,FALSE())/100,"")</f>
        <v>0</v>
      </c>
      <c r="L360" s="11" t="n">
        <f aca="false">IFERROR(VLOOKUP(A360,'Dados-Status-Invest'!$1:$1000,MATCH(L$1,'Dados-Status-Invest'!$2:$2,0),FALSE())/100,"")</f>
        <v>-0.1068</v>
      </c>
      <c r="M360" s="10" t="n">
        <f aca="false">IFERROR(VLOOKUP(A360,'Dados-Status-Invest'!$1:$1000,MATCH(M$1,'Dados-Status-Invest'!$2:$2,0),FALSE())/100,"")</f>
        <v>0.0947</v>
      </c>
      <c r="N360" s="10" t="n">
        <f aca="false">IFERROR(VLOOKUP(A360,'Dados-Status-Invest'!$1:$1000,MATCH(N$1,'Dados-Status-Invest'!$2:$2,0),FALSE())/100,"")</f>
        <v>0.2648</v>
      </c>
      <c r="O360" s="10" t="n">
        <f aca="false">IFERROR(VLOOKUP(A360,'Dados-Status-Invest'!$1:$1000,MATCH(O$1,'Dados-Status-Invest'!$2:$2,0),FALSE())/100,"")</f>
        <v>0.1521</v>
      </c>
      <c r="P360" s="10" t="n">
        <f aca="false">IFERROR(VLOOKUP(A360,'Dados-Status-Invest'!$1:$1000,MATCH(P$1,'Dados-Status-Invest'!$2:$2,0),FALSE())/100,"")</f>
        <v>0.1606</v>
      </c>
      <c r="Q360" s="10" t="n">
        <f aca="false">IFERROR(VLOOKUP(A360,'Dados-Status-Invest'!$1:$1000,MATCH(Q$1,'Dados-Status-Invest'!$2:$2,0),FALSE())/100,"")</f>
        <v>0.0738</v>
      </c>
      <c r="R360" s="12" t="n">
        <f aca="false">IFERROR(VLOOKUP(A360,'Dados-Status-Invest'!$1:$1000,MATCH(R$1,'Dados-Status-Invest'!$2:$2,0),FALSE()),"")</f>
        <v>2.58</v>
      </c>
      <c r="S360" s="12" t="n">
        <f aca="false">IFERROR(VLOOKUP(A360,'Dados-Status-Invest'!$1:$1000,MATCH(S$1,'Dados-Status-Invest'!$2:$2,0),FALSE()),"")</f>
        <v>-0.28</v>
      </c>
      <c r="T360" s="12" t="n">
        <f aca="false">IFERROR(VLOOKUP(A360,'Dados-Status-Invest'!$1:$1000,MATCH(T$1,'Dados-Status-Invest'!$2:$2,0),FALSE()),"")</f>
        <v>8.25</v>
      </c>
      <c r="U360" s="12" t="n">
        <f aca="false">IFERROR(VLOOKUP(A360,'Dados-Status-Invest'!$1:$1000,MATCH(U$1,'Dados-Status-Invest'!$2:$2,0),FALSE()),"")</f>
        <v>2.42</v>
      </c>
      <c r="V360" s="12" t="n">
        <f aca="false">IFERROR(VLOOKUP(A360,'Dados-Status-Invest'!$1:$1000,MATCH(V$1,'Dados-Status-Invest'!$2:$2,0),FALSE()),"")</f>
        <v>7.08</v>
      </c>
      <c r="W360" s="10" t="n">
        <f aca="false">IFERROR(VLOOKUP(A360,'Dados-Status-Invest'!$1:$1000,MATCH(W$1,'Dados-Status-Invest'!$2:$2,0),FALSE())/100,"")</f>
        <v>0.0503</v>
      </c>
      <c r="X360" s="10" t="n">
        <f aca="false">IFERROR(VLOOKUP(A360,'Dados-Status-Invest'!$1:$1000,MATCH(X$1,'Dados-Status-Invest'!$2:$2,0),FALSE())/100,"")</f>
        <v>0</v>
      </c>
    </row>
    <row r="361" customFormat="false" ht="15.75" hidden="false" customHeight="false" outlineLevel="0" collapsed="false">
      <c r="A361" s="6" t="s">
        <v>393</v>
      </c>
      <c r="B361" s="7" t="str">
        <f aca="false">IFERROR(VLOOKUP(LEFT(A361,4),Setor!A:D,2,FALSE()),"")</f>
        <v>Consumo Cíclico</v>
      </c>
      <c r="C361" s="8" t="n">
        <f aca="false">IFERROR(__xludf.dummyfunction("IFERROR(IFERROR(GOOGLEFINANCE(A367,""price""),VLOOKUP(A367,'Dados-Status-Invest'!A:B,2,FALSE)),"""")"),3.64)</f>
        <v>3.64</v>
      </c>
      <c r="D361" s="8" t="n">
        <f aca="false">IFERROR(VLOOKUP(A361,'Dados-Status-Invest'!$1:$1000,MATCH(D$1,'Dados-Status-Invest'!$2:$2,0),FALSE()),"")</f>
        <v>137842238446</v>
      </c>
      <c r="E361" s="8" t="n">
        <f aca="false">IF(D361+H361&gt;0,D361+H361,"")</f>
        <v>138125888769.5</v>
      </c>
      <c r="F361" s="8" t="n">
        <f aca="false">IFERROR(D361/VLOOKUP(A361,'Dados-Status-Invest'!$1:$1000,5,FALSE()),"")</f>
        <v>7258675010</v>
      </c>
      <c r="G361" s="8" t="n">
        <f aca="false">IFERROR(D361/VLOOKUP(A361,'Dados-Status-Invest'!$1:$1000,6,FALSE()),"")</f>
        <v>22560104492</v>
      </c>
      <c r="H361" s="8" t="n">
        <f aca="false">IFERROR(VLOOKUP(A361,'Dados-Status-Invest'!$1:$1000,12,FALSE())*J361,"")</f>
        <v>283650323.5</v>
      </c>
      <c r="I361" s="8" t="n">
        <f aca="false">IFERROR(D361/VLOOKUP(A361,'Dados-Status-Invest'!$1:$1000,14,FALSE()),"")</f>
        <v>32131057913</v>
      </c>
      <c r="J361" s="9" t="n">
        <f aca="false">IFERROR(D361/VLOOKUP(A361,'Dados-Status-Invest'!$1:$1000,10,FALSE()),"")</f>
        <v>1181876348</v>
      </c>
      <c r="K361" s="10" t="n">
        <f aca="false">IFERROR(VLOOKUP(A361,'Dados-Status-Invest'!$1:$1000,3,FALSE())/100,"")</f>
        <v>0.0023</v>
      </c>
      <c r="L361" s="11" t="n">
        <f aca="false">IFERROR(VLOOKUP(A361,'Dados-Status-Invest'!$1:$1000,MATCH(L$1,'Dados-Status-Invest'!$2:$2,0),FALSE())/100,"")</f>
        <v>0.0852</v>
      </c>
      <c r="M361" s="10" t="n">
        <f aca="false">IFERROR(VLOOKUP(A361,'Dados-Status-Invest'!$1:$1000,MATCH(M$1,'Dados-Status-Invest'!$2:$2,0),FALSE())/100,"")</f>
        <v>0.0274</v>
      </c>
      <c r="N361" s="10" t="n">
        <f aca="false">IFERROR(VLOOKUP(A361,'Dados-Status-Invest'!$1:$1000,MATCH(N$1,'Dados-Status-Invest'!$2:$2,0),FALSE())/100,"")</f>
        <v>0.1237</v>
      </c>
      <c r="O361" s="10" t="n">
        <f aca="false">IFERROR(VLOOKUP(A361,'Dados-Status-Invest'!$1:$1000,MATCH(O$1,'Dados-Status-Invest'!$2:$2,0),FALSE())/100,"")</f>
        <v>0.2538</v>
      </c>
      <c r="P361" s="10" t="n">
        <f aca="false">IFERROR(VLOOKUP(A361,'Dados-Status-Invest'!$1:$1000,MATCH(P$1,'Dados-Status-Invest'!$2:$2,0),FALSE())/100,"")</f>
        <v>0.0368</v>
      </c>
      <c r="Q361" s="10" t="n">
        <f aca="false">IFERROR(VLOOKUP(A361,'Dados-Status-Invest'!$1:$1000,MATCH(Q$1,'Dados-Status-Invest'!$2:$2,0),FALSE())/100,"")</f>
        <v>0.0192</v>
      </c>
      <c r="R361" s="12" t="n">
        <f aca="false">IFERROR(VLOOKUP(A361,'Dados-Status-Invest'!$1:$1000,MATCH(R$1,'Dados-Status-Invest'!$2:$2,0),FALSE()),"")</f>
        <v>222.91</v>
      </c>
      <c r="S361" s="12" t="n">
        <f aca="false">IFERROR(VLOOKUP(A361,'Dados-Status-Invest'!$1:$1000,MATCH(S$1,'Dados-Status-Invest'!$2:$2,0),FALSE()),"")</f>
        <v>18.99</v>
      </c>
      <c r="T361" s="12" t="n">
        <f aca="false">IFERROR(VLOOKUP(A361,'Dados-Status-Invest'!$1:$1000,MATCH(T$1,'Dados-Status-Invest'!$2:$2,0),FALSE()),"")</f>
        <v>116.66</v>
      </c>
      <c r="U361" s="12" t="n">
        <f aca="false">IFERROR(VLOOKUP(A361,'Dados-Status-Invest'!$1:$1000,MATCH(U$1,'Dados-Status-Invest'!$2:$2,0),FALSE()),"")</f>
        <v>1.34</v>
      </c>
      <c r="V361" s="12" t="n">
        <f aca="false">IFERROR(VLOOKUP(A361,'Dados-Status-Invest'!$1:$1000,MATCH(V$1,'Dados-Status-Invest'!$2:$2,0),FALSE()),"")</f>
        <v>0.24</v>
      </c>
      <c r="W361" s="10" t="n">
        <f aca="false">IFERROR(VLOOKUP(A361,'Dados-Status-Invest'!$1:$1000,MATCH(W$1,'Dados-Status-Invest'!$2:$2,0),FALSE())/100,"")</f>
        <v>0.2658</v>
      </c>
      <c r="X361" s="10" t="n">
        <f aca="false">IFERROR(VLOOKUP(A361,'Dados-Status-Invest'!$1:$1000,MATCH(X$1,'Dados-Status-Invest'!$2:$2,0),FALSE())/100,"")</f>
        <v>0</v>
      </c>
    </row>
    <row r="362" customFormat="false" ht="15.75" hidden="false" customHeight="false" outlineLevel="0" collapsed="false">
      <c r="A362" s="6" t="s">
        <v>394</v>
      </c>
      <c r="B362" s="7" t="str">
        <f aca="false">IFERROR(VLOOKUP(LEFT(A362,4),Setor!A:D,2,FALSE()),"")</f>
        <v>Bens Industriais</v>
      </c>
      <c r="C362" s="8" t="n">
        <f aca="false">IFERROR(__xludf.dummyfunction("IFERROR(IFERROR(GOOGLEFINANCE(A368,""price""),VLOOKUP(A368,'Dados-Status-Invest'!A:B,2,FALSE)),"""")"),7.74)</f>
        <v>7.74</v>
      </c>
      <c r="D362" s="8" t="n">
        <f aca="false">IFERROR(VLOOKUP(A362,'Dados-Status-Invest'!$1:$1000,MATCH(D$1,'Dados-Status-Invest'!$2:$2,0),FALSE()),"")</f>
        <v>2148477580</v>
      </c>
      <c r="E362" s="8" t="n">
        <f aca="false">IF(D362+H362&gt;0,D362+H362,"")</f>
        <v>2009081942.1</v>
      </c>
      <c r="F362" s="8" t="n">
        <f aca="false">IFERROR(D362/VLOOKUP(A362,'Dados-Status-Invest'!$1:$1000,5,FALSE()),"")</f>
        <v>1101783374</v>
      </c>
      <c r="G362" s="8" t="n">
        <f aca="false">IFERROR(D362/VLOOKUP(A362,'Dados-Status-Invest'!$1:$1000,6,FALSE()),"")</f>
        <v>1491998319</v>
      </c>
      <c r="H362" s="8" t="n">
        <f aca="false">IFERROR(VLOOKUP(A362,'Dados-Status-Invest'!$1:$1000,12,FALSE())*J362,"")</f>
        <v>-139395637.9</v>
      </c>
      <c r="I362" s="8" t="n">
        <f aca="false">IFERROR(D362/VLOOKUP(A362,'Dados-Status-Invest'!$1:$1000,14,FALSE()),"")</f>
        <v>531801381.1</v>
      </c>
      <c r="J362" s="9" t="n">
        <f aca="false">IFERROR(D362/VLOOKUP(A362,'Dados-Status-Invest'!$1:$1000,10,FALSE()),"")</f>
        <v>30771663.99</v>
      </c>
      <c r="K362" s="10" t="n">
        <f aca="false">IFERROR(VLOOKUP(A362,'Dados-Status-Invest'!$1:$1000,3,FALSE())/100,"")</f>
        <v>0.0027</v>
      </c>
      <c r="L362" s="11" t="n">
        <f aca="false">IFERROR(VLOOKUP(A362,'Dados-Status-Invest'!$1:$1000,MATCH(L$1,'Dados-Status-Invest'!$2:$2,0),FALSE())/100,"")</f>
        <v>0.0033</v>
      </c>
      <c r="M362" s="10" t="n">
        <f aca="false">IFERROR(VLOOKUP(A362,'Dados-Status-Invest'!$1:$1000,MATCH(M$1,'Dados-Status-Invest'!$2:$2,0),FALSE())/100,"")</f>
        <v>0.0024</v>
      </c>
      <c r="N362" s="10" t="n">
        <f aca="false">IFERROR(VLOOKUP(A362,'Dados-Status-Invest'!$1:$1000,MATCH(N$1,'Dados-Status-Invest'!$2:$2,0),FALSE())/100,"")</f>
        <v>0.0112</v>
      </c>
      <c r="O362" s="10" t="n">
        <f aca="false">IFERROR(VLOOKUP(A362,'Dados-Status-Invest'!$1:$1000,MATCH(O$1,'Dados-Status-Invest'!$2:$2,0),FALSE())/100,"")</f>
        <v>0.4221</v>
      </c>
      <c r="P362" s="10" t="n">
        <f aca="false">IFERROR(VLOOKUP(A362,'Dados-Status-Invest'!$1:$1000,MATCH(P$1,'Dados-Status-Invest'!$2:$2,0),FALSE())/100,"")</f>
        <v>0.0578</v>
      </c>
      <c r="Q362" s="10" t="n">
        <f aca="false">IFERROR(VLOOKUP(A362,'Dados-Status-Invest'!$1:$1000,MATCH(Q$1,'Dados-Status-Invest'!$2:$2,0),FALSE())/100,"")</f>
        <v>0.0068</v>
      </c>
      <c r="R362" s="12" t="n">
        <f aca="false">IFERROR(VLOOKUP(A362,'Dados-Status-Invest'!$1:$1000,MATCH(R$1,'Dados-Status-Invest'!$2:$2,0),FALSE()),"")</f>
        <v>593.34</v>
      </c>
      <c r="S362" s="12" t="n">
        <f aca="false">IFERROR(VLOOKUP(A362,'Dados-Status-Invest'!$1:$1000,MATCH(S$1,'Dados-Status-Invest'!$2:$2,0),FALSE()),"")</f>
        <v>1.95</v>
      </c>
      <c r="T362" s="12" t="n">
        <f aca="false">IFERROR(VLOOKUP(A362,'Dados-Status-Invest'!$1:$1000,MATCH(T$1,'Dados-Status-Invest'!$2:$2,0),FALSE()),"")</f>
        <v>64.97</v>
      </c>
      <c r="U362" s="12" t="n">
        <f aca="false">IFERROR(VLOOKUP(A362,'Dados-Status-Invest'!$1:$1000,MATCH(U$1,'Dados-Status-Invest'!$2:$2,0),FALSE()),"")</f>
        <v>3.54</v>
      </c>
      <c r="V362" s="12" t="n">
        <f aca="false">IFERROR(VLOOKUP(A362,'Dados-Status-Invest'!$1:$1000,MATCH(V$1,'Dados-Status-Invest'!$2:$2,0),FALSE()),"")</f>
        <v>-4.53</v>
      </c>
      <c r="W362" s="10" t="n">
        <f aca="false">IFERROR(VLOOKUP(A362,'Dados-Status-Invest'!$1:$1000,MATCH(W$1,'Dados-Status-Invest'!$2:$2,0),FALSE())/100,"")</f>
        <v>-0.0255</v>
      </c>
      <c r="X362" s="10" t="n">
        <f aca="false">IFERROR(VLOOKUP(A362,'Dados-Status-Invest'!$1:$1000,MATCH(X$1,'Dados-Status-Invest'!$2:$2,0),FALSE())/100,"")</f>
        <v>0</v>
      </c>
    </row>
    <row r="363" customFormat="false" ht="15.75" hidden="false" customHeight="false" outlineLevel="0" collapsed="false">
      <c r="A363" s="6" t="s">
        <v>395</v>
      </c>
      <c r="B363" s="7" t="str">
        <f aca="false">IFERROR(VLOOKUP(LEFT(A363,4),Setor!A:D,2,FALSE()),"")</f>
        <v>Materiais Básicos</v>
      </c>
      <c r="C363" s="8" t="n">
        <f aca="false">IFERROR(__xludf.dummyfunction("IFERROR(IFERROR(GOOGLEFINANCE(A369,""price""),VLOOKUP(A369,'Dados-Status-Invest'!A:B,2,FALSE)),"""")"),14)</f>
        <v>14</v>
      </c>
      <c r="D363" s="8" t="n">
        <f aca="false">IFERROR(VLOOKUP(A363,'Dados-Status-Invest'!$1:$1000,MATCH(D$1,'Dados-Status-Invest'!$2:$2,0),FALSE()),"")</f>
        <v>90834562</v>
      </c>
      <c r="E363" s="8" t="n">
        <f aca="false">IF(D363+H363&gt;0,D363+H363,"")</f>
        <v>360502642.6</v>
      </c>
      <c r="F363" s="8" t="n">
        <f aca="false">IFERROR(D363/VLOOKUP(A363,'Dados-Status-Invest'!$1:$1000,5,FALSE()),"")</f>
        <v>-825768745.5</v>
      </c>
      <c r="G363" s="8" t="n">
        <f aca="false">IFERROR(D363/VLOOKUP(A363,'Dados-Status-Invest'!$1:$1000,6,FALSE()),"")</f>
        <v>127936002.8</v>
      </c>
      <c r="H363" s="8" t="n">
        <f aca="false">IFERROR(VLOOKUP(A363,'Dados-Status-Invest'!$1:$1000,12,FALSE())*J363,"")</f>
        <v>269668080.6</v>
      </c>
      <c r="I363" s="8" t="str">
        <f aca="false">IFERROR(D363/VLOOKUP(A363,'Dados-Status-Invest'!$1:$1000,14,FALSE()),"")</f>
        <v/>
      </c>
      <c r="J363" s="9" t="n">
        <f aca="false">IFERROR(D363/VLOOKUP(A363,'Dados-Status-Invest'!$1:$1000,10,FALSE()),"")</f>
        <v>-500990.3591</v>
      </c>
      <c r="K363" s="10" t="n">
        <f aca="false">IFERROR(VLOOKUP(A363,'Dados-Status-Invest'!$1:$1000,3,FALSE())/100,"")</f>
        <v>0</v>
      </c>
      <c r="L363" s="11" t="n">
        <f aca="false">IFERROR(VLOOKUP(A363,'Dados-Status-Invest'!$1:$1000,MATCH(L$1,'Dados-Status-Invest'!$2:$2,0),FALSE())/100,"")</f>
        <v>-0.0497</v>
      </c>
      <c r="M363" s="10" t="n">
        <f aca="false">IFERROR(VLOOKUP(A363,'Dados-Status-Invest'!$1:$1000,MATCH(M$1,'Dados-Status-Invest'!$2:$2,0),FALSE())/100,"")</f>
        <v>-0.3275</v>
      </c>
      <c r="N363" s="10" t="n">
        <f aca="false">IFERROR(VLOOKUP(A363,'Dados-Status-Invest'!$1:$1000,MATCH(N$1,'Dados-Status-Invest'!$2:$2,0),FALSE())/100,"")</f>
        <v>0.0028</v>
      </c>
      <c r="O363" s="10" t="n">
        <f aca="false">IFERROR(VLOOKUP(A363,'Dados-Status-Invest'!$1:$1000,MATCH(O$1,'Dados-Status-Invest'!$2:$2,0),FALSE())/100,"")</f>
        <v>0</v>
      </c>
      <c r="P363" s="10" t="n">
        <f aca="false">IFERROR(VLOOKUP(A363,'Dados-Status-Invest'!$1:$1000,MATCH(P$1,'Dados-Status-Invest'!$2:$2,0),FALSE())/100,"")</f>
        <v>0</v>
      </c>
      <c r="Q363" s="10" t="n">
        <f aca="false">IFERROR(VLOOKUP(A363,'Dados-Status-Invest'!$1:$1000,MATCH(Q$1,'Dados-Status-Invest'!$2:$2,0),FALSE())/100,"")</f>
        <v>0</v>
      </c>
      <c r="R363" s="12" t="n">
        <f aca="false">IFERROR(VLOOKUP(A363,'Dados-Status-Invest'!$1:$1000,MATCH(R$1,'Dados-Status-Invest'!$2:$2,0),FALSE()),"")</f>
        <v>-2.17</v>
      </c>
      <c r="S363" s="12" t="n">
        <f aca="false">IFERROR(VLOOKUP(A363,'Dados-Status-Invest'!$1:$1000,MATCH(S$1,'Dados-Status-Invest'!$2:$2,0),FALSE()),"")</f>
        <v>-0.11</v>
      </c>
      <c r="T363" s="12" t="n">
        <f aca="false">IFERROR(VLOOKUP(A363,'Dados-Status-Invest'!$1:$1000,MATCH(T$1,'Dados-Status-Invest'!$2:$2,0),FALSE()),"")</f>
        <v>-719.57</v>
      </c>
      <c r="U363" s="12" t="n">
        <f aca="false">IFERROR(VLOOKUP(A363,'Dados-Status-Invest'!$1:$1000,MATCH(U$1,'Dados-Status-Invest'!$2:$2,0),FALSE()),"")</f>
        <v>0.01</v>
      </c>
      <c r="V363" s="12" t="n">
        <f aca="false">IFERROR(VLOOKUP(A363,'Dados-Status-Invest'!$1:$1000,MATCH(V$1,'Dados-Status-Invest'!$2:$2,0),FALSE()),"")</f>
        <v>-538.27</v>
      </c>
      <c r="W363" s="10" t="n">
        <f aca="false">IFERROR(VLOOKUP(A363,'Dados-Status-Invest'!$1:$1000,MATCH(W$1,'Dados-Status-Invest'!$2:$2,0),FALSE())/100,"")</f>
        <v>-0.0695</v>
      </c>
      <c r="X363" s="10" t="n">
        <f aca="false">IFERROR(VLOOKUP(A363,'Dados-Status-Invest'!$1:$1000,MATCH(X$1,'Dados-Status-Invest'!$2:$2,0),FALSE())/100,"")</f>
        <v>0</v>
      </c>
    </row>
    <row r="364" customFormat="false" ht="15.75" hidden="false" customHeight="false" outlineLevel="0" collapsed="false">
      <c r="A364" s="6" t="s">
        <v>396</v>
      </c>
      <c r="B364" s="7" t="str">
        <f aca="false">IFERROR(VLOOKUP(LEFT(A364,4),Setor!A:D,2,FALSE()),"")</f>
        <v>Consumo Cíclico</v>
      </c>
      <c r="C364" s="8" t="n">
        <f aca="false">IFERROR(__xludf.dummyfunction("IFERROR(IFERROR(GOOGLEFINANCE(A370,""price""),VLOOKUP(A370,'Dados-Status-Invest'!A:B,2,FALSE)),"""")"),22)</f>
        <v>22</v>
      </c>
      <c r="D364" s="8" t="n">
        <f aca="false">IFERROR(VLOOKUP(A364,'Dados-Status-Invest'!$1:$1000,MATCH(D$1,'Dados-Status-Invest'!$2:$2,0),FALSE()),"")</f>
        <v>170840308.8</v>
      </c>
      <c r="E364" s="8" t="n">
        <f aca="false">IF(D364+H364&gt;0,D364+H364,"")</f>
        <v>424640109.1</v>
      </c>
      <c r="F364" s="8" t="n">
        <f aca="false">IFERROR(D364/VLOOKUP(A364,'Dados-Status-Invest'!$1:$1000,5,FALSE()),"")</f>
        <v>-161170102.6</v>
      </c>
      <c r="G364" s="8" t="n">
        <f aca="false">IFERROR(D364/VLOOKUP(A364,'Dados-Status-Invest'!$1:$1000,6,FALSE()),"")</f>
        <v>1314156222</v>
      </c>
      <c r="H364" s="8" t="n">
        <f aca="false">IFERROR(VLOOKUP(A364,'Dados-Status-Invest'!$1:$1000,12,FALSE())*J364,"")</f>
        <v>253799800.3</v>
      </c>
      <c r="I364" s="8" t="n">
        <f aca="false">IFERROR(D364/VLOOKUP(A364,'Dados-Status-Invest'!$1:$1000,14,FALSE()),"")</f>
        <v>632741884.4</v>
      </c>
      <c r="J364" s="9" t="n">
        <f aca="false">IFERROR(D364/VLOOKUP(A364,'Dados-Status-Invest'!$1:$1000,10,FALSE()),"")</f>
        <v>70304653.83</v>
      </c>
      <c r="K364" s="10" t="n">
        <f aca="false">IFERROR(VLOOKUP(A364,'Dados-Status-Invest'!$1:$1000,3,FALSE())/100,"")</f>
        <v>0</v>
      </c>
      <c r="L364" s="11" t="n">
        <f aca="false">IFERROR(VLOOKUP(A364,'Dados-Status-Invest'!$1:$1000,MATCH(L$1,'Dados-Status-Invest'!$2:$2,0),FALSE())/100,"")</f>
        <v>-0.0314</v>
      </c>
      <c r="M364" s="10" t="n">
        <f aca="false">IFERROR(VLOOKUP(A364,'Dados-Status-Invest'!$1:$1000,MATCH(M$1,'Dados-Status-Invest'!$2:$2,0),FALSE())/100,"")</f>
        <v>0.0039</v>
      </c>
      <c r="N364" s="10" t="n">
        <f aca="false">IFERROR(VLOOKUP(A364,'Dados-Status-Invest'!$1:$1000,MATCH(N$1,'Dados-Status-Invest'!$2:$2,0),FALSE())/100,"")</f>
        <v>0.6418</v>
      </c>
      <c r="O364" s="10" t="n">
        <f aca="false">IFERROR(VLOOKUP(A364,'Dados-Status-Invest'!$1:$1000,MATCH(O$1,'Dados-Status-Invest'!$2:$2,0),FALSE())/100,"")</f>
        <v>0.3446</v>
      </c>
      <c r="P364" s="10" t="n">
        <f aca="false">IFERROR(VLOOKUP(A364,'Dados-Status-Invest'!$1:$1000,MATCH(P$1,'Dados-Status-Invest'!$2:$2,0),FALSE())/100,"")</f>
        <v>0.1096</v>
      </c>
      <c r="Q364" s="10" t="n">
        <f aca="false">IFERROR(VLOOKUP(A364,'Dados-Status-Invest'!$1:$1000,MATCH(Q$1,'Dados-Status-Invest'!$2:$2,0),FALSE())/100,"")</f>
        <v>0.0079</v>
      </c>
      <c r="R364" s="12" t="n">
        <f aca="false">IFERROR(VLOOKUP(A364,'Dados-Status-Invest'!$1:$1000,MATCH(R$1,'Dados-Status-Invest'!$2:$2,0),FALSE()),"")</f>
        <v>33.83</v>
      </c>
      <c r="S364" s="12" t="n">
        <f aca="false">IFERROR(VLOOKUP(A364,'Dados-Status-Invest'!$1:$1000,MATCH(S$1,'Dados-Status-Invest'!$2:$2,0),FALSE()),"")</f>
        <v>-1.06</v>
      </c>
      <c r="T364" s="12" t="n">
        <f aca="false">IFERROR(VLOOKUP(A364,'Dados-Status-Invest'!$1:$1000,MATCH(T$1,'Dados-Status-Invest'!$2:$2,0),FALSE()),"")</f>
        <v>6.39</v>
      </c>
      <c r="U364" s="12" t="n">
        <f aca="false">IFERROR(VLOOKUP(A364,'Dados-Status-Invest'!$1:$1000,MATCH(U$1,'Dados-Status-Invest'!$2:$2,0),FALSE()),"")</f>
        <v>0.35</v>
      </c>
      <c r="V364" s="12" t="n">
        <f aca="false">IFERROR(VLOOKUP(A364,'Dados-Status-Invest'!$1:$1000,MATCH(V$1,'Dados-Status-Invest'!$2:$2,0),FALSE()),"")</f>
        <v>3.61</v>
      </c>
      <c r="W364" s="10" t="n">
        <f aca="false">IFERROR(VLOOKUP(A364,'Dados-Status-Invest'!$1:$1000,MATCH(W$1,'Dados-Status-Invest'!$2:$2,0),FALSE())/100,"")</f>
        <v>0.0494</v>
      </c>
      <c r="X364" s="10" t="n">
        <f aca="false">IFERROR(VLOOKUP(A364,'Dados-Status-Invest'!$1:$1000,MATCH(X$1,'Dados-Status-Invest'!$2:$2,0),FALSE())/100,"")</f>
        <v>0</v>
      </c>
    </row>
    <row r="365" customFormat="false" ht="15.75" hidden="false" customHeight="false" outlineLevel="0" collapsed="false">
      <c r="A365" s="6" t="s">
        <v>397</v>
      </c>
      <c r="B365" s="7" t="str">
        <f aca="false">IFERROR(VLOOKUP(LEFT(A365,4),Setor!A:D,2,FALSE()),"")</f>
        <v>Consumo não Cíclico</v>
      </c>
      <c r="C365" s="8" t="n">
        <f aca="false">IFERROR(__xludf.dummyfunction("IFERROR(IFERROR(GOOGLEFINANCE(A371,""price""),VLOOKUP(A371,'Dados-Status-Invest'!A:B,2,FALSE)),"""")"),7.37)</f>
        <v>7.37</v>
      </c>
      <c r="D365" s="8" t="n">
        <f aca="false">IFERROR(VLOOKUP(A365,'Dados-Status-Invest'!$1:$1000,MATCH(D$1,'Dados-Status-Invest'!$2:$2,0),FALSE()),"")</f>
        <v>125387766</v>
      </c>
      <c r="E365" s="8" t="n">
        <f aca="false">IF(D365+H365&gt;0,D365+H365,"")</f>
        <v>114911503.57</v>
      </c>
      <c r="F365" s="8" t="n">
        <f aca="false">IFERROR(D365/VLOOKUP(A365,'Dados-Status-Invest'!$1:$1000,5,FALSE()),"")</f>
        <v>-368787547.1</v>
      </c>
      <c r="G365" s="8" t="n">
        <f aca="false">IFERROR(D365/VLOOKUP(A365,'Dados-Status-Invest'!$1:$1000,6,FALSE()),"")</f>
        <v>255893400</v>
      </c>
      <c r="H365" s="8" t="n">
        <f aca="false">IFERROR(VLOOKUP(A365,'Dados-Status-Invest'!$1:$1000,12,FALSE())*J365,"")</f>
        <v>-10476262.43</v>
      </c>
      <c r="I365" s="8" t="n">
        <f aca="false">IFERROR(D365/VLOOKUP(A365,'Dados-Status-Invest'!$1:$1000,14,FALSE()),"")</f>
        <v>272582100</v>
      </c>
      <c r="J365" s="9" t="n">
        <f aca="false">IFERROR(D365/VLOOKUP(A365,'Dados-Status-Invest'!$1:$1000,10,FALSE()),"")</f>
        <v>32738320.1</v>
      </c>
      <c r="K365" s="10" t="n">
        <f aca="false">IFERROR(VLOOKUP(A365,'Dados-Status-Invest'!$1:$1000,3,FALSE())/100,"")</f>
        <v>0</v>
      </c>
      <c r="L365" s="11" t="n">
        <f aca="false">IFERROR(VLOOKUP(A365,'Dados-Status-Invest'!$1:$1000,MATCH(L$1,'Dados-Status-Invest'!$2:$2,0),FALSE())/100,"")</f>
        <v>-0.0196</v>
      </c>
      <c r="M365" s="10" t="n">
        <f aca="false">IFERROR(VLOOKUP(A365,'Dados-Status-Invest'!$1:$1000,MATCH(M$1,'Dados-Status-Invest'!$2:$2,0),FALSE())/100,"")</f>
        <v>0.0287</v>
      </c>
      <c r="N365" s="10" t="n">
        <f aca="false">IFERROR(VLOOKUP(A365,'Dados-Status-Invest'!$1:$1000,MATCH(N$1,'Dados-Status-Invest'!$2:$2,0),FALSE())/100,"")</f>
        <v>-0.0635</v>
      </c>
      <c r="O365" s="10" t="n">
        <f aca="false">IFERROR(VLOOKUP(A365,'Dados-Status-Invest'!$1:$1000,MATCH(O$1,'Dados-Status-Invest'!$2:$2,0),FALSE())/100,"")</f>
        <v>0.2685</v>
      </c>
      <c r="P365" s="10" t="n">
        <f aca="false">IFERROR(VLOOKUP(A365,'Dados-Status-Invest'!$1:$1000,MATCH(P$1,'Dados-Status-Invest'!$2:$2,0),FALSE())/100,"")</f>
        <v>0.12</v>
      </c>
      <c r="Q365" s="10" t="n">
        <f aca="false">IFERROR(VLOOKUP(A365,'Dados-Status-Invest'!$1:$1000,MATCH(Q$1,'Dados-Status-Invest'!$2:$2,0),FALSE())/100,"")</f>
        <v>0.0267</v>
      </c>
      <c r="R365" s="12" t="n">
        <f aca="false">IFERROR(VLOOKUP(A365,'Dados-Status-Invest'!$1:$1000,MATCH(R$1,'Dados-Status-Invest'!$2:$2,0),FALSE()),"")</f>
        <v>17.21</v>
      </c>
      <c r="S365" s="12" t="n">
        <f aca="false">IFERROR(VLOOKUP(A365,'Dados-Status-Invest'!$1:$1000,MATCH(S$1,'Dados-Status-Invest'!$2:$2,0),FALSE()),"")</f>
        <v>-0.34</v>
      </c>
      <c r="T365" s="12" t="n">
        <f aca="false">IFERROR(VLOOKUP(A365,'Dados-Status-Invest'!$1:$1000,MATCH(T$1,'Dados-Status-Invest'!$2:$2,0),FALSE()),"")</f>
        <v>3.54</v>
      </c>
      <c r="U365" s="12" t="n">
        <f aca="false">IFERROR(VLOOKUP(A365,'Dados-Status-Invest'!$1:$1000,MATCH(U$1,'Dados-Status-Invest'!$2:$2,0),FALSE()),"")</f>
        <v>0.22</v>
      </c>
      <c r="V365" s="12" t="n">
        <f aca="false">IFERROR(VLOOKUP(A365,'Dados-Status-Invest'!$1:$1000,MATCH(V$1,'Dados-Status-Invest'!$2:$2,0),FALSE()),"")</f>
        <v>-0.32</v>
      </c>
      <c r="W365" s="10" t="n">
        <f aca="false">IFERROR(VLOOKUP(A365,'Dados-Status-Invest'!$1:$1000,MATCH(W$1,'Dados-Status-Invest'!$2:$2,0),FALSE())/100,"")</f>
        <v>0.0462</v>
      </c>
      <c r="X365" s="10" t="n">
        <f aca="false">IFERROR(VLOOKUP(A365,'Dados-Status-Invest'!$1:$1000,MATCH(X$1,'Dados-Status-Invest'!$2:$2,0),FALSE())/100,"")</f>
        <v>0</v>
      </c>
    </row>
    <row r="366" customFormat="false" ht="15.75" hidden="false" customHeight="false" outlineLevel="0" collapsed="false">
      <c r="A366" s="6" t="s">
        <v>398</v>
      </c>
      <c r="B366" s="7" t="str">
        <f aca="false">IFERROR(VLOOKUP(LEFT(A366,4),Setor!A:D,2,FALSE()),"")</f>
        <v>Financeiro</v>
      </c>
      <c r="C366" s="8" t="n">
        <f aca="false">IFERROR(__xludf.dummyfunction("IFERROR(IFERROR(GOOGLEFINANCE(A372,""price""),VLOOKUP(A372,'Dados-Status-Invest'!A:B,2,FALSE)),"""")"),454.99)</f>
        <v>454.99</v>
      </c>
      <c r="D366" s="8" t="n">
        <f aca="false">IFERROR(VLOOKUP(A366,'Dados-Status-Invest'!$1:$1000,MATCH(D$1,'Dados-Status-Invest'!$2:$2,0),FALSE()),"")</f>
        <v>3736622405</v>
      </c>
      <c r="E366" s="8" t="n">
        <f aca="false">IF(D366+H366&gt;0,D366+H366,"")</f>
        <v>3513021330.2</v>
      </c>
      <c r="F366" s="8" t="n">
        <f aca="false">IFERROR(D366/VLOOKUP(A366,'Dados-Status-Invest'!$1:$1000,5,FALSE()),"")</f>
        <v>948381321.1</v>
      </c>
      <c r="G366" s="8" t="n">
        <f aca="false">IFERROR(D366/VLOOKUP(A366,'Dados-Status-Invest'!$1:$1000,6,FALSE()),"")</f>
        <v>1631712841</v>
      </c>
      <c r="H366" s="8" t="n">
        <f aca="false">IFERROR(VLOOKUP(A366,'Dados-Status-Invest'!$1:$1000,12,FALSE())*J366,"")</f>
        <v>-223601074.8</v>
      </c>
      <c r="I366" s="8" t="n">
        <f aca="false">IFERROR(D366/VLOOKUP(A366,'Dados-Status-Invest'!$1:$1000,14,FALSE()),"")</f>
        <v>109578369.6</v>
      </c>
      <c r="J366" s="9" t="n">
        <f aca="false">IFERROR(D366/VLOOKUP(A366,'Dados-Status-Invest'!$1:$1000,10,FALSE()),"")</f>
        <v>248445638.6</v>
      </c>
      <c r="K366" s="10" t="n">
        <f aca="false">IFERROR(VLOOKUP(A366,'Dados-Status-Invest'!$1:$1000,3,FALSE())/100,"")</f>
        <v>0.0367</v>
      </c>
      <c r="L366" s="11" t="n">
        <f aca="false">IFERROR(VLOOKUP(A366,'Dados-Status-Invest'!$1:$1000,MATCH(L$1,'Dados-Status-Invest'!$2:$2,0),FALSE())/100,"")</f>
        <v>0.2261</v>
      </c>
      <c r="M366" s="10" t="n">
        <f aca="false">IFERROR(VLOOKUP(A366,'Dados-Status-Invest'!$1:$1000,MATCH(M$1,'Dados-Status-Invest'!$2:$2,0),FALSE())/100,"")</f>
        <v>0.1312</v>
      </c>
      <c r="N366" s="10" t="n">
        <f aca="false">IFERROR(VLOOKUP(A366,'Dados-Status-Invest'!$1:$1000,MATCH(N$1,'Dados-Status-Invest'!$2:$2,0),FALSE())/100,"")</f>
        <v>0.0943</v>
      </c>
      <c r="O366" s="10" t="n">
        <f aca="false">IFERROR(VLOOKUP(A366,'Dados-Status-Invest'!$1:$1000,MATCH(O$1,'Dados-Status-Invest'!$2:$2,0),FALSE())/100,"")</f>
        <v>-0.0159</v>
      </c>
      <c r="P366" s="10" t="n">
        <f aca="false">IFERROR(VLOOKUP(A366,'Dados-Status-Invest'!$1:$1000,MATCH(P$1,'Dados-Status-Invest'!$2:$2,0),FALSE())/100,"")</f>
        <v>2.2669</v>
      </c>
      <c r="Q366" s="10" t="n">
        <f aca="false">IFERROR(VLOOKUP(A366,'Dados-Status-Invest'!$1:$1000,MATCH(Q$1,'Dados-Status-Invest'!$2:$2,0),FALSE())/100,"")</f>
        <v>1.9551</v>
      </c>
      <c r="R366" s="12" t="n">
        <f aca="false">IFERROR(VLOOKUP(A366,'Dados-Status-Invest'!$1:$1000,MATCH(R$1,'Dados-Status-Invest'!$2:$2,0),FALSE()),"")</f>
        <v>17.44</v>
      </c>
      <c r="S366" s="12" t="n">
        <f aca="false">IFERROR(VLOOKUP(A366,'Dados-Status-Invest'!$1:$1000,MATCH(S$1,'Dados-Status-Invest'!$2:$2,0),FALSE()),"")</f>
        <v>3.94</v>
      </c>
      <c r="T366" s="12" t="n">
        <f aca="false">IFERROR(VLOOKUP(A366,'Dados-Status-Invest'!$1:$1000,MATCH(T$1,'Dados-Status-Invest'!$2:$2,0),FALSE()),"")</f>
        <v>14.15</v>
      </c>
      <c r="U366" s="12" t="n">
        <f aca="false">IFERROR(VLOOKUP(A366,'Dados-Status-Invest'!$1:$1000,MATCH(U$1,'Dados-Status-Invest'!$2:$2,0),FALSE()),"")</f>
        <v>3.8</v>
      </c>
      <c r="V366" s="12" t="n">
        <f aca="false">IFERROR(VLOOKUP(A366,'Dados-Status-Invest'!$1:$1000,MATCH(V$1,'Dados-Status-Invest'!$2:$2,0),FALSE()),"")</f>
        <v>-0.9</v>
      </c>
      <c r="W366" s="10" t="n">
        <f aca="false">IFERROR(VLOOKUP(A366,'Dados-Status-Invest'!$1:$1000,MATCH(W$1,'Dados-Status-Invest'!$2:$2,0),FALSE())/100,"")</f>
        <v>0.9465</v>
      </c>
      <c r="X366" s="10" t="n">
        <f aca="false">IFERROR(VLOOKUP(A366,'Dados-Status-Invest'!$1:$1000,MATCH(X$1,'Dados-Status-Invest'!$2:$2,0),FALSE())/100,"")</f>
        <v>0</v>
      </c>
    </row>
    <row r="367" customFormat="false" ht="15.75" hidden="false" customHeight="false" outlineLevel="0" collapsed="false">
      <c r="A367" s="6" t="s">
        <v>399</v>
      </c>
      <c r="B367" s="7" t="s">
        <v>109</v>
      </c>
      <c r="C367" s="8" t="n">
        <f aca="false">IFERROR(__xludf.dummyfunction("IFERROR(IFERROR(GOOGLEFINANCE(A373,""price""),VLOOKUP(A373,'Dados-Status-Invest'!A:B,2,FALSE)),"""")"),7.72)</f>
        <v>7.72</v>
      </c>
      <c r="D367" s="8" t="n">
        <f aca="false">IFERROR(VLOOKUP(A367,'Dados-Status-Invest'!$1:$1000,MATCH(D$1,'Dados-Status-Invest'!$2:$2,0),FALSE()),"")</f>
        <v>4060886667</v>
      </c>
      <c r="E367" s="8" t="n">
        <f aca="false">IF(D367+H367&gt;0,D367+H367,"")</f>
        <v>4060886667</v>
      </c>
      <c r="F367" s="8" t="n">
        <f aca="false">IFERROR(D367/VLOOKUP(A367,'Dados-Status-Invest'!$1:$1000,5,FALSE()),"")</f>
        <v>609742742.7</v>
      </c>
      <c r="G367" s="8" t="n">
        <f aca="false">IFERROR(D367/VLOOKUP(A367,'Dados-Status-Invest'!$1:$1000,6,FALSE()),"")</f>
        <v>5562858447</v>
      </c>
      <c r="H367" s="8" t="n">
        <f aca="false">IFERROR(VLOOKUP(A367,'Dados-Status-Invest'!$1:$1000,12,FALSE())*J367,"")</f>
        <v>0</v>
      </c>
      <c r="I367" s="8" t="n">
        <f aca="false">IFERROR(D367/VLOOKUP(A367,'Dados-Status-Invest'!$1:$1000,14,FALSE()),"")</f>
        <v>65361124.52</v>
      </c>
      <c r="J367" s="9" t="n">
        <f aca="false">IFERROR(D367/VLOOKUP(A367,'Dados-Status-Invest'!$1:$1000,10,FALSE()),"")</f>
        <v>39618406.5</v>
      </c>
      <c r="K367" s="10" t="n">
        <f aca="false">IFERROR(VLOOKUP(A367,'Dados-Status-Invest'!$1:$1000,3,FALSE())/100,"")</f>
        <v>0</v>
      </c>
      <c r="L367" s="11" t="n">
        <f aca="false">IFERROR(VLOOKUP(A367,'Dados-Status-Invest'!$1:$1000,MATCH(L$1,'Dados-Status-Invest'!$2:$2,0),FALSE())/100,"")</f>
        <v>0.0337</v>
      </c>
      <c r="M367" s="10" t="n">
        <f aca="false">IFERROR(VLOOKUP(A367,'Dados-Status-Invest'!$1:$1000,MATCH(M$1,'Dados-Status-Invest'!$2:$2,0),FALSE())/100,"")</f>
        <v>0.0037</v>
      </c>
      <c r="N367" s="10" t="n">
        <f aca="false">IFERROR(VLOOKUP(A367,'Dados-Status-Invest'!$1:$1000,MATCH(N$1,'Dados-Status-Invest'!$2:$2,0),FALSE())/100,"")</f>
        <v>0</v>
      </c>
      <c r="O367" s="10" t="n">
        <f aca="false">IFERROR(VLOOKUP(A367,'Dados-Status-Invest'!$1:$1000,MATCH(O$1,'Dados-Status-Invest'!$2:$2,0),FALSE())/100,"")</f>
        <v>2.7479</v>
      </c>
      <c r="P367" s="10" t="n">
        <f aca="false">IFERROR(VLOOKUP(A367,'Dados-Status-Invest'!$1:$1000,MATCH(P$1,'Dados-Status-Invest'!$2:$2,0),FALSE())/100,"")</f>
        <v>0.6062</v>
      </c>
      <c r="Q367" s="10" t="n">
        <f aca="false">IFERROR(VLOOKUP(A367,'Dados-Status-Invest'!$1:$1000,MATCH(Q$1,'Dados-Status-Invest'!$2:$2,0),FALSE())/100,"")</f>
        <v>0.3144</v>
      </c>
      <c r="R367" s="12" t="n">
        <f aca="false">IFERROR(VLOOKUP(A367,'Dados-Status-Invest'!$1:$1000,MATCH(R$1,'Dados-Status-Invest'!$2:$2,0),FALSE()),"")</f>
        <v>197.63</v>
      </c>
      <c r="S367" s="12" t="n">
        <f aca="false">IFERROR(VLOOKUP(A367,'Dados-Status-Invest'!$1:$1000,MATCH(S$1,'Dados-Status-Invest'!$2:$2,0),FALSE()),"")</f>
        <v>6.66</v>
      </c>
      <c r="T367" s="12" t="n">
        <f aca="false">IFERROR(VLOOKUP(A367,'Dados-Status-Invest'!$1:$1000,MATCH(T$1,'Dados-Status-Invest'!$2:$2,0),FALSE()),"")</f>
        <v>102.03</v>
      </c>
      <c r="U367" s="12" t="n">
        <f aca="false">IFERROR(VLOOKUP(A367,'Dados-Status-Invest'!$1:$1000,MATCH(U$1,'Dados-Status-Invest'!$2:$2,0),FALSE()),"")</f>
        <v>0</v>
      </c>
      <c r="V367" s="12" t="n">
        <f aca="false">IFERROR(VLOOKUP(A367,'Dados-Status-Invest'!$1:$1000,MATCH(V$1,'Dados-Status-Invest'!$2:$2,0),FALSE()),"")</f>
        <v>0</v>
      </c>
      <c r="W367" s="10" t="n">
        <f aca="false">IFERROR(VLOOKUP(A367,'Dados-Status-Invest'!$1:$1000,MATCH(W$1,'Dados-Status-Invest'!$2:$2,0),FALSE())/100,"")</f>
        <v>0</v>
      </c>
      <c r="X367" s="10" t="n">
        <f aca="false">IFERROR(VLOOKUP(A367,'Dados-Status-Invest'!$1:$1000,MATCH(X$1,'Dados-Status-Invest'!$2:$2,0),FALSE())/100,"")</f>
        <v>0</v>
      </c>
    </row>
    <row r="368" customFormat="false" ht="15.75" hidden="false" customHeight="false" outlineLevel="0" collapsed="false">
      <c r="A368" s="6" t="s">
        <v>400</v>
      </c>
      <c r="B368" s="7" t="s">
        <v>109</v>
      </c>
      <c r="C368" s="8" t="n">
        <f aca="false">IFERROR(__xludf.dummyfunction("IFERROR(IFERROR(GOOGLEFINANCE(A374,""price""),VLOOKUP(A374,'Dados-Status-Invest'!A:B,2,FALSE)),"""")"),2.78)</f>
        <v>2.78</v>
      </c>
      <c r="D368" s="8" t="n">
        <f aca="false">IFERROR(VLOOKUP(A368,'Dados-Status-Invest'!$1:$1000,MATCH(D$1,'Dados-Status-Invest'!$2:$2,0),FALSE()),"")</f>
        <v>4060886667</v>
      </c>
      <c r="E368" s="8" t="n">
        <f aca="false">IF(D368+H368&gt;0,D368+H368,"")</f>
        <v>4060886667</v>
      </c>
      <c r="F368" s="8" t="n">
        <f aca="false">IFERROR(D368/VLOOKUP(A368,'Dados-Status-Invest'!$1:$1000,5,FALSE()),"")</f>
        <v>492228686.9</v>
      </c>
      <c r="G368" s="8" t="n">
        <f aca="false">IFERROR(D368/VLOOKUP(A368,'Dados-Status-Invest'!$1:$1000,6,FALSE()),"")</f>
        <v>4512096296</v>
      </c>
      <c r="H368" s="8" t="n">
        <f aca="false">IFERROR(VLOOKUP(A368,'Dados-Status-Invest'!$1:$1000,12,FALSE())*J368,"")</f>
        <v>0</v>
      </c>
      <c r="I368" s="8" t="n">
        <f aca="false">IFERROR(D368/VLOOKUP(A368,'Dados-Status-Invest'!$1:$1000,14,FALSE()),"")</f>
        <v>52807368.88</v>
      </c>
      <c r="J368" s="9" t="n">
        <f aca="false">IFERROR(D368/VLOOKUP(A368,'Dados-Status-Invest'!$1:$1000,10,FALSE()),"")</f>
        <v>32010773.03</v>
      </c>
      <c r="K368" s="10" t="n">
        <f aca="false">IFERROR(VLOOKUP(A368,'Dados-Status-Invest'!$1:$1000,3,FALSE())/100,"")</f>
        <v>0</v>
      </c>
      <c r="L368" s="11" t="n">
        <f aca="false">IFERROR(VLOOKUP(A368,'Dados-Status-Invest'!$1:$1000,MATCH(L$1,'Dados-Status-Invest'!$2:$2,0),FALSE())/100,"")</f>
        <v>0.0337</v>
      </c>
      <c r="M368" s="10" t="n">
        <f aca="false">IFERROR(VLOOKUP(A368,'Dados-Status-Invest'!$1:$1000,MATCH(M$1,'Dados-Status-Invest'!$2:$2,0),FALSE())/100,"")</f>
        <v>0.0037</v>
      </c>
      <c r="N368" s="10" t="n">
        <f aca="false">IFERROR(VLOOKUP(A368,'Dados-Status-Invest'!$1:$1000,MATCH(N$1,'Dados-Status-Invest'!$2:$2,0),FALSE())/100,"")</f>
        <v>0</v>
      </c>
      <c r="O368" s="10" t="n">
        <f aca="false">IFERROR(VLOOKUP(A368,'Dados-Status-Invest'!$1:$1000,MATCH(O$1,'Dados-Status-Invest'!$2:$2,0),FALSE())/100,"")</f>
        <v>2.7479</v>
      </c>
      <c r="P368" s="10" t="n">
        <f aca="false">IFERROR(VLOOKUP(A368,'Dados-Status-Invest'!$1:$1000,MATCH(P$1,'Dados-Status-Invest'!$2:$2,0),FALSE())/100,"")</f>
        <v>0.6062</v>
      </c>
      <c r="Q368" s="10" t="n">
        <f aca="false">IFERROR(VLOOKUP(A368,'Dados-Status-Invest'!$1:$1000,MATCH(Q$1,'Dados-Status-Invest'!$2:$2,0),FALSE())/100,"")</f>
        <v>0.3144</v>
      </c>
      <c r="R368" s="12" t="n">
        <f aca="false">IFERROR(VLOOKUP(A368,'Dados-Status-Invest'!$1:$1000,MATCH(R$1,'Dados-Status-Invest'!$2:$2,0),FALSE()),"")</f>
        <v>244.59</v>
      </c>
      <c r="S368" s="12" t="n">
        <f aca="false">IFERROR(VLOOKUP(A368,'Dados-Status-Invest'!$1:$1000,MATCH(S$1,'Dados-Status-Invest'!$2:$2,0),FALSE()),"")</f>
        <v>8.25</v>
      </c>
      <c r="T368" s="12" t="n">
        <f aca="false">IFERROR(VLOOKUP(A368,'Dados-Status-Invest'!$1:$1000,MATCH(T$1,'Dados-Status-Invest'!$2:$2,0),FALSE()),"")</f>
        <v>102.03</v>
      </c>
      <c r="U368" s="12" t="n">
        <f aca="false">IFERROR(VLOOKUP(A368,'Dados-Status-Invest'!$1:$1000,MATCH(U$1,'Dados-Status-Invest'!$2:$2,0),FALSE()),"")</f>
        <v>0</v>
      </c>
      <c r="V368" s="12" t="n">
        <f aca="false">IFERROR(VLOOKUP(A368,'Dados-Status-Invest'!$1:$1000,MATCH(V$1,'Dados-Status-Invest'!$2:$2,0),FALSE()),"")</f>
        <v>0</v>
      </c>
      <c r="W368" s="10" t="n">
        <f aca="false">IFERROR(VLOOKUP(A368,'Dados-Status-Invest'!$1:$1000,MATCH(W$1,'Dados-Status-Invest'!$2:$2,0),FALSE())/100,"")</f>
        <v>0</v>
      </c>
      <c r="X368" s="10" t="n">
        <f aca="false">IFERROR(VLOOKUP(A368,'Dados-Status-Invest'!$1:$1000,MATCH(X$1,'Dados-Status-Invest'!$2:$2,0),FALSE())/100,"")</f>
        <v>0</v>
      </c>
    </row>
    <row r="369" customFormat="false" ht="15.75" hidden="false" customHeight="false" outlineLevel="0" collapsed="false">
      <c r="A369" s="6" t="s">
        <v>401</v>
      </c>
      <c r="B369" s="7" t="s">
        <v>109</v>
      </c>
      <c r="C369" s="8" t="n">
        <f aca="false">IFERROR(__xludf.dummyfunction("IFERROR(IFERROR(GOOGLEFINANCE(A375,""price""),VLOOKUP(A375,'Dados-Status-Invest'!A:B,2,FALSE)),"""")"),2.45)</f>
        <v>2.45</v>
      </c>
      <c r="D369" s="8" t="n">
        <f aca="false">IFERROR(VLOOKUP(A369,'Dados-Status-Invest'!$1:$1000,MATCH(D$1,'Dados-Status-Invest'!$2:$2,0),FALSE()),"")</f>
        <v>4060886667</v>
      </c>
      <c r="E369" s="8" t="n">
        <f aca="false">IF(D369+H369&gt;0,D369+H369,"")</f>
        <v>4060886667</v>
      </c>
      <c r="F369" s="8" t="n">
        <f aca="false">IFERROR(D369/VLOOKUP(A369,'Dados-Status-Invest'!$1:$1000,5,FALSE()),"")</f>
        <v>696550028.6</v>
      </c>
      <c r="G369" s="8" t="n">
        <f aca="false">IFERROR(D369/VLOOKUP(A369,'Dados-Status-Invest'!$1:$1000,6,FALSE()),"")</f>
        <v>6345135417</v>
      </c>
      <c r="H369" s="8" t="n">
        <f aca="false">IFERROR(VLOOKUP(A369,'Dados-Status-Invest'!$1:$1000,12,FALSE())*J369,"")</f>
        <v>0</v>
      </c>
      <c r="I369" s="8" t="n">
        <f aca="false">IFERROR(D369/VLOOKUP(A369,'Dados-Status-Invest'!$1:$1000,14,FALSE()),"")</f>
        <v>74689841.21</v>
      </c>
      <c r="J369" s="9" t="n">
        <f aca="false">IFERROR(D369/VLOOKUP(A369,'Dados-Status-Invest'!$1:$1000,10,FALSE()),"")</f>
        <v>45271869.19</v>
      </c>
      <c r="K369" s="10" t="n">
        <f aca="false">IFERROR(VLOOKUP(A369,'Dados-Status-Invest'!$1:$1000,3,FALSE())/100,"")</f>
        <v>0</v>
      </c>
      <c r="L369" s="11" t="n">
        <f aca="false">IFERROR(VLOOKUP(A369,'Dados-Status-Invest'!$1:$1000,MATCH(L$1,'Dados-Status-Invest'!$2:$2,0),FALSE())/100,"")</f>
        <v>0.0337</v>
      </c>
      <c r="M369" s="10" t="n">
        <f aca="false">IFERROR(VLOOKUP(A369,'Dados-Status-Invest'!$1:$1000,MATCH(M$1,'Dados-Status-Invest'!$2:$2,0),FALSE())/100,"")</f>
        <v>0.0037</v>
      </c>
      <c r="N369" s="10" t="n">
        <f aca="false">IFERROR(VLOOKUP(A369,'Dados-Status-Invest'!$1:$1000,MATCH(N$1,'Dados-Status-Invest'!$2:$2,0),FALSE())/100,"")</f>
        <v>0</v>
      </c>
      <c r="O369" s="10" t="n">
        <f aca="false">IFERROR(VLOOKUP(A369,'Dados-Status-Invest'!$1:$1000,MATCH(O$1,'Dados-Status-Invest'!$2:$2,0),FALSE())/100,"")</f>
        <v>2.7479</v>
      </c>
      <c r="P369" s="10" t="n">
        <f aca="false">IFERROR(VLOOKUP(A369,'Dados-Status-Invest'!$1:$1000,MATCH(P$1,'Dados-Status-Invest'!$2:$2,0),FALSE())/100,"")</f>
        <v>0.6062</v>
      </c>
      <c r="Q369" s="10" t="n">
        <f aca="false">IFERROR(VLOOKUP(A369,'Dados-Status-Invest'!$1:$1000,MATCH(Q$1,'Dados-Status-Invest'!$2:$2,0),FALSE())/100,"")</f>
        <v>0.3144</v>
      </c>
      <c r="R369" s="12" t="n">
        <f aca="false">IFERROR(VLOOKUP(A369,'Dados-Status-Invest'!$1:$1000,MATCH(R$1,'Dados-Status-Invest'!$2:$2,0),FALSE()),"")</f>
        <v>172.95</v>
      </c>
      <c r="S369" s="12" t="n">
        <f aca="false">IFERROR(VLOOKUP(A369,'Dados-Status-Invest'!$1:$1000,MATCH(S$1,'Dados-Status-Invest'!$2:$2,0),FALSE()),"")</f>
        <v>5.83</v>
      </c>
      <c r="T369" s="12" t="n">
        <f aca="false">IFERROR(VLOOKUP(A369,'Dados-Status-Invest'!$1:$1000,MATCH(T$1,'Dados-Status-Invest'!$2:$2,0),FALSE()),"")</f>
        <v>102.03</v>
      </c>
      <c r="U369" s="12" t="n">
        <f aca="false">IFERROR(VLOOKUP(A369,'Dados-Status-Invest'!$1:$1000,MATCH(U$1,'Dados-Status-Invest'!$2:$2,0),FALSE()),"")</f>
        <v>0</v>
      </c>
      <c r="V369" s="12" t="n">
        <f aca="false">IFERROR(VLOOKUP(A369,'Dados-Status-Invest'!$1:$1000,MATCH(V$1,'Dados-Status-Invest'!$2:$2,0),FALSE()),"")</f>
        <v>0</v>
      </c>
      <c r="W369" s="10" t="n">
        <f aca="false">IFERROR(VLOOKUP(A369,'Dados-Status-Invest'!$1:$1000,MATCH(W$1,'Dados-Status-Invest'!$2:$2,0),FALSE())/100,"")</f>
        <v>0</v>
      </c>
      <c r="X369" s="10" t="n">
        <f aca="false">IFERROR(VLOOKUP(A369,'Dados-Status-Invest'!$1:$1000,MATCH(X$1,'Dados-Status-Invest'!$2:$2,0),FALSE())/100,"")</f>
        <v>0</v>
      </c>
    </row>
    <row r="370" customFormat="false" ht="15.75" hidden="false" customHeight="false" outlineLevel="0" collapsed="false">
      <c r="A370" s="6" t="s">
        <v>402</v>
      </c>
      <c r="B370" s="7" t="s">
        <v>98</v>
      </c>
      <c r="C370" s="8" t="n">
        <f aca="false">IFERROR(__xludf.dummyfunction("IFERROR(IFERROR(GOOGLEFINANCE(A376,""price""),VLOOKUP(A376,'Dados-Status-Invest'!A:B,2,FALSE)),"""")"),18.94)</f>
        <v>18.94</v>
      </c>
      <c r="D370" s="8" t="n">
        <f aca="false">IFERROR(VLOOKUP(A370,'Dados-Status-Invest'!$1:$1000,MATCH(D$1,'Dados-Status-Invest'!$2:$2,0),FALSE()),"")</f>
        <v>2411649609</v>
      </c>
      <c r="E370" s="8" t="n">
        <f aca="false">IF(D370+H370&gt;0,D370+H370,"")</f>
        <v>1866218808.2</v>
      </c>
      <c r="F370" s="8" t="n">
        <f aca="false">IFERROR(D370/VLOOKUP(A370,'Dados-Status-Invest'!$1:$1000,5,FALSE()),"")</f>
        <v>666201549.4</v>
      </c>
      <c r="G370" s="8" t="n">
        <f aca="false">IFERROR(D370/VLOOKUP(A370,'Dados-Status-Invest'!$1:$1000,6,FALSE()),"")</f>
        <v>728595048</v>
      </c>
      <c r="H370" s="8" t="n">
        <f aca="false">IFERROR(VLOOKUP(A370,'Dados-Status-Invest'!$1:$1000,12,FALSE())*J370,"")</f>
        <v>-545430800.8</v>
      </c>
      <c r="I370" s="8" t="n">
        <f aca="false">IFERROR(D370/VLOOKUP(A370,'Dados-Status-Invest'!$1:$1000,14,FALSE()),"")</f>
        <v>239965135.2</v>
      </c>
      <c r="J370" s="9" t="n">
        <f aca="false">IFERROR(D370/VLOOKUP(A370,'Dados-Status-Invest'!$1:$1000,10,FALSE()),"")</f>
        <v>51553005.75</v>
      </c>
      <c r="K370" s="10" t="n">
        <f aca="false">IFERROR(VLOOKUP(A370,'Dados-Status-Invest'!$1:$1000,3,FALSE())/100,"")</f>
        <v>0</v>
      </c>
      <c r="L370" s="11" t="n">
        <f aca="false">IFERROR(VLOOKUP(A370,'Dados-Status-Invest'!$1:$1000,MATCH(L$1,'Dados-Status-Invest'!$2:$2,0),FALSE())/100,"")</f>
        <v>0.0774</v>
      </c>
      <c r="M370" s="10" t="n">
        <f aca="false">IFERROR(VLOOKUP(A370,'Dados-Status-Invest'!$1:$1000,MATCH(M$1,'Dados-Status-Invest'!$2:$2,0),FALSE())/100,"")</f>
        <v>0.0708</v>
      </c>
      <c r="N370" s="10" t="n">
        <f aca="false">IFERROR(VLOOKUP(A370,'Dados-Status-Invest'!$1:$1000,MATCH(N$1,'Dados-Status-Invest'!$2:$2,0),FALSE())/100,"")</f>
        <v>0.0695</v>
      </c>
      <c r="O370" s="10" t="n">
        <f aca="false">IFERROR(VLOOKUP(A370,'Dados-Status-Invest'!$1:$1000,MATCH(O$1,'Dados-Status-Invest'!$2:$2,0),FALSE())/100,"")</f>
        <v>0.9166</v>
      </c>
      <c r="P370" s="10" t="n">
        <f aca="false">IFERROR(VLOOKUP(A370,'Dados-Status-Invest'!$1:$1000,MATCH(P$1,'Dados-Status-Invest'!$2:$2,0),FALSE())/100,"")</f>
        <v>0.2149</v>
      </c>
      <c r="Q370" s="10" t="n">
        <f aca="false">IFERROR(VLOOKUP(A370,'Dados-Status-Invest'!$1:$1000,MATCH(Q$1,'Dados-Status-Invest'!$2:$2,0),FALSE())/100,"")</f>
        <v>0.2148</v>
      </c>
      <c r="R370" s="12" t="n">
        <f aca="false">IFERROR(VLOOKUP(A370,'Dados-Status-Invest'!$1:$1000,MATCH(R$1,'Dados-Status-Invest'!$2:$2,0),FALSE()),"")</f>
        <v>46.79</v>
      </c>
      <c r="S370" s="12" t="n">
        <f aca="false">IFERROR(VLOOKUP(A370,'Dados-Status-Invest'!$1:$1000,MATCH(S$1,'Dados-Status-Invest'!$2:$2,0),FALSE()),"")</f>
        <v>3.62</v>
      </c>
      <c r="T370" s="12" t="n">
        <f aca="false">IFERROR(VLOOKUP(A370,'Dados-Status-Invest'!$1:$1000,MATCH(T$1,'Dados-Status-Invest'!$2:$2,0),FALSE()),"")</f>
        <v>36.32</v>
      </c>
      <c r="U370" s="12" t="n">
        <f aca="false">IFERROR(VLOOKUP(A370,'Dados-Status-Invest'!$1:$1000,MATCH(U$1,'Dados-Status-Invest'!$2:$2,0),FALSE()),"")</f>
        <v>10.25</v>
      </c>
      <c r="V370" s="12" t="n">
        <f aca="false">IFERROR(VLOOKUP(A370,'Dados-Status-Invest'!$1:$1000,MATCH(V$1,'Dados-Status-Invest'!$2:$2,0),FALSE()),"")</f>
        <v>-10.58</v>
      </c>
      <c r="W370" s="10" t="n">
        <f aca="false">IFERROR(VLOOKUP(A370,'Dados-Status-Invest'!$1:$1000,MATCH(W$1,'Dados-Status-Invest'!$2:$2,0),FALSE())/100,"")</f>
        <v>0</v>
      </c>
      <c r="X370" s="10" t="n">
        <f aca="false">IFERROR(VLOOKUP(A370,'Dados-Status-Invest'!$1:$1000,MATCH(X$1,'Dados-Status-Invest'!$2:$2,0),FALSE())/100,"")</f>
        <v>0</v>
      </c>
    </row>
    <row r="371" customFormat="false" ht="15.75" hidden="false" customHeight="false" outlineLevel="0" collapsed="false">
      <c r="A371" s="6" t="s">
        <v>403</v>
      </c>
      <c r="B371" s="7" t="str">
        <f aca="false">IFERROR(VLOOKUP(LEFT(A371,4),Setor!A:D,2,FALSE()),"")</f>
        <v>Consumo Cíclico</v>
      </c>
      <c r="C371" s="8" t="n">
        <f aca="false">IFERROR(__xludf.dummyfunction("IFERROR(IFERROR(GOOGLEFINANCE(A377,""price""),VLOOKUP(A377,'Dados-Status-Invest'!A:B,2,FALSE)),"""")"),16.48)</f>
        <v>16.48</v>
      </c>
      <c r="D371" s="8" t="n">
        <f aca="false">IFERROR(VLOOKUP(A371,'Dados-Status-Invest'!$1:$1000,MATCH(D$1,'Dados-Status-Invest'!$2:$2,0),FALSE()),"")</f>
        <v>5808035302</v>
      </c>
      <c r="E371" s="8" t="n">
        <f aca="false">IF(D371+H371&gt;0,D371+H371,"")</f>
        <v>11850806442</v>
      </c>
      <c r="F371" s="8" t="n">
        <f aca="false">IFERROR(D371/VLOOKUP(A371,'Dados-Status-Invest'!$1:$1000,5,FALSE()),"")</f>
        <v>2332544298</v>
      </c>
      <c r="G371" s="8" t="n">
        <f aca="false">IFERROR(D371/VLOOKUP(A371,'Dados-Status-Invest'!$1:$1000,6,FALSE()),"")</f>
        <v>12906745116</v>
      </c>
      <c r="H371" s="8" t="n">
        <f aca="false">IFERROR(VLOOKUP(A371,'Dados-Status-Invest'!$1:$1000,12,FALSE())*J371,"")</f>
        <v>6042771140</v>
      </c>
      <c r="I371" s="8" t="n">
        <f aca="false">IFERROR(D371/VLOOKUP(A371,'Dados-Status-Invest'!$1:$1000,14,FALSE()),"")</f>
        <v>3846380995</v>
      </c>
      <c r="J371" s="9" t="n">
        <f aca="false">IFERROR(D371/VLOOKUP(A371,'Dados-Status-Invest'!$1:$1000,10,FALSE()),"")</f>
        <v>670673822.4</v>
      </c>
      <c r="K371" s="10" t="n">
        <f aca="false">IFERROR(VLOOKUP(A371,'Dados-Status-Invest'!$1:$1000,3,FALSE())/100,"")</f>
        <v>0.0163</v>
      </c>
      <c r="L371" s="11" t="n">
        <f aca="false">IFERROR(VLOOKUP(A371,'Dados-Status-Invest'!$1:$1000,MATCH(L$1,'Dados-Status-Invest'!$2:$2,0),FALSE())/100,"")</f>
        <v>0.1417</v>
      </c>
      <c r="M371" s="10" t="n">
        <f aca="false">IFERROR(VLOOKUP(A371,'Dados-Status-Invest'!$1:$1000,MATCH(M$1,'Dados-Status-Invest'!$2:$2,0),FALSE())/100,"")</f>
        <v>0.0255</v>
      </c>
      <c r="N371" s="10" t="n">
        <f aca="false">IFERROR(VLOOKUP(A371,'Dados-Status-Invest'!$1:$1000,MATCH(N$1,'Dados-Status-Invest'!$2:$2,0),FALSE())/100,"")</f>
        <v>0.0464</v>
      </c>
      <c r="O371" s="10" t="n">
        <f aca="false">IFERROR(VLOOKUP(A371,'Dados-Status-Invest'!$1:$1000,MATCH(O$1,'Dados-Status-Invest'!$2:$2,0),FALSE())/100,"")</f>
        <v>0.2609</v>
      </c>
      <c r="P371" s="10" t="n">
        <f aca="false">IFERROR(VLOOKUP(A371,'Dados-Status-Invest'!$1:$1000,MATCH(P$1,'Dados-Status-Invest'!$2:$2,0),FALSE())/100,"")</f>
        <v>0.1739</v>
      </c>
      <c r="Q371" s="10" t="n">
        <f aca="false">IFERROR(VLOOKUP(A371,'Dados-Status-Invest'!$1:$1000,MATCH(Q$1,'Dados-Status-Invest'!$2:$2,0),FALSE())/100,"")</f>
        <v>0.0858</v>
      </c>
      <c r="R371" s="12" t="n">
        <f aca="false">IFERROR(VLOOKUP(A371,'Dados-Status-Invest'!$1:$1000,MATCH(R$1,'Dados-Status-Invest'!$2:$2,0),FALSE()),"")</f>
        <v>17.56</v>
      </c>
      <c r="S371" s="12" t="n">
        <f aca="false">IFERROR(VLOOKUP(A371,'Dados-Status-Invest'!$1:$1000,MATCH(S$1,'Dados-Status-Invest'!$2:$2,0),FALSE()),"")</f>
        <v>2.49</v>
      </c>
      <c r="T371" s="12" t="n">
        <f aca="false">IFERROR(VLOOKUP(A371,'Dados-Status-Invest'!$1:$1000,MATCH(T$1,'Dados-Status-Invest'!$2:$2,0),FALSE()),"")</f>
        <v>17.62</v>
      </c>
      <c r="U371" s="12" t="n">
        <f aca="false">IFERROR(VLOOKUP(A371,'Dados-Status-Invest'!$1:$1000,MATCH(U$1,'Dados-Status-Invest'!$2:$2,0),FALSE()),"")</f>
        <v>2.08</v>
      </c>
      <c r="V371" s="12" t="n">
        <f aca="false">IFERROR(VLOOKUP(A371,'Dados-Status-Invest'!$1:$1000,MATCH(V$1,'Dados-Status-Invest'!$2:$2,0),FALSE()),"")</f>
        <v>9.01</v>
      </c>
      <c r="W371" s="10" t="n">
        <f aca="false">IFERROR(VLOOKUP(A371,'Dados-Status-Invest'!$1:$1000,MATCH(W$1,'Dados-Status-Invest'!$2:$2,0),FALSE())/100,"")</f>
        <v>0.2748</v>
      </c>
      <c r="X371" s="10" t="n">
        <f aca="false">IFERROR(VLOOKUP(A371,'Dados-Status-Invest'!$1:$1000,MATCH(X$1,'Dados-Status-Invest'!$2:$2,0),FALSE())/100,"")</f>
        <v>0.1021</v>
      </c>
    </row>
    <row r="372" customFormat="false" ht="15.75" hidden="false" customHeight="false" outlineLevel="0" collapsed="false">
      <c r="A372" s="6" t="s">
        <v>404</v>
      </c>
      <c r="B372" s="7" t="str">
        <f aca="false">IFERROR(VLOOKUP(LEFT(A372,4),Setor!A:D,2,FALSE()),"")</f>
        <v>Consumo não Cíclico</v>
      </c>
      <c r="C372" s="8" t="n">
        <f aca="false">IFERROR(__xludf.dummyfunction("IFERROR(IFERROR(GOOGLEFINANCE(A378,""price""),VLOOKUP(A378,'Dados-Status-Invest'!A:B,2,FALSE)),"""")"),15.27)</f>
        <v>15.27</v>
      </c>
      <c r="D372" s="8" t="n">
        <f aca="false">IFERROR(VLOOKUP(A372,'Dados-Status-Invest'!$1:$1000,MATCH(D$1,'Dados-Status-Invest'!$2:$2,0),FALSE()),"")</f>
        <v>13686757126</v>
      </c>
      <c r="E372" s="8" t="n">
        <f aca="false">IF(D372+H372&gt;0,D372+H372,"")</f>
        <v>32267566800</v>
      </c>
      <c r="F372" s="8" t="n">
        <f aca="false">IFERROR(D372/VLOOKUP(A372,'Dados-Status-Invest'!$1:$1000,5,FALSE()),"")</f>
        <v>2339616603</v>
      </c>
      <c r="G372" s="8" t="n">
        <f aca="false">IFERROR(D372/VLOOKUP(A372,'Dados-Status-Invest'!$1:$1000,6,FALSE()),"")</f>
        <v>41475021594</v>
      </c>
      <c r="H372" s="8" t="n">
        <f aca="false">IFERROR(VLOOKUP(A372,'Dados-Status-Invest'!$1:$1000,12,FALSE())*J372,"")</f>
        <v>18580809674</v>
      </c>
      <c r="I372" s="8" t="n">
        <f aca="false">IFERROR(D372/VLOOKUP(A372,'Dados-Status-Invest'!$1:$1000,14,FALSE()),"")</f>
        <v>72035563822</v>
      </c>
      <c r="J372" s="9" t="n">
        <f aca="false">IFERROR(D372/VLOOKUP(A372,'Dados-Status-Invest'!$1:$1000,10,FALSE()),"")</f>
        <v>8295004319</v>
      </c>
      <c r="K372" s="10" t="n">
        <f aca="false">IFERROR(VLOOKUP(A372,'Dados-Status-Invest'!$1:$1000,3,FALSE())/100,"")</f>
        <v>0.0107</v>
      </c>
      <c r="L372" s="11" t="n">
        <f aca="false">IFERROR(VLOOKUP(A372,'Dados-Status-Invest'!$1:$1000,MATCH(L$1,'Dados-Status-Invest'!$2:$2,0),FALSE())/100,"")</f>
        <v>1.6009</v>
      </c>
      <c r="M372" s="10" t="n">
        <f aca="false">IFERROR(VLOOKUP(A372,'Dados-Status-Invest'!$1:$1000,MATCH(M$1,'Dados-Status-Invest'!$2:$2,0),FALSE())/100,"")</f>
        <v>0.0891</v>
      </c>
      <c r="N372" s="10" t="n">
        <f aca="false">IFERROR(VLOOKUP(A372,'Dados-Status-Invest'!$1:$1000,MATCH(N$1,'Dados-Status-Invest'!$2:$2,0),FALSE())/100,"")</f>
        <v>0.2194</v>
      </c>
      <c r="O372" s="10" t="n">
        <f aca="false">IFERROR(VLOOKUP(A372,'Dados-Status-Invest'!$1:$1000,MATCH(O$1,'Dados-Status-Invest'!$2:$2,0),FALSE())/100,"")</f>
        <v>0.1726</v>
      </c>
      <c r="P372" s="10" t="n">
        <f aca="false">IFERROR(VLOOKUP(A372,'Dados-Status-Invest'!$1:$1000,MATCH(P$1,'Dados-Status-Invest'!$2:$2,0),FALSE())/100,"")</f>
        <v>0.1156</v>
      </c>
      <c r="Q372" s="10" t="n">
        <f aca="false">IFERROR(VLOOKUP(A372,'Dados-Status-Invest'!$1:$1000,MATCH(Q$1,'Dados-Status-Invest'!$2:$2,0),FALSE())/100,"")</f>
        <v>0.0522</v>
      </c>
      <c r="R372" s="12" t="n">
        <f aca="false">IFERROR(VLOOKUP(A372,'Dados-Status-Invest'!$1:$1000,MATCH(R$1,'Dados-Status-Invest'!$2:$2,0),FALSE()),"")</f>
        <v>3.65</v>
      </c>
      <c r="S372" s="12" t="n">
        <f aca="false">IFERROR(VLOOKUP(A372,'Dados-Status-Invest'!$1:$1000,MATCH(S$1,'Dados-Status-Invest'!$2:$2,0),FALSE()),"")</f>
        <v>5.85</v>
      </c>
      <c r="T372" s="12" t="n">
        <f aca="false">IFERROR(VLOOKUP(A372,'Dados-Status-Invest'!$1:$1000,MATCH(T$1,'Dados-Status-Invest'!$2:$2,0),FALSE()),"")</f>
        <v>3.91</v>
      </c>
      <c r="U372" s="12" t="n">
        <f aca="false">IFERROR(VLOOKUP(A372,'Dados-Status-Invest'!$1:$1000,MATCH(U$1,'Dados-Status-Invest'!$2:$2,0),FALSE()),"")</f>
        <v>1.31</v>
      </c>
      <c r="V372" s="12" t="n">
        <f aca="false">IFERROR(VLOOKUP(A372,'Dados-Status-Invest'!$1:$1000,MATCH(V$1,'Dados-Status-Invest'!$2:$2,0),FALSE()),"")</f>
        <v>2.24</v>
      </c>
      <c r="W372" s="10" t="n">
        <f aca="false">IFERROR(VLOOKUP(A372,'Dados-Status-Invest'!$1:$1000,MATCH(W$1,'Dados-Status-Invest'!$2:$2,0),FALSE())/100,"")</f>
        <v>0.2812</v>
      </c>
      <c r="X372" s="10" t="n">
        <f aca="false">IFERROR(VLOOKUP(A372,'Dados-Status-Invest'!$1:$1000,MATCH(X$1,'Dados-Status-Invest'!$2:$2,0),FALSE())/100,"")</f>
        <v>0</v>
      </c>
    </row>
    <row r="373" customFormat="false" ht="15.75" hidden="false" customHeight="false" outlineLevel="0" collapsed="false">
      <c r="A373" s="6" t="s">
        <v>405</v>
      </c>
      <c r="B373" s="7" t="str">
        <f aca="false">IFERROR(VLOOKUP(LEFT(A373,4),Setor!A:D,2,FALSE()),"")</f>
        <v>Bens Industriais</v>
      </c>
      <c r="C373" s="8" t="n">
        <f aca="false">IFERROR(__xludf.dummyfunction("IFERROR(IFERROR(GOOGLEFINANCE(A379,""price""),VLOOKUP(A379,'Dados-Status-Invest'!A:B,2,FALSE)),"""")"),38.7)</f>
        <v>38.7</v>
      </c>
      <c r="D373" s="8" t="n">
        <f aca="false">IFERROR(VLOOKUP(A373,'Dados-Status-Invest'!$1:$1000,MATCH(D$1,'Dados-Status-Invest'!$2:$2,0),FALSE()),"")</f>
        <v>10179902092</v>
      </c>
      <c r="E373" s="8" t="n">
        <f aca="false">IF(D373+H373&gt;0,D373+H373,"")</f>
        <v>11535402907</v>
      </c>
      <c r="F373" s="8" t="n">
        <f aca="false">IFERROR(D373/VLOOKUP(A373,'Dados-Status-Invest'!$1:$1000,5,FALSE()),"")</f>
        <v>3283839384</v>
      </c>
      <c r="G373" s="8" t="n">
        <f aca="false">IFERROR(D373/VLOOKUP(A373,'Dados-Status-Invest'!$1:$1000,6,FALSE()),"")</f>
        <v>7953048509</v>
      </c>
      <c r="H373" s="8" t="n">
        <f aca="false">IFERROR(VLOOKUP(A373,'Dados-Status-Invest'!$1:$1000,12,FALSE())*J373,"")</f>
        <v>1355500815</v>
      </c>
      <c r="I373" s="8" t="n">
        <f aca="false">IFERROR(D373/VLOOKUP(A373,'Dados-Status-Invest'!$1:$1000,14,FALSE()),"")</f>
        <v>2916877390</v>
      </c>
      <c r="J373" s="9" t="n">
        <f aca="false">IFERROR(D373/VLOOKUP(A373,'Dados-Status-Invest'!$1:$1000,10,FALSE()),"")</f>
        <v>909732090.4</v>
      </c>
      <c r="K373" s="10" t="n">
        <f aca="false">IFERROR(VLOOKUP(A373,'Dados-Status-Invest'!$1:$1000,3,FALSE())/100,"")</f>
        <v>0.0072</v>
      </c>
      <c r="L373" s="11" t="n">
        <f aca="false">IFERROR(VLOOKUP(A373,'Dados-Status-Invest'!$1:$1000,MATCH(L$1,'Dados-Status-Invest'!$2:$2,0),FALSE())/100,"")</f>
        <v>0.1361</v>
      </c>
      <c r="M373" s="10" t="n">
        <f aca="false">IFERROR(VLOOKUP(A373,'Dados-Status-Invest'!$1:$1000,MATCH(M$1,'Dados-Status-Invest'!$2:$2,0),FALSE())/100,"")</f>
        <v>0.0561</v>
      </c>
      <c r="N373" s="10" t="n">
        <f aca="false">IFERROR(VLOOKUP(A373,'Dados-Status-Invest'!$1:$1000,MATCH(N$1,'Dados-Status-Invest'!$2:$2,0),FALSE())/100,"")</f>
        <v>0.128</v>
      </c>
      <c r="O373" s="10" t="n">
        <f aca="false">IFERROR(VLOOKUP(A373,'Dados-Status-Invest'!$1:$1000,MATCH(O$1,'Dados-Status-Invest'!$2:$2,0),FALSE())/100,"")</f>
        <v>0.3441</v>
      </c>
      <c r="P373" s="10" t="n">
        <f aca="false">IFERROR(VLOOKUP(A373,'Dados-Status-Invest'!$1:$1000,MATCH(P$1,'Dados-Status-Invest'!$2:$2,0),FALSE())/100,"")</f>
        <v>0.312</v>
      </c>
      <c r="Q373" s="10" t="n">
        <f aca="false">IFERROR(VLOOKUP(A373,'Dados-Status-Invest'!$1:$1000,MATCH(Q$1,'Dados-Status-Invest'!$2:$2,0),FALSE())/100,"")</f>
        <v>0.1533</v>
      </c>
      <c r="R373" s="12" t="n">
        <f aca="false">IFERROR(VLOOKUP(A373,'Dados-Status-Invest'!$1:$1000,MATCH(R$1,'Dados-Status-Invest'!$2:$2,0),FALSE()),"")</f>
        <v>22.77</v>
      </c>
      <c r="S373" s="12" t="n">
        <f aca="false">IFERROR(VLOOKUP(A373,'Dados-Status-Invest'!$1:$1000,MATCH(S$1,'Dados-Status-Invest'!$2:$2,0),FALSE()),"")</f>
        <v>3.1</v>
      </c>
      <c r="T373" s="12" t="n">
        <f aca="false">IFERROR(VLOOKUP(A373,'Dados-Status-Invest'!$1:$1000,MATCH(T$1,'Dados-Status-Invest'!$2:$2,0),FALSE()),"")</f>
        <v>9.87</v>
      </c>
      <c r="U373" s="12" t="n">
        <f aca="false">IFERROR(VLOOKUP(A373,'Dados-Status-Invest'!$1:$1000,MATCH(U$1,'Dados-Status-Invest'!$2:$2,0),FALSE()),"")</f>
        <v>0.81</v>
      </c>
      <c r="V373" s="12" t="n">
        <f aca="false">IFERROR(VLOOKUP(A373,'Dados-Status-Invest'!$1:$1000,MATCH(V$1,'Dados-Status-Invest'!$2:$2,0),FALSE()),"")</f>
        <v>1.49</v>
      </c>
      <c r="W373" s="10" t="n">
        <f aca="false">IFERROR(VLOOKUP(A373,'Dados-Status-Invest'!$1:$1000,MATCH(W$1,'Dados-Status-Invest'!$2:$2,0),FALSE())/100,"")</f>
        <v>0.0259</v>
      </c>
      <c r="X373" s="10" t="n">
        <f aca="false">IFERROR(VLOOKUP(A373,'Dados-Status-Invest'!$1:$1000,MATCH(X$1,'Dados-Status-Invest'!$2:$2,0),FALSE())/100,"")</f>
        <v>0.0778</v>
      </c>
    </row>
    <row r="374" customFormat="false" ht="15.75" hidden="false" customHeight="false" outlineLevel="0" collapsed="false">
      <c r="A374" s="6" t="s">
        <v>406</v>
      </c>
      <c r="B374" s="7" t="str">
        <f aca="false">IFERROR(VLOOKUP(LEFT(A374,4),Setor!A:D,2,FALSE()),"")</f>
        <v>Bens Industriais</v>
      </c>
      <c r="C374" s="8" t="n">
        <f aca="false">IFERROR(__xludf.dummyfunction("IFERROR(IFERROR(GOOGLEFINANCE(A380,""price""),VLOOKUP(A380,'Dados-Status-Invest'!A:B,2,FALSE)),"""")"),33)</f>
        <v>33</v>
      </c>
      <c r="D374" s="8" t="n">
        <f aca="false">IFERROR(VLOOKUP(A374,'Dados-Status-Invest'!$1:$1000,MATCH(D$1,'Dados-Status-Invest'!$2:$2,0),FALSE()),"")</f>
        <v>10179902092</v>
      </c>
      <c r="E374" s="8" t="n">
        <f aca="false">IF(D374+H374&gt;0,D374+H374,"")</f>
        <v>13288109903</v>
      </c>
      <c r="F374" s="8" t="n">
        <f aca="false">IFERROR(D374/VLOOKUP(A374,'Dados-Status-Invest'!$1:$1000,5,FALSE()),"")</f>
        <v>7540668216</v>
      </c>
      <c r="G374" s="8" t="n">
        <f aca="false">IFERROR(D374/VLOOKUP(A374,'Dados-Status-Invest'!$1:$1000,6,FALSE()),"")</f>
        <v>18178396593</v>
      </c>
      <c r="H374" s="8" t="n">
        <f aca="false">IFERROR(VLOOKUP(A374,'Dados-Status-Invest'!$1:$1000,12,FALSE())*J374,"")</f>
        <v>3108207811</v>
      </c>
      <c r="I374" s="8" t="n">
        <f aca="false">IFERROR(D374/VLOOKUP(A374,'Dados-Status-Invest'!$1:$1000,14,FALSE()),"")</f>
        <v>6697304008</v>
      </c>
      <c r="J374" s="9" t="n">
        <f aca="false">IFERROR(D374/VLOOKUP(A374,'Dados-Status-Invest'!$1:$1000,10,FALSE()),"")</f>
        <v>2086045511</v>
      </c>
      <c r="K374" s="10" t="n">
        <f aca="false">IFERROR(VLOOKUP(A374,'Dados-Status-Invest'!$1:$1000,3,FALSE())/100,"")</f>
        <v>0.0181</v>
      </c>
      <c r="L374" s="11" t="n">
        <f aca="false">IFERROR(VLOOKUP(A374,'Dados-Status-Invest'!$1:$1000,MATCH(L$1,'Dados-Status-Invest'!$2:$2,0),FALSE())/100,"")</f>
        <v>0.1361</v>
      </c>
      <c r="M374" s="10" t="n">
        <f aca="false">IFERROR(VLOOKUP(A374,'Dados-Status-Invest'!$1:$1000,MATCH(M$1,'Dados-Status-Invest'!$2:$2,0),FALSE())/100,"")</f>
        <v>0.0561</v>
      </c>
      <c r="N374" s="10" t="n">
        <f aca="false">IFERROR(VLOOKUP(A374,'Dados-Status-Invest'!$1:$1000,MATCH(N$1,'Dados-Status-Invest'!$2:$2,0),FALSE())/100,"")</f>
        <v>0.128</v>
      </c>
      <c r="O374" s="10" t="n">
        <f aca="false">IFERROR(VLOOKUP(A374,'Dados-Status-Invest'!$1:$1000,MATCH(O$1,'Dados-Status-Invest'!$2:$2,0),FALSE())/100,"")</f>
        <v>0.3441</v>
      </c>
      <c r="P374" s="10" t="n">
        <f aca="false">IFERROR(VLOOKUP(A374,'Dados-Status-Invest'!$1:$1000,MATCH(P$1,'Dados-Status-Invest'!$2:$2,0),FALSE())/100,"")</f>
        <v>0.312</v>
      </c>
      <c r="Q374" s="10" t="n">
        <f aca="false">IFERROR(VLOOKUP(A374,'Dados-Status-Invest'!$1:$1000,MATCH(Q$1,'Dados-Status-Invest'!$2:$2,0),FALSE())/100,"")</f>
        <v>0.1533</v>
      </c>
      <c r="R374" s="12" t="n">
        <f aca="false">IFERROR(VLOOKUP(A374,'Dados-Status-Invest'!$1:$1000,MATCH(R$1,'Dados-Status-Invest'!$2:$2,0),FALSE()),"")</f>
        <v>9.93</v>
      </c>
      <c r="S374" s="12" t="n">
        <f aca="false">IFERROR(VLOOKUP(A374,'Dados-Status-Invest'!$1:$1000,MATCH(S$1,'Dados-Status-Invest'!$2:$2,0),FALSE()),"")</f>
        <v>1.35</v>
      </c>
      <c r="T374" s="12" t="n">
        <f aca="false">IFERROR(VLOOKUP(A374,'Dados-Status-Invest'!$1:$1000,MATCH(T$1,'Dados-Status-Invest'!$2:$2,0),FALSE()),"")</f>
        <v>9.87</v>
      </c>
      <c r="U374" s="12" t="n">
        <f aca="false">IFERROR(VLOOKUP(A374,'Dados-Status-Invest'!$1:$1000,MATCH(U$1,'Dados-Status-Invest'!$2:$2,0),FALSE()),"")</f>
        <v>0.81</v>
      </c>
      <c r="V374" s="12" t="n">
        <f aca="false">IFERROR(VLOOKUP(A374,'Dados-Status-Invest'!$1:$1000,MATCH(V$1,'Dados-Status-Invest'!$2:$2,0),FALSE()),"")</f>
        <v>1.49</v>
      </c>
      <c r="W374" s="10" t="n">
        <f aca="false">IFERROR(VLOOKUP(A374,'Dados-Status-Invest'!$1:$1000,MATCH(W$1,'Dados-Status-Invest'!$2:$2,0),FALSE())/100,"")</f>
        <v>0.0259</v>
      </c>
      <c r="X374" s="10" t="n">
        <f aca="false">IFERROR(VLOOKUP(A374,'Dados-Status-Invest'!$1:$1000,MATCH(X$1,'Dados-Status-Invest'!$2:$2,0),FALSE())/100,"")</f>
        <v>0.0778</v>
      </c>
    </row>
    <row r="375" customFormat="false" ht="15.75" hidden="false" customHeight="false" outlineLevel="0" collapsed="false">
      <c r="A375" s="6" t="s">
        <v>407</v>
      </c>
      <c r="B375" s="7" t="str">
        <f aca="false">IFERROR(VLOOKUP(LEFT(A375,4),Setor!A:D,2,FALSE()),"")</f>
        <v>Bens Industriais</v>
      </c>
      <c r="C375" s="8" t="n">
        <f aca="false">IFERROR(__xludf.dummyfunction("IFERROR(IFERROR(GOOGLEFINANCE(A381,""price""),VLOOKUP(A381,'Dados-Status-Invest'!A:B,2,FALSE)),"""")"),30.66)</f>
        <v>30.66</v>
      </c>
      <c r="D375" s="8" t="n">
        <f aca="false">IFERROR(VLOOKUP(A375,'Dados-Status-Invest'!$1:$1000,MATCH(D$1,'Dados-Status-Invest'!$2:$2,0),FALSE()),"")</f>
        <v>10179902092</v>
      </c>
      <c r="E375" s="8" t="n">
        <f aca="false">IF(D375+H375&gt;0,D375+H375,"")</f>
        <v>12029664789</v>
      </c>
      <c r="F375" s="8" t="n">
        <f aca="false">IFERROR(D375/VLOOKUP(A375,'Dados-Status-Invest'!$1:$1000,5,FALSE()),"")</f>
        <v>4484538366</v>
      </c>
      <c r="G375" s="8" t="n">
        <f aca="false">IFERROR(D375/VLOOKUP(A375,'Dados-Status-Invest'!$1:$1000,6,FALSE()),"")</f>
        <v>10829683076</v>
      </c>
      <c r="H375" s="8" t="n">
        <f aca="false">IFERROR(VLOOKUP(A375,'Dados-Status-Invest'!$1:$1000,12,FALSE())*J375,"")</f>
        <v>1849762697</v>
      </c>
      <c r="I375" s="8" t="n">
        <f aca="false">IFERROR(D375/VLOOKUP(A375,'Dados-Status-Invest'!$1:$1000,14,FALSE()),"")</f>
        <v>3976524255</v>
      </c>
      <c r="J375" s="9" t="n">
        <f aca="false">IFERROR(D375/VLOOKUP(A375,'Dados-Status-Invest'!$1:$1000,10,FALSE()),"")</f>
        <v>1241451475</v>
      </c>
      <c r="K375" s="10" t="n">
        <f aca="false">IFERROR(VLOOKUP(A375,'Dados-Status-Invest'!$1:$1000,3,FALSE())/100,"")</f>
        <v>0.0108</v>
      </c>
      <c r="L375" s="11" t="n">
        <f aca="false">IFERROR(VLOOKUP(A375,'Dados-Status-Invest'!$1:$1000,MATCH(L$1,'Dados-Status-Invest'!$2:$2,0),FALSE())/100,"")</f>
        <v>0.1361</v>
      </c>
      <c r="M375" s="10" t="n">
        <f aca="false">IFERROR(VLOOKUP(A375,'Dados-Status-Invest'!$1:$1000,MATCH(M$1,'Dados-Status-Invest'!$2:$2,0),FALSE())/100,"")</f>
        <v>0.0561</v>
      </c>
      <c r="N375" s="10" t="n">
        <f aca="false">IFERROR(VLOOKUP(A375,'Dados-Status-Invest'!$1:$1000,MATCH(N$1,'Dados-Status-Invest'!$2:$2,0),FALSE())/100,"")</f>
        <v>0.128</v>
      </c>
      <c r="O375" s="10" t="n">
        <f aca="false">IFERROR(VLOOKUP(A375,'Dados-Status-Invest'!$1:$1000,MATCH(O$1,'Dados-Status-Invest'!$2:$2,0),FALSE())/100,"")</f>
        <v>0.3441</v>
      </c>
      <c r="P375" s="10" t="n">
        <f aca="false">IFERROR(VLOOKUP(A375,'Dados-Status-Invest'!$1:$1000,MATCH(P$1,'Dados-Status-Invest'!$2:$2,0),FALSE())/100,"")</f>
        <v>0.312</v>
      </c>
      <c r="Q375" s="10" t="n">
        <f aca="false">IFERROR(VLOOKUP(A375,'Dados-Status-Invest'!$1:$1000,MATCH(Q$1,'Dados-Status-Invest'!$2:$2,0),FALSE())/100,"")</f>
        <v>0.1533</v>
      </c>
      <c r="R375" s="12" t="n">
        <f aca="false">IFERROR(VLOOKUP(A375,'Dados-Status-Invest'!$1:$1000,MATCH(R$1,'Dados-Status-Invest'!$2:$2,0),FALSE()),"")</f>
        <v>16.68</v>
      </c>
      <c r="S375" s="12" t="n">
        <f aca="false">IFERROR(VLOOKUP(A375,'Dados-Status-Invest'!$1:$1000,MATCH(S$1,'Dados-Status-Invest'!$2:$2,0),FALSE()),"")</f>
        <v>2.27</v>
      </c>
      <c r="T375" s="12" t="n">
        <f aca="false">IFERROR(VLOOKUP(A375,'Dados-Status-Invest'!$1:$1000,MATCH(T$1,'Dados-Status-Invest'!$2:$2,0),FALSE()),"")</f>
        <v>9.87</v>
      </c>
      <c r="U375" s="12" t="n">
        <f aca="false">IFERROR(VLOOKUP(A375,'Dados-Status-Invest'!$1:$1000,MATCH(U$1,'Dados-Status-Invest'!$2:$2,0),FALSE()),"")</f>
        <v>0.81</v>
      </c>
      <c r="V375" s="12" t="n">
        <f aca="false">IFERROR(VLOOKUP(A375,'Dados-Status-Invest'!$1:$1000,MATCH(V$1,'Dados-Status-Invest'!$2:$2,0),FALSE()),"")</f>
        <v>1.49</v>
      </c>
      <c r="W375" s="10" t="n">
        <f aca="false">IFERROR(VLOOKUP(A375,'Dados-Status-Invest'!$1:$1000,MATCH(W$1,'Dados-Status-Invest'!$2:$2,0),FALSE())/100,"")</f>
        <v>0.0259</v>
      </c>
      <c r="X375" s="10" t="n">
        <f aca="false">IFERROR(VLOOKUP(A375,'Dados-Status-Invest'!$1:$1000,MATCH(X$1,'Dados-Status-Invest'!$2:$2,0),FALSE())/100,"")</f>
        <v>0.0778</v>
      </c>
    </row>
    <row r="376" customFormat="false" ht="15.75" hidden="false" customHeight="false" outlineLevel="0" collapsed="false">
      <c r="A376" s="6" t="s">
        <v>408</v>
      </c>
      <c r="B376" s="7" t="str">
        <f aca="false">IFERROR(VLOOKUP(LEFT(A376,4),Setor!A:D,2,FALSE()),"")</f>
        <v>Consumo Cíclico</v>
      </c>
      <c r="C376" s="8" t="n">
        <f aca="false">IFERROR(__xludf.dummyfunction("IFERROR(IFERROR(GOOGLEFINANCE(A382,""price""),VLOOKUP(A382,'Dados-Status-Invest'!A:B,2,FALSE)),"""")"),9.4)</f>
        <v>9.4</v>
      </c>
      <c r="D376" s="8" t="n">
        <f aca="false">IFERROR(VLOOKUP(A376,'Dados-Status-Invest'!$1:$1000,MATCH(D$1,'Dados-Status-Invest'!$2:$2,0),FALSE()),"")</f>
        <v>7841890536</v>
      </c>
      <c r="E376" s="8" t="n">
        <f aca="false">IF(D376+H376&gt;0,D376+H376,"")</f>
        <v>11469579510</v>
      </c>
      <c r="F376" s="8" t="n">
        <f aca="false">IFERROR(D376/VLOOKUP(A376,'Dados-Status-Invest'!$1:$1000,5,FALSE()),"")</f>
        <v>5724007690</v>
      </c>
      <c r="G376" s="8" t="n">
        <f aca="false">IFERROR(D376/VLOOKUP(A376,'Dados-Status-Invest'!$1:$1000,6,FALSE()),"")</f>
        <v>18671167943</v>
      </c>
      <c r="H376" s="8" t="n">
        <f aca="false">IFERROR(VLOOKUP(A376,'Dados-Status-Invest'!$1:$1000,12,FALSE())*J376,"")</f>
        <v>3627688974</v>
      </c>
      <c r="I376" s="8" t="n">
        <f aca="false">IFERROR(D376/VLOOKUP(A376,'Dados-Status-Invest'!$1:$1000,14,FALSE()),"")</f>
        <v>6702470544</v>
      </c>
      <c r="J376" s="9" t="n">
        <f aca="false">IFERROR(D376/VLOOKUP(A376,'Dados-Status-Invest'!$1:$1000,10,FALSE()),"")</f>
        <v>724089615.5</v>
      </c>
      <c r="K376" s="10" t="n">
        <f aca="false">IFERROR(VLOOKUP(A376,'Dados-Status-Invest'!$1:$1000,3,FALSE())/100,"")</f>
        <v>0.0521</v>
      </c>
      <c r="L376" s="11" t="n">
        <f aca="false">IFERROR(VLOOKUP(A376,'Dados-Status-Invest'!$1:$1000,MATCH(L$1,'Dados-Status-Invest'!$2:$2,0),FALSE())/100,"")</f>
        <v>0.1014</v>
      </c>
      <c r="M376" s="10" t="n">
        <f aca="false">IFERROR(VLOOKUP(A376,'Dados-Status-Invest'!$1:$1000,MATCH(M$1,'Dados-Status-Invest'!$2:$2,0),FALSE())/100,"")</f>
        <v>0.031</v>
      </c>
      <c r="N376" s="10" t="n">
        <f aca="false">IFERROR(VLOOKUP(A376,'Dados-Status-Invest'!$1:$1000,MATCH(N$1,'Dados-Status-Invest'!$2:$2,0),FALSE())/100,"")</f>
        <v>0.0539</v>
      </c>
      <c r="O376" s="10" t="n">
        <f aca="false">IFERROR(VLOOKUP(A376,'Dados-Status-Invest'!$1:$1000,MATCH(O$1,'Dados-Status-Invest'!$2:$2,0),FALSE())/100,"")</f>
        <v>0.2813</v>
      </c>
      <c r="P376" s="10" t="n">
        <f aca="false">IFERROR(VLOOKUP(A376,'Dados-Status-Invest'!$1:$1000,MATCH(P$1,'Dados-Status-Invest'!$2:$2,0),FALSE())/100,"")</f>
        <v>0.1076</v>
      </c>
      <c r="Q376" s="10" t="n">
        <f aca="false">IFERROR(VLOOKUP(A376,'Dados-Status-Invest'!$1:$1000,MATCH(Q$1,'Dados-Status-Invest'!$2:$2,0),FALSE())/100,"")</f>
        <v>0.0865</v>
      </c>
      <c r="R376" s="12" t="n">
        <f aca="false">IFERROR(VLOOKUP(A376,'Dados-Status-Invest'!$1:$1000,MATCH(R$1,'Dados-Status-Invest'!$2:$2,0),FALSE()),"")</f>
        <v>13.48</v>
      </c>
      <c r="S376" s="12" t="n">
        <f aca="false">IFERROR(VLOOKUP(A376,'Dados-Status-Invest'!$1:$1000,MATCH(S$1,'Dados-Status-Invest'!$2:$2,0),FALSE()),"")</f>
        <v>1.37</v>
      </c>
      <c r="T376" s="12" t="n">
        <f aca="false">IFERROR(VLOOKUP(A376,'Dados-Status-Invest'!$1:$1000,MATCH(T$1,'Dados-Status-Invest'!$2:$2,0),FALSE()),"")</f>
        <v>15.83</v>
      </c>
      <c r="U376" s="12" t="n">
        <f aca="false">IFERROR(VLOOKUP(A376,'Dados-Status-Invest'!$1:$1000,MATCH(U$1,'Dados-Status-Invest'!$2:$2,0),FALSE()),"")</f>
        <v>2.16</v>
      </c>
      <c r="V376" s="12" t="n">
        <f aca="false">IFERROR(VLOOKUP(A376,'Dados-Status-Invest'!$1:$1000,MATCH(V$1,'Dados-Status-Invest'!$2:$2,0),FALSE()),"")</f>
        <v>5.01</v>
      </c>
      <c r="W376" s="10" t="n">
        <f aca="false">IFERROR(VLOOKUP(A376,'Dados-Status-Invest'!$1:$1000,MATCH(W$1,'Dados-Status-Invest'!$2:$2,0),FALSE())/100,"")</f>
        <v>0.0689</v>
      </c>
      <c r="X376" s="10" t="n">
        <f aca="false">IFERROR(VLOOKUP(A376,'Dados-Status-Invest'!$1:$1000,MATCH(X$1,'Dados-Status-Invest'!$2:$2,0),FALSE())/100,"")</f>
        <v>0.0085</v>
      </c>
    </row>
    <row r="377" customFormat="false" ht="15.75" hidden="false" customHeight="false" outlineLevel="0" collapsed="false">
      <c r="A377" s="6" t="s">
        <v>409</v>
      </c>
      <c r="B377" s="7" t="str">
        <f aca="false">IFERROR(VLOOKUP(LEFT(A377,4),Setor!A:D,2,FALSE()),"")</f>
        <v>Materiais Básicos</v>
      </c>
      <c r="C377" s="8" t="n">
        <f aca="false">IFERROR(__xludf.dummyfunction("IFERROR(IFERROR(GOOGLEFINANCE(A383,""price""),VLOOKUP(A383,'Dados-Status-Invest'!A:B,2,FALSE)),"""")"),50.01)</f>
        <v>50.01</v>
      </c>
      <c r="D377" s="8" t="n">
        <f aca="false">IFERROR(VLOOKUP(A377,'Dados-Status-Invest'!$1:$1000,MATCH(D$1,'Dados-Status-Invest'!$2:$2,0),FALSE()),"")</f>
        <v>312225541.8</v>
      </c>
      <c r="E377" s="8" t="n">
        <f aca="false">IF(D377+H377&gt;0,D377+H377,"")</f>
        <v>360972217.29</v>
      </c>
      <c r="F377" s="8" t="n">
        <f aca="false">IFERROR(D377/VLOOKUP(A377,'Dados-Status-Invest'!$1:$1000,5,FALSE()),"")</f>
        <v>843852815.6</v>
      </c>
      <c r="G377" s="8" t="n">
        <f aca="false">IFERROR(D377/VLOOKUP(A377,'Dados-Status-Invest'!$1:$1000,6,FALSE()),"")</f>
        <v>1419207008</v>
      </c>
      <c r="H377" s="8" t="n">
        <f aca="false">IFERROR(VLOOKUP(A377,'Dados-Status-Invest'!$1:$1000,12,FALSE())*J377,"")</f>
        <v>48746675.49</v>
      </c>
      <c r="I377" s="8" t="n">
        <f aca="false">IFERROR(D377/VLOOKUP(A377,'Dados-Status-Invest'!$1:$1000,14,FALSE()),"")</f>
        <v>108789387.4</v>
      </c>
      <c r="J377" s="9" t="n">
        <f aca="false">IFERROR(D377/VLOOKUP(A377,'Dados-Status-Invest'!$1:$1000,10,FALSE()),"")</f>
        <v>-61704652.52</v>
      </c>
      <c r="K377" s="10" t="n">
        <f aca="false">IFERROR(VLOOKUP(A377,'Dados-Status-Invest'!$1:$1000,3,FALSE())/100,"")</f>
        <v>0</v>
      </c>
      <c r="L377" s="11" t="n">
        <f aca="false">IFERROR(VLOOKUP(A377,'Dados-Status-Invest'!$1:$1000,MATCH(L$1,'Dados-Status-Invest'!$2:$2,0),FALSE())/100,"")</f>
        <v>-0.0579</v>
      </c>
      <c r="M377" s="10" t="n">
        <f aca="false">IFERROR(VLOOKUP(A377,'Dados-Status-Invest'!$1:$1000,MATCH(M$1,'Dados-Status-Invest'!$2:$2,0),FALSE())/100,"")</f>
        <v>-0.0339</v>
      </c>
      <c r="N377" s="10" t="n">
        <f aca="false">IFERROR(VLOOKUP(A377,'Dados-Status-Invest'!$1:$1000,MATCH(N$1,'Dados-Status-Invest'!$2:$2,0),FALSE())/100,"")</f>
        <v>-0.0841</v>
      </c>
      <c r="O377" s="10" t="n">
        <f aca="false">IFERROR(VLOOKUP(A377,'Dados-Status-Invest'!$1:$1000,MATCH(O$1,'Dados-Status-Invest'!$2:$2,0),FALSE())/100,"")</f>
        <v>0.2335</v>
      </c>
      <c r="P377" s="10" t="n">
        <f aca="false">IFERROR(VLOOKUP(A377,'Dados-Status-Invest'!$1:$1000,MATCH(P$1,'Dados-Status-Invest'!$2:$2,0),FALSE())/100,"")</f>
        <v>-0.5665</v>
      </c>
      <c r="Q377" s="10" t="n">
        <f aca="false">IFERROR(VLOOKUP(A377,'Dados-Status-Invest'!$1:$1000,MATCH(Q$1,'Dados-Status-Invest'!$2:$2,0),FALSE())/100,"")</f>
        <v>-0.4435</v>
      </c>
      <c r="R377" s="12" t="n">
        <f aca="false">IFERROR(VLOOKUP(A377,'Dados-Status-Invest'!$1:$1000,MATCH(R$1,'Dados-Status-Invest'!$2:$2,0),FALSE()),"")</f>
        <v>-6.47</v>
      </c>
      <c r="S377" s="12" t="n">
        <f aca="false">IFERROR(VLOOKUP(A377,'Dados-Status-Invest'!$1:$1000,MATCH(S$1,'Dados-Status-Invest'!$2:$2,0),FALSE()),"")</f>
        <v>0.37</v>
      </c>
      <c r="T377" s="12" t="n">
        <f aca="false">IFERROR(VLOOKUP(A377,'Dados-Status-Invest'!$1:$1000,MATCH(T$1,'Dados-Status-Invest'!$2:$2,0),FALSE()),"")</f>
        <v>-5.93</v>
      </c>
      <c r="U377" s="12" t="n">
        <f aca="false">IFERROR(VLOOKUP(A377,'Dados-Status-Invest'!$1:$1000,MATCH(U$1,'Dados-Status-Invest'!$2:$2,0),FALSE()),"")</f>
        <v>1.57</v>
      </c>
      <c r="V377" s="12" t="n">
        <f aca="false">IFERROR(VLOOKUP(A377,'Dados-Status-Invest'!$1:$1000,MATCH(V$1,'Dados-Status-Invest'!$2:$2,0),FALSE()),"")</f>
        <v>-0.79</v>
      </c>
      <c r="W377" s="10" t="n">
        <f aca="false">IFERROR(VLOOKUP(A377,'Dados-Status-Invest'!$1:$1000,MATCH(W$1,'Dados-Status-Invest'!$2:$2,0),FALSE())/100,"")</f>
        <v>-0.0217</v>
      </c>
      <c r="X377" s="10" t="n">
        <f aca="false">IFERROR(VLOOKUP(A377,'Dados-Status-Invest'!$1:$1000,MATCH(X$1,'Dados-Status-Invest'!$2:$2,0),FALSE())/100,"")</f>
        <v>0</v>
      </c>
    </row>
    <row r="378" customFormat="false" ht="15.75" hidden="false" customHeight="false" outlineLevel="0" collapsed="false">
      <c r="A378" s="6" t="s">
        <v>410</v>
      </c>
      <c r="B378" s="7" t="str">
        <f aca="false">IFERROR(VLOOKUP(LEFT(A378,4),Setor!A:D,2,FALSE()),"")</f>
        <v>Materiais Básicos</v>
      </c>
      <c r="C378" s="8" t="n">
        <f aca="false">IFERROR(__xludf.dummyfunction("IFERROR(IFERROR(GOOGLEFINANCE(A384,""price""),VLOOKUP(A384,'Dados-Status-Invest'!A:B,2,FALSE)),"""")"),46.5)</f>
        <v>46.5</v>
      </c>
      <c r="D378" s="8" t="n">
        <f aca="false">IFERROR(VLOOKUP(A378,'Dados-Status-Invest'!$1:$1000,MATCH(D$1,'Dados-Status-Invest'!$2:$2,0),FALSE()),"")</f>
        <v>312225541.8</v>
      </c>
      <c r="E378" s="8" t="n">
        <f aca="false">IF(D378+H378&gt;0,D378+H378,"")</f>
        <v>355347600.89</v>
      </c>
      <c r="F378" s="8" t="n">
        <f aca="false">IFERROR(D378/VLOOKUP(A378,'Dados-Status-Invest'!$1:$1000,5,FALSE()),"")</f>
        <v>743394147</v>
      </c>
      <c r="G378" s="8" t="n">
        <f aca="false">IFERROR(D378/VLOOKUP(A378,'Dados-Status-Invest'!$1:$1000,6,FALSE()),"")</f>
        <v>1248902167</v>
      </c>
      <c r="H378" s="8" t="n">
        <f aca="false">IFERROR(VLOOKUP(A378,'Dados-Status-Invest'!$1:$1000,12,FALSE())*J378,"")</f>
        <v>43122059.09</v>
      </c>
      <c r="I378" s="8" t="n">
        <f aca="false">IFERROR(D378/VLOOKUP(A378,'Dados-Status-Invest'!$1:$1000,14,FALSE()),"")</f>
        <v>96365907.95</v>
      </c>
      <c r="J378" s="9" t="n">
        <f aca="false">IFERROR(D378/VLOOKUP(A378,'Dados-Status-Invest'!$1:$1000,10,FALSE()),"")</f>
        <v>-54584884.92</v>
      </c>
      <c r="K378" s="10" t="n">
        <f aca="false">IFERROR(VLOOKUP(A378,'Dados-Status-Invest'!$1:$1000,3,FALSE())/100,"")</f>
        <v>0</v>
      </c>
      <c r="L378" s="11" t="n">
        <f aca="false">IFERROR(VLOOKUP(A378,'Dados-Status-Invest'!$1:$1000,MATCH(L$1,'Dados-Status-Invest'!$2:$2,0),FALSE())/100,"")</f>
        <v>-0.0579</v>
      </c>
      <c r="M378" s="10" t="n">
        <f aca="false">IFERROR(VLOOKUP(A378,'Dados-Status-Invest'!$1:$1000,MATCH(M$1,'Dados-Status-Invest'!$2:$2,0),FALSE())/100,"")</f>
        <v>-0.0339</v>
      </c>
      <c r="N378" s="10" t="n">
        <f aca="false">IFERROR(VLOOKUP(A378,'Dados-Status-Invest'!$1:$1000,MATCH(N$1,'Dados-Status-Invest'!$2:$2,0),FALSE())/100,"")</f>
        <v>-0.0841</v>
      </c>
      <c r="O378" s="10" t="n">
        <f aca="false">IFERROR(VLOOKUP(A378,'Dados-Status-Invest'!$1:$1000,MATCH(O$1,'Dados-Status-Invest'!$2:$2,0),FALSE())/100,"")</f>
        <v>0.2335</v>
      </c>
      <c r="P378" s="10" t="n">
        <f aca="false">IFERROR(VLOOKUP(A378,'Dados-Status-Invest'!$1:$1000,MATCH(P$1,'Dados-Status-Invest'!$2:$2,0),FALSE())/100,"")</f>
        <v>-0.5665</v>
      </c>
      <c r="Q378" s="10" t="n">
        <f aca="false">IFERROR(VLOOKUP(A378,'Dados-Status-Invest'!$1:$1000,MATCH(Q$1,'Dados-Status-Invest'!$2:$2,0),FALSE())/100,"")</f>
        <v>-0.4435</v>
      </c>
      <c r="R378" s="12" t="n">
        <f aca="false">IFERROR(VLOOKUP(A378,'Dados-Status-Invest'!$1:$1000,MATCH(R$1,'Dados-Status-Invest'!$2:$2,0),FALSE()),"")</f>
        <v>-7.3</v>
      </c>
      <c r="S378" s="12" t="n">
        <f aca="false">IFERROR(VLOOKUP(A378,'Dados-Status-Invest'!$1:$1000,MATCH(S$1,'Dados-Status-Invest'!$2:$2,0),FALSE()),"")</f>
        <v>0.42</v>
      </c>
      <c r="T378" s="12" t="n">
        <f aca="false">IFERROR(VLOOKUP(A378,'Dados-Status-Invest'!$1:$1000,MATCH(T$1,'Dados-Status-Invest'!$2:$2,0),FALSE()),"")</f>
        <v>-5.93</v>
      </c>
      <c r="U378" s="12" t="n">
        <f aca="false">IFERROR(VLOOKUP(A378,'Dados-Status-Invest'!$1:$1000,MATCH(U$1,'Dados-Status-Invest'!$2:$2,0),FALSE()),"")</f>
        <v>1.57</v>
      </c>
      <c r="V378" s="12" t="n">
        <f aca="false">IFERROR(VLOOKUP(A378,'Dados-Status-Invest'!$1:$1000,MATCH(V$1,'Dados-Status-Invest'!$2:$2,0),FALSE()),"")</f>
        <v>-0.79</v>
      </c>
      <c r="W378" s="10" t="n">
        <f aca="false">IFERROR(VLOOKUP(A378,'Dados-Status-Invest'!$1:$1000,MATCH(W$1,'Dados-Status-Invest'!$2:$2,0),FALSE())/100,"")</f>
        <v>-0.0217</v>
      </c>
      <c r="X378" s="10" t="n">
        <f aca="false">IFERROR(VLOOKUP(A378,'Dados-Status-Invest'!$1:$1000,MATCH(X$1,'Dados-Status-Invest'!$2:$2,0),FALSE())/100,"")</f>
        <v>0</v>
      </c>
    </row>
    <row r="379" customFormat="false" ht="15.75" hidden="false" customHeight="false" outlineLevel="0" collapsed="false">
      <c r="A379" s="6" t="s">
        <v>411</v>
      </c>
      <c r="B379" s="7" t="str">
        <f aca="false">IFERROR(VLOOKUP(LEFT(A379,4),Setor!A:D,2,FALSE()),"")</f>
        <v>Consumo Cíclico</v>
      </c>
      <c r="C379" s="8" t="n">
        <f aca="false">IFERROR(__xludf.dummyfunction("IFERROR(IFERROR(GOOGLEFINANCE(A385,""price""),VLOOKUP(A385,'Dados-Status-Invest'!A:B,2,FALSE)),"""")"),0)</f>
        <v>0</v>
      </c>
      <c r="D379" s="8" t="n">
        <f aca="false">IFERROR(VLOOKUP(A379,'Dados-Status-Invest'!$1:$1000,MATCH(D$1,'Dados-Status-Invest'!$2:$2,0),FALSE()),"")</f>
        <v>18271898550</v>
      </c>
      <c r="E379" s="8" t="n">
        <f aca="false">IF(D379+H379&gt;0,D379+H379,"")</f>
        <v>18412974282.5</v>
      </c>
      <c r="F379" s="8" t="n">
        <f aca="false">IFERROR(D379/VLOOKUP(A379,'Dados-Status-Invest'!$1:$1000,5,FALSE()),"")</f>
        <v>52278614.49</v>
      </c>
      <c r="G379" s="8" t="n">
        <f aca="false">IFERROR(D379/VLOOKUP(A379,'Dados-Status-Invest'!$1:$1000,6,FALSE()),"")</f>
        <v>253705894.9</v>
      </c>
      <c r="H379" s="8" t="n">
        <f aca="false">IFERROR(VLOOKUP(A379,'Dados-Status-Invest'!$1:$1000,12,FALSE())*J379,"")</f>
        <v>141075732.5</v>
      </c>
      <c r="I379" s="8" t="n">
        <f aca="false">IFERROR(D379/VLOOKUP(A379,'Dados-Status-Invest'!$1:$1000,14,FALSE()),"")</f>
        <v>110138026.2</v>
      </c>
      <c r="J379" s="9" t="n">
        <f aca="false">IFERROR(D379/VLOOKUP(A379,'Dados-Status-Invest'!$1:$1000,10,FALSE()),"")</f>
        <v>19193977.22</v>
      </c>
      <c r="K379" s="10" t="n">
        <f aca="false">IFERROR(VLOOKUP(A379,'Dados-Status-Invest'!$1:$1000,3,FALSE())/100,"")</f>
        <v>0</v>
      </c>
      <c r="L379" s="11" t="n">
        <f aca="false">IFERROR(VLOOKUP(A379,'Dados-Status-Invest'!$1:$1000,MATCH(L$1,'Dados-Status-Invest'!$2:$2,0),FALSE())/100,"")</f>
        <v>0.0455</v>
      </c>
      <c r="M379" s="10" t="n">
        <f aca="false">IFERROR(VLOOKUP(A379,'Dados-Status-Invest'!$1:$1000,MATCH(M$1,'Dados-Status-Invest'!$2:$2,0),FALSE())/100,"")</f>
        <v>0.0094</v>
      </c>
      <c r="N379" s="10" t="n">
        <f aca="false">IFERROR(VLOOKUP(A379,'Dados-Status-Invest'!$1:$1000,MATCH(N$1,'Dados-Status-Invest'!$2:$2,0),FALSE())/100,"")</f>
        <v>0.0792</v>
      </c>
      <c r="O379" s="10" t="n">
        <f aca="false">IFERROR(VLOOKUP(A379,'Dados-Status-Invest'!$1:$1000,MATCH(O$1,'Dados-Status-Invest'!$2:$2,0),FALSE())/100,"")</f>
        <v>0.3264</v>
      </c>
      <c r="P379" s="10" t="n">
        <f aca="false">IFERROR(VLOOKUP(A379,'Dados-Status-Invest'!$1:$1000,MATCH(P$1,'Dados-Status-Invest'!$2:$2,0),FALSE())/100,"")</f>
        <v>0.1743</v>
      </c>
      <c r="Q379" s="10" t="n">
        <f aca="false">IFERROR(VLOOKUP(A379,'Dados-Status-Invest'!$1:$1000,MATCH(Q$1,'Dados-Status-Invest'!$2:$2,0),FALSE())/100,"")</f>
        <v>0.0216</v>
      </c>
      <c r="R379" s="12" t="n">
        <f aca="false">IFERROR(VLOOKUP(A379,'Dados-Status-Invest'!$1:$1000,MATCH(R$1,'Dados-Status-Invest'!$2:$2,0),FALSE()),"")</f>
        <v>7674.04</v>
      </c>
      <c r="S379" s="12" t="n">
        <f aca="false">IFERROR(VLOOKUP(A379,'Dados-Status-Invest'!$1:$1000,MATCH(S$1,'Dados-Status-Invest'!$2:$2,0),FALSE()),"")</f>
        <v>349.51</v>
      </c>
      <c r="T379" s="12" t="n">
        <f aca="false">IFERROR(VLOOKUP(A379,'Dados-Status-Invest'!$1:$1000,MATCH(T$1,'Dados-Status-Invest'!$2:$2,0),FALSE()),"")</f>
        <v>959.31</v>
      </c>
      <c r="U379" s="12" t="n">
        <f aca="false">IFERROR(VLOOKUP(A379,'Dados-Status-Invest'!$1:$1000,MATCH(U$1,'Dados-Status-Invest'!$2:$2,0),FALSE()),"")</f>
        <v>0.68</v>
      </c>
      <c r="V379" s="12" t="n">
        <f aca="false">IFERROR(VLOOKUP(A379,'Dados-Status-Invest'!$1:$1000,MATCH(V$1,'Dados-Status-Invest'!$2:$2,0),FALSE()),"")</f>
        <v>7.35</v>
      </c>
      <c r="W379" s="10" t="n">
        <f aca="false">IFERROR(VLOOKUP(A379,'Dados-Status-Invest'!$1:$1000,MATCH(W$1,'Dados-Status-Invest'!$2:$2,0),FALSE())/100,"")</f>
        <v>0.1418</v>
      </c>
      <c r="X379" s="10" t="n">
        <f aca="false">IFERROR(VLOOKUP(A379,'Dados-Status-Invest'!$1:$1000,MATCH(X$1,'Dados-Status-Invest'!$2:$2,0),FALSE())/100,"")</f>
        <v>0</v>
      </c>
    </row>
    <row r="380" customFormat="false" ht="15.75" hidden="false" customHeight="false" outlineLevel="0" collapsed="false">
      <c r="A380" s="6" t="s">
        <v>412</v>
      </c>
      <c r="B380" s="7" t="str">
        <f aca="false">IFERROR(VLOOKUP(LEFT(A380,4),Setor!A:D,2,FALSE()),"")</f>
        <v>Materiais Básicos</v>
      </c>
      <c r="C380" s="8" t="n">
        <f aca="false">IFERROR(__xludf.dummyfunction("IFERROR(IFERROR(GOOGLEFINANCE(A386,""price""),VLOOKUP(A386,'Dados-Status-Invest'!A:B,2,FALSE)),"""")"),0)</f>
        <v>0</v>
      </c>
      <c r="D380" s="8" t="n">
        <f aca="false">IFERROR(VLOOKUP(A380,'Dados-Status-Invest'!$1:$1000,MATCH(D$1,'Dados-Status-Invest'!$2:$2,0),FALSE()),"")</f>
        <v>8770440.96</v>
      </c>
      <c r="E380" s="8" t="n">
        <f aca="false">IF(D380+H380&gt;0,D380+H380,"")</f>
        <v>8770440.96</v>
      </c>
      <c r="F380" s="8" t="str">
        <f aca="false">IFERROR(D380/VLOOKUP(A380,'Dados-Status-Invest'!$1:$1000,5,FALSE()),"")</f>
        <v/>
      </c>
      <c r="G380" s="8" t="str">
        <f aca="false">IFERROR(D380/VLOOKUP(A380,'Dados-Status-Invest'!$1:$1000,6,FALSE()),"")</f>
        <v/>
      </c>
      <c r="H380" s="8" t="n">
        <f aca="false">IFERROR(VLOOKUP(A380,'Dados-Status-Invest'!$1:$1000,12,FALSE())*J380,"")</f>
        <v>0</v>
      </c>
      <c r="I380" s="8" t="str">
        <f aca="false">IFERROR(D380/VLOOKUP(A380,'Dados-Status-Invest'!$1:$1000,14,FALSE()),"")</f>
        <v/>
      </c>
      <c r="J380" s="9" t="str">
        <f aca="false">IFERROR(D380/VLOOKUP(A380,'Dados-Status-Invest'!$1:$1000,10,FALSE()),"")</f>
        <v/>
      </c>
      <c r="K380" s="10" t="n">
        <f aca="false">IFERROR(VLOOKUP(A380,'Dados-Status-Invest'!$1:$1000,3,FALSE())/100,"")</f>
        <v>0</v>
      </c>
      <c r="L380" s="11" t="n">
        <f aca="false">IFERROR(VLOOKUP(A380,'Dados-Status-Invest'!$1:$1000,MATCH(L$1,'Dados-Status-Invest'!$2:$2,0),FALSE())/100,"")</f>
        <v>0.0738</v>
      </c>
      <c r="M380" s="10" t="n">
        <f aca="false">IFERROR(VLOOKUP(A380,'Dados-Status-Invest'!$1:$1000,MATCH(M$1,'Dados-Status-Invest'!$2:$2,0),FALSE())/100,"")</f>
        <v>0.0169</v>
      </c>
      <c r="N380" s="10" t="n">
        <f aca="false">IFERROR(VLOOKUP(A380,'Dados-Status-Invest'!$1:$1000,MATCH(N$1,'Dados-Status-Invest'!$2:$2,0),FALSE())/100,"")</f>
        <v>-0.006</v>
      </c>
      <c r="O380" s="10" t="n">
        <f aca="false">IFERROR(VLOOKUP(A380,'Dados-Status-Invest'!$1:$1000,MATCH(O$1,'Dados-Status-Invest'!$2:$2,0),FALSE())/100,"")</f>
        <v>0.0863</v>
      </c>
      <c r="P380" s="10" t="n">
        <f aca="false">IFERROR(VLOOKUP(A380,'Dados-Status-Invest'!$1:$1000,MATCH(P$1,'Dados-Status-Invest'!$2:$2,0),FALSE())/100,"")</f>
        <v>0.0272</v>
      </c>
      <c r="Q380" s="10" t="n">
        <f aca="false">IFERROR(VLOOKUP(A380,'Dados-Status-Invest'!$1:$1000,MATCH(Q$1,'Dados-Status-Invest'!$2:$2,0),FALSE())/100,"")</f>
        <v>0.0271</v>
      </c>
      <c r="R380" s="12" t="n">
        <f aca="false">IFERROR(VLOOKUP(A380,'Dados-Status-Invest'!$1:$1000,MATCH(R$1,'Dados-Status-Invest'!$2:$2,0),FALSE()),"")</f>
        <v>0</v>
      </c>
      <c r="S380" s="12" t="n">
        <f aca="false">IFERROR(VLOOKUP(A380,'Dados-Status-Invest'!$1:$1000,MATCH(S$1,'Dados-Status-Invest'!$2:$2,0),FALSE()),"")</f>
        <v>0</v>
      </c>
      <c r="T380" s="12" t="n">
        <f aca="false">IFERROR(VLOOKUP(A380,'Dados-Status-Invest'!$1:$1000,MATCH(T$1,'Dados-Status-Invest'!$2:$2,0),FALSE()),"")</f>
        <v>30.13</v>
      </c>
      <c r="U380" s="12" t="n">
        <f aca="false">IFERROR(VLOOKUP(A380,'Dados-Status-Invest'!$1:$1000,MATCH(U$1,'Dados-Status-Invest'!$2:$2,0),FALSE()),"")</f>
        <v>0.71</v>
      </c>
      <c r="V380" s="12" t="n">
        <f aca="false">IFERROR(VLOOKUP(A380,'Dados-Status-Invest'!$1:$1000,MATCH(V$1,'Dados-Status-Invest'!$2:$2,0),FALSE()),"")</f>
        <v>27.05</v>
      </c>
      <c r="W380" s="10" t="n">
        <f aca="false">IFERROR(VLOOKUP(A380,'Dados-Status-Invest'!$1:$1000,MATCH(W$1,'Dados-Status-Invest'!$2:$2,0),FALSE())/100,"")</f>
        <v>0.0014</v>
      </c>
      <c r="X380" s="10" t="n">
        <f aca="false">IFERROR(VLOOKUP(A380,'Dados-Status-Invest'!$1:$1000,MATCH(X$1,'Dados-Status-Invest'!$2:$2,0),FALSE())/100,"")</f>
        <v>0</v>
      </c>
    </row>
    <row r="381" customFormat="false" ht="15.75" hidden="false" customHeight="false" outlineLevel="0" collapsed="false">
      <c r="A381" s="6" t="s">
        <v>413</v>
      </c>
      <c r="B381" s="7" t="str">
        <f aca="false">IFERROR(VLOOKUP(LEFT(A381,4),Setor!A:D,2,FALSE()),"")</f>
        <v>Materiais Básicos</v>
      </c>
      <c r="C381" s="8" t="n">
        <f aca="false">IFERROR(__xludf.dummyfunction("IFERROR(IFERROR(GOOGLEFINANCE(A387,""price""),VLOOKUP(A387,'Dados-Status-Invest'!A:B,2,FALSE)),"""")"),44)</f>
        <v>44</v>
      </c>
      <c r="D381" s="8" t="n">
        <f aca="false">IFERROR(VLOOKUP(A381,'Dados-Status-Invest'!$1:$1000,MATCH(D$1,'Dados-Status-Invest'!$2:$2,0),FALSE()),"")</f>
        <v>8770440.96</v>
      </c>
      <c r="E381" s="8" t="n">
        <f aca="false">IF(D381+H381&gt;0,D381+H381,"")</f>
        <v>60121182.94</v>
      </c>
      <c r="F381" s="8" t="n">
        <f aca="false">IFERROR(D381/VLOOKUP(A381,'Dados-Status-Invest'!$1:$1000,5,FALSE()),"")</f>
        <v>25795414.59</v>
      </c>
      <c r="G381" s="8" t="n">
        <f aca="false">IFERROR(D381/VLOOKUP(A381,'Dados-Status-Invest'!$1:$1000,6,FALSE()),"")</f>
        <v>109630512</v>
      </c>
      <c r="H381" s="8" t="n">
        <f aca="false">IFERROR(VLOOKUP(A381,'Dados-Status-Invest'!$1:$1000,12,FALSE())*J381,"")</f>
        <v>51350741.98</v>
      </c>
      <c r="I381" s="8" t="n">
        <f aca="false">IFERROR(D381/VLOOKUP(A381,'Dados-Status-Invest'!$1:$1000,14,FALSE()),"")</f>
        <v>67464930.46</v>
      </c>
      <c r="J381" s="9" t="n">
        <f aca="false">IFERROR(D381/VLOOKUP(A381,'Dados-Status-Invest'!$1:$1000,10,FALSE()),"")</f>
        <v>1898363.844</v>
      </c>
      <c r="K381" s="10" t="n">
        <f aca="false">IFERROR(VLOOKUP(A381,'Dados-Status-Invest'!$1:$1000,3,FALSE())/100,"")</f>
        <v>0</v>
      </c>
      <c r="L381" s="11" t="n">
        <f aca="false">IFERROR(VLOOKUP(A381,'Dados-Status-Invest'!$1:$1000,MATCH(L$1,'Dados-Status-Invest'!$2:$2,0),FALSE())/100,"")</f>
        <v>0.0738</v>
      </c>
      <c r="M381" s="10" t="n">
        <f aca="false">IFERROR(VLOOKUP(A381,'Dados-Status-Invest'!$1:$1000,MATCH(M$1,'Dados-Status-Invest'!$2:$2,0),FALSE())/100,"")</f>
        <v>0.0169</v>
      </c>
      <c r="N381" s="10" t="n">
        <f aca="false">IFERROR(VLOOKUP(A381,'Dados-Status-Invest'!$1:$1000,MATCH(N$1,'Dados-Status-Invest'!$2:$2,0),FALSE())/100,"")</f>
        <v>-0.006</v>
      </c>
      <c r="O381" s="10" t="n">
        <f aca="false">IFERROR(VLOOKUP(A381,'Dados-Status-Invest'!$1:$1000,MATCH(O$1,'Dados-Status-Invest'!$2:$2,0),FALSE())/100,"")</f>
        <v>0.0863</v>
      </c>
      <c r="P381" s="10" t="n">
        <f aca="false">IFERROR(VLOOKUP(A381,'Dados-Status-Invest'!$1:$1000,MATCH(P$1,'Dados-Status-Invest'!$2:$2,0),FALSE())/100,"")</f>
        <v>0.0272</v>
      </c>
      <c r="Q381" s="10" t="n">
        <f aca="false">IFERROR(VLOOKUP(A381,'Dados-Status-Invest'!$1:$1000,MATCH(Q$1,'Dados-Status-Invest'!$2:$2,0),FALSE())/100,"")</f>
        <v>0.0271</v>
      </c>
      <c r="R381" s="12" t="n">
        <f aca="false">IFERROR(VLOOKUP(A381,'Dados-Status-Invest'!$1:$1000,MATCH(R$1,'Dados-Status-Invest'!$2:$2,0),FALSE()),"")</f>
        <v>4.63</v>
      </c>
      <c r="S381" s="12" t="n">
        <f aca="false">IFERROR(VLOOKUP(A381,'Dados-Status-Invest'!$1:$1000,MATCH(S$1,'Dados-Status-Invest'!$2:$2,0),FALSE()),"")</f>
        <v>0.34</v>
      </c>
      <c r="T381" s="12" t="n">
        <f aca="false">IFERROR(VLOOKUP(A381,'Dados-Status-Invest'!$1:$1000,MATCH(T$1,'Dados-Status-Invest'!$2:$2,0),FALSE()),"")</f>
        <v>30.13</v>
      </c>
      <c r="U381" s="12" t="n">
        <f aca="false">IFERROR(VLOOKUP(A381,'Dados-Status-Invest'!$1:$1000,MATCH(U$1,'Dados-Status-Invest'!$2:$2,0),FALSE()),"")</f>
        <v>0.71</v>
      </c>
      <c r="V381" s="12" t="n">
        <f aca="false">IFERROR(VLOOKUP(A381,'Dados-Status-Invest'!$1:$1000,MATCH(V$1,'Dados-Status-Invest'!$2:$2,0),FALSE()),"")</f>
        <v>27.05</v>
      </c>
      <c r="W381" s="10" t="n">
        <f aca="false">IFERROR(VLOOKUP(A381,'Dados-Status-Invest'!$1:$1000,MATCH(W$1,'Dados-Status-Invest'!$2:$2,0),FALSE())/100,"")</f>
        <v>0.0014</v>
      </c>
      <c r="X381" s="10" t="n">
        <f aca="false">IFERROR(VLOOKUP(A381,'Dados-Status-Invest'!$1:$1000,MATCH(X$1,'Dados-Status-Invest'!$2:$2,0),FALSE())/100,"")</f>
        <v>0</v>
      </c>
    </row>
    <row r="382" customFormat="false" ht="15.75" hidden="false" customHeight="false" outlineLevel="0" collapsed="false">
      <c r="A382" s="6" t="s">
        <v>414</v>
      </c>
      <c r="B382" s="7" t="str">
        <f aca="false">IFERROR(VLOOKUP(LEFT(A382,4),Setor!A:D,2,FALSE()),"")</f>
        <v>Consumo Cíclico</v>
      </c>
      <c r="C382" s="8" t="n">
        <f aca="false">IFERROR(__xludf.dummyfunction("IFERROR(IFERROR(GOOGLEFINANCE(A388,""price""),VLOOKUP(A388,'Dados-Status-Invest'!A:B,2,FALSE)),"""")"),5.17)</f>
        <v>5.17</v>
      </c>
      <c r="D382" s="8" t="n">
        <f aca="false">IFERROR(VLOOKUP(A382,'Dados-Status-Invest'!$1:$1000,MATCH(D$1,'Dados-Status-Invest'!$2:$2,0),FALSE()),"")</f>
        <v>1254489365</v>
      </c>
      <c r="E382" s="8" t="n">
        <f aca="false">IF(D382+H382&gt;0,D382+H382,"")</f>
        <v>596396583.3</v>
      </c>
      <c r="F382" s="8" t="n">
        <f aca="false">IFERROR(D382/VLOOKUP(A382,'Dados-Status-Invest'!$1:$1000,5,FALSE()),"")</f>
        <v>995626480.3</v>
      </c>
      <c r="G382" s="8" t="n">
        <f aca="false">IFERROR(D382/VLOOKUP(A382,'Dados-Status-Invest'!$1:$1000,6,FALSE()),"")</f>
        <v>1320515121</v>
      </c>
      <c r="H382" s="8" t="n">
        <f aca="false">IFERROR(VLOOKUP(A382,'Dados-Status-Invest'!$1:$1000,12,FALSE())*J382,"")</f>
        <v>-658092781.7</v>
      </c>
      <c r="I382" s="8" t="n">
        <f aca="false">IFERROR(D382/VLOOKUP(A382,'Dados-Status-Invest'!$1:$1000,14,FALSE()),"")</f>
        <v>446437496.5</v>
      </c>
      <c r="J382" s="9" t="n">
        <f aca="false">IFERROR(D382/VLOOKUP(A382,'Dados-Status-Invest'!$1:$1000,10,FALSE()),"")</f>
        <v>39548845.06</v>
      </c>
      <c r="K382" s="10" t="n">
        <f aca="false">IFERROR(VLOOKUP(A382,'Dados-Status-Invest'!$1:$1000,3,FALSE())/100,"")</f>
        <v>0.0376</v>
      </c>
      <c r="L382" s="11" t="n">
        <f aca="false">IFERROR(VLOOKUP(A382,'Dados-Status-Invest'!$1:$1000,MATCH(L$1,'Dados-Status-Invest'!$2:$2,0),FALSE())/100,"")</f>
        <v>0.043</v>
      </c>
      <c r="M382" s="10" t="n">
        <f aca="false">IFERROR(VLOOKUP(A382,'Dados-Status-Invest'!$1:$1000,MATCH(M$1,'Dados-Status-Invest'!$2:$2,0),FALSE())/100,"")</f>
        <v>0.0322</v>
      </c>
      <c r="N382" s="10" t="n">
        <f aca="false">IFERROR(VLOOKUP(A382,'Dados-Status-Invest'!$1:$1000,MATCH(N$1,'Dados-Status-Invest'!$2:$2,0),FALSE())/100,"")</f>
        <v>0.03</v>
      </c>
      <c r="O382" s="10" t="n">
        <f aca="false">IFERROR(VLOOKUP(A382,'Dados-Status-Invest'!$1:$1000,MATCH(O$1,'Dados-Status-Invest'!$2:$2,0),FALSE())/100,"")</f>
        <v>0.3419</v>
      </c>
      <c r="P382" s="10" t="n">
        <f aca="false">IFERROR(VLOOKUP(A382,'Dados-Status-Invest'!$1:$1000,MATCH(P$1,'Dados-Status-Invest'!$2:$2,0),FALSE())/100,"")</f>
        <v>0.0885</v>
      </c>
      <c r="Q382" s="10" t="n">
        <f aca="false">IFERROR(VLOOKUP(A382,'Dados-Status-Invest'!$1:$1000,MATCH(Q$1,'Dados-Status-Invest'!$2:$2,0),FALSE())/100,"")</f>
        <v>0.0954</v>
      </c>
      <c r="R382" s="12" t="n">
        <f aca="false">IFERROR(VLOOKUP(A382,'Dados-Status-Invest'!$1:$1000,MATCH(R$1,'Dados-Status-Invest'!$2:$2,0),FALSE()),"")</f>
        <v>29.42</v>
      </c>
      <c r="S382" s="12" t="n">
        <f aca="false">IFERROR(VLOOKUP(A382,'Dados-Status-Invest'!$1:$1000,MATCH(S$1,'Dados-Status-Invest'!$2:$2,0),FALSE()),"")</f>
        <v>1.26</v>
      </c>
      <c r="T382" s="12" t="n">
        <f aca="false">IFERROR(VLOOKUP(A382,'Dados-Status-Invest'!$1:$1000,MATCH(T$1,'Dados-Status-Invest'!$2:$2,0),FALSE()),"")</f>
        <v>14.97</v>
      </c>
      <c r="U382" s="12" t="n">
        <f aca="false">IFERROR(VLOOKUP(A382,'Dados-Status-Invest'!$1:$1000,MATCH(U$1,'Dados-Status-Invest'!$2:$2,0),FALSE()),"")</f>
        <v>4.29</v>
      </c>
      <c r="V382" s="12" t="n">
        <f aca="false">IFERROR(VLOOKUP(A382,'Dados-Status-Invest'!$1:$1000,MATCH(V$1,'Dados-Status-Invest'!$2:$2,0),FALSE()),"")</f>
        <v>-16.64</v>
      </c>
      <c r="W382" s="10" t="n">
        <f aca="false">IFERROR(VLOOKUP(A382,'Dados-Status-Invest'!$1:$1000,MATCH(W$1,'Dados-Status-Invest'!$2:$2,0),FALSE())/100,"")</f>
        <v>0</v>
      </c>
      <c r="X382" s="10" t="n">
        <f aca="false">IFERROR(VLOOKUP(A382,'Dados-Status-Invest'!$1:$1000,MATCH(X$1,'Dados-Status-Invest'!$2:$2,0),FALSE())/100,"")</f>
        <v>0</v>
      </c>
    </row>
    <row r="383" customFormat="false" ht="15.75" hidden="false" customHeight="false" outlineLevel="0" collapsed="false">
      <c r="A383" s="6" t="s">
        <v>415</v>
      </c>
      <c r="B383" s="7" t="str">
        <f aca="false">IFERROR(VLOOKUP(LEFT(A383,4),Setor!A:D,2,FALSE()),"")</f>
        <v>Bens Industriais</v>
      </c>
      <c r="C383" s="8" t="n">
        <f aca="false">IFERROR(__xludf.dummyfunction("IFERROR(IFERROR(GOOGLEFINANCE(A389,""price""),VLOOKUP(A389,'Dados-Status-Invest'!A:B,2,FALSE)),"""")"),70)</f>
        <v>70</v>
      </c>
      <c r="D383" s="8" t="n">
        <f aca="false">IFERROR(VLOOKUP(A383,'Dados-Status-Invest'!$1:$1000,MATCH(D$1,'Dados-Status-Invest'!$2:$2,0),FALSE()),"")</f>
        <v>514497521.9</v>
      </c>
      <c r="E383" s="8" t="n">
        <f aca="false">IF(D383+H383&gt;0,D383+H383,"")</f>
        <v>465116436.79</v>
      </c>
      <c r="F383" s="8" t="n">
        <f aca="false">IFERROR(D383/VLOOKUP(A383,'Dados-Status-Invest'!$1:$1000,5,FALSE()),"")</f>
        <v>250974400.9</v>
      </c>
      <c r="G383" s="8" t="n">
        <f aca="false">IFERROR(D383/VLOOKUP(A383,'Dados-Status-Invest'!$1:$1000,6,FALSE()),"")</f>
        <v>362322198.5</v>
      </c>
      <c r="H383" s="8" t="n">
        <f aca="false">IFERROR(VLOOKUP(A383,'Dados-Status-Invest'!$1:$1000,12,FALSE())*J383,"")</f>
        <v>-49381085.11</v>
      </c>
      <c r="I383" s="8" t="n">
        <f aca="false">IFERROR(D383/VLOOKUP(A383,'Dados-Status-Invest'!$1:$1000,14,FALSE()),"")</f>
        <v>354825877.2</v>
      </c>
      <c r="J383" s="9" t="n">
        <f aca="false">IFERROR(D383/VLOOKUP(A383,'Dados-Status-Invest'!$1:$1000,10,FALSE()),"")</f>
        <v>66731196.1</v>
      </c>
      <c r="K383" s="10" t="n">
        <f aca="false">IFERROR(VLOOKUP(A383,'Dados-Status-Invest'!$1:$1000,3,FALSE())/100,"")</f>
        <v>0.0308</v>
      </c>
      <c r="L383" s="11" t="n">
        <f aca="false">IFERROR(VLOOKUP(A383,'Dados-Status-Invest'!$1:$1000,MATCH(L$1,'Dados-Status-Invest'!$2:$2,0),FALSE())/100,"")</f>
        <v>0.2332</v>
      </c>
      <c r="M383" s="10" t="n">
        <f aca="false">IFERROR(VLOOKUP(A383,'Dados-Status-Invest'!$1:$1000,MATCH(M$1,'Dados-Status-Invest'!$2:$2,0),FALSE())/100,"")</f>
        <v>0.1623</v>
      </c>
      <c r="N383" s="10" t="n">
        <f aca="false">IFERROR(VLOOKUP(A383,'Dados-Status-Invest'!$1:$1000,MATCH(N$1,'Dados-Status-Invest'!$2:$2,0),FALSE())/100,"")</f>
        <v>0.1316</v>
      </c>
      <c r="O383" s="10" t="n">
        <f aca="false">IFERROR(VLOOKUP(A383,'Dados-Status-Invest'!$1:$1000,MATCH(O$1,'Dados-Status-Invest'!$2:$2,0),FALSE())/100,"")</f>
        <v>0.3038</v>
      </c>
      <c r="P383" s="10" t="n">
        <f aca="false">IFERROR(VLOOKUP(A383,'Dados-Status-Invest'!$1:$1000,MATCH(P$1,'Dados-Status-Invest'!$2:$2,0),FALSE())/100,"")</f>
        <v>0.1882</v>
      </c>
      <c r="Q383" s="10" t="n">
        <f aca="false">IFERROR(VLOOKUP(A383,'Dados-Status-Invest'!$1:$1000,MATCH(Q$1,'Dados-Status-Invest'!$2:$2,0),FALSE())/100,"")</f>
        <v>0.1654</v>
      </c>
      <c r="R383" s="12" t="n">
        <f aca="false">IFERROR(VLOOKUP(A383,'Dados-Status-Invest'!$1:$1000,MATCH(R$1,'Dados-Status-Invest'!$2:$2,0),FALSE()),"")</f>
        <v>8.77</v>
      </c>
      <c r="S383" s="12" t="n">
        <f aca="false">IFERROR(VLOOKUP(A383,'Dados-Status-Invest'!$1:$1000,MATCH(S$1,'Dados-Status-Invest'!$2:$2,0),FALSE()),"")</f>
        <v>2.05</v>
      </c>
      <c r="T383" s="12" t="n">
        <f aca="false">IFERROR(VLOOKUP(A383,'Dados-Status-Invest'!$1:$1000,MATCH(T$1,'Dados-Status-Invest'!$2:$2,0),FALSE()),"")</f>
        <v>5.99</v>
      </c>
      <c r="U383" s="12" t="n">
        <f aca="false">IFERROR(VLOOKUP(A383,'Dados-Status-Invest'!$1:$1000,MATCH(U$1,'Dados-Status-Invest'!$2:$2,0),FALSE()),"")</f>
        <v>2.83</v>
      </c>
      <c r="V383" s="12" t="n">
        <f aca="false">IFERROR(VLOOKUP(A383,'Dados-Status-Invest'!$1:$1000,MATCH(V$1,'Dados-Status-Invest'!$2:$2,0),FALSE()),"")</f>
        <v>-0.74</v>
      </c>
      <c r="W383" s="10" t="n">
        <f aca="false">IFERROR(VLOOKUP(A383,'Dados-Status-Invest'!$1:$1000,MATCH(W$1,'Dados-Status-Invest'!$2:$2,0),FALSE())/100,"")</f>
        <v>0.1062</v>
      </c>
      <c r="X383" s="10" t="n">
        <f aca="false">IFERROR(VLOOKUP(A383,'Dados-Status-Invest'!$1:$1000,MATCH(X$1,'Dados-Status-Invest'!$2:$2,0),FALSE())/100,"")</f>
        <v>0.2809</v>
      </c>
    </row>
    <row r="384" customFormat="false" ht="15.75" hidden="false" customHeight="false" outlineLevel="0" collapsed="false">
      <c r="A384" s="6" t="s">
        <v>416</v>
      </c>
      <c r="B384" s="7" t="str">
        <f aca="false">IFERROR(VLOOKUP(LEFT(A384,4),Setor!A:D,2,FALSE()),"")</f>
        <v>Bens Industriais</v>
      </c>
      <c r="C384" s="8" t="n">
        <f aca="false">IFERROR(__xludf.dummyfunction("IFERROR(IFERROR(GOOGLEFINANCE(A390,""price""),VLOOKUP(A390,'Dados-Status-Invest'!A:B,2,FALSE)),"""")"),38.96)</f>
        <v>38.96</v>
      </c>
      <c r="D384" s="8" t="n">
        <f aca="false">IFERROR(VLOOKUP(A384,'Dados-Status-Invest'!$1:$1000,MATCH(D$1,'Dados-Status-Invest'!$2:$2,0),FALSE()),"")</f>
        <v>514497521.9</v>
      </c>
      <c r="E384" s="8" t="n">
        <f aca="false">IF(D384+H384&gt;0,D384+H384,"")</f>
        <v>449857765.33</v>
      </c>
      <c r="F384" s="8" t="n">
        <f aca="false">IFERROR(D384/VLOOKUP(A384,'Dados-Status-Invest'!$1:$1000,5,FALSE()),"")</f>
        <v>329806103.8</v>
      </c>
      <c r="G384" s="8" t="n">
        <f aca="false">IFERROR(D384/VLOOKUP(A384,'Dados-Status-Invest'!$1:$1000,6,FALSE()),"")</f>
        <v>472016075.1</v>
      </c>
      <c r="H384" s="8" t="n">
        <f aca="false">IFERROR(VLOOKUP(A384,'Dados-Status-Invest'!$1:$1000,12,FALSE())*J384,"")</f>
        <v>-64639756.57</v>
      </c>
      <c r="I384" s="8" t="n">
        <f aca="false">IFERROR(D384/VLOOKUP(A384,'Dados-Status-Invest'!$1:$1000,14,FALSE()),"")</f>
        <v>463511281</v>
      </c>
      <c r="J384" s="9" t="n">
        <f aca="false">IFERROR(D384/VLOOKUP(A384,'Dados-Status-Invest'!$1:$1000,10,FALSE()),"")</f>
        <v>87351022.39</v>
      </c>
      <c r="K384" s="10" t="n">
        <f aca="false">IFERROR(VLOOKUP(A384,'Dados-Status-Invest'!$1:$1000,3,FALSE())/100,"")</f>
        <v>0.0444</v>
      </c>
      <c r="L384" s="11" t="n">
        <f aca="false">IFERROR(VLOOKUP(A384,'Dados-Status-Invest'!$1:$1000,MATCH(L$1,'Dados-Status-Invest'!$2:$2,0),FALSE())/100,"")</f>
        <v>0.2332</v>
      </c>
      <c r="M384" s="10" t="n">
        <f aca="false">IFERROR(VLOOKUP(A384,'Dados-Status-Invest'!$1:$1000,MATCH(M$1,'Dados-Status-Invest'!$2:$2,0),FALSE())/100,"")</f>
        <v>0.1623</v>
      </c>
      <c r="N384" s="10" t="n">
        <f aca="false">IFERROR(VLOOKUP(A384,'Dados-Status-Invest'!$1:$1000,MATCH(N$1,'Dados-Status-Invest'!$2:$2,0),FALSE())/100,"")</f>
        <v>0.1316</v>
      </c>
      <c r="O384" s="10" t="n">
        <f aca="false">IFERROR(VLOOKUP(A384,'Dados-Status-Invest'!$1:$1000,MATCH(O$1,'Dados-Status-Invest'!$2:$2,0),FALSE())/100,"")</f>
        <v>0.3038</v>
      </c>
      <c r="P384" s="10" t="n">
        <f aca="false">IFERROR(VLOOKUP(A384,'Dados-Status-Invest'!$1:$1000,MATCH(P$1,'Dados-Status-Invest'!$2:$2,0),FALSE())/100,"")</f>
        <v>0.1882</v>
      </c>
      <c r="Q384" s="10" t="n">
        <f aca="false">IFERROR(VLOOKUP(A384,'Dados-Status-Invest'!$1:$1000,MATCH(Q$1,'Dados-Status-Invest'!$2:$2,0),FALSE())/100,"")</f>
        <v>0.1654</v>
      </c>
      <c r="R384" s="12" t="n">
        <f aca="false">IFERROR(VLOOKUP(A384,'Dados-Status-Invest'!$1:$1000,MATCH(R$1,'Dados-Status-Invest'!$2:$2,0),FALSE()),"")</f>
        <v>6.7</v>
      </c>
      <c r="S384" s="12" t="n">
        <f aca="false">IFERROR(VLOOKUP(A384,'Dados-Status-Invest'!$1:$1000,MATCH(S$1,'Dados-Status-Invest'!$2:$2,0),FALSE()),"")</f>
        <v>1.56</v>
      </c>
      <c r="T384" s="12" t="n">
        <f aca="false">IFERROR(VLOOKUP(A384,'Dados-Status-Invest'!$1:$1000,MATCH(T$1,'Dados-Status-Invest'!$2:$2,0),FALSE()),"")</f>
        <v>5.99</v>
      </c>
      <c r="U384" s="12" t="n">
        <f aca="false">IFERROR(VLOOKUP(A384,'Dados-Status-Invest'!$1:$1000,MATCH(U$1,'Dados-Status-Invest'!$2:$2,0),FALSE()),"")</f>
        <v>2.83</v>
      </c>
      <c r="V384" s="12" t="n">
        <f aca="false">IFERROR(VLOOKUP(A384,'Dados-Status-Invest'!$1:$1000,MATCH(V$1,'Dados-Status-Invest'!$2:$2,0),FALSE()),"")</f>
        <v>-0.74</v>
      </c>
      <c r="W384" s="10" t="n">
        <f aca="false">IFERROR(VLOOKUP(A384,'Dados-Status-Invest'!$1:$1000,MATCH(W$1,'Dados-Status-Invest'!$2:$2,0),FALSE())/100,"")</f>
        <v>0.1062</v>
      </c>
      <c r="X384" s="10" t="n">
        <f aca="false">IFERROR(VLOOKUP(A384,'Dados-Status-Invest'!$1:$1000,MATCH(X$1,'Dados-Status-Invest'!$2:$2,0),FALSE())/100,"")</f>
        <v>0.2809</v>
      </c>
    </row>
    <row r="385" customFormat="false" ht="15.75" hidden="false" customHeight="false" outlineLevel="0" collapsed="false">
      <c r="A385" s="6" t="s">
        <v>417</v>
      </c>
      <c r="B385" s="7" t="str">
        <f aca="false">IFERROR(VLOOKUP(LEFT(A385,4),Setor!A:D,2,FALSE()),"")</f>
        <v>Financeiro</v>
      </c>
      <c r="C385" s="8" t="n">
        <f aca="false">IFERROR(__xludf.dummyfunction("IFERROR(IFERROR(GOOGLEFINANCE(A391,""price""),VLOOKUP(A391,'Dados-Status-Invest'!A:B,2,FALSE)),"""")"),23.89)</f>
        <v>23.89</v>
      </c>
      <c r="D385" s="8" t="n">
        <f aca="false">IFERROR(VLOOKUP(A385,'Dados-Status-Invest'!$1:$1000,MATCH(D$1,'Dados-Status-Invest'!$2:$2,0),FALSE()),"")</f>
        <v>13883583821</v>
      </c>
      <c r="E385" s="8" t="n">
        <f aca="false">IF(D385+H385&gt;0,D385+H385,"")</f>
        <v>15828993721</v>
      </c>
      <c r="F385" s="8" t="n">
        <f aca="false">IFERROR(D385/VLOOKUP(A385,'Dados-Status-Invest'!$1:$1000,5,FALSE()),"")</f>
        <v>6310719919</v>
      </c>
      <c r="G385" s="8" t="n">
        <f aca="false">IFERROR(D385/VLOOKUP(A385,'Dados-Status-Invest'!$1:$1000,6,FALSE()),"")</f>
        <v>10598155589</v>
      </c>
      <c r="H385" s="8" t="n">
        <f aca="false">IFERROR(VLOOKUP(A385,'Dados-Status-Invest'!$1:$1000,12,FALSE())*J385,"")</f>
        <v>1945409900</v>
      </c>
      <c r="I385" s="8" t="n">
        <f aca="false">IFERROR(D385/VLOOKUP(A385,'Dados-Status-Invest'!$1:$1000,14,FALSE()),"")</f>
        <v>1025375467</v>
      </c>
      <c r="J385" s="9" t="n">
        <f aca="false">IFERROR(D385/VLOOKUP(A385,'Dados-Status-Invest'!$1:$1000,10,FALSE()),"")</f>
        <v>948980438.9</v>
      </c>
      <c r="K385" s="10" t="n">
        <f aca="false">IFERROR(VLOOKUP(A385,'Dados-Status-Invest'!$1:$1000,3,FALSE())/100,"")</f>
        <v>0.0198</v>
      </c>
      <c r="L385" s="11" t="n">
        <f aca="false">IFERROR(VLOOKUP(A385,'Dados-Status-Invest'!$1:$1000,MATCH(L$1,'Dados-Status-Invest'!$2:$2,0),FALSE())/100,"")</f>
        <v>0.1327</v>
      </c>
      <c r="M385" s="10" t="n">
        <f aca="false">IFERROR(VLOOKUP(A385,'Dados-Status-Invest'!$1:$1000,MATCH(M$1,'Dados-Status-Invest'!$2:$2,0),FALSE())/100,"")</f>
        <v>0.0791</v>
      </c>
      <c r="N385" s="10" t="n">
        <f aca="false">IFERROR(VLOOKUP(A385,'Dados-Status-Invest'!$1:$1000,MATCH(N$1,'Dados-Status-Invest'!$2:$2,0),FALSE())/100,"")</f>
        <v>0.0957</v>
      </c>
      <c r="O385" s="10" t="n">
        <f aca="false">IFERROR(VLOOKUP(A385,'Dados-Status-Invest'!$1:$1000,MATCH(O$1,'Dados-Status-Invest'!$2:$2,0),FALSE())/100,"")</f>
        <v>0.7382</v>
      </c>
      <c r="P385" s="10" t="n">
        <f aca="false">IFERROR(VLOOKUP(A385,'Dados-Status-Invest'!$1:$1000,MATCH(P$1,'Dados-Status-Invest'!$2:$2,0),FALSE())/100,"")</f>
        <v>0.9251</v>
      </c>
      <c r="Q385" s="10" t="n">
        <f aca="false">IFERROR(VLOOKUP(A385,'Dados-Status-Invest'!$1:$1000,MATCH(Q$1,'Dados-Status-Invest'!$2:$2,0),FALSE())/100,"")</f>
        <v>0.8147</v>
      </c>
      <c r="R385" s="12" t="n">
        <f aca="false">IFERROR(VLOOKUP(A385,'Dados-Status-Invest'!$1:$1000,MATCH(R$1,'Dados-Status-Invest'!$2:$2,0),FALSE()),"")</f>
        <v>16.61</v>
      </c>
      <c r="S385" s="12" t="n">
        <f aca="false">IFERROR(VLOOKUP(A385,'Dados-Status-Invest'!$1:$1000,MATCH(S$1,'Dados-Status-Invest'!$2:$2,0),FALSE()),"")</f>
        <v>2.2</v>
      </c>
      <c r="T385" s="12" t="n">
        <f aca="false">IFERROR(VLOOKUP(A385,'Dados-Status-Invest'!$1:$1000,MATCH(T$1,'Dados-Status-Invest'!$2:$2,0),FALSE()),"")</f>
        <v>16.73</v>
      </c>
      <c r="U385" s="12" t="n">
        <f aca="false">IFERROR(VLOOKUP(A385,'Dados-Status-Invest'!$1:$1000,MATCH(U$1,'Dados-Status-Invest'!$2:$2,0),FALSE()),"")</f>
        <v>1.51</v>
      </c>
      <c r="V385" s="12" t="n">
        <f aca="false">IFERROR(VLOOKUP(A385,'Dados-Status-Invest'!$1:$1000,MATCH(V$1,'Dados-Status-Invest'!$2:$2,0),FALSE()),"")</f>
        <v>2.05</v>
      </c>
      <c r="W385" s="10" t="n">
        <f aca="false">IFERROR(VLOOKUP(A385,'Dados-Status-Invest'!$1:$1000,MATCH(W$1,'Dados-Status-Invest'!$2:$2,0),FALSE())/100,"")</f>
        <v>0.0031</v>
      </c>
      <c r="X385" s="10" t="n">
        <f aca="false">IFERROR(VLOOKUP(A385,'Dados-Status-Invest'!$1:$1000,MATCH(X$1,'Dados-Status-Invest'!$2:$2,0),FALSE())/100,"")</f>
        <v>0.2164</v>
      </c>
    </row>
    <row r="386" customFormat="false" ht="15.75" hidden="false" customHeight="false" outlineLevel="0" collapsed="false">
      <c r="A386" s="6" t="s">
        <v>418</v>
      </c>
      <c r="B386" s="7" t="str">
        <f aca="false">IFERROR(VLOOKUP(LEFT(A386,4),Setor!A:D,2,FALSE()),"")</f>
        <v>Bens Industriais</v>
      </c>
      <c r="C386" s="8" t="n">
        <f aca="false">IFERROR(__xludf.dummyfunction("IFERROR(IFERROR(GOOGLEFINANCE(A392,""price""),VLOOKUP(A392,'Dados-Status-Invest'!A:B,2,FALSE)),"""")"),16.99)</f>
        <v>16.99</v>
      </c>
      <c r="D386" s="8" t="n">
        <f aca="false">IFERROR(VLOOKUP(A386,'Dados-Status-Invest'!$1:$1000,MATCH(D$1,'Dados-Status-Invest'!$2:$2,0),FALSE()),"")</f>
        <v>58749125.64</v>
      </c>
      <c r="E386" s="8" t="n">
        <f aca="false">IF(D386+H386&gt;0,D386+H386,"")</f>
        <v>89136604.42</v>
      </c>
      <c r="F386" s="8" t="n">
        <f aca="false">IFERROR(D386/VLOOKUP(A386,'Dados-Status-Invest'!$1:$1000,5,FALSE()),"")</f>
        <v>-122394011.8</v>
      </c>
      <c r="G386" s="8" t="n">
        <f aca="false">IFERROR(D386/VLOOKUP(A386,'Dados-Status-Invest'!$1:$1000,6,FALSE()),"")</f>
        <v>130553612.5</v>
      </c>
      <c r="H386" s="8" t="n">
        <f aca="false">IFERROR(VLOOKUP(A386,'Dados-Status-Invest'!$1:$1000,12,FALSE())*J386,"")</f>
        <v>30387478.78</v>
      </c>
      <c r="I386" s="8" t="n">
        <f aca="false">IFERROR(D386/VLOOKUP(A386,'Dados-Status-Invest'!$1:$1000,14,FALSE()),"")</f>
        <v>106816592.1</v>
      </c>
      <c r="J386" s="9" t="n">
        <f aca="false">IFERROR(D386/VLOOKUP(A386,'Dados-Status-Invest'!$1:$1000,10,FALSE()),"")</f>
        <v>33763865.31</v>
      </c>
      <c r="K386" s="10" t="n">
        <f aca="false">IFERROR(VLOOKUP(A386,'Dados-Status-Invest'!$1:$1000,3,FALSE())/100,"")</f>
        <v>0</v>
      </c>
      <c r="L386" s="11" t="n">
        <f aca="false">IFERROR(VLOOKUP(A386,'Dados-Status-Invest'!$1:$1000,MATCH(L$1,'Dados-Status-Invest'!$2:$2,0),FALSE())/100,"")</f>
        <v>-0.1676</v>
      </c>
      <c r="M386" s="10" t="n">
        <f aca="false">IFERROR(VLOOKUP(A386,'Dados-Status-Invest'!$1:$1000,MATCH(M$1,'Dados-Status-Invest'!$2:$2,0),FALSE())/100,"")</f>
        <v>0.1583</v>
      </c>
      <c r="N386" s="10" t="n">
        <f aca="false">IFERROR(VLOOKUP(A386,'Dados-Status-Invest'!$1:$1000,MATCH(N$1,'Dados-Status-Invest'!$2:$2,0),FALSE())/100,"")</f>
        <v>-0.2976</v>
      </c>
      <c r="O386" s="10" t="n">
        <f aca="false">IFERROR(VLOOKUP(A386,'Dados-Status-Invest'!$1:$1000,MATCH(O$1,'Dados-Status-Invest'!$2:$2,0),FALSE())/100,"")</f>
        <v>0.1201</v>
      </c>
      <c r="P386" s="10" t="n">
        <f aca="false">IFERROR(VLOOKUP(A386,'Dados-Status-Invest'!$1:$1000,MATCH(P$1,'Dados-Status-Invest'!$2:$2,0),FALSE())/100,"")</f>
        <v>0.3141</v>
      </c>
      <c r="Q386" s="10" t="n">
        <f aca="false">IFERROR(VLOOKUP(A386,'Dados-Status-Invest'!$1:$1000,MATCH(Q$1,'Dados-Status-Invest'!$2:$2,0),FALSE())/100,"")</f>
        <v>0.1902</v>
      </c>
      <c r="R386" s="12" t="n">
        <f aca="false">IFERROR(VLOOKUP(A386,'Dados-Status-Invest'!$1:$1000,MATCH(R$1,'Dados-Status-Invest'!$2:$2,0),FALSE()),"")</f>
        <v>2.87</v>
      </c>
      <c r="S386" s="12" t="n">
        <f aca="false">IFERROR(VLOOKUP(A386,'Dados-Status-Invest'!$1:$1000,MATCH(S$1,'Dados-Status-Invest'!$2:$2,0),FALSE()),"")</f>
        <v>-0.48</v>
      </c>
      <c r="T386" s="12" t="n">
        <f aca="false">IFERROR(VLOOKUP(A386,'Dados-Status-Invest'!$1:$1000,MATCH(T$1,'Dados-Status-Invest'!$2:$2,0),FALSE()),"")</f>
        <v>2.08</v>
      </c>
      <c r="U386" s="12" t="n">
        <f aca="false">IFERROR(VLOOKUP(A386,'Dados-Status-Invest'!$1:$1000,MATCH(U$1,'Dados-Status-Invest'!$2:$2,0),FALSE()),"")</f>
        <v>0.4</v>
      </c>
      <c r="V386" s="12" t="n">
        <f aca="false">IFERROR(VLOOKUP(A386,'Dados-Status-Invest'!$1:$1000,MATCH(V$1,'Dados-Status-Invest'!$2:$2,0),FALSE()),"")</f>
        <v>0.9</v>
      </c>
      <c r="W386" s="10" t="n">
        <f aca="false">IFERROR(VLOOKUP(A386,'Dados-Status-Invest'!$1:$1000,MATCH(W$1,'Dados-Status-Invest'!$2:$2,0),FALSE())/100,"")</f>
        <v>-0.0073</v>
      </c>
      <c r="X386" s="10" t="n">
        <f aca="false">IFERROR(VLOOKUP(A386,'Dados-Status-Invest'!$1:$1000,MATCH(X$1,'Dados-Status-Invest'!$2:$2,0),FALSE())/100,"")</f>
        <v>0</v>
      </c>
    </row>
    <row r="387" customFormat="false" ht="15.75" hidden="false" customHeight="false" outlineLevel="0" collapsed="false">
      <c r="A387" s="6" t="s">
        <v>419</v>
      </c>
      <c r="B387" s="7" t="str">
        <f aca="false">IFERROR(VLOOKUP(LEFT(A387,4),Setor!A:D,2,FALSE()),"")</f>
        <v>Bens Industriais</v>
      </c>
      <c r="C387" s="8" t="n">
        <f aca="false">IFERROR(__xludf.dummyfunction("IFERROR(IFERROR(GOOGLEFINANCE(A393,""price""),VLOOKUP(A393,'Dados-Status-Invest'!A:B,2,FALSE)),"""")"),11.81)</f>
        <v>11.81</v>
      </c>
      <c r="D387" s="8" t="n">
        <f aca="false">IFERROR(VLOOKUP(A387,'Dados-Status-Invest'!$1:$1000,MATCH(D$1,'Dados-Status-Invest'!$2:$2,0),FALSE()),"")</f>
        <v>58749125.64</v>
      </c>
      <c r="E387" s="8" t="n">
        <f aca="false">IF(D387+H387&gt;0,D387+H387,"")</f>
        <v>117498251.28</v>
      </c>
      <c r="F387" s="8" t="n">
        <f aca="false">IFERROR(D387/VLOOKUP(A387,'Dados-Status-Invest'!$1:$1000,5,FALSE()),"")</f>
        <v>-234996502.6</v>
      </c>
      <c r="G387" s="8" t="n">
        <f aca="false">IFERROR(D387/VLOOKUP(A387,'Dados-Status-Invest'!$1:$1000,6,FALSE()),"")</f>
        <v>244788023.5</v>
      </c>
      <c r="H387" s="8" t="n">
        <f aca="false">IFERROR(VLOOKUP(A387,'Dados-Status-Invest'!$1:$1000,12,FALSE())*J387,"")</f>
        <v>58749125.64</v>
      </c>
      <c r="I387" s="8" t="n">
        <f aca="false">IFERROR(D387/VLOOKUP(A387,'Dados-Status-Invest'!$1:$1000,14,FALSE()),"")</f>
        <v>209818305.9</v>
      </c>
      <c r="J387" s="9" t="n">
        <f aca="false">IFERROR(D387/VLOOKUP(A387,'Dados-Status-Invest'!$1:$1000,10,FALSE()),"")</f>
        <v>65276806.27</v>
      </c>
      <c r="K387" s="10" t="n">
        <f aca="false">IFERROR(VLOOKUP(A387,'Dados-Status-Invest'!$1:$1000,3,FALSE())/100,"")</f>
        <v>0</v>
      </c>
      <c r="L387" s="11" t="n">
        <f aca="false">IFERROR(VLOOKUP(A387,'Dados-Status-Invest'!$1:$1000,MATCH(L$1,'Dados-Status-Invest'!$2:$2,0),FALSE())/100,"")</f>
        <v>-0.1676</v>
      </c>
      <c r="M387" s="10" t="n">
        <f aca="false">IFERROR(VLOOKUP(A387,'Dados-Status-Invest'!$1:$1000,MATCH(M$1,'Dados-Status-Invest'!$2:$2,0),FALSE())/100,"")</f>
        <v>0.1583</v>
      </c>
      <c r="N387" s="10" t="n">
        <f aca="false">IFERROR(VLOOKUP(A387,'Dados-Status-Invest'!$1:$1000,MATCH(N$1,'Dados-Status-Invest'!$2:$2,0),FALSE())/100,"")</f>
        <v>-0.2976</v>
      </c>
      <c r="O387" s="10" t="n">
        <f aca="false">IFERROR(VLOOKUP(A387,'Dados-Status-Invest'!$1:$1000,MATCH(O$1,'Dados-Status-Invest'!$2:$2,0),FALSE())/100,"")</f>
        <v>0.1201</v>
      </c>
      <c r="P387" s="10" t="n">
        <f aca="false">IFERROR(VLOOKUP(A387,'Dados-Status-Invest'!$1:$1000,MATCH(P$1,'Dados-Status-Invest'!$2:$2,0),FALSE())/100,"")</f>
        <v>0.3141</v>
      </c>
      <c r="Q387" s="10" t="n">
        <f aca="false">IFERROR(VLOOKUP(A387,'Dados-Status-Invest'!$1:$1000,MATCH(Q$1,'Dados-Status-Invest'!$2:$2,0),FALSE())/100,"")</f>
        <v>0.1902</v>
      </c>
      <c r="R387" s="12" t="n">
        <f aca="false">IFERROR(VLOOKUP(A387,'Dados-Status-Invest'!$1:$1000,MATCH(R$1,'Dados-Status-Invest'!$2:$2,0),FALSE()),"")</f>
        <v>1.49</v>
      </c>
      <c r="S387" s="12" t="n">
        <f aca="false">IFERROR(VLOOKUP(A387,'Dados-Status-Invest'!$1:$1000,MATCH(S$1,'Dados-Status-Invest'!$2:$2,0),FALSE()),"")</f>
        <v>-0.25</v>
      </c>
      <c r="T387" s="12" t="n">
        <f aca="false">IFERROR(VLOOKUP(A387,'Dados-Status-Invest'!$1:$1000,MATCH(T$1,'Dados-Status-Invest'!$2:$2,0),FALSE()),"")</f>
        <v>2.08</v>
      </c>
      <c r="U387" s="12" t="n">
        <f aca="false">IFERROR(VLOOKUP(A387,'Dados-Status-Invest'!$1:$1000,MATCH(U$1,'Dados-Status-Invest'!$2:$2,0),FALSE()),"")</f>
        <v>0.4</v>
      </c>
      <c r="V387" s="12" t="n">
        <f aca="false">IFERROR(VLOOKUP(A387,'Dados-Status-Invest'!$1:$1000,MATCH(V$1,'Dados-Status-Invest'!$2:$2,0),FALSE()),"")</f>
        <v>0.9</v>
      </c>
      <c r="W387" s="10" t="n">
        <f aca="false">IFERROR(VLOOKUP(A387,'Dados-Status-Invest'!$1:$1000,MATCH(W$1,'Dados-Status-Invest'!$2:$2,0),FALSE())/100,"")</f>
        <v>-0.0073</v>
      </c>
      <c r="X387" s="10" t="n">
        <f aca="false">IFERROR(VLOOKUP(A387,'Dados-Status-Invest'!$1:$1000,MATCH(X$1,'Dados-Status-Invest'!$2:$2,0),FALSE())/100,"")</f>
        <v>0</v>
      </c>
    </row>
    <row r="388" customFormat="false" ht="15.75" hidden="false" customHeight="false" outlineLevel="0" collapsed="false">
      <c r="A388" s="6" t="s">
        <v>420</v>
      </c>
      <c r="B388" s="7" t="str">
        <f aca="false">IFERROR(VLOOKUP(LEFT(A388,4),Setor!A:D,2,FALSE()),"")</f>
        <v>Consumo Cíclico</v>
      </c>
      <c r="C388" s="8" t="n">
        <f aca="false">IFERROR(__xludf.dummyfunction("IFERROR(IFERROR(GOOGLEFINANCE(A394,""price""),VLOOKUP(A394,'Dados-Status-Invest'!A:B,2,FALSE)),"""")"),14.66)</f>
        <v>14.66</v>
      </c>
      <c r="D388" s="8" t="n">
        <f aca="false">IFERROR(VLOOKUP(A388,'Dados-Status-Invest'!$1:$1000,MATCH(D$1,'Dados-Status-Invest'!$2:$2,0),FALSE()),"")</f>
        <v>2437992872</v>
      </c>
      <c r="E388" s="8" t="n">
        <f aca="false">IF(D388+H388&gt;0,D388+H388,"")</f>
        <v>6485484220</v>
      </c>
      <c r="F388" s="8" t="n">
        <f aca="false">IFERROR(D388/VLOOKUP(A388,'Dados-Status-Invest'!$1:$1000,5,FALSE()),"")</f>
        <v>3809363862</v>
      </c>
      <c r="G388" s="8" t="n">
        <f aca="false">IFERROR(D388/VLOOKUP(A388,'Dados-Status-Invest'!$1:$1000,6,FALSE()),"")</f>
        <v>13544404844</v>
      </c>
      <c r="H388" s="8" t="n">
        <f aca="false">IFERROR(VLOOKUP(A388,'Dados-Status-Invest'!$1:$1000,12,FALSE())*J388,"")</f>
        <v>4047491348</v>
      </c>
      <c r="I388" s="8" t="n">
        <f aca="false">IFERROR(D388/VLOOKUP(A388,'Dados-Status-Invest'!$1:$1000,14,FALSE()),"")</f>
        <v>9751971487</v>
      </c>
      <c r="J388" s="9" t="n">
        <f aca="false">IFERROR(D388/VLOOKUP(A388,'Dados-Status-Invest'!$1:$1000,10,FALSE()),"")</f>
        <v>-47020113.25</v>
      </c>
      <c r="K388" s="10" t="n">
        <f aca="false">IFERROR(VLOOKUP(A388,'Dados-Status-Invest'!$1:$1000,3,FALSE())/100,"")</f>
        <v>0</v>
      </c>
      <c r="L388" s="11" t="n">
        <f aca="false">IFERROR(VLOOKUP(A388,'Dados-Status-Invest'!$1:$1000,MATCH(L$1,'Dados-Status-Invest'!$2:$2,0),FALSE())/100,"")</f>
        <v>-0.1171</v>
      </c>
      <c r="M388" s="10" t="n">
        <f aca="false">IFERROR(VLOOKUP(A388,'Dados-Status-Invest'!$1:$1000,MATCH(M$1,'Dados-Status-Invest'!$2:$2,0),FALSE())/100,"")</f>
        <v>-0.0329</v>
      </c>
      <c r="N388" s="10" t="n">
        <f aca="false">IFERROR(VLOOKUP(A388,'Dados-Status-Invest'!$1:$1000,MATCH(N$1,'Dados-Status-Invest'!$2:$2,0),FALSE())/100,"")</f>
        <v>-0.0134</v>
      </c>
      <c r="O388" s="10" t="n">
        <f aca="false">IFERROR(VLOOKUP(A388,'Dados-Status-Invest'!$1:$1000,MATCH(O$1,'Dados-Status-Invest'!$2:$2,0),FALSE())/100,"")</f>
        <v>0.0818</v>
      </c>
      <c r="P388" s="10" t="n">
        <f aca="false">IFERROR(VLOOKUP(A388,'Dados-Status-Invest'!$1:$1000,MATCH(P$1,'Dados-Status-Invest'!$2:$2,0),FALSE())/100,"")</f>
        <v>-0.0049</v>
      </c>
      <c r="Q388" s="10" t="n">
        <f aca="false">IFERROR(VLOOKUP(A388,'Dados-Status-Invest'!$1:$1000,MATCH(Q$1,'Dados-Status-Invest'!$2:$2,0),FALSE())/100,"")</f>
        <v>-0.0465</v>
      </c>
      <c r="R388" s="12" t="n">
        <f aca="false">IFERROR(VLOOKUP(A388,'Dados-Status-Invest'!$1:$1000,MATCH(R$1,'Dados-Status-Invest'!$2:$2,0),FALSE()),"")</f>
        <v>-5.44</v>
      </c>
      <c r="S388" s="12" t="n">
        <f aca="false">IFERROR(VLOOKUP(A388,'Dados-Status-Invest'!$1:$1000,MATCH(S$1,'Dados-Status-Invest'!$2:$2,0),FALSE()),"")</f>
        <v>0.64</v>
      </c>
      <c r="T388" s="12" t="n">
        <f aca="false">IFERROR(VLOOKUP(A388,'Dados-Status-Invest'!$1:$1000,MATCH(T$1,'Dados-Status-Invest'!$2:$2,0),FALSE()),"")</f>
        <v>-137.8</v>
      </c>
      <c r="U388" s="12" t="n">
        <f aca="false">IFERROR(VLOOKUP(A388,'Dados-Status-Invest'!$1:$1000,MATCH(U$1,'Dados-Status-Invest'!$2:$2,0),FALSE()),"")</f>
        <v>0.99</v>
      </c>
      <c r="V388" s="12" t="n">
        <f aca="false">IFERROR(VLOOKUP(A388,'Dados-Status-Invest'!$1:$1000,MATCH(V$1,'Dados-Status-Invest'!$2:$2,0),FALSE()),"")</f>
        <v>-86.08</v>
      </c>
      <c r="W388" s="10" t="n">
        <f aca="false">IFERROR(VLOOKUP(A388,'Dados-Status-Invest'!$1:$1000,MATCH(W$1,'Dados-Status-Invest'!$2:$2,0),FALSE())/100,"")</f>
        <v>0.0505</v>
      </c>
      <c r="X388" s="10" t="n">
        <f aca="false">IFERROR(VLOOKUP(A388,'Dados-Status-Invest'!$1:$1000,MATCH(X$1,'Dados-Status-Invest'!$2:$2,0),FALSE())/100,"")</f>
        <v>0</v>
      </c>
    </row>
    <row r="389" customFormat="false" ht="15.75" hidden="false" customHeight="false" outlineLevel="0" collapsed="false">
      <c r="A389" s="6" t="s">
        <v>421</v>
      </c>
      <c r="B389" s="7" t="str">
        <f aca="false">IFERROR(VLOOKUP(LEFT(A389,4),Setor!A:D,2,FALSE()),"")</f>
        <v>Consumo Cíclico</v>
      </c>
      <c r="C389" s="8" t="n">
        <f aca="false">IFERROR(__xludf.dummyfunction("IFERROR(IFERROR(GOOGLEFINANCE(A395,""price""),VLOOKUP(A395,'Dados-Status-Invest'!A:B,2,FALSE)),"""")"),64.37)</f>
        <v>64.37</v>
      </c>
      <c r="D389" s="8" t="n">
        <f aca="false">IFERROR(VLOOKUP(A389,'Dados-Status-Invest'!$1:$1000,MATCH(D$1,'Dados-Status-Invest'!$2:$2,0),FALSE()),"")</f>
        <v>508315292.4</v>
      </c>
      <c r="E389" s="8" t="n">
        <f aca="false">IF(D389+H389&gt;0,D389+H389,"")</f>
        <v>597346563.68</v>
      </c>
      <c r="F389" s="8" t="n">
        <f aca="false">IFERROR(D389/VLOOKUP(A389,'Dados-Status-Invest'!$1:$1000,5,FALSE()),"")</f>
        <v>184172207.4</v>
      </c>
      <c r="G389" s="8" t="n">
        <f aca="false">IFERROR(D389/VLOOKUP(A389,'Dados-Status-Invest'!$1:$1000,6,FALSE()),"")</f>
        <v>442013297.8</v>
      </c>
      <c r="H389" s="8" t="n">
        <f aca="false">IFERROR(VLOOKUP(A389,'Dados-Status-Invest'!$1:$1000,12,FALSE())*J389,"")</f>
        <v>89031271.28</v>
      </c>
      <c r="I389" s="8" t="n">
        <f aca="false">IFERROR(D389/VLOOKUP(A389,'Dados-Status-Invest'!$1:$1000,14,FALSE()),"")</f>
        <v>462104811.3</v>
      </c>
      <c r="J389" s="9" t="n">
        <f aca="false">IFERROR(D389/VLOOKUP(A389,'Dados-Status-Invest'!$1:$1000,10,FALSE()),"")</f>
        <v>76095103.66</v>
      </c>
      <c r="K389" s="10" t="n">
        <f aca="false">IFERROR(VLOOKUP(A389,'Dados-Status-Invest'!$1:$1000,3,FALSE())/100,"")</f>
        <v>0</v>
      </c>
      <c r="L389" s="11" t="n">
        <f aca="false">IFERROR(VLOOKUP(A389,'Dados-Status-Invest'!$1:$1000,MATCH(L$1,'Dados-Status-Invest'!$2:$2,0),FALSE())/100,"")</f>
        <v>0.2342</v>
      </c>
      <c r="M389" s="10" t="n">
        <f aca="false">IFERROR(VLOOKUP(A389,'Dados-Status-Invest'!$1:$1000,MATCH(M$1,'Dados-Status-Invest'!$2:$2,0),FALSE())/100,"")</f>
        <v>0.0977</v>
      </c>
      <c r="N389" s="10" t="n">
        <f aca="false">IFERROR(VLOOKUP(A389,'Dados-Status-Invest'!$1:$1000,MATCH(N$1,'Dados-Status-Invest'!$2:$2,0),FALSE())/100,"")</f>
        <v>0.1589</v>
      </c>
      <c r="O389" s="10" t="n">
        <f aca="false">IFERROR(VLOOKUP(A389,'Dados-Status-Invest'!$1:$1000,MATCH(O$1,'Dados-Status-Invest'!$2:$2,0),FALSE())/100,"")</f>
        <v>0.4115</v>
      </c>
      <c r="P389" s="10" t="n">
        <f aca="false">IFERROR(VLOOKUP(A389,'Dados-Status-Invest'!$1:$1000,MATCH(P$1,'Dados-Status-Invest'!$2:$2,0),FALSE())/100,"")</f>
        <v>0.1649</v>
      </c>
      <c r="Q389" s="10" t="n">
        <f aca="false">IFERROR(VLOOKUP(A389,'Dados-Status-Invest'!$1:$1000,MATCH(Q$1,'Dados-Status-Invest'!$2:$2,0),FALSE())/100,"")</f>
        <v>0.0934</v>
      </c>
      <c r="R389" s="12" t="n">
        <f aca="false">IFERROR(VLOOKUP(A389,'Dados-Status-Invest'!$1:$1000,MATCH(R$1,'Dados-Status-Invest'!$2:$2,0),FALSE()),"")</f>
        <v>11.8</v>
      </c>
      <c r="S389" s="12" t="n">
        <f aca="false">IFERROR(VLOOKUP(A389,'Dados-Status-Invest'!$1:$1000,MATCH(S$1,'Dados-Status-Invest'!$2:$2,0),FALSE()),"")</f>
        <v>2.76</v>
      </c>
      <c r="T389" s="12" t="n">
        <f aca="false">IFERROR(VLOOKUP(A389,'Dados-Status-Invest'!$1:$1000,MATCH(T$1,'Dados-Status-Invest'!$2:$2,0),FALSE()),"")</f>
        <v>5.06</v>
      </c>
      <c r="U389" s="12" t="n">
        <f aca="false">IFERROR(VLOOKUP(A389,'Dados-Status-Invest'!$1:$1000,MATCH(U$1,'Dados-Status-Invest'!$2:$2,0),FALSE()),"")</f>
        <v>2.52</v>
      </c>
      <c r="V389" s="12" t="n">
        <f aca="false">IFERROR(VLOOKUP(A389,'Dados-Status-Invest'!$1:$1000,MATCH(V$1,'Dados-Status-Invest'!$2:$2,0),FALSE()),"")</f>
        <v>1.17</v>
      </c>
      <c r="W389" s="10" t="n">
        <f aca="false">IFERROR(VLOOKUP(A389,'Dados-Status-Invest'!$1:$1000,MATCH(W$1,'Dados-Status-Invest'!$2:$2,0),FALSE())/100,"")</f>
        <v>0.0787</v>
      </c>
      <c r="X389" s="10" t="n">
        <f aca="false">IFERROR(VLOOKUP(A389,'Dados-Status-Invest'!$1:$1000,MATCH(X$1,'Dados-Status-Invest'!$2:$2,0),FALSE())/100,"")</f>
        <v>0.3376</v>
      </c>
    </row>
    <row r="390" customFormat="false" ht="15.75" hidden="false" customHeight="false" outlineLevel="0" collapsed="false">
      <c r="A390" s="6" t="s">
        <v>422</v>
      </c>
      <c r="B390" s="7" t="str">
        <f aca="false">IFERROR(VLOOKUP(LEFT(A390,4),Setor!A:D,2,FALSE()),"")</f>
        <v>Consumo Cíclico</v>
      </c>
      <c r="C390" s="8" t="n">
        <f aca="false">IFERROR(__xludf.dummyfunction("IFERROR(IFERROR(GOOGLEFINANCE(A396,""price""),VLOOKUP(A396,'Dados-Status-Invest'!A:B,2,FALSE)),"""")"),19.02)</f>
        <v>19.02</v>
      </c>
      <c r="D390" s="8" t="n">
        <f aca="false">IFERROR(VLOOKUP(A390,'Dados-Status-Invest'!$1:$1000,MATCH(D$1,'Dados-Status-Invest'!$2:$2,0),FALSE()),"")</f>
        <v>508315292.4</v>
      </c>
      <c r="E390" s="8" t="n">
        <f aca="false">IF(D390+H390&gt;0,D390+H390,"")</f>
        <v>810208131</v>
      </c>
      <c r="F390" s="8" t="n">
        <f aca="false">IFERROR(D390/VLOOKUP(A390,'Dados-Status-Invest'!$1:$1000,5,FALSE()),"")</f>
        <v>619896698.1</v>
      </c>
      <c r="G390" s="8" t="n">
        <f aca="false">IFERROR(D390/VLOOKUP(A390,'Dados-Status-Invest'!$1:$1000,6,FALSE()),"")</f>
        <v>1495044978</v>
      </c>
      <c r="H390" s="8" t="n">
        <f aca="false">IFERROR(VLOOKUP(A390,'Dados-Status-Invest'!$1:$1000,12,FALSE())*J390,"")</f>
        <v>301892838.6</v>
      </c>
      <c r="I390" s="8" t="n">
        <f aca="false">IFERROR(D390/VLOOKUP(A390,'Dados-Status-Invest'!$1:$1000,14,FALSE()),"")</f>
        <v>1540349371</v>
      </c>
      <c r="J390" s="9" t="n">
        <f aca="false">IFERROR(D390/VLOOKUP(A390,'Dados-Status-Invest'!$1:$1000,10,FALSE()),"")</f>
        <v>258028067.2</v>
      </c>
      <c r="K390" s="10" t="n">
        <f aca="false">IFERROR(VLOOKUP(A390,'Dados-Status-Invest'!$1:$1000,3,FALSE())/100,"")</f>
        <v>0</v>
      </c>
      <c r="L390" s="11" t="n">
        <f aca="false">IFERROR(VLOOKUP(A390,'Dados-Status-Invest'!$1:$1000,MATCH(L$1,'Dados-Status-Invest'!$2:$2,0),FALSE())/100,"")</f>
        <v>0.2342</v>
      </c>
      <c r="M390" s="10" t="n">
        <f aca="false">IFERROR(VLOOKUP(A390,'Dados-Status-Invest'!$1:$1000,MATCH(M$1,'Dados-Status-Invest'!$2:$2,0),FALSE())/100,"")</f>
        <v>0.0977</v>
      </c>
      <c r="N390" s="10" t="n">
        <f aca="false">IFERROR(VLOOKUP(A390,'Dados-Status-Invest'!$1:$1000,MATCH(N$1,'Dados-Status-Invest'!$2:$2,0),FALSE())/100,"")</f>
        <v>0.1589</v>
      </c>
      <c r="O390" s="10" t="n">
        <f aca="false">IFERROR(VLOOKUP(A390,'Dados-Status-Invest'!$1:$1000,MATCH(O$1,'Dados-Status-Invest'!$2:$2,0),FALSE())/100,"")</f>
        <v>0.4115</v>
      </c>
      <c r="P390" s="10" t="n">
        <f aca="false">IFERROR(VLOOKUP(A390,'Dados-Status-Invest'!$1:$1000,MATCH(P$1,'Dados-Status-Invest'!$2:$2,0),FALSE())/100,"")</f>
        <v>0.1649</v>
      </c>
      <c r="Q390" s="10" t="n">
        <f aca="false">IFERROR(VLOOKUP(A390,'Dados-Status-Invest'!$1:$1000,MATCH(Q$1,'Dados-Status-Invest'!$2:$2,0),FALSE())/100,"")</f>
        <v>0.0934</v>
      </c>
      <c r="R390" s="12" t="n">
        <f aca="false">IFERROR(VLOOKUP(A390,'Dados-Status-Invest'!$1:$1000,MATCH(R$1,'Dados-Status-Invest'!$2:$2,0),FALSE()),"")</f>
        <v>3.49</v>
      </c>
      <c r="S390" s="12" t="n">
        <f aca="false">IFERROR(VLOOKUP(A390,'Dados-Status-Invest'!$1:$1000,MATCH(S$1,'Dados-Status-Invest'!$2:$2,0),FALSE()),"")</f>
        <v>0.82</v>
      </c>
      <c r="T390" s="12" t="n">
        <f aca="false">IFERROR(VLOOKUP(A390,'Dados-Status-Invest'!$1:$1000,MATCH(T$1,'Dados-Status-Invest'!$2:$2,0),FALSE()),"")</f>
        <v>5.06</v>
      </c>
      <c r="U390" s="12" t="n">
        <f aca="false">IFERROR(VLOOKUP(A390,'Dados-Status-Invest'!$1:$1000,MATCH(U$1,'Dados-Status-Invest'!$2:$2,0),FALSE()),"")</f>
        <v>2.52</v>
      </c>
      <c r="V390" s="12" t="n">
        <f aca="false">IFERROR(VLOOKUP(A390,'Dados-Status-Invest'!$1:$1000,MATCH(V$1,'Dados-Status-Invest'!$2:$2,0),FALSE()),"")</f>
        <v>1.17</v>
      </c>
      <c r="W390" s="10" t="n">
        <f aca="false">IFERROR(VLOOKUP(A390,'Dados-Status-Invest'!$1:$1000,MATCH(W$1,'Dados-Status-Invest'!$2:$2,0),FALSE())/100,"")</f>
        <v>0.0787</v>
      </c>
      <c r="X390" s="10" t="n">
        <f aca="false">IFERROR(VLOOKUP(A390,'Dados-Status-Invest'!$1:$1000,MATCH(X$1,'Dados-Status-Invest'!$2:$2,0),FALSE())/100,"")</f>
        <v>0.3376</v>
      </c>
    </row>
    <row r="391" customFormat="false" ht="15.75" hidden="false" customHeight="false" outlineLevel="0" collapsed="false">
      <c r="A391" s="6" t="s">
        <v>423</v>
      </c>
      <c r="B391" s="7" t="str">
        <f aca="false">IFERROR(VLOOKUP(LEFT(A391,4),Setor!A:D,2,FALSE()),"")</f>
        <v>Materiais Básicos</v>
      </c>
      <c r="C391" s="8" t="n">
        <f aca="false">IFERROR(__xludf.dummyfunction("IFERROR(IFERROR(GOOGLEFINANCE(A397,""price""),VLOOKUP(A397,'Dados-Status-Invest'!A:B,2,FALSE)),"""")"),0)</f>
        <v>0</v>
      </c>
      <c r="D391" s="8" t="n">
        <f aca="false">IFERROR(VLOOKUP(A391,'Dados-Status-Invest'!$1:$1000,MATCH(D$1,'Dados-Status-Invest'!$2:$2,0),FALSE()),"")</f>
        <v>0</v>
      </c>
      <c r="E391" s="8" t="str">
        <f aca="false">IF(D391+H391&gt;0,D391+H391,"")</f>
        <v/>
      </c>
      <c r="F391" s="8" t="str">
        <f aca="false">IFERROR(D391/VLOOKUP(A391,'Dados-Status-Invest'!$1:$1000,5,FALSE()),"")</f>
        <v/>
      </c>
      <c r="G391" s="8" t="str">
        <f aca="false">IFERROR(D391/VLOOKUP(A391,'Dados-Status-Invest'!$1:$1000,6,FALSE()),"")</f>
        <v/>
      </c>
      <c r="H391" s="8" t="n">
        <f aca="false">IFERROR(VLOOKUP(A391,'Dados-Status-Invest'!$1:$1000,12,FALSE())*J391,"")</f>
        <v>0</v>
      </c>
      <c r="I391" s="8" t="str">
        <f aca="false">IFERROR(D391/VLOOKUP(A391,'Dados-Status-Invest'!$1:$1000,14,FALSE()),"")</f>
        <v/>
      </c>
      <c r="J391" s="9" t="str">
        <f aca="false">IFERROR(D391/VLOOKUP(A391,'Dados-Status-Invest'!$1:$1000,10,FALSE()),"")</f>
        <v/>
      </c>
      <c r="K391" s="10" t="n">
        <f aca="false">IFERROR(VLOOKUP(A391,'Dados-Status-Invest'!$1:$1000,3,FALSE())/100,"")</f>
        <v>0</v>
      </c>
      <c r="L391" s="11" t="n">
        <f aca="false">IFERROR(VLOOKUP(A391,'Dados-Status-Invest'!$1:$1000,MATCH(L$1,'Dados-Status-Invest'!$2:$2,0),FALSE())/100,"")</f>
        <v>-0.0267</v>
      </c>
      <c r="M391" s="10" t="n">
        <f aca="false">IFERROR(VLOOKUP(A391,'Dados-Status-Invest'!$1:$1000,MATCH(M$1,'Dados-Status-Invest'!$2:$2,0),FALSE())/100,"")</f>
        <v>-0.0003</v>
      </c>
      <c r="N391" s="10" t="n">
        <f aca="false">IFERROR(VLOOKUP(A391,'Dados-Status-Invest'!$1:$1000,MATCH(N$1,'Dados-Status-Invest'!$2:$2,0),FALSE())/100,"")</f>
        <v>0.1138</v>
      </c>
      <c r="O391" s="10" t="n">
        <f aca="false">IFERROR(VLOOKUP(A391,'Dados-Status-Invest'!$1:$1000,MATCH(O$1,'Dados-Status-Invest'!$2:$2,0),FALSE())/100,"")</f>
        <v>0.4133</v>
      </c>
      <c r="P391" s="10" t="n">
        <f aca="false">IFERROR(VLOOKUP(A391,'Dados-Status-Invest'!$1:$1000,MATCH(P$1,'Dados-Status-Invest'!$2:$2,0),FALSE())/100,"")</f>
        <v>0.3305</v>
      </c>
      <c r="Q391" s="10" t="n">
        <f aca="false">IFERROR(VLOOKUP(A391,'Dados-Status-Invest'!$1:$1000,MATCH(Q$1,'Dados-Status-Invest'!$2:$2,0),FALSE())/100,"")</f>
        <v>-0.001</v>
      </c>
      <c r="R391" s="12" t="n">
        <f aca="false">IFERROR(VLOOKUP(A391,'Dados-Status-Invest'!$1:$1000,MATCH(R$1,'Dados-Status-Invest'!$2:$2,0),FALSE()),"")</f>
        <v>0</v>
      </c>
      <c r="S391" s="12" t="n">
        <f aca="false">IFERROR(VLOOKUP(A391,'Dados-Status-Invest'!$1:$1000,MATCH(S$1,'Dados-Status-Invest'!$2:$2,0),FALSE()),"")</f>
        <v>0</v>
      </c>
      <c r="T391" s="12" t="n">
        <f aca="false">IFERROR(VLOOKUP(A391,'Dados-Status-Invest'!$1:$1000,MATCH(T$1,'Dados-Status-Invest'!$2:$2,0),FALSE()),"")</f>
        <v>6.22</v>
      </c>
      <c r="U391" s="12" t="n">
        <f aca="false">IFERROR(VLOOKUP(A391,'Dados-Status-Invest'!$1:$1000,MATCH(U$1,'Dados-Status-Invest'!$2:$2,0),FALSE()),"")</f>
        <v>2.08</v>
      </c>
      <c r="V391" s="12" t="n">
        <f aca="false">IFERROR(VLOOKUP(A391,'Dados-Status-Invest'!$1:$1000,MATCH(V$1,'Dados-Status-Invest'!$2:$2,0),FALSE()),"")</f>
        <v>6.22</v>
      </c>
      <c r="W391" s="10" t="n">
        <f aca="false">IFERROR(VLOOKUP(A391,'Dados-Status-Invest'!$1:$1000,MATCH(W$1,'Dados-Status-Invest'!$2:$2,0),FALSE())/100,"")</f>
        <v>0.244</v>
      </c>
      <c r="X391" s="10" t="n">
        <f aca="false">IFERROR(VLOOKUP(A391,'Dados-Status-Invest'!$1:$1000,MATCH(X$1,'Dados-Status-Invest'!$2:$2,0),FALSE())/100,"")</f>
        <v>0</v>
      </c>
    </row>
    <row r="392" customFormat="false" ht="15.75" hidden="false" customHeight="false" outlineLevel="0" collapsed="false">
      <c r="A392" s="6" t="s">
        <v>424</v>
      </c>
      <c r="B392" s="7" t="str">
        <f aca="false">IFERROR(VLOOKUP(LEFT(A392,4),Setor!A:D,2,FALSE()),"")</f>
        <v>Materiais Básicos</v>
      </c>
      <c r="C392" s="8" t="n">
        <f aca="false">IFERROR(__xludf.dummyfunction("IFERROR(IFERROR(GOOGLEFINANCE(A398,""price""),VLOOKUP(A398,'Dados-Status-Invest'!A:B,2,FALSE)),"""")"),0)</f>
        <v>0</v>
      </c>
      <c r="D392" s="8" t="n">
        <f aca="false">IFERROR(VLOOKUP(A392,'Dados-Status-Invest'!$1:$1000,MATCH(D$1,'Dados-Status-Invest'!$2:$2,0),FALSE()),"")</f>
        <v>0</v>
      </c>
      <c r="E392" s="8" t="str">
        <f aca="false">IF(D392+H392&gt;0,D392+H392,"")</f>
        <v/>
      </c>
      <c r="F392" s="8" t="n">
        <f aca="false">IFERROR(D392/VLOOKUP(A392,'Dados-Status-Invest'!$1:$1000,5,FALSE()),"")</f>
        <v>0</v>
      </c>
      <c r="G392" s="8" t="n">
        <f aca="false">IFERROR(D392/VLOOKUP(A392,'Dados-Status-Invest'!$1:$1000,6,FALSE()),"")</f>
        <v>0</v>
      </c>
      <c r="H392" s="8" t="n">
        <f aca="false">IFERROR(VLOOKUP(A392,'Dados-Status-Invest'!$1:$1000,12,FALSE())*J392,"")</f>
        <v>0</v>
      </c>
      <c r="I392" s="8" t="n">
        <f aca="false">IFERROR(D392/VLOOKUP(A392,'Dados-Status-Invest'!$1:$1000,14,FALSE()),"")</f>
        <v>0</v>
      </c>
      <c r="J392" s="9" t="n">
        <f aca="false">IFERROR(D392/VLOOKUP(A392,'Dados-Status-Invest'!$1:$1000,10,FALSE()),"")</f>
        <v>0</v>
      </c>
      <c r="K392" s="10" t="n">
        <f aca="false">IFERROR(VLOOKUP(A392,'Dados-Status-Invest'!$1:$1000,3,FALSE())/100,"")</f>
        <v>0</v>
      </c>
      <c r="L392" s="11" t="n">
        <f aca="false">IFERROR(VLOOKUP(A392,'Dados-Status-Invest'!$1:$1000,MATCH(L$1,'Dados-Status-Invest'!$2:$2,0),FALSE())/100,"")</f>
        <v>-0.0267</v>
      </c>
      <c r="M392" s="10" t="n">
        <f aca="false">IFERROR(VLOOKUP(A392,'Dados-Status-Invest'!$1:$1000,MATCH(M$1,'Dados-Status-Invest'!$2:$2,0),FALSE())/100,"")</f>
        <v>-0.0003</v>
      </c>
      <c r="N392" s="10" t="n">
        <f aca="false">IFERROR(VLOOKUP(A392,'Dados-Status-Invest'!$1:$1000,MATCH(N$1,'Dados-Status-Invest'!$2:$2,0),FALSE())/100,"")</f>
        <v>0.1138</v>
      </c>
      <c r="O392" s="10" t="n">
        <f aca="false">IFERROR(VLOOKUP(A392,'Dados-Status-Invest'!$1:$1000,MATCH(O$1,'Dados-Status-Invest'!$2:$2,0),FALSE())/100,"")</f>
        <v>0.4133</v>
      </c>
      <c r="P392" s="10" t="n">
        <f aca="false">IFERROR(VLOOKUP(A392,'Dados-Status-Invest'!$1:$1000,MATCH(P$1,'Dados-Status-Invest'!$2:$2,0),FALSE())/100,"")</f>
        <v>0.3305</v>
      </c>
      <c r="Q392" s="10" t="n">
        <f aca="false">IFERROR(VLOOKUP(A392,'Dados-Status-Invest'!$1:$1000,MATCH(Q$1,'Dados-Status-Invest'!$2:$2,0),FALSE())/100,"")</f>
        <v>-0.001</v>
      </c>
      <c r="R392" s="12" t="n">
        <f aca="false">IFERROR(VLOOKUP(A392,'Dados-Status-Invest'!$1:$1000,MATCH(R$1,'Dados-Status-Invest'!$2:$2,0),FALSE()),"")</f>
        <v>-271.37</v>
      </c>
      <c r="S392" s="12" t="n">
        <f aca="false">IFERROR(VLOOKUP(A392,'Dados-Status-Invest'!$1:$1000,MATCH(S$1,'Dados-Status-Invest'!$2:$2,0),FALSE()),"")</f>
        <v>7.23</v>
      </c>
      <c r="T392" s="12" t="n">
        <f aca="false">IFERROR(VLOOKUP(A392,'Dados-Status-Invest'!$1:$1000,MATCH(T$1,'Dados-Status-Invest'!$2:$2,0),FALSE()),"")</f>
        <v>6.22</v>
      </c>
      <c r="U392" s="12" t="n">
        <f aca="false">IFERROR(VLOOKUP(A392,'Dados-Status-Invest'!$1:$1000,MATCH(U$1,'Dados-Status-Invest'!$2:$2,0),FALSE()),"")</f>
        <v>2.08</v>
      </c>
      <c r="V392" s="12" t="n">
        <f aca="false">IFERROR(VLOOKUP(A392,'Dados-Status-Invest'!$1:$1000,MATCH(V$1,'Dados-Status-Invest'!$2:$2,0),FALSE()),"")</f>
        <v>6.22</v>
      </c>
      <c r="W392" s="10" t="n">
        <f aca="false">IFERROR(VLOOKUP(A392,'Dados-Status-Invest'!$1:$1000,MATCH(W$1,'Dados-Status-Invest'!$2:$2,0),FALSE())/100,"")</f>
        <v>0.244</v>
      </c>
      <c r="X392" s="10" t="n">
        <f aca="false">IFERROR(VLOOKUP(A392,'Dados-Status-Invest'!$1:$1000,MATCH(X$1,'Dados-Status-Invest'!$2:$2,0),FALSE())/100,"")</f>
        <v>0</v>
      </c>
    </row>
    <row r="393" customFormat="false" ht="15.75" hidden="false" customHeight="false" outlineLevel="0" collapsed="false">
      <c r="A393" s="6" t="s">
        <v>425</v>
      </c>
      <c r="B393" s="7" t="str">
        <f aca="false">IFERROR(VLOOKUP(LEFT(A393,4),Setor!A:D,2,FALSE()),"")</f>
        <v>Materiais Básicos</v>
      </c>
      <c r="C393" s="8" t="n">
        <f aca="false">IFERROR(__xludf.dummyfunction("IFERROR(IFERROR(GOOGLEFINANCE(A399,""price""),VLOOKUP(A399,'Dados-Status-Invest'!A:B,2,FALSE)),"""")"),0)</f>
        <v>0</v>
      </c>
      <c r="D393" s="8" t="n">
        <f aca="false">IFERROR(VLOOKUP(A393,'Dados-Status-Invest'!$1:$1000,MATCH(D$1,'Dados-Status-Invest'!$2:$2,0),FALSE()),"")</f>
        <v>0</v>
      </c>
      <c r="E393" s="8" t="str">
        <f aca="false">IF(D393+H393&gt;0,D393+H393,"")</f>
        <v/>
      </c>
      <c r="F393" s="8" t="str">
        <f aca="false">IFERROR(D393/VLOOKUP(A393,'Dados-Status-Invest'!$1:$1000,5,FALSE()),"")</f>
        <v/>
      </c>
      <c r="G393" s="8" t="str">
        <f aca="false">IFERROR(D393/VLOOKUP(A393,'Dados-Status-Invest'!$1:$1000,6,FALSE()),"")</f>
        <v/>
      </c>
      <c r="H393" s="8" t="n">
        <f aca="false">IFERROR(VLOOKUP(A393,'Dados-Status-Invest'!$1:$1000,12,FALSE())*J393,"")</f>
        <v>0</v>
      </c>
      <c r="I393" s="8" t="str">
        <f aca="false">IFERROR(D393/VLOOKUP(A393,'Dados-Status-Invest'!$1:$1000,14,FALSE()),"")</f>
        <v/>
      </c>
      <c r="J393" s="9" t="str">
        <f aca="false">IFERROR(D393/VLOOKUP(A393,'Dados-Status-Invest'!$1:$1000,10,FALSE()),"")</f>
        <v/>
      </c>
      <c r="K393" s="10" t="n">
        <f aca="false">IFERROR(VLOOKUP(A393,'Dados-Status-Invest'!$1:$1000,3,FALSE())/100,"")</f>
        <v>0</v>
      </c>
      <c r="L393" s="11" t="n">
        <f aca="false">IFERROR(VLOOKUP(A393,'Dados-Status-Invest'!$1:$1000,MATCH(L$1,'Dados-Status-Invest'!$2:$2,0),FALSE())/100,"")</f>
        <v>-0.0267</v>
      </c>
      <c r="M393" s="10" t="n">
        <f aca="false">IFERROR(VLOOKUP(A393,'Dados-Status-Invest'!$1:$1000,MATCH(M$1,'Dados-Status-Invest'!$2:$2,0),FALSE())/100,"")</f>
        <v>-0.0003</v>
      </c>
      <c r="N393" s="10" t="n">
        <f aca="false">IFERROR(VLOOKUP(A393,'Dados-Status-Invest'!$1:$1000,MATCH(N$1,'Dados-Status-Invest'!$2:$2,0),FALSE())/100,"")</f>
        <v>0.1138</v>
      </c>
      <c r="O393" s="10" t="n">
        <f aca="false">IFERROR(VLOOKUP(A393,'Dados-Status-Invest'!$1:$1000,MATCH(O$1,'Dados-Status-Invest'!$2:$2,0),FALSE())/100,"")</f>
        <v>0.4133</v>
      </c>
      <c r="P393" s="10" t="n">
        <f aca="false">IFERROR(VLOOKUP(A393,'Dados-Status-Invest'!$1:$1000,MATCH(P$1,'Dados-Status-Invest'!$2:$2,0),FALSE())/100,"")</f>
        <v>0.3305</v>
      </c>
      <c r="Q393" s="10" t="n">
        <f aca="false">IFERROR(VLOOKUP(A393,'Dados-Status-Invest'!$1:$1000,MATCH(Q$1,'Dados-Status-Invest'!$2:$2,0),FALSE())/100,"")</f>
        <v>-0.001</v>
      </c>
      <c r="R393" s="12" t="n">
        <f aca="false">IFERROR(VLOOKUP(A393,'Dados-Status-Invest'!$1:$1000,MATCH(R$1,'Dados-Status-Invest'!$2:$2,0),FALSE()),"")</f>
        <v>0</v>
      </c>
      <c r="S393" s="12" t="n">
        <f aca="false">IFERROR(VLOOKUP(A393,'Dados-Status-Invest'!$1:$1000,MATCH(S$1,'Dados-Status-Invest'!$2:$2,0),FALSE()),"")</f>
        <v>0</v>
      </c>
      <c r="T393" s="12" t="n">
        <f aca="false">IFERROR(VLOOKUP(A393,'Dados-Status-Invest'!$1:$1000,MATCH(T$1,'Dados-Status-Invest'!$2:$2,0),FALSE()),"")</f>
        <v>6.22</v>
      </c>
      <c r="U393" s="12" t="n">
        <f aca="false">IFERROR(VLOOKUP(A393,'Dados-Status-Invest'!$1:$1000,MATCH(U$1,'Dados-Status-Invest'!$2:$2,0),FALSE()),"")</f>
        <v>2.08</v>
      </c>
      <c r="V393" s="12" t="n">
        <f aca="false">IFERROR(VLOOKUP(A393,'Dados-Status-Invest'!$1:$1000,MATCH(V$1,'Dados-Status-Invest'!$2:$2,0),FALSE()),"")</f>
        <v>6.22</v>
      </c>
      <c r="W393" s="10" t="n">
        <f aca="false">IFERROR(VLOOKUP(A393,'Dados-Status-Invest'!$1:$1000,MATCH(W$1,'Dados-Status-Invest'!$2:$2,0),FALSE())/100,"")</f>
        <v>0.244</v>
      </c>
      <c r="X393" s="10" t="n">
        <f aca="false">IFERROR(VLOOKUP(A393,'Dados-Status-Invest'!$1:$1000,MATCH(X$1,'Dados-Status-Invest'!$2:$2,0),FALSE())/100,"")</f>
        <v>0</v>
      </c>
    </row>
    <row r="394" customFormat="false" ht="15.75" hidden="false" customHeight="false" outlineLevel="0" collapsed="false">
      <c r="A394" s="6" t="s">
        <v>426</v>
      </c>
      <c r="B394" s="7" t="str">
        <f aca="false">IFERROR(VLOOKUP(LEFT(A394,4),Setor!A:D,2,FALSE()),"")</f>
        <v>Utilidade Pública</v>
      </c>
      <c r="C394" s="8" t="n">
        <f aca="false">IFERROR(__xludf.dummyfunction("IFERROR(IFERROR(GOOGLEFINANCE(A400,""price""),VLOOKUP(A400,'Dados-Status-Invest'!A:B,2,FALSE)),"""")"),18.84)</f>
        <v>18.84</v>
      </c>
      <c r="D394" s="8" t="n">
        <f aca="false">IFERROR(VLOOKUP(A394,'Dados-Status-Invest'!$1:$1000,MATCH(D$1,'Dados-Status-Invest'!$2:$2,0),FALSE()),"")</f>
        <v>21435659400</v>
      </c>
      <c r="E394" s="8" t="n">
        <f aca="false">IF(D394+H394&gt;0,D394+H394,"")</f>
        <v>48174411620</v>
      </c>
      <c r="F394" s="8" t="n">
        <f aca="false">IFERROR(D394/VLOOKUP(A394,'Dados-Status-Invest'!$1:$1000,5,FALSE()),"")</f>
        <v>21873121836</v>
      </c>
      <c r="G394" s="8" t="n">
        <f aca="false">IFERROR(D394/VLOOKUP(A394,'Dados-Status-Invest'!$1:$1000,6,FALSE()),"")</f>
        <v>71452197999</v>
      </c>
      <c r="H394" s="8" t="n">
        <f aca="false">IFERROR(VLOOKUP(A394,'Dados-Status-Invest'!$1:$1000,12,FALSE())*J394,"")</f>
        <v>26738752220</v>
      </c>
      <c r="I394" s="8" t="n">
        <f aca="false">IFERROR(D394/VLOOKUP(A394,'Dados-Status-Invest'!$1:$1000,14,FALSE()),"")</f>
        <v>34024856190</v>
      </c>
      <c r="J394" s="9" t="n">
        <f aca="false">IFERROR(D394/VLOOKUP(A394,'Dados-Status-Invest'!$1:$1000,10,FALSE()),"")</f>
        <v>5582202969</v>
      </c>
      <c r="K394" s="10" t="n">
        <f aca="false">IFERROR(VLOOKUP(A394,'Dados-Status-Invest'!$1:$1000,3,FALSE())/100,"")</f>
        <v>0.0218</v>
      </c>
      <c r="L394" s="11" t="n">
        <f aca="false">IFERROR(VLOOKUP(A394,'Dados-Status-Invest'!$1:$1000,MATCH(L$1,'Dados-Status-Invest'!$2:$2,0),FALSE())/100,"")</f>
        <v>0.148</v>
      </c>
      <c r="M394" s="10" t="n">
        <f aca="false">IFERROR(VLOOKUP(A394,'Dados-Status-Invest'!$1:$1000,MATCH(M$1,'Dados-Status-Invest'!$2:$2,0),FALSE())/100,"")</f>
        <v>0.0448</v>
      </c>
      <c r="N394" s="10" t="n">
        <f aca="false">IFERROR(VLOOKUP(A394,'Dados-Status-Invest'!$1:$1000,MATCH(N$1,'Dados-Status-Invest'!$2:$2,0),FALSE())/100,"")</f>
        <v>0.0838</v>
      </c>
      <c r="O394" s="10" t="n">
        <f aca="false">IFERROR(VLOOKUP(A394,'Dados-Status-Invest'!$1:$1000,MATCH(O$1,'Dados-Status-Invest'!$2:$2,0),FALSE())/100,"")</f>
        <v>0.2397</v>
      </c>
      <c r="P394" s="10" t="n">
        <f aca="false">IFERROR(VLOOKUP(A394,'Dados-Status-Invest'!$1:$1000,MATCH(P$1,'Dados-Status-Invest'!$2:$2,0),FALSE())/100,"")</f>
        <v>0.1639</v>
      </c>
      <c r="Q394" s="10" t="n">
        <f aca="false">IFERROR(VLOOKUP(A394,'Dados-Status-Invest'!$1:$1000,MATCH(Q$1,'Dados-Status-Invest'!$2:$2,0),FALSE())/100,"")</f>
        <v>0.0951</v>
      </c>
      <c r="R394" s="12" t="n">
        <f aca="false">IFERROR(VLOOKUP(A394,'Dados-Status-Invest'!$1:$1000,MATCH(R$1,'Dados-Status-Invest'!$2:$2,0),FALSE()),"")</f>
        <v>6.62</v>
      </c>
      <c r="S394" s="12" t="n">
        <f aca="false">IFERROR(VLOOKUP(A394,'Dados-Status-Invest'!$1:$1000,MATCH(S$1,'Dados-Status-Invest'!$2:$2,0),FALSE()),"")</f>
        <v>0.98</v>
      </c>
      <c r="T394" s="12" t="n">
        <f aca="false">IFERROR(VLOOKUP(A394,'Dados-Status-Invest'!$1:$1000,MATCH(T$1,'Dados-Status-Invest'!$2:$2,0),FALSE()),"")</f>
        <v>8.63</v>
      </c>
      <c r="U394" s="12" t="n">
        <f aca="false">IFERROR(VLOOKUP(A394,'Dados-Status-Invest'!$1:$1000,MATCH(U$1,'Dados-Status-Invest'!$2:$2,0),FALSE()),"")</f>
        <v>1.33</v>
      </c>
      <c r="V394" s="12" t="n">
        <f aca="false">IFERROR(VLOOKUP(A394,'Dados-Status-Invest'!$1:$1000,MATCH(V$1,'Dados-Status-Invest'!$2:$2,0),FALSE()),"")</f>
        <v>4.79</v>
      </c>
      <c r="W394" s="10" t="n">
        <f aca="false">IFERROR(VLOOKUP(A394,'Dados-Status-Invest'!$1:$1000,MATCH(W$1,'Dados-Status-Invest'!$2:$2,0),FALSE())/100,"")</f>
        <v>0.1697</v>
      </c>
      <c r="X394" s="10" t="n">
        <f aca="false">IFERROR(VLOOKUP(A394,'Dados-Status-Invest'!$1:$1000,MATCH(X$1,'Dados-Status-Invest'!$2:$2,0),FALSE())/100,"")</f>
        <v>0.5084</v>
      </c>
    </row>
    <row r="395" customFormat="false" ht="15.75" hidden="false" customHeight="false" outlineLevel="0" collapsed="false">
      <c r="A395" s="6" t="s">
        <v>427</v>
      </c>
      <c r="B395" s="7" t="s">
        <v>98</v>
      </c>
      <c r="C395" s="8" t="n">
        <f aca="false">IFERROR(__xludf.dummyfunction("IFERROR(IFERROR(GOOGLEFINANCE(A401,""price""),VLOOKUP(A401,'Dados-Status-Invest'!A:B,2,FALSE)),"""")"),2.31)</f>
        <v>2.31</v>
      </c>
      <c r="D395" s="8" t="n">
        <f aca="false">IFERROR(VLOOKUP(A395,'Dados-Status-Invest'!$1:$1000,MATCH(D$1,'Dados-Status-Invest'!$2:$2,0),FALSE()),"")</f>
        <v>1391401384</v>
      </c>
      <c r="E395" s="8" t="n">
        <f aca="false">IF(D395+H395&gt;0,D395+H395,"")</f>
        <v>1153446317</v>
      </c>
      <c r="F395" s="8" t="n">
        <f aca="false">IFERROR(D395/VLOOKUP(A395,'Dados-Status-Invest'!$1:$1000,5,FALSE()),"")</f>
        <v>462259596</v>
      </c>
      <c r="G395" s="8" t="n">
        <f aca="false">IFERROR(D395/VLOOKUP(A395,'Dados-Status-Invest'!$1:$1000,6,FALSE()),"")</f>
        <v>688812566.3</v>
      </c>
      <c r="H395" s="8" t="n">
        <f aca="false">IFERROR(VLOOKUP(A395,'Dados-Status-Invest'!$1:$1000,12,FALSE())*J395,"")</f>
        <v>-237955067</v>
      </c>
      <c r="I395" s="8" t="n">
        <f aca="false">IFERROR(D395/VLOOKUP(A395,'Dados-Status-Invest'!$1:$1000,14,FALSE()),"")</f>
        <v>219810645.2</v>
      </c>
      <c r="J395" s="9" t="n">
        <f aca="false">IFERROR(D395/VLOOKUP(A395,'Dados-Status-Invest'!$1:$1000,10,FALSE()),"")</f>
        <v>36329017.86</v>
      </c>
      <c r="K395" s="10" t="n">
        <f aca="false">IFERROR(VLOOKUP(A395,'Dados-Status-Invest'!$1:$1000,3,FALSE())/100,"")</f>
        <v>0.0021</v>
      </c>
      <c r="L395" s="11" t="n">
        <f aca="false">IFERROR(VLOOKUP(A395,'Dados-Status-Invest'!$1:$1000,MATCH(L$1,'Dados-Status-Invest'!$2:$2,0),FALSE())/100,"")</f>
        <v>0.0341</v>
      </c>
      <c r="M395" s="10" t="n">
        <f aca="false">IFERROR(VLOOKUP(A395,'Dados-Status-Invest'!$1:$1000,MATCH(M$1,'Dados-Status-Invest'!$2:$2,0),FALSE())/100,"")</f>
        <v>0.0229</v>
      </c>
      <c r="N395" s="10" t="n">
        <f aca="false">IFERROR(VLOOKUP(A395,'Dados-Status-Invest'!$1:$1000,MATCH(N$1,'Dados-Status-Invest'!$2:$2,0),FALSE())/100,"")</f>
        <v>0.0419</v>
      </c>
      <c r="O395" s="10" t="n">
        <f aca="false">IFERROR(VLOOKUP(A395,'Dados-Status-Invest'!$1:$1000,MATCH(O$1,'Dados-Status-Invest'!$2:$2,0),FALSE())/100,"")</f>
        <v>0.6505</v>
      </c>
      <c r="P395" s="10" t="n">
        <f aca="false">IFERROR(VLOOKUP(A395,'Dados-Status-Invest'!$1:$1000,MATCH(P$1,'Dados-Status-Invest'!$2:$2,0),FALSE())/100,"")</f>
        <v>0.1652</v>
      </c>
      <c r="Q395" s="10" t="n">
        <f aca="false">IFERROR(VLOOKUP(A395,'Dados-Status-Invest'!$1:$1000,MATCH(Q$1,'Dados-Status-Invest'!$2:$2,0),FALSE())/100,"")</f>
        <v>0.0716</v>
      </c>
      <c r="R395" s="12" t="n">
        <f aca="false">IFERROR(VLOOKUP(A395,'Dados-Status-Invest'!$1:$1000,MATCH(R$1,'Dados-Status-Invest'!$2:$2,0),FALSE()),"")</f>
        <v>88.32</v>
      </c>
      <c r="S395" s="12" t="n">
        <f aca="false">IFERROR(VLOOKUP(A395,'Dados-Status-Invest'!$1:$1000,MATCH(S$1,'Dados-Status-Invest'!$2:$2,0),FALSE()),"")</f>
        <v>3.01</v>
      </c>
      <c r="T395" s="12" t="n">
        <f aca="false">IFERROR(VLOOKUP(A395,'Dados-Status-Invest'!$1:$1000,MATCH(T$1,'Dados-Status-Invest'!$2:$2,0),FALSE()),"")</f>
        <v>31.68</v>
      </c>
      <c r="U395" s="12" t="n">
        <f aca="false">IFERROR(VLOOKUP(A395,'Dados-Status-Invest'!$1:$1000,MATCH(U$1,'Dados-Status-Invest'!$2:$2,0),FALSE()),"")</f>
        <v>4.63</v>
      </c>
      <c r="V395" s="12" t="n">
        <f aca="false">IFERROR(VLOOKUP(A395,'Dados-Status-Invest'!$1:$1000,MATCH(V$1,'Dados-Status-Invest'!$2:$2,0),FALSE()),"")</f>
        <v>-6.55</v>
      </c>
      <c r="W395" s="10" t="n">
        <f aca="false">IFERROR(VLOOKUP(A395,'Dados-Status-Invest'!$1:$1000,MATCH(W$1,'Dados-Status-Invest'!$2:$2,0),FALSE())/100,"")</f>
        <v>0</v>
      </c>
      <c r="X395" s="10" t="n">
        <f aca="false">IFERROR(VLOOKUP(A395,'Dados-Status-Invest'!$1:$1000,MATCH(X$1,'Dados-Status-Invest'!$2:$2,0),FALSE())/100,"")</f>
        <v>0</v>
      </c>
    </row>
    <row r="396" customFormat="false" ht="15.75" hidden="false" customHeight="false" outlineLevel="0" collapsed="false">
      <c r="A396" s="6" t="s">
        <v>428</v>
      </c>
      <c r="B396" s="7" t="s">
        <v>98</v>
      </c>
      <c r="C396" s="8" t="n">
        <f aca="false">IFERROR(__xludf.dummyfunction("IFERROR(IFERROR(GOOGLEFINANCE(A402,""price""),VLOOKUP(A402,'Dados-Status-Invest'!A:B,2,FALSE)),"""")"),3.63)</f>
        <v>3.63</v>
      </c>
      <c r="D396" s="8" t="n">
        <f aca="false">IFERROR(VLOOKUP(A396,'Dados-Status-Invest'!$1:$1000,MATCH(D$1,'Dados-Status-Invest'!$2:$2,0),FALSE()),"")</f>
        <v>1315884861</v>
      </c>
      <c r="E396" s="8" t="n">
        <f aca="false">IF(D396+H396&gt;0,D396+H396,"")</f>
        <v>1279134208.88</v>
      </c>
      <c r="F396" s="8" t="n">
        <f aca="false">IFERROR(D396/VLOOKUP(A396,'Dados-Status-Invest'!$1:$1000,5,FALSE()),"")</f>
        <v>29378987.73</v>
      </c>
      <c r="G396" s="8" t="n">
        <f aca="false">IFERROR(D396/VLOOKUP(A396,'Dados-Status-Invest'!$1:$1000,6,FALSE()),"")</f>
        <v>48130389.93</v>
      </c>
      <c r="H396" s="8" t="n">
        <f aca="false">IFERROR(VLOOKUP(A396,'Dados-Status-Invest'!$1:$1000,12,FALSE())*J396,"")</f>
        <v>-36750652.12</v>
      </c>
      <c r="I396" s="8" t="n">
        <f aca="false">IFERROR(D396/VLOOKUP(A396,'Dados-Status-Invest'!$1:$1000,14,FALSE()),"")</f>
        <v>26642738.62</v>
      </c>
      <c r="J396" s="9" t="n">
        <f aca="false">IFERROR(D396/VLOOKUP(A396,'Dados-Status-Invest'!$1:$1000,10,FALSE()),"")</f>
        <v>-5287863.615</v>
      </c>
      <c r="K396" s="10" t="n">
        <f aca="false">IFERROR(VLOOKUP(A396,'Dados-Status-Invest'!$1:$1000,3,FALSE())/100,"")</f>
        <v>0</v>
      </c>
      <c r="L396" s="11" t="n">
        <f aca="false">IFERROR(VLOOKUP(A396,'Dados-Status-Invest'!$1:$1000,MATCH(L$1,'Dados-Status-Invest'!$2:$2,0),FALSE())/100,"")</f>
        <v>-0.1843</v>
      </c>
      <c r="M396" s="10" t="n">
        <f aca="false">IFERROR(VLOOKUP(A396,'Dados-Status-Invest'!$1:$1000,MATCH(M$1,'Dados-Status-Invest'!$2:$2,0),FALSE())/100,"")</f>
        <v>-0.1125</v>
      </c>
      <c r="N396" s="10" t="n">
        <f aca="false">IFERROR(VLOOKUP(A396,'Dados-Status-Invest'!$1:$1000,MATCH(N$1,'Dados-Status-Invest'!$2:$2,0),FALSE())/100,"")</f>
        <v>-0.18</v>
      </c>
      <c r="O396" s="10" t="n">
        <f aca="false">IFERROR(VLOOKUP(A396,'Dados-Status-Invest'!$1:$1000,MATCH(O$1,'Dados-Status-Invest'!$2:$2,0),FALSE())/100,"")</f>
        <v>0.9219</v>
      </c>
      <c r="P396" s="10" t="n">
        <f aca="false">IFERROR(VLOOKUP(A396,'Dados-Status-Invest'!$1:$1000,MATCH(P$1,'Dados-Status-Invest'!$2:$2,0),FALSE())/100,"")</f>
        <v>-0.1985</v>
      </c>
      <c r="Q396" s="10" t="n">
        <f aca="false">IFERROR(VLOOKUP(A396,'Dados-Status-Invest'!$1:$1000,MATCH(Q$1,'Dados-Status-Invest'!$2:$2,0),FALSE())/100,"")</f>
        <v>-0.2032</v>
      </c>
      <c r="R396" s="12" t="n">
        <f aca="false">IFERROR(VLOOKUP(A396,'Dados-Status-Invest'!$1:$1000,MATCH(R$1,'Dados-Status-Invest'!$2:$2,0),FALSE()),"")</f>
        <v>-243.09</v>
      </c>
      <c r="S396" s="12" t="n">
        <f aca="false">IFERROR(VLOOKUP(A396,'Dados-Status-Invest'!$1:$1000,MATCH(S$1,'Dados-Status-Invest'!$2:$2,0),FALSE()),"")</f>
        <v>44.79</v>
      </c>
      <c r="T396" s="12" t="n">
        <f aca="false">IFERROR(VLOOKUP(A396,'Dados-Status-Invest'!$1:$1000,MATCH(T$1,'Dados-Status-Invest'!$2:$2,0),FALSE()),"")</f>
        <v>-246.64</v>
      </c>
      <c r="U396" s="12" t="n">
        <f aca="false">IFERROR(VLOOKUP(A396,'Dados-Status-Invest'!$1:$1000,MATCH(U$1,'Dados-Status-Invest'!$2:$2,0),FALSE()),"")</f>
        <v>2.51</v>
      </c>
      <c r="V396" s="12" t="n">
        <f aca="false">IFERROR(VLOOKUP(A396,'Dados-Status-Invest'!$1:$1000,MATCH(V$1,'Dados-Status-Invest'!$2:$2,0),FALSE()),"")</f>
        <v>6.95</v>
      </c>
      <c r="W396" s="10" t="n">
        <f aca="false">IFERROR(VLOOKUP(A396,'Dados-Status-Invest'!$1:$1000,MATCH(W$1,'Dados-Status-Invest'!$2:$2,0),FALSE())/100,"")</f>
        <v>0</v>
      </c>
      <c r="X396" s="10" t="n">
        <f aca="false">IFERROR(VLOOKUP(A396,'Dados-Status-Invest'!$1:$1000,MATCH(X$1,'Dados-Status-Invest'!$2:$2,0),FALSE())/100,"")</f>
        <v>0</v>
      </c>
    </row>
    <row r="397" customFormat="false" ht="15.75" hidden="false" customHeight="false" outlineLevel="0" collapsed="false">
      <c r="A397" s="6" t="s">
        <v>429</v>
      </c>
      <c r="B397" s="7" t="str">
        <f aca="false">IFERROR(VLOOKUP(LEFT(A397,4),Setor!A:D,2,FALSE()),"")</f>
        <v>Bens Industriais</v>
      </c>
      <c r="C397" s="8" t="n">
        <f aca="false">IFERROR(__xludf.dummyfunction("IFERROR(IFERROR(GOOGLEFINANCE(A403,""price""),VLOOKUP(A403,'Dados-Status-Invest'!A:B,2,FALSE)),"""")"),9.36)</f>
        <v>9.36</v>
      </c>
      <c r="D397" s="8" t="n">
        <f aca="false">IFERROR(VLOOKUP(A397,'Dados-Status-Invest'!$1:$1000,MATCH(D$1,'Dados-Status-Invest'!$2:$2,0),FALSE()),"")</f>
        <v>125808234</v>
      </c>
      <c r="E397" s="8" t="n">
        <f aca="false">IF(D397+H397&gt;0,D397+H397,"")</f>
        <v>163069299.57</v>
      </c>
      <c r="F397" s="8" t="n">
        <f aca="false">IFERROR(D397/VLOOKUP(A397,'Dados-Status-Invest'!$1:$1000,5,FALSE()),"")</f>
        <v>-139786926.7</v>
      </c>
      <c r="G397" s="8" t="n">
        <f aca="false">IFERROR(D397/VLOOKUP(A397,'Dados-Status-Invest'!$1:$1000,6,FALSE()),"")</f>
        <v>17305121.6</v>
      </c>
      <c r="H397" s="8" t="n">
        <f aca="false">IFERROR(VLOOKUP(A397,'Dados-Status-Invest'!$1:$1000,12,FALSE())*J397,"")</f>
        <v>37261065.57</v>
      </c>
      <c r="I397" s="8" t="n">
        <f aca="false">IFERROR(D397/VLOOKUP(A397,'Dados-Status-Invest'!$1:$1000,14,FALSE()),"")</f>
        <v>1626900.737</v>
      </c>
      <c r="J397" s="9" t="n">
        <f aca="false">IFERROR(D397/VLOOKUP(A397,'Dados-Status-Invest'!$1:$1000,10,FALSE()),"")</f>
        <v>1737922.835</v>
      </c>
      <c r="K397" s="10" t="n">
        <f aca="false">IFERROR(VLOOKUP(A397,'Dados-Status-Invest'!$1:$1000,3,FALSE())/100,"")</f>
        <v>0</v>
      </c>
      <c r="L397" s="11" t="n">
        <f aca="false">IFERROR(VLOOKUP(A397,'Dados-Status-Invest'!$1:$1000,MATCH(L$1,'Dados-Status-Invest'!$2:$2,0),FALSE())/100,"")</f>
        <v>-0.0063</v>
      </c>
      <c r="M397" s="10" t="n">
        <f aca="false">IFERROR(VLOOKUP(A397,'Dados-Status-Invest'!$1:$1000,MATCH(M$1,'Dados-Status-Invest'!$2:$2,0),FALSE())/100,"")</f>
        <v>-0.051</v>
      </c>
      <c r="N397" s="10" t="n">
        <f aca="false">IFERROR(VLOOKUP(A397,'Dados-Status-Invest'!$1:$1000,MATCH(N$1,'Dados-Status-Invest'!$2:$2,0),FALSE())/100,"")</f>
        <v>-0.0169</v>
      </c>
      <c r="O397" s="10" t="n">
        <f aca="false">IFERROR(VLOOKUP(A397,'Dados-Status-Invest'!$1:$1000,MATCH(O$1,'Dados-Status-Invest'!$2:$2,0),FALSE())/100,"")</f>
        <v>0.9078</v>
      </c>
      <c r="P397" s="10" t="n">
        <f aca="false">IFERROR(VLOOKUP(A397,'Dados-Status-Invest'!$1:$1000,MATCH(P$1,'Dados-Status-Invest'!$2:$2,0),FALSE())/100,"")</f>
        <v>1.0682</v>
      </c>
      <c r="Q397" s="10" t="n">
        <f aca="false">IFERROR(VLOOKUP(A397,'Dados-Status-Invest'!$1:$1000,MATCH(Q$1,'Dados-Status-Invest'!$2:$2,0),FALSE())/100,"")</f>
        <v>-0.5427</v>
      </c>
      <c r="R397" s="12" t="n">
        <f aca="false">IFERROR(VLOOKUP(A397,'Dados-Status-Invest'!$1:$1000,MATCH(R$1,'Dados-Status-Invest'!$2:$2,0),FALSE()),"")</f>
        <v>-142.48</v>
      </c>
      <c r="S397" s="12" t="n">
        <f aca="false">IFERROR(VLOOKUP(A397,'Dados-Status-Invest'!$1:$1000,MATCH(S$1,'Dados-Status-Invest'!$2:$2,0),FALSE()),"")</f>
        <v>-0.9</v>
      </c>
      <c r="T397" s="12" t="n">
        <f aca="false">IFERROR(VLOOKUP(A397,'Dados-Status-Invest'!$1:$1000,MATCH(T$1,'Dados-Status-Invest'!$2:$2,0),FALSE()),"")</f>
        <v>93.83</v>
      </c>
      <c r="U397" s="12" t="n">
        <f aca="false">IFERROR(VLOOKUP(A397,'Dados-Status-Invest'!$1:$1000,MATCH(U$1,'Dados-Status-Invest'!$2:$2,0),FALSE()),"")</f>
        <v>0.03</v>
      </c>
      <c r="V397" s="12" t="n">
        <f aca="false">IFERROR(VLOOKUP(A397,'Dados-Status-Invest'!$1:$1000,MATCH(V$1,'Dados-Status-Invest'!$2:$2,0),FALSE()),"")</f>
        <v>21.44</v>
      </c>
      <c r="W397" s="10" t="n">
        <f aca="false">IFERROR(VLOOKUP(A397,'Dados-Status-Invest'!$1:$1000,MATCH(W$1,'Dados-Status-Invest'!$2:$2,0),FALSE())/100,"")</f>
        <v>0</v>
      </c>
      <c r="X397" s="10" t="n">
        <f aca="false">IFERROR(VLOOKUP(A397,'Dados-Status-Invest'!$1:$1000,MATCH(X$1,'Dados-Status-Invest'!$2:$2,0),FALSE())/100,"")</f>
        <v>0</v>
      </c>
    </row>
    <row r="398" customFormat="false" ht="15.75" hidden="false" customHeight="false" outlineLevel="0" collapsed="false">
      <c r="A398" s="6" t="s">
        <v>430</v>
      </c>
      <c r="B398" s="7" t="str">
        <f aca="false">IFERROR(VLOOKUP(LEFT(A398,4),Setor!A:D,2,FALSE()),"")</f>
        <v>Saúde</v>
      </c>
      <c r="C398" s="8" t="n">
        <f aca="false">IFERROR(__xludf.dummyfunction("IFERROR(IFERROR(GOOGLEFINANCE(A404,""price""),VLOOKUP(A404,'Dados-Status-Invest'!A:B,2,FALSE)),"""")"),0)</f>
        <v>0</v>
      </c>
      <c r="D398" s="8" t="n">
        <f aca="false">IFERROR(VLOOKUP(A398,'Dados-Status-Invest'!$1:$1000,MATCH(D$1,'Dados-Status-Invest'!$2:$2,0),FALSE()),"")</f>
        <v>0</v>
      </c>
      <c r="E398" s="8" t="str">
        <f aca="false">IF(D398+H398&gt;0,D398+H398,"")</f>
        <v/>
      </c>
      <c r="F398" s="8" t="str">
        <f aca="false">IFERROR(D398/VLOOKUP(A398,'Dados-Status-Invest'!$1:$1000,5,FALSE()),"")</f>
        <v/>
      </c>
      <c r="G398" s="8" t="str">
        <f aca="false">IFERROR(D398/VLOOKUP(A398,'Dados-Status-Invest'!$1:$1000,6,FALSE()),"")</f>
        <v/>
      </c>
      <c r="H398" s="8" t="n">
        <f aca="false">IFERROR(VLOOKUP(A398,'Dados-Status-Invest'!$1:$1000,12,FALSE())*J398,"")</f>
        <v>0</v>
      </c>
      <c r="I398" s="8" t="str">
        <f aca="false">IFERROR(D398/VLOOKUP(A398,'Dados-Status-Invest'!$1:$1000,14,FALSE()),"")</f>
        <v/>
      </c>
      <c r="J398" s="9" t="str">
        <f aca="false">IFERROR(D398/VLOOKUP(A398,'Dados-Status-Invest'!$1:$1000,10,FALSE()),"")</f>
        <v/>
      </c>
      <c r="K398" s="10" t="n">
        <f aca="false">IFERROR(VLOOKUP(A398,'Dados-Status-Invest'!$1:$1000,3,FALSE())/100,"")</f>
        <v>0</v>
      </c>
      <c r="L398" s="11" t="n">
        <f aca="false">IFERROR(VLOOKUP(A398,'Dados-Status-Invest'!$1:$1000,MATCH(L$1,'Dados-Status-Invest'!$2:$2,0),FALSE())/100,"")</f>
        <v>0.2075</v>
      </c>
      <c r="M398" s="10" t="n">
        <f aca="false">IFERROR(VLOOKUP(A398,'Dados-Status-Invest'!$1:$1000,MATCH(M$1,'Dados-Status-Invest'!$2:$2,0),FALSE())/100,"")</f>
        <v>0.1356</v>
      </c>
      <c r="N398" s="10" t="n">
        <f aca="false">IFERROR(VLOOKUP(A398,'Dados-Status-Invest'!$1:$1000,MATCH(N$1,'Dados-Status-Invest'!$2:$2,0),FALSE())/100,"")</f>
        <v>0.215</v>
      </c>
      <c r="O398" s="10" t="n">
        <f aca="false">IFERROR(VLOOKUP(A398,'Dados-Status-Invest'!$1:$1000,MATCH(O$1,'Dados-Status-Invest'!$2:$2,0),FALSE())/100,"")</f>
        <v>0.3292</v>
      </c>
      <c r="P398" s="10" t="n">
        <f aca="false">IFERROR(VLOOKUP(A398,'Dados-Status-Invest'!$1:$1000,MATCH(P$1,'Dados-Status-Invest'!$2:$2,0),FALSE())/100,"")</f>
        <v>0.22</v>
      </c>
      <c r="Q398" s="10" t="n">
        <f aca="false">IFERROR(VLOOKUP(A398,'Dados-Status-Invest'!$1:$1000,MATCH(Q$1,'Dados-Status-Invest'!$2:$2,0),FALSE())/100,"")</f>
        <v>0.1448</v>
      </c>
      <c r="R398" s="12" t="n">
        <f aca="false">IFERROR(VLOOKUP(A398,'Dados-Status-Invest'!$1:$1000,MATCH(R$1,'Dados-Status-Invest'!$2:$2,0),FALSE()),"")</f>
        <v>0</v>
      </c>
      <c r="S398" s="12" t="n">
        <f aca="false">IFERROR(VLOOKUP(A398,'Dados-Status-Invest'!$1:$1000,MATCH(S$1,'Dados-Status-Invest'!$2:$2,0),FALSE()),"")</f>
        <v>0</v>
      </c>
      <c r="T398" s="12" t="n">
        <f aca="false">IFERROR(VLOOKUP(A398,'Dados-Status-Invest'!$1:$1000,MATCH(T$1,'Dados-Status-Invest'!$2:$2,0),FALSE()),"")</f>
        <v>-0.4</v>
      </c>
      <c r="U398" s="12" t="n">
        <f aca="false">IFERROR(VLOOKUP(A398,'Dados-Status-Invest'!$1:$1000,MATCH(U$1,'Dados-Status-Invest'!$2:$2,0),FALSE()),"")</f>
        <v>2.65</v>
      </c>
      <c r="V398" s="12" t="n">
        <f aca="false">IFERROR(VLOOKUP(A398,'Dados-Status-Invest'!$1:$1000,MATCH(V$1,'Dados-Status-Invest'!$2:$2,0),FALSE()),"")</f>
        <v>-0.4</v>
      </c>
      <c r="W398" s="10" t="n">
        <f aca="false">IFERROR(VLOOKUP(A398,'Dados-Status-Invest'!$1:$1000,MATCH(W$1,'Dados-Status-Invest'!$2:$2,0),FALSE())/100,"")</f>
        <v>0.0955</v>
      </c>
      <c r="X398" s="10" t="n">
        <f aca="false">IFERROR(VLOOKUP(A398,'Dados-Status-Invest'!$1:$1000,MATCH(X$1,'Dados-Status-Invest'!$2:$2,0),FALSE())/100,"")</f>
        <v>0.0653</v>
      </c>
    </row>
    <row r="399" customFormat="false" ht="15.75" hidden="false" customHeight="false" outlineLevel="0" collapsed="false">
      <c r="A399" s="6" t="s">
        <v>431</v>
      </c>
      <c r="B399" s="7" t="str">
        <f aca="false">IFERROR(VLOOKUP(LEFT(A399,4),Setor!A:D,2,FALSE()),"")</f>
        <v>Consumo não Cíclico</v>
      </c>
      <c r="C399" s="8" t="n">
        <f aca="false">IFERROR(__xludf.dummyfunction("IFERROR(IFERROR(GOOGLEFINANCE(A405,""price""),VLOOKUP(A405,'Dados-Status-Invest'!A:B,2,FALSE)),"""")"),16.41)</f>
        <v>16.41</v>
      </c>
      <c r="D399" s="8" t="n">
        <f aca="false">IFERROR(VLOOKUP(A399,'Dados-Status-Invest'!$1:$1000,MATCH(D$1,'Dados-Status-Invest'!$2:$2,0),FALSE()),"")</f>
        <v>77464350516</v>
      </c>
      <c r="E399" s="8" t="n">
        <f aca="false">IF(D399+H399&gt;0,D399+H399,"")</f>
        <v>84893413711</v>
      </c>
      <c r="F399" s="8" t="n">
        <f aca="false">IFERROR(D399/VLOOKUP(A399,'Dados-Status-Invest'!$1:$1000,5,FALSE()),"")</f>
        <v>28690500191</v>
      </c>
      <c r="G399" s="8" t="n">
        <f aca="false">IFERROR(D399/VLOOKUP(A399,'Dados-Status-Invest'!$1:$1000,6,FALSE()),"")</f>
        <v>61971480413</v>
      </c>
      <c r="H399" s="8" t="n">
        <f aca="false">IFERROR(VLOOKUP(A399,'Dados-Status-Invest'!$1:$1000,12,FALSE())*J399,"")</f>
        <v>7429063195</v>
      </c>
      <c r="I399" s="8" t="n">
        <f aca="false">IFERROR(D399/VLOOKUP(A399,'Dados-Status-Invest'!$1:$1000,14,FALSE()),"")</f>
        <v>38732175258</v>
      </c>
      <c r="J399" s="9" t="n">
        <f aca="false">IFERROR(D399/VLOOKUP(A399,'Dados-Status-Invest'!$1:$1000,10,FALSE()),"")</f>
        <v>1423192183</v>
      </c>
      <c r="K399" s="10" t="n">
        <f aca="false">IFERROR(VLOOKUP(A399,'Dados-Status-Invest'!$1:$1000,3,FALSE())/100,"")</f>
        <v>0</v>
      </c>
      <c r="L399" s="11" t="n">
        <f aca="false">IFERROR(VLOOKUP(A399,'Dados-Status-Invest'!$1:$1000,MATCH(L$1,'Dados-Status-Invest'!$2:$2,0),FALSE())/100,"")</f>
        <v>0.0005</v>
      </c>
      <c r="M399" s="10" t="n">
        <f aca="false">IFERROR(VLOOKUP(A399,'Dados-Status-Invest'!$1:$1000,MATCH(M$1,'Dados-Status-Invest'!$2:$2,0),FALSE())/100,"")</f>
        <v>0.0002</v>
      </c>
      <c r="N399" s="10" t="n">
        <f aca="false">IFERROR(VLOOKUP(A399,'Dados-Status-Invest'!$1:$1000,MATCH(N$1,'Dados-Status-Invest'!$2:$2,0),FALSE())/100,"")</f>
        <v>0.027</v>
      </c>
      <c r="O399" s="10" t="n">
        <f aca="false">IFERROR(VLOOKUP(A399,'Dados-Status-Invest'!$1:$1000,MATCH(O$1,'Dados-Status-Invest'!$2:$2,0),FALSE())/100,"")</f>
        <v>0.6481</v>
      </c>
      <c r="P399" s="10" t="n">
        <f aca="false">IFERROR(VLOOKUP(A399,'Dados-Status-Invest'!$1:$1000,MATCH(P$1,'Dados-Status-Invest'!$2:$2,0),FALSE())/100,"")</f>
        <v>0.0367</v>
      </c>
      <c r="Q399" s="10" t="n">
        <f aca="false">IFERROR(VLOOKUP(A399,'Dados-Status-Invest'!$1:$1000,MATCH(Q$1,'Dados-Status-Invest'!$2:$2,0),FALSE())/100,"")</f>
        <v>0.0004</v>
      </c>
      <c r="R399" s="12" t="n">
        <f aca="false">IFERROR(VLOOKUP(A399,'Dados-Status-Invest'!$1:$1000,MATCH(R$1,'Dados-Status-Invest'!$2:$2,0),FALSE()),"")</f>
        <v>5025.97</v>
      </c>
      <c r="S399" s="12" t="n">
        <f aca="false">IFERROR(VLOOKUP(A399,'Dados-Status-Invest'!$1:$1000,MATCH(S$1,'Dados-Status-Invest'!$2:$2,0),FALSE()),"")</f>
        <v>2.7</v>
      </c>
      <c r="T399" s="12" t="n">
        <f aca="false">IFERROR(VLOOKUP(A399,'Dados-Status-Invest'!$1:$1000,MATCH(T$1,'Dados-Status-Invest'!$2:$2,0),FALSE()),"")</f>
        <v>59.59</v>
      </c>
      <c r="U399" s="12" t="n">
        <f aca="false">IFERROR(VLOOKUP(A399,'Dados-Status-Invest'!$1:$1000,MATCH(U$1,'Dados-Status-Invest'!$2:$2,0),FALSE()),"")</f>
        <v>1.18</v>
      </c>
      <c r="V399" s="12" t="n">
        <f aca="false">IFERROR(VLOOKUP(A399,'Dados-Status-Invest'!$1:$1000,MATCH(V$1,'Dados-Status-Invest'!$2:$2,0),FALSE()),"")</f>
        <v>5.22</v>
      </c>
      <c r="W399" s="10" t="n">
        <f aca="false">IFERROR(VLOOKUP(A399,'Dados-Status-Invest'!$1:$1000,MATCH(W$1,'Dados-Status-Invest'!$2:$2,0),FALSE())/100,"")</f>
        <v>0.3613</v>
      </c>
      <c r="X399" s="10" t="n">
        <f aca="false">IFERROR(VLOOKUP(A399,'Dados-Status-Invest'!$1:$1000,MATCH(X$1,'Dados-Status-Invest'!$2:$2,0),FALSE())/100,"")</f>
        <v>0</v>
      </c>
    </row>
    <row r="400" customFormat="false" ht="15.75" hidden="false" customHeight="false" outlineLevel="0" collapsed="false">
      <c r="A400" s="6" t="s">
        <v>432</v>
      </c>
      <c r="B400" s="7" t="str">
        <f aca="false">IFERROR(VLOOKUP(LEFT(A400,4),Setor!A:D,2,FALSE()),"")</f>
        <v>Materiais Básicos</v>
      </c>
      <c r="C400" s="8" t="n">
        <f aca="false">IFERROR(__xludf.dummyfunction("IFERROR(IFERROR(GOOGLEFINANCE(A406,""price""),VLOOKUP(A406,'Dados-Status-Invest'!A:B,2,FALSE)),"""")"),250)</f>
        <v>250</v>
      </c>
      <c r="D400" s="8" t="n">
        <f aca="false">IFERROR(VLOOKUP(A400,'Dados-Status-Invest'!$1:$1000,MATCH(D$1,'Dados-Status-Invest'!$2:$2,0),FALSE()),"")</f>
        <v>33265440</v>
      </c>
      <c r="E400" s="8" t="n">
        <f aca="false">IF(D400+H400&gt;0,D400+H400,"")</f>
        <v>41207707.682</v>
      </c>
      <c r="F400" s="8" t="n">
        <f aca="false">IFERROR(D400/VLOOKUP(A400,'Dados-Status-Invest'!$1:$1000,5,FALSE()),"")</f>
        <v>16716301.51</v>
      </c>
      <c r="G400" s="8" t="n">
        <f aca="false">IFERROR(D400/VLOOKUP(A400,'Dados-Status-Invest'!$1:$1000,6,FALSE()),"")</f>
        <v>69303000</v>
      </c>
      <c r="H400" s="8" t="n">
        <f aca="false">IFERROR(VLOOKUP(A400,'Dados-Status-Invest'!$1:$1000,12,FALSE())*J400,"")</f>
        <v>7942267.682</v>
      </c>
      <c r="I400" s="8" t="n">
        <f aca="false">IFERROR(D400/VLOOKUP(A400,'Dados-Status-Invest'!$1:$1000,14,FALSE()),"")</f>
        <v>85296000</v>
      </c>
      <c r="J400" s="9" t="n">
        <f aca="false">IFERROR(D400/VLOOKUP(A400,'Dados-Status-Invest'!$1:$1000,10,FALSE()),"")</f>
        <v>5755266.436</v>
      </c>
      <c r="K400" s="10" t="n">
        <f aca="false">IFERROR(VLOOKUP(A400,'Dados-Status-Invest'!$1:$1000,3,FALSE())/100,"")</f>
        <v>0</v>
      </c>
      <c r="L400" s="11" t="n">
        <f aca="false">IFERROR(VLOOKUP(A400,'Dados-Status-Invest'!$1:$1000,MATCH(L$1,'Dados-Status-Invest'!$2:$2,0),FALSE())/100,"")</f>
        <v>0.1834</v>
      </c>
      <c r="M400" s="10" t="n">
        <f aca="false">IFERROR(VLOOKUP(A400,'Dados-Status-Invest'!$1:$1000,MATCH(M$1,'Dados-Status-Invest'!$2:$2,0),FALSE())/100,"")</f>
        <v>0.0437</v>
      </c>
      <c r="N400" s="10" t="n">
        <f aca="false">IFERROR(VLOOKUP(A400,'Dados-Status-Invest'!$1:$1000,MATCH(N$1,'Dados-Status-Invest'!$2:$2,0),FALSE())/100,"")</f>
        <v>0.196</v>
      </c>
      <c r="O400" s="10" t="n">
        <f aca="false">IFERROR(VLOOKUP(A400,'Dados-Status-Invest'!$1:$1000,MATCH(O$1,'Dados-Status-Invest'!$2:$2,0),FALSE())/100,"")</f>
        <v>0.1763</v>
      </c>
      <c r="P400" s="10" t="n">
        <f aca="false">IFERROR(VLOOKUP(A400,'Dados-Status-Invest'!$1:$1000,MATCH(P$1,'Dados-Status-Invest'!$2:$2,0),FALSE())/100,"")</f>
        <v>0.0676</v>
      </c>
      <c r="Q400" s="10" t="n">
        <f aca="false">IFERROR(VLOOKUP(A400,'Dados-Status-Invest'!$1:$1000,MATCH(Q$1,'Dados-Status-Invest'!$2:$2,0),FALSE())/100,"")</f>
        <v>0.0359</v>
      </c>
      <c r="R400" s="12" t="n">
        <f aca="false">IFERROR(VLOOKUP(A400,'Dados-Status-Invest'!$1:$1000,MATCH(R$1,'Dados-Status-Invest'!$2:$2,0),FALSE()),"")</f>
        <v>10.87</v>
      </c>
      <c r="S400" s="12" t="n">
        <f aca="false">IFERROR(VLOOKUP(A400,'Dados-Status-Invest'!$1:$1000,MATCH(S$1,'Dados-Status-Invest'!$2:$2,0),FALSE()),"")</f>
        <v>1.99</v>
      </c>
      <c r="T400" s="12" t="n">
        <f aca="false">IFERROR(VLOOKUP(A400,'Dados-Status-Invest'!$1:$1000,MATCH(T$1,'Dados-Status-Invest'!$2:$2,0),FALSE()),"")</f>
        <v>7.16</v>
      </c>
      <c r="U400" s="12" t="n">
        <f aca="false">IFERROR(VLOOKUP(A400,'Dados-Status-Invest'!$1:$1000,MATCH(U$1,'Dados-Status-Invest'!$2:$2,0),FALSE()),"")</f>
        <v>2.31</v>
      </c>
      <c r="V400" s="12" t="n">
        <f aca="false">IFERROR(VLOOKUP(A400,'Dados-Status-Invest'!$1:$1000,MATCH(V$1,'Dados-Status-Invest'!$2:$2,0),FALSE()),"")</f>
        <v>1.38</v>
      </c>
      <c r="W400" s="10" t="n">
        <f aca="false">IFERROR(VLOOKUP(A400,'Dados-Status-Invest'!$1:$1000,MATCH(W$1,'Dados-Status-Invest'!$2:$2,0),FALSE())/100,"")</f>
        <v>0.1661</v>
      </c>
      <c r="X400" s="10" t="n">
        <f aca="false">IFERROR(VLOOKUP(A400,'Dados-Status-Invest'!$1:$1000,MATCH(X$1,'Dados-Status-Invest'!$2:$2,0),FALSE())/100,"")</f>
        <v>0</v>
      </c>
    </row>
    <row r="401" customFormat="false" ht="15.75" hidden="false" customHeight="false" outlineLevel="0" collapsed="false">
      <c r="A401" s="6" t="s">
        <v>433</v>
      </c>
      <c r="B401" s="7" t="str">
        <f aca="false">IFERROR(VLOOKUP(LEFT(A401,4),Setor!A:D,2,FALSE()),"")</f>
        <v>Consumo não Cíclico</v>
      </c>
      <c r="C401" s="8" t="n">
        <f aca="false">IFERROR(__xludf.dummyfunction("IFERROR(IFERROR(GOOGLEFINANCE(A407,""price""),VLOOKUP(A407,'Dados-Status-Invest'!A:B,2,FALSE)),"""")"),190)</f>
        <v>190</v>
      </c>
      <c r="D401" s="8" t="n">
        <f aca="false">IFERROR(VLOOKUP(A401,'Dados-Status-Invest'!$1:$1000,MATCH(D$1,'Dados-Status-Invest'!$2:$2,0),FALSE()),"")</f>
        <v>18059369.6</v>
      </c>
      <c r="E401" s="8" t="n">
        <f aca="false">IF(D401+H401&gt;0,D401+H401,"")</f>
        <v>102336427.73</v>
      </c>
      <c r="F401" s="8" t="n">
        <f aca="false">IFERROR(D401/VLOOKUP(A401,'Dados-Status-Invest'!$1:$1000,5,FALSE()),"")</f>
        <v>300989493.3</v>
      </c>
      <c r="G401" s="8" t="n">
        <f aca="false">IFERROR(D401/VLOOKUP(A401,'Dados-Status-Invest'!$1:$1000,6,FALSE()),"")</f>
        <v>601978986.7</v>
      </c>
      <c r="H401" s="8" t="n">
        <f aca="false">IFERROR(VLOOKUP(A401,'Dados-Status-Invest'!$1:$1000,12,FALSE())*J401,"")</f>
        <v>84277058.13</v>
      </c>
      <c r="I401" s="8" t="n">
        <f aca="false">IFERROR(D401/VLOOKUP(A401,'Dados-Status-Invest'!$1:$1000,14,FALSE()),"")</f>
        <v>601978986.7</v>
      </c>
      <c r="J401" s="9" t="n">
        <f aca="false">IFERROR(D401/VLOOKUP(A401,'Dados-Status-Invest'!$1:$1000,10,FALSE()),"")</f>
        <v>150494746.7</v>
      </c>
      <c r="K401" s="10" t="n">
        <f aca="false">IFERROR(VLOOKUP(A401,'Dados-Status-Invest'!$1:$1000,3,FALSE())/100,"")</f>
        <v>0.1601</v>
      </c>
      <c r="L401" s="11" t="n">
        <f aca="false">IFERROR(VLOOKUP(A401,'Dados-Status-Invest'!$1:$1000,MATCH(L$1,'Dados-Status-Invest'!$2:$2,0),FALSE())/100,"")</f>
        <v>0.4276</v>
      </c>
      <c r="M401" s="10" t="n">
        <f aca="false">IFERROR(VLOOKUP(A401,'Dados-Status-Invest'!$1:$1000,MATCH(M$1,'Dados-Status-Invest'!$2:$2,0),FALSE())/100,"")</f>
        <v>0.2098</v>
      </c>
      <c r="N401" s="10" t="n">
        <f aca="false">IFERROR(VLOOKUP(A401,'Dados-Status-Invest'!$1:$1000,MATCH(N$1,'Dados-Status-Invest'!$2:$2,0),FALSE())/100,"")</f>
        <v>0.2245</v>
      </c>
      <c r="O401" s="10" t="n">
        <f aca="false">IFERROR(VLOOKUP(A401,'Dados-Status-Invest'!$1:$1000,MATCH(O$1,'Dados-Status-Invest'!$2:$2,0),FALSE())/100,"")</f>
        <v>0.3442</v>
      </c>
      <c r="P401" s="10" t="n">
        <f aca="false">IFERROR(VLOOKUP(A401,'Dados-Status-Invest'!$1:$1000,MATCH(P$1,'Dados-Status-Invest'!$2:$2,0),FALSE())/100,"")</f>
        <v>0.2497</v>
      </c>
      <c r="Q401" s="10" t="n">
        <f aca="false">IFERROR(VLOOKUP(A401,'Dados-Status-Invest'!$1:$1000,MATCH(Q$1,'Dados-Status-Invest'!$2:$2,0),FALSE())/100,"")</f>
        <v>0.2084</v>
      </c>
      <c r="R401" s="12" t="n">
        <f aca="false">IFERROR(VLOOKUP(A401,'Dados-Status-Invest'!$1:$1000,MATCH(R$1,'Dados-Status-Invest'!$2:$2,0),FALSE()),"")</f>
        <v>0.14</v>
      </c>
      <c r="S401" s="12" t="n">
        <f aca="false">IFERROR(VLOOKUP(A401,'Dados-Status-Invest'!$1:$1000,MATCH(S$1,'Dados-Status-Invest'!$2:$2,0),FALSE()),"")</f>
        <v>0.06</v>
      </c>
      <c r="T401" s="12" t="n">
        <f aca="false">IFERROR(VLOOKUP(A401,'Dados-Status-Invest'!$1:$1000,MATCH(T$1,'Dados-Status-Invest'!$2:$2,0),FALSE()),"")</f>
        <v>0.68</v>
      </c>
      <c r="U401" s="12" t="n">
        <f aca="false">IFERROR(VLOOKUP(A401,'Dados-Status-Invest'!$1:$1000,MATCH(U$1,'Dados-Status-Invest'!$2:$2,0),FALSE()),"")</f>
        <v>1.89</v>
      </c>
      <c r="V401" s="12" t="n">
        <f aca="false">IFERROR(VLOOKUP(A401,'Dados-Status-Invest'!$1:$1000,MATCH(V$1,'Dados-Status-Invest'!$2:$2,0),FALSE()),"")</f>
        <v>0.56</v>
      </c>
      <c r="W401" s="10" t="n">
        <f aca="false">IFERROR(VLOOKUP(A401,'Dados-Status-Invest'!$1:$1000,MATCH(W$1,'Dados-Status-Invest'!$2:$2,0),FALSE())/100,"")</f>
        <v>0.0836</v>
      </c>
      <c r="X401" s="10" t="n">
        <f aca="false">IFERROR(VLOOKUP(A401,'Dados-Status-Invest'!$1:$1000,MATCH(X$1,'Dados-Status-Invest'!$2:$2,0),FALSE())/100,"")</f>
        <v>0</v>
      </c>
    </row>
    <row r="402" customFormat="false" ht="15.75" hidden="false" customHeight="false" outlineLevel="0" collapsed="false">
      <c r="A402" s="6" t="s">
        <v>434</v>
      </c>
      <c r="B402" s="7" t="str">
        <f aca="false">IFERROR(VLOOKUP(LEFT(A402,4),Setor!A:D,2,FALSE()),"")</f>
        <v>Saúde</v>
      </c>
      <c r="C402" s="8" t="n">
        <f aca="false">IFERROR(__xludf.dummyfunction("IFERROR(IFERROR(GOOGLEFINANCE(A408,""price""),VLOOKUP(A408,'Dados-Status-Invest'!A:B,2,FALSE)),"""")"),9.66)</f>
        <v>9.66</v>
      </c>
      <c r="D402" s="8" t="n">
        <f aca="false">IFERROR(VLOOKUP(A402,'Dados-Status-Invest'!$1:$1000,MATCH(D$1,'Dados-Status-Invest'!$2:$2,0),FALSE()),"")</f>
        <v>6859015765</v>
      </c>
      <c r="E402" s="8" t="n">
        <f aca="false">IF(D402+H402&gt;0,D402+H402,"")</f>
        <v>6012920070.3</v>
      </c>
      <c r="F402" s="8" t="n">
        <f aca="false">IFERROR(D402/VLOOKUP(A402,'Dados-Status-Invest'!$1:$1000,5,FALSE()),"")</f>
        <v>1291716717</v>
      </c>
      <c r="G402" s="8" t="n">
        <f aca="false">IFERROR(D402/VLOOKUP(A402,'Dados-Status-Invest'!$1:$1000,6,FALSE()),"")</f>
        <v>2029294605</v>
      </c>
      <c r="H402" s="8" t="n">
        <f aca="false">IFERROR(VLOOKUP(A402,'Dados-Status-Invest'!$1:$1000,12,FALSE())*J402,"")</f>
        <v>-846095694.7</v>
      </c>
      <c r="I402" s="8" t="n">
        <f aca="false">IFERROR(D402/VLOOKUP(A402,'Dados-Status-Invest'!$1:$1000,14,FALSE()),"")</f>
        <v>1758721991</v>
      </c>
      <c r="J402" s="9" t="n">
        <f aca="false">IFERROR(D402/VLOOKUP(A402,'Dados-Status-Invest'!$1:$1000,10,FALSE()),"")</f>
        <v>564063796.4</v>
      </c>
      <c r="K402" s="10" t="n">
        <f aca="false">IFERROR(VLOOKUP(A402,'Dados-Status-Invest'!$1:$1000,3,FALSE())/100,"")</f>
        <v>0.0591</v>
      </c>
      <c r="L402" s="11" t="n">
        <f aca="false">IFERROR(VLOOKUP(A402,'Dados-Status-Invest'!$1:$1000,MATCH(L$1,'Dados-Status-Invest'!$2:$2,0),FALSE())/100,"")</f>
        <v>0.3046</v>
      </c>
      <c r="M402" s="10" t="n">
        <f aca="false">IFERROR(VLOOKUP(A402,'Dados-Status-Invest'!$1:$1000,MATCH(M$1,'Dados-Status-Invest'!$2:$2,0),FALSE())/100,"")</f>
        <v>0.1942</v>
      </c>
      <c r="N402" s="10" t="n">
        <f aca="false">IFERROR(VLOOKUP(A402,'Dados-Status-Invest'!$1:$1000,MATCH(N$1,'Dados-Status-Invest'!$2:$2,0),FALSE())/100,"")</f>
        <v>0.2987</v>
      </c>
      <c r="O402" s="10" t="n">
        <f aca="false">IFERROR(VLOOKUP(A402,'Dados-Status-Invest'!$1:$1000,MATCH(O$1,'Dados-Status-Invest'!$2:$2,0),FALSE())/100,"")</f>
        <v>0.6188</v>
      </c>
      <c r="P402" s="10" t="n">
        <f aca="false">IFERROR(VLOOKUP(A402,'Dados-Status-Invest'!$1:$1000,MATCH(P$1,'Dados-Status-Invest'!$2:$2,0),FALSE())/100,"")</f>
        <v>0.3209</v>
      </c>
      <c r="Q402" s="10" t="n">
        <f aca="false">IFERROR(VLOOKUP(A402,'Dados-Status-Invest'!$1:$1000,MATCH(Q$1,'Dados-Status-Invest'!$2:$2,0),FALSE())/100,"")</f>
        <v>0.224</v>
      </c>
      <c r="R402" s="12" t="n">
        <f aca="false">IFERROR(VLOOKUP(A402,'Dados-Status-Invest'!$1:$1000,MATCH(R$1,'Dados-Status-Invest'!$2:$2,0),FALSE()),"")</f>
        <v>17.42</v>
      </c>
      <c r="S402" s="12" t="n">
        <f aca="false">IFERROR(VLOOKUP(A402,'Dados-Status-Invest'!$1:$1000,MATCH(S$1,'Dados-Status-Invest'!$2:$2,0),FALSE()),"")</f>
        <v>5.31</v>
      </c>
      <c r="T402" s="12" t="n">
        <f aca="false">IFERROR(VLOOKUP(A402,'Dados-Status-Invest'!$1:$1000,MATCH(T$1,'Dados-Status-Invest'!$2:$2,0),FALSE()),"")</f>
        <v>10.63</v>
      </c>
      <c r="U402" s="12" t="n">
        <f aca="false">IFERROR(VLOOKUP(A402,'Dados-Status-Invest'!$1:$1000,MATCH(U$1,'Dados-Status-Invest'!$2:$2,0),FALSE()),"")</f>
        <v>1.99</v>
      </c>
      <c r="V402" s="12" t="n">
        <f aca="false">IFERROR(VLOOKUP(A402,'Dados-Status-Invest'!$1:$1000,MATCH(V$1,'Dados-Status-Invest'!$2:$2,0),FALSE()),"")</f>
        <v>-1.5</v>
      </c>
      <c r="W402" s="10" t="n">
        <f aca="false">IFERROR(VLOOKUP(A402,'Dados-Status-Invest'!$1:$1000,MATCH(W$1,'Dados-Status-Invest'!$2:$2,0),FALSE())/100,"")</f>
        <v>0.0715</v>
      </c>
      <c r="X402" s="10" t="n">
        <f aca="false">IFERROR(VLOOKUP(A402,'Dados-Status-Invest'!$1:$1000,MATCH(X$1,'Dados-Status-Invest'!$2:$2,0),FALSE())/100,"")</f>
        <v>0.1022</v>
      </c>
    </row>
    <row r="403" customFormat="false" ht="15.75" hidden="false" customHeight="false" outlineLevel="0" collapsed="false">
      <c r="A403" s="6" t="s">
        <v>435</v>
      </c>
      <c r="B403" s="7" t="str">
        <f aca="false">IFERROR(VLOOKUP(LEFT(A403,4),Setor!A:D,2,FALSE()),"")</f>
        <v>Saúde</v>
      </c>
      <c r="C403" s="8" t="n">
        <f aca="false">IFERROR(__xludf.dummyfunction("IFERROR(IFERROR(GOOGLEFINANCE(A409,""price""),VLOOKUP(A409,'Dados-Status-Invest'!A:B,2,FALSE)),"""")"),22.12)</f>
        <v>22.12</v>
      </c>
      <c r="D403" s="8" t="n">
        <f aca="false">IFERROR(VLOOKUP(A403,'Dados-Status-Invest'!$1:$1000,MATCH(D$1,'Dados-Status-Invest'!$2:$2,0),FALSE()),"")</f>
        <v>1828331813</v>
      </c>
      <c r="E403" s="8" t="n">
        <f aca="false">IF(D403+H403&gt;0,D403+H403,"")</f>
        <v>1979890897.5</v>
      </c>
      <c r="F403" s="8" t="n">
        <f aca="false">IFERROR(D403/VLOOKUP(A403,'Dados-Status-Invest'!$1:$1000,5,FALSE()),"")</f>
        <v>571353691.7</v>
      </c>
      <c r="G403" s="8" t="n">
        <f aca="false">IFERROR(D403/VLOOKUP(A403,'Dados-Status-Invest'!$1:$1000,6,FALSE()),"")</f>
        <v>1108079887</v>
      </c>
      <c r="H403" s="8" t="n">
        <f aca="false">IFERROR(VLOOKUP(A403,'Dados-Status-Invest'!$1:$1000,12,FALSE())*J403,"")</f>
        <v>151559084.5</v>
      </c>
      <c r="I403" s="8" t="n">
        <f aca="false">IFERROR(D403/VLOOKUP(A403,'Dados-Status-Invest'!$1:$1000,14,FALSE()),"")</f>
        <v>788074057.5</v>
      </c>
      <c r="J403" s="9" t="n">
        <f aca="false">IFERROR(D403/VLOOKUP(A403,'Dados-Status-Invest'!$1:$1000,10,FALSE()),"")</f>
        <v>120284987.7</v>
      </c>
      <c r="K403" s="10" t="n">
        <f aca="false">IFERROR(VLOOKUP(A403,'Dados-Status-Invest'!$1:$1000,3,FALSE())/100,"")</f>
        <v>0.0181</v>
      </c>
      <c r="L403" s="11" t="n">
        <f aca="false">IFERROR(VLOOKUP(A403,'Dados-Status-Invest'!$1:$1000,MATCH(L$1,'Dados-Status-Invest'!$2:$2,0),FALSE())/100,"")</f>
        <v>0.1775</v>
      </c>
      <c r="M403" s="10" t="n">
        <f aca="false">IFERROR(VLOOKUP(A403,'Dados-Status-Invest'!$1:$1000,MATCH(M$1,'Dados-Status-Invest'!$2:$2,0),FALSE())/100,"")</f>
        <v>0.0913</v>
      </c>
      <c r="N403" s="10" t="n">
        <f aca="false">IFERROR(VLOOKUP(A403,'Dados-Status-Invest'!$1:$1000,MATCH(N$1,'Dados-Status-Invest'!$2:$2,0),FALSE())/100,"")</f>
        <v>0.1173</v>
      </c>
      <c r="O403" s="10" t="n">
        <f aca="false">IFERROR(VLOOKUP(A403,'Dados-Status-Invest'!$1:$1000,MATCH(O$1,'Dados-Status-Invest'!$2:$2,0),FALSE())/100,"")</f>
        <v>0.5158</v>
      </c>
      <c r="P403" s="10" t="n">
        <f aca="false">IFERROR(VLOOKUP(A403,'Dados-Status-Invest'!$1:$1000,MATCH(P$1,'Dados-Status-Invest'!$2:$2,0),FALSE())/100,"")</f>
        <v>0.1528</v>
      </c>
      <c r="Q403" s="10" t="n">
        <f aca="false">IFERROR(VLOOKUP(A403,'Dados-Status-Invest'!$1:$1000,MATCH(Q$1,'Dados-Status-Invest'!$2:$2,0),FALSE())/100,"")</f>
        <v>0.1288</v>
      </c>
      <c r="R403" s="12" t="n">
        <f aca="false">IFERROR(VLOOKUP(A403,'Dados-Status-Invest'!$1:$1000,MATCH(R$1,'Dados-Status-Invest'!$2:$2,0),FALSE()),"")</f>
        <v>18.03</v>
      </c>
      <c r="S403" s="12" t="n">
        <f aca="false">IFERROR(VLOOKUP(A403,'Dados-Status-Invest'!$1:$1000,MATCH(S$1,'Dados-Status-Invest'!$2:$2,0),FALSE()),"")</f>
        <v>3.2</v>
      </c>
      <c r="T403" s="12" t="n">
        <f aca="false">IFERROR(VLOOKUP(A403,'Dados-Status-Invest'!$1:$1000,MATCH(T$1,'Dados-Status-Invest'!$2:$2,0),FALSE()),"")</f>
        <v>16.47</v>
      </c>
      <c r="U403" s="12" t="n">
        <f aca="false">IFERROR(VLOOKUP(A403,'Dados-Status-Invest'!$1:$1000,MATCH(U$1,'Dados-Status-Invest'!$2:$2,0),FALSE()),"")</f>
        <v>2.8</v>
      </c>
      <c r="V403" s="12" t="n">
        <f aca="false">IFERROR(VLOOKUP(A403,'Dados-Status-Invest'!$1:$1000,MATCH(V$1,'Dados-Status-Invest'!$2:$2,0),FALSE()),"")</f>
        <v>1.26</v>
      </c>
      <c r="W403" s="10" t="n">
        <f aca="false">IFERROR(VLOOKUP(A403,'Dados-Status-Invest'!$1:$1000,MATCH(W$1,'Dados-Status-Invest'!$2:$2,0),FALSE())/100,"")</f>
        <v>0.0645</v>
      </c>
      <c r="X403" s="10" t="n">
        <f aca="false">IFERROR(VLOOKUP(A403,'Dados-Status-Invest'!$1:$1000,MATCH(X$1,'Dados-Status-Invest'!$2:$2,0),FALSE())/100,"")</f>
        <v>0.0533</v>
      </c>
    </row>
    <row r="404" customFormat="false" ht="15.75" hidden="false" customHeight="false" outlineLevel="0" collapsed="false">
      <c r="A404" s="6" t="s">
        <v>436</v>
      </c>
      <c r="B404" s="7" t="s">
        <v>437</v>
      </c>
      <c r="C404" s="8" t="n">
        <f aca="false">IFERROR(__xludf.dummyfunction("IFERROR(IFERROR(GOOGLEFINANCE(A410,""price""),VLOOKUP(A410,'Dados-Status-Invest'!A:B,2,FALSE)),"""")"),1.63)</f>
        <v>1.63</v>
      </c>
      <c r="D404" s="8" t="n">
        <f aca="false">IFERROR(VLOOKUP(A404,'Dados-Status-Invest'!$1:$1000,MATCH(D$1,'Dados-Status-Invest'!$2:$2,0),FALSE()),"")</f>
        <v>52747073.84</v>
      </c>
      <c r="E404" s="8" t="n">
        <f aca="false">IF(D404+H404&gt;0,D404+H404,"")</f>
        <v>52747073.84</v>
      </c>
      <c r="F404" s="8" t="n">
        <f aca="false">IFERROR(D404/VLOOKUP(A404,'Dados-Status-Invest'!$1:$1000,5,FALSE()),"")</f>
        <v>-53823544.73</v>
      </c>
      <c r="G404" s="8" t="n">
        <f aca="false">IFERROR(D404/VLOOKUP(A404,'Dados-Status-Invest'!$1:$1000,6,FALSE()),"")</f>
        <v>57333775.91</v>
      </c>
      <c r="H404" s="8" t="n">
        <f aca="false">IFERROR(VLOOKUP(A404,'Dados-Status-Invest'!$1:$1000,12,FALSE())*J404,"")</f>
        <v>0</v>
      </c>
      <c r="I404" s="8" t="str">
        <f aca="false">IFERROR(D404/VLOOKUP(A404,'Dados-Status-Invest'!$1:$1000,14,FALSE()),"")</f>
        <v/>
      </c>
      <c r="J404" s="9" t="n">
        <f aca="false">IFERROR(D404/VLOOKUP(A404,'Dados-Status-Invest'!$1:$1000,10,FALSE()),"")</f>
        <v>-5696228.276</v>
      </c>
      <c r="K404" s="10" t="n">
        <f aca="false">IFERROR(VLOOKUP(A404,'Dados-Status-Invest'!$1:$1000,3,FALSE())/100,"")</f>
        <v>0</v>
      </c>
      <c r="L404" s="11" t="n">
        <f aca="false">IFERROR(VLOOKUP(A404,'Dados-Status-Invest'!$1:$1000,MATCH(L$1,'Dados-Status-Invest'!$2:$2,0),FALSE())/100,"")</f>
        <v>-0.4553</v>
      </c>
      <c r="M404" s="10" t="n">
        <f aca="false">IFERROR(VLOOKUP(A404,'Dados-Status-Invest'!$1:$1000,MATCH(M$1,'Dados-Status-Invest'!$2:$2,0),FALSE())/100,"")</f>
        <v>-0.4302</v>
      </c>
      <c r="N404" s="10" t="n">
        <f aca="false">IFERROR(VLOOKUP(A404,'Dados-Status-Invest'!$1:$1000,MATCH(N$1,'Dados-Status-Invest'!$2:$2,0),FALSE())/100,"")</f>
        <v>0.1057</v>
      </c>
      <c r="O404" s="10" t="n">
        <f aca="false">IFERROR(VLOOKUP(A404,'Dados-Status-Invest'!$1:$1000,MATCH(O$1,'Dados-Status-Invest'!$2:$2,0),FALSE())/100,"")</f>
        <v>0</v>
      </c>
      <c r="P404" s="10" t="n">
        <f aca="false">IFERROR(VLOOKUP(A404,'Dados-Status-Invest'!$1:$1000,MATCH(P$1,'Dados-Status-Invest'!$2:$2,0),FALSE())/100,"")</f>
        <v>0</v>
      </c>
      <c r="Q404" s="10" t="n">
        <f aca="false">IFERROR(VLOOKUP(A404,'Dados-Status-Invest'!$1:$1000,MATCH(Q$1,'Dados-Status-Invest'!$2:$2,0),FALSE())/100,"")</f>
        <v>0</v>
      </c>
      <c r="R404" s="12" t="n">
        <f aca="false">IFERROR(VLOOKUP(A404,'Dados-Status-Invest'!$1:$1000,MATCH(R$1,'Dados-Status-Invest'!$2:$2,0),FALSE()),"")</f>
        <v>-2.15</v>
      </c>
      <c r="S404" s="12" t="n">
        <f aca="false">IFERROR(VLOOKUP(A404,'Dados-Status-Invest'!$1:$1000,MATCH(S$1,'Dados-Status-Invest'!$2:$2,0),FALSE()),"")</f>
        <v>-0.98</v>
      </c>
      <c r="T404" s="12" t="n">
        <f aca="false">IFERROR(VLOOKUP(A404,'Dados-Status-Invest'!$1:$1000,MATCH(T$1,'Dados-Status-Invest'!$2:$2,0),FALSE()),"")</f>
        <v>-9.26</v>
      </c>
      <c r="U404" s="12" t="n">
        <f aca="false">IFERROR(VLOOKUP(A404,'Dados-Status-Invest'!$1:$1000,MATCH(U$1,'Dados-Status-Invest'!$2:$2,0),FALSE()),"")</f>
        <v>0.51</v>
      </c>
      <c r="V404" s="12" t="n">
        <f aca="false">IFERROR(VLOOKUP(A404,'Dados-Status-Invest'!$1:$1000,MATCH(V$1,'Dados-Status-Invest'!$2:$2,0),FALSE()),"")</f>
        <v>0</v>
      </c>
      <c r="W404" s="10" t="n">
        <f aca="false">IFERROR(VLOOKUP(A404,'Dados-Status-Invest'!$1:$1000,MATCH(W$1,'Dados-Status-Invest'!$2:$2,0),FALSE())/100,"")</f>
        <v>0</v>
      </c>
      <c r="X404" s="10" t="n">
        <f aca="false">IFERROR(VLOOKUP(A404,'Dados-Status-Invest'!$1:$1000,MATCH(X$1,'Dados-Status-Invest'!$2:$2,0),FALSE())/100,"")</f>
        <v>0</v>
      </c>
    </row>
    <row r="405" customFormat="false" ht="15.75" hidden="false" customHeight="false" outlineLevel="0" collapsed="false">
      <c r="A405" s="6" t="s">
        <v>438</v>
      </c>
      <c r="B405" s="7" t="str">
        <f aca="false">IFERROR(VLOOKUP(LEFT(A405,4),Setor!A:D,2,FALSE()),"")</f>
        <v>Comunicações</v>
      </c>
      <c r="C405" s="8" t="n">
        <f aca="false">IFERROR(__xludf.dummyfunction("IFERROR(IFERROR(GOOGLEFINANCE(A411,""price""),VLOOKUP(A411,'Dados-Status-Invest'!A:B,2,FALSE)),"""")"),0.66)</f>
        <v>0.66</v>
      </c>
      <c r="D405" s="8" t="n">
        <f aca="false">IFERROR(VLOOKUP(A405,'Dados-Status-Invest'!$1:$1000,MATCH(D$1,'Dados-Status-Invest'!$2:$2,0),FALSE()),"")</f>
        <v>9157646125</v>
      </c>
      <c r="E405" s="8" t="n">
        <f aca="false">IF(D405+H405&gt;0,D405+H405,"")</f>
        <v>34697720667</v>
      </c>
      <c r="F405" s="8" t="n">
        <f aca="false">IFERROR(D405/VLOOKUP(A405,'Dados-Status-Invest'!$1:$1000,5,FALSE()),"")</f>
        <v>4319644399</v>
      </c>
      <c r="G405" s="8" t="n">
        <f aca="false">IFERROR(D405/VLOOKUP(A405,'Dados-Status-Invest'!$1:$1000,6,FALSE()),"")</f>
        <v>70443431734</v>
      </c>
      <c r="H405" s="8" t="n">
        <f aca="false">IFERROR(VLOOKUP(A405,'Dados-Status-Invest'!$1:$1000,12,FALSE())*J405,"")</f>
        <v>25540074542</v>
      </c>
      <c r="I405" s="8" t="n">
        <f aca="false">IFERROR(D405/VLOOKUP(A405,'Dados-Status-Invest'!$1:$1000,14,FALSE()),"")</f>
        <v>6834064273</v>
      </c>
      <c r="J405" s="9" t="n">
        <f aca="false">IFERROR(D405/VLOOKUP(A405,'Dados-Status-Invest'!$1:$1000,10,FALSE()),"")</f>
        <v>-1876566829</v>
      </c>
      <c r="K405" s="10" t="n">
        <f aca="false">IFERROR(VLOOKUP(A405,'Dados-Status-Invest'!$1:$1000,3,FALSE())/100,"")</f>
        <v>0</v>
      </c>
      <c r="L405" s="11" t="n">
        <f aca="false">IFERROR(VLOOKUP(A405,'Dados-Status-Invest'!$1:$1000,MATCH(L$1,'Dados-Status-Invest'!$2:$2,0),FALSE())/100,"")</f>
        <v>-1.8201</v>
      </c>
      <c r="M405" s="10" t="n">
        <f aca="false">IFERROR(VLOOKUP(A405,'Dados-Status-Invest'!$1:$1000,MATCH(M$1,'Dados-Status-Invest'!$2:$2,0),FALSE())/100,"")</f>
        <v>-0.1073</v>
      </c>
      <c r="N405" s="10" t="n">
        <f aca="false">IFERROR(VLOOKUP(A405,'Dados-Status-Invest'!$1:$1000,MATCH(N$1,'Dados-Status-Invest'!$2:$2,0),FALSE())/100,"")</f>
        <v>-0.1651</v>
      </c>
      <c r="O405" s="10" t="n">
        <f aca="false">IFERROR(VLOOKUP(A405,'Dados-Status-Invest'!$1:$1000,MATCH(O$1,'Dados-Status-Invest'!$2:$2,0),FALSE())/100,"")</f>
        <v>0.1892</v>
      </c>
      <c r="P405" s="10" t="n">
        <f aca="false">IFERROR(VLOOKUP(A405,'Dados-Status-Invest'!$1:$1000,MATCH(P$1,'Dados-Status-Invest'!$2:$2,0),FALSE())/100,"")</f>
        <v>-0.274</v>
      </c>
      <c r="Q405" s="10" t="n">
        <f aca="false">IFERROR(VLOOKUP(A405,'Dados-Status-Invest'!$1:$1000,MATCH(Q$1,'Dados-Status-Invest'!$2:$2,0),FALSE())/100,"")</f>
        <v>-1.1446</v>
      </c>
      <c r="R405" s="12" t="n">
        <f aca="false">IFERROR(VLOOKUP(A405,'Dados-Status-Invest'!$1:$1000,MATCH(R$1,'Dados-Status-Invest'!$2:$2,0),FALSE()),"")</f>
        <v>-1.17</v>
      </c>
      <c r="S405" s="12" t="n">
        <f aca="false">IFERROR(VLOOKUP(A405,'Dados-Status-Invest'!$1:$1000,MATCH(S$1,'Dados-Status-Invest'!$2:$2,0),FALSE()),"")</f>
        <v>2.12</v>
      </c>
      <c r="T405" s="12" t="n">
        <f aca="false">IFERROR(VLOOKUP(A405,'Dados-Status-Invest'!$1:$1000,MATCH(T$1,'Dados-Status-Invest'!$2:$2,0),FALSE()),"")</f>
        <v>-18.54</v>
      </c>
      <c r="U405" s="12" t="n">
        <f aca="false">IFERROR(VLOOKUP(A405,'Dados-Status-Invest'!$1:$1000,MATCH(U$1,'Dados-Status-Invest'!$2:$2,0),FALSE()),"")</f>
        <v>1.5</v>
      </c>
      <c r="V405" s="12" t="n">
        <f aca="false">IFERROR(VLOOKUP(A405,'Dados-Status-Invest'!$1:$1000,MATCH(V$1,'Dados-Status-Invest'!$2:$2,0),FALSE()),"")</f>
        <v>-13.61</v>
      </c>
      <c r="W405" s="10" t="n">
        <f aca="false">IFERROR(VLOOKUP(A405,'Dados-Status-Invest'!$1:$1000,MATCH(W$1,'Dados-Status-Invest'!$2:$2,0),FALSE())/100,"")</f>
        <v>-0.1943</v>
      </c>
      <c r="X405" s="10" t="n">
        <f aca="false">IFERROR(VLOOKUP(A405,'Dados-Status-Invest'!$1:$1000,MATCH(X$1,'Dados-Status-Invest'!$2:$2,0),FALSE())/100,"")</f>
        <v>0</v>
      </c>
    </row>
    <row r="406" customFormat="false" ht="15.75" hidden="false" customHeight="false" outlineLevel="0" collapsed="false">
      <c r="A406" s="6" t="s">
        <v>439</v>
      </c>
      <c r="B406" s="7" t="str">
        <f aca="false">IFERROR(VLOOKUP(LEFT(A406,4),Setor!A:D,2,FALSE()),"")</f>
        <v>Comunicações</v>
      </c>
      <c r="C406" s="8" t="n">
        <f aca="false">IFERROR(__xludf.dummyfunction("IFERROR(IFERROR(GOOGLEFINANCE(A412,""price""),VLOOKUP(A412,'Dados-Status-Invest'!A:B,2,FALSE)),"""")"),1.24)</f>
        <v>1.24</v>
      </c>
      <c r="D406" s="8" t="n">
        <f aca="false">IFERROR(VLOOKUP(A406,'Dados-Status-Invest'!$1:$1000,MATCH(D$1,'Dados-Status-Invest'!$2:$2,0),FALSE()),"")</f>
        <v>9157646125</v>
      </c>
      <c r="E406" s="8" t="n">
        <f aca="false">IF(D406+H406&gt;0,D406+H406,"")</f>
        <v>26811408698</v>
      </c>
      <c r="F406" s="8" t="n">
        <f aca="false">IFERROR(D406/VLOOKUP(A406,'Dados-Status-Invest'!$1:$1000,5,FALSE()),"")</f>
        <v>2982946621</v>
      </c>
      <c r="G406" s="8" t="n">
        <f aca="false">IFERROR(D406/VLOOKUP(A406,'Dados-Status-Invest'!$1:$1000,6,FALSE()),"")</f>
        <v>50875811808</v>
      </c>
      <c r="H406" s="8" t="n">
        <f aca="false">IFERROR(VLOOKUP(A406,'Dados-Status-Invest'!$1:$1000,12,FALSE())*J406,"")</f>
        <v>17653762573</v>
      </c>
      <c r="I406" s="8" t="n">
        <f aca="false">IFERROR(D406/VLOOKUP(A406,'Dados-Status-Invest'!$1:$1000,14,FALSE()),"")</f>
        <v>4744894365</v>
      </c>
      <c r="J406" s="9" t="n">
        <f aca="false">IFERROR(D406/VLOOKUP(A406,'Dados-Status-Invest'!$1:$1000,10,FALSE()),"")</f>
        <v>-1297117015</v>
      </c>
      <c r="K406" s="10" t="n">
        <f aca="false">IFERROR(VLOOKUP(A406,'Dados-Status-Invest'!$1:$1000,3,FALSE())/100,"")</f>
        <v>0</v>
      </c>
      <c r="L406" s="11" t="n">
        <f aca="false">IFERROR(VLOOKUP(A406,'Dados-Status-Invest'!$1:$1000,MATCH(L$1,'Dados-Status-Invest'!$2:$2,0),FALSE())/100,"")</f>
        <v>-1.8201</v>
      </c>
      <c r="M406" s="10" t="n">
        <f aca="false">IFERROR(VLOOKUP(A406,'Dados-Status-Invest'!$1:$1000,MATCH(M$1,'Dados-Status-Invest'!$2:$2,0),FALSE())/100,"")</f>
        <v>-0.1073</v>
      </c>
      <c r="N406" s="10" t="n">
        <f aca="false">IFERROR(VLOOKUP(A406,'Dados-Status-Invest'!$1:$1000,MATCH(N$1,'Dados-Status-Invest'!$2:$2,0),FALSE())/100,"")</f>
        <v>-0.1651</v>
      </c>
      <c r="O406" s="10" t="n">
        <f aca="false">IFERROR(VLOOKUP(A406,'Dados-Status-Invest'!$1:$1000,MATCH(O$1,'Dados-Status-Invest'!$2:$2,0),FALSE())/100,"")</f>
        <v>0.1892</v>
      </c>
      <c r="P406" s="10" t="n">
        <f aca="false">IFERROR(VLOOKUP(A406,'Dados-Status-Invest'!$1:$1000,MATCH(P$1,'Dados-Status-Invest'!$2:$2,0),FALSE())/100,"")</f>
        <v>-0.274</v>
      </c>
      <c r="Q406" s="10" t="n">
        <f aca="false">IFERROR(VLOOKUP(A406,'Dados-Status-Invest'!$1:$1000,MATCH(Q$1,'Dados-Status-Invest'!$2:$2,0),FALSE())/100,"")</f>
        <v>-1.1446</v>
      </c>
      <c r="R406" s="12" t="n">
        <f aca="false">IFERROR(VLOOKUP(A406,'Dados-Status-Invest'!$1:$1000,MATCH(R$1,'Dados-Status-Invest'!$2:$2,0),FALSE()),"")</f>
        <v>-1.69</v>
      </c>
      <c r="S406" s="12" t="n">
        <f aca="false">IFERROR(VLOOKUP(A406,'Dados-Status-Invest'!$1:$1000,MATCH(S$1,'Dados-Status-Invest'!$2:$2,0),FALSE()),"")</f>
        <v>3.07</v>
      </c>
      <c r="T406" s="12" t="n">
        <f aca="false">IFERROR(VLOOKUP(A406,'Dados-Status-Invest'!$1:$1000,MATCH(T$1,'Dados-Status-Invest'!$2:$2,0),FALSE()),"")</f>
        <v>-18.54</v>
      </c>
      <c r="U406" s="12" t="n">
        <f aca="false">IFERROR(VLOOKUP(A406,'Dados-Status-Invest'!$1:$1000,MATCH(U$1,'Dados-Status-Invest'!$2:$2,0),FALSE()),"")</f>
        <v>1.5</v>
      </c>
      <c r="V406" s="12" t="n">
        <f aca="false">IFERROR(VLOOKUP(A406,'Dados-Status-Invest'!$1:$1000,MATCH(V$1,'Dados-Status-Invest'!$2:$2,0),FALSE()),"")</f>
        <v>-13.61</v>
      </c>
      <c r="W406" s="10" t="n">
        <f aca="false">IFERROR(VLOOKUP(A406,'Dados-Status-Invest'!$1:$1000,MATCH(W$1,'Dados-Status-Invest'!$2:$2,0),FALSE())/100,"")</f>
        <v>-0.1943</v>
      </c>
      <c r="X406" s="10" t="n">
        <f aca="false">IFERROR(VLOOKUP(A406,'Dados-Status-Invest'!$1:$1000,MATCH(X$1,'Dados-Status-Invest'!$2:$2,0),FALSE())/100,"")</f>
        <v>0</v>
      </c>
    </row>
    <row r="407" customFormat="false" ht="15.75" hidden="false" customHeight="false" outlineLevel="0" collapsed="false">
      <c r="A407" s="6" t="s">
        <v>440</v>
      </c>
      <c r="B407" s="7" t="str">
        <f aca="false">IFERROR(VLOOKUP(LEFT(A407,4),Setor!A:D,2,FALSE()),"")</f>
        <v>Utilidade Pública</v>
      </c>
      <c r="C407" s="8" t="n">
        <f aca="false">IFERROR(__xludf.dummyfunction("IFERROR(IFERROR(GOOGLEFINANCE(A413,""price""),VLOOKUP(A413,'Dados-Status-Invest'!A:B,2,FALSE)),"""")"),38.14)</f>
        <v>38.14</v>
      </c>
      <c r="D407" s="8" t="n">
        <f aca="false">IFERROR(VLOOKUP(A407,'Dados-Status-Invest'!$1:$1000,MATCH(D$1,'Dados-Status-Invest'!$2:$2,0),FALSE()),"")</f>
        <v>7462118295</v>
      </c>
      <c r="E407" s="8" t="n">
        <f aca="false">IF(D407+H407&gt;0,D407+H407,"")</f>
        <v>12602320993</v>
      </c>
      <c r="F407" s="8" t="n">
        <f aca="false">IFERROR(D407/VLOOKUP(A407,'Dados-Status-Invest'!$1:$1000,5,FALSE()),"")</f>
        <v>3622387522</v>
      </c>
      <c r="G407" s="8" t="n">
        <f aca="false">IFERROR(D407/VLOOKUP(A407,'Dados-Status-Invest'!$1:$1000,6,FALSE()),"")</f>
        <v>10973703375</v>
      </c>
      <c r="H407" s="8" t="n">
        <f aca="false">IFERROR(VLOOKUP(A407,'Dados-Status-Invest'!$1:$1000,12,FALSE())*J407,"")</f>
        <v>5140202698</v>
      </c>
      <c r="I407" s="8" t="n">
        <f aca="false">IFERROR(D407/VLOOKUP(A407,'Dados-Status-Invest'!$1:$1000,14,FALSE()),"")</f>
        <v>1275575777</v>
      </c>
      <c r="J407" s="9" t="n">
        <f aca="false">IFERROR(D407/VLOOKUP(A407,'Dados-Status-Invest'!$1:$1000,10,FALSE()),"")</f>
        <v>551523894.7</v>
      </c>
      <c r="K407" s="10" t="n">
        <f aca="false">IFERROR(VLOOKUP(A407,'Dados-Status-Invest'!$1:$1000,3,FALSE())/100,"")</f>
        <v>0</v>
      </c>
      <c r="L407" s="11" t="n">
        <f aca="false">IFERROR(VLOOKUP(A407,'Dados-Status-Invest'!$1:$1000,MATCH(L$1,'Dados-Status-Invest'!$2:$2,0),FALSE())/100,"")</f>
        <v>0.003</v>
      </c>
      <c r="M407" s="10" t="n">
        <f aca="false">IFERROR(VLOOKUP(A407,'Dados-Status-Invest'!$1:$1000,MATCH(M$1,'Dados-Status-Invest'!$2:$2,0),FALSE())/100,"")</f>
        <v>0.001</v>
      </c>
      <c r="N407" s="10" t="n">
        <f aca="false">IFERROR(VLOOKUP(A407,'Dados-Status-Invest'!$1:$1000,MATCH(N$1,'Dados-Status-Invest'!$2:$2,0),FALSE())/100,"")</f>
        <v>0.0484</v>
      </c>
      <c r="O407" s="10" t="n">
        <f aca="false">IFERROR(VLOOKUP(A407,'Dados-Status-Invest'!$1:$1000,MATCH(O$1,'Dados-Status-Invest'!$2:$2,0),FALSE())/100,"")</f>
        <v>0.3964</v>
      </c>
      <c r="P407" s="10" t="n">
        <f aca="false">IFERROR(VLOOKUP(A407,'Dados-Status-Invest'!$1:$1000,MATCH(P$1,'Dados-Status-Invest'!$2:$2,0),FALSE())/100,"")</f>
        <v>0.4324</v>
      </c>
      <c r="Q407" s="10" t="n">
        <f aca="false">IFERROR(VLOOKUP(A407,'Dados-Status-Invest'!$1:$1000,MATCH(Q$1,'Dados-Status-Invest'!$2:$2,0),FALSE())/100,"")</f>
        <v>0.0086</v>
      </c>
      <c r="R407" s="12" t="n">
        <f aca="false">IFERROR(VLOOKUP(A407,'Dados-Status-Invest'!$1:$1000,MATCH(R$1,'Dados-Status-Invest'!$2:$2,0),FALSE()),"")</f>
        <v>681.57</v>
      </c>
      <c r="S407" s="12" t="n">
        <f aca="false">IFERROR(VLOOKUP(A407,'Dados-Status-Invest'!$1:$1000,MATCH(S$1,'Dados-Status-Invest'!$2:$2,0),FALSE()),"")</f>
        <v>2.06</v>
      </c>
      <c r="T407" s="12" t="n">
        <f aca="false">IFERROR(VLOOKUP(A407,'Dados-Status-Invest'!$1:$1000,MATCH(T$1,'Dados-Status-Invest'!$2:$2,0),FALSE()),"")</f>
        <v>22.81</v>
      </c>
      <c r="U407" s="12" t="n">
        <f aca="false">IFERROR(VLOOKUP(A407,'Dados-Status-Invest'!$1:$1000,MATCH(U$1,'Dados-Status-Invest'!$2:$2,0),FALSE()),"")</f>
        <v>3.14</v>
      </c>
      <c r="V407" s="12" t="n">
        <f aca="false">IFERROR(VLOOKUP(A407,'Dados-Status-Invest'!$1:$1000,MATCH(V$1,'Dados-Status-Invest'!$2:$2,0),FALSE()),"")</f>
        <v>9.32</v>
      </c>
      <c r="W407" s="10" t="n">
        <f aca="false">IFERROR(VLOOKUP(A407,'Dados-Status-Invest'!$1:$1000,MATCH(W$1,'Dados-Status-Invest'!$2:$2,0),FALSE())/100,"")</f>
        <v>0.504</v>
      </c>
      <c r="X407" s="10" t="n">
        <f aca="false">IFERROR(VLOOKUP(A407,'Dados-Status-Invest'!$1:$1000,MATCH(X$1,'Dados-Status-Invest'!$2:$2,0),FALSE())/100,"")</f>
        <v>0.6286</v>
      </c>
    </row>
    <row r="408" customFormat="false" ht="15.75" hidden="false" customHeight="false" outlineLevel="0" collapsed="false">
      <c r="A408" s="6" t="s">
        <v>441</v>
      </c>
      <c r="B408" s="7" t="s">
        <v>29</v>
      </c>
      <c r="C408" s="8" t="n">
        <f aca="false">IFERROR(__xludf.dummyfunction("IFERROR(IFERROR(GOOGLEFINANCE(A414,""price""),VLOOKUP(A414,'Dados-Status-Invest'!A:B,2,FALSE)),"""")"),2.57)</f>
        <v>2.57</v>
      </c>
      <c r="D408" s="8" t="n">
        <f aca="false">IFERROR(VLOOKUP(A408,'Dados-Status-Invest'!$1:$1000,MATCH(D$1,'Dados-Status-Invest'!$2:$2,0),FALSE()),"")</f>
        <v>1783639222</v>
      </c>
      <c r="E408" s="8" t="n">
        <f aca="false">IF(D408+H408&gt;0,D408+H408,"")</f>
        <v>1771313583.15</v>
      </c>
      <c r="F408" s="8" t="n">
        <f aca="false">IFERROR(D408/VLOOKUP(A408,'Dados-Status-Invest'!$1:$1000,5,FALSE()),"")</f>
        <v>919401660.7</v>
      </c>
      <c r="G408" s="8" t="n">
        <f aca="false">IFERROR(D408/VLOOKUP(A408,'Dados-Status-Invest'!$1:$1000,6,FALSE()),"")</f>
        <v>1917891636</v>
      </c>
      <c r="H408" s="8" t="n">
        <f aca="false">IFERROR(VLOOKUP(A408,'Dados-Status-Invest'!$1:$1000,12,FALSE())*J408,"")</f>
        <v>-12325638.85</v>
      </c>
      <c r="I408" s="8" t="n">
        <f aca="false">IFERROR(D408/VLOOKUP(A408,'Dados-Status-Invest'!$1:$1000,14,FALSE()),"")</f>
        <v>639297212.1</v>
      </c>
      <c r="J408" s="9" t="n">
        <f aca="false">IFERROR(D408/VLOOKUP(A408,'Dados-Status-Invest'!$1:$1000,10,FALSE()),"")</f>
        <v>39760125.32</v>
      </c>
      <c r="K408" s="10" t="n">
        <f aca="false">IFERROR(VLOOKUP(A408,'Dados-Status-Invest'!$1:$1000,3,FALSE())/100,"")</f>
        <v>0</v>
      </c>
      <c r="L408" s="11" t="n">
        <f aca="false">IFERROR(VLOOKUP(A408,'Dados-Status-Invest'!$1:$1000,MATCH(L$1,'Dados-Status-Invest'!$2:$2,0),FALSE())/100,"")</f>
        <v>-0.0262</v>
      </c>
      <c r="M408" s="10" t="n">
        <f aca="false">IFERROR(VLOOKUP(A408,'Dados-Status-Invest'!$1:$1000,MATCH(M$1,'Dados-Status-Invest'!$2:$2,0),FALSE())/100,"")</f>
        <v>-0.0126</v>
      </c>
      <c r="N408" s="10" t="n">
        <f aca="false">IFERROR(VLOOKUP(A408,'Dados-Status-Invest'!$1:$1000,MATCH(N$1,'Dados-Status-Invest'!$2:$2,0),FALSE())/100,"")</f>
        <v>0.0142</v>
      </c>
      <c r="O408" s="10" t="n">
        <f aca="false">IFERROR(VLOOKUP(A408,'Dados-Status-Invest'!$1:$1000,MATCH(O$1,'Dados-Status-Invest'!$2:$2,0),FALSE())/100,"")</f>
        <v>0.1561</v>
      </c>
      <c r="P408" s="10" t="n">
        <f aca="false">IFERROR(VLOOKUP(A408,'Dados-Status-Invest'!$1:$1000,MATCH(P$1,'Dados-Status-Invest'!$2:$2,0),FALSE())/100,"")</f>
        <v>0.0623</v>
      </c>
      <c r="Q408" s="10" t="n">
        <f aca="false">IFERROR(VLOOKUP(A408,'Dados-Status-Invest'!$1:$1000,MATCH(Q$1,'Dados-Status-Invest'!$2:$2,0),FALSE())/100,"")</f>
        <v>-0.0378</v>
      </c>
      <c r="R408" s="12" t="n">
        <f aca="false">IFERROR(VLOOKUP(A408,'Dados-Status-Invest'!$1:$1000,MATCH(R$1,'Dados-Status-Invest'!$2:$2,0),FALSE()),"")</f>
        <v>-73.99</v>
      </c>
      <c r="S408" s="12" t="n">
        <f aca="false">IFERROR(VLOOKUP(A408,'Dados-Status-Invest'!$1:$1000,MATCH(S$1,'Dados-Status-Invest'!$2:$2,0),FALSE()),"")</f>
        <v>1.94</v>
      </c>
      <c r="T408" s="12" t="n">
        <f aca="false">IFERROR(VLOOKUP(A408,'Dados-Status-Invest'!$1:$1000,MATCH(T$1,'Dados-Status-Invest'!$2:$2,0),FALSE()),"")</f>
        <v>44.65</v>
      </c>
      <c r="U408" s="12" t="n">
        <f aca="false">IFERROR(VLOOKUP(A408,'Dados-Status-Invest'!$1:$1000,MATCH(U$1,'Dados-Status-Invest'!$2:$2,0),FALSE()),"")</f>
        <v>3.35</v>
      </c>
      <c r="V408" s="12" t="n">
        <f aca="false">IFERROR(VLOOKUP(A408,'Dados-Status-Invest'!$1:$1000,MATCH(V$1,'Dados-Status-Invest'!$2:$2,0),FALSE()),"")</f>
        <v>-0.31</v>
      </c>
      <c r="W408" s="10" t="n">
        <f aca="false">IFERROR(VLOOKUP(A408,'Dados-Status-Invest'!$1:$1000,MATCH(W$1,'Dados-Status-Invest'!$2:$2,0),FALSE())/100,"")</f>
        <v>0</v>
      </c>
      <c r="X408" s="10" t="n">
        <f aca="false">IFERROR(VLOOKUP(A408,'Dados-Status-Invest'!$1:$1000,MATCH(X$1,'Dados-Status-Invest'!$2:$2,0),FALSE())/100,"")</f>
        <v>0</v>
      </c>
    </row>
    <row r="409" customFormat="false" ht="15.75" hidden="false" customHeight="false" outlineLevel="0" collapsed="false">
      <c r="A409" s="6" t="s">
        <v>442</v>
      </c>
      <c r="B409" s="7" t="s">
        <v>31</v>
      </c>
      <c r="C409" s="8" t="n">
        <f aca="false">IFERROR(__xludf.dummyfunction("IFERROR(IFERROR(GOOGLEFINANCE(A415,""price""),VLOOKUP(A415,'Dados-Status-Invest'!A:B,2,FALSE)),"""")"),30.56)</f>
        <v>30.56</v>
      </c>
      <c r="D409" s="8" t="n">
        <f aca="false">IFERROR(VLOOKUP(A409,'Dados-Status-Invest'!$1:$1000,MATCH(D$1,'Dados-Status-Invest'!$2:$2,0),FALSE()),"")</f>
        <v>2014174654</v>
      </c>
      <c r="E409" s="8" t="n">
        <f aca="false">IF(D409+H409&gt;0,D409+H409,"")</f>
        <v>2012997806.408</v>
      </c>
      <c r="F409" s="8" t="n">
        <f aca="false">IFERROR(D409/VLOOKUP(A409,'Dados-Status-Invest'!$1:$1000,5,FALSE()),"")</f>
        <v>372305851.1</v>
      </c>
      <c r="G409" s="8" t="n">
        <f aca="false">IFERROR(D409/VLOOKUP(A409,'Dados-Status-Invest'!$1:$1000,6,FALSE()),"")</f>
        <v>1027640130</v>
      </c>
      <c r="H409" s="8" t="n">
        <f aca="false">IFERROR(VLOOKUP(A409,'Dados-Status-Invest'!$1:$1000,12,FALSE())*J409,"")</f>
        <v>-1176847.592</v>
      </c>
      <c r="I409" s="8" t="n">
        <f aca="false">IFERROR(D409/VLOOKUP(A409,'Dados-Status-Invest'!$1:$1000,14,FALSE()),"")</f>
        <v>387341279.7</v>
      </c>
      <c r="J409" s="9" t="n">
        <f aca="false">IFERROR(D409/VLOOKUP(A409,'Dados-Status-Invest'!$1:$1000,10,FALSE()),"")</f>
        <v>58842379.62</v>
      </c>
      <c r="K409" s="10" t="n">
        <f aca="false">IFERROR(VLOOKUP(A409,'Dados-Status-Invest'!$1:$1000,3,FALSE())/100,"")</f>
        <v>0</v>
      </c>
      <c r="L409" s="11" t="n">
        <f aca="false">IFERROR(VLOOKUP(A409,'Dados-Status-Invest'!$1:$1000,MATCH(L$1,'Dados-Status-Invest'!$2:$2,0),FALSE())/100,"")</f>
        <v>-0.1178</v>
      </c>
      <c r="M409" s="10" t="n">
        <f aca="false">IFERROR(VLOOKUP(A409,'Dados-Status-Invest'!$1:$1000,MATCH(M$1,'Dados-Status-Invest'!$2:$2,0),FALSE())/100,"")</f>
        <v>-0.0427</v>
      </c>
      <c r="N409" s="10" t="n">
        <f aca="false">IFERROR(VLOOKUP(A409,'Dados-Status-Invest'!$1:$1000,MATCH(N$1,'Dados-Status-Invest'!$2:$2,0),FALSE())/100,"")</f>
        <v>0.0493</v>
      </c>
      <c r="O409" s="10" t="n">
        <f aca="false">IFERROR(VLOOKUP(A409,'Dados-Status-Invest'!$1:$1000,MATCH(O$1,'Dados-Status-Invest'!$2:$2,0),FALSE())/100,"")</f>
        <v>0.3644</v>
      </c>
      <c r="P409" s="10" t="n">
        <f aca="false">IFERROR(VLOOKUP(A409,'Dados-Status-Invest'!$1:$1000,MATCH(P$1,'Dados-Status-Invest'!$2:$2,0),FALSE())/100,"")</f>
        <v>0.1518</v>
      </c>
      <c r="Q409" s="10" t="n">
        <f aca="false">IFERROR(VLOOKUP(A409,'Dados-Status-Invest'!$1:$1000,MATCH(Q$1,'Dados-Status-Invest'!$2:$2,0),FALSE())/100,"")</f>
        <v>-0.1131</v>
      </c>
      <c r="R409" s="12" t="n">
        <f aca="false">IFERROR(VLOOKUP(A409,'Dados-Status-Invest'!$1:$1000,MATCH(R$1,'Dados-Status-Invest'!$2:$2,0),FALSE()),"")</f>
        <v>-45.95</v>
      </c>
      <c r="S409" s="12" t="n">
        <f aca="false">IFERROR(VLOOKUP(A409,'Dados-Status-Invest'!$1:$1000,MATCH(S$1,'Dados-Status-Invest'!$2:$2,0),FALSE()),"")</f>
        <v>5.41</v>
      </c>
      <c r="T409" s="12" t="n">
        <f aca="false">IFERROR(VLOOKUP(A409,'Dados-Status-Invest'!$1:$1000,MATCH(T$1,'Dados-Status-Invest'!$2:$2,0),FALSE()),"")</f>
        <v>34.17</v>
      </c>
      <c r="U409" s="12" t="n">
        <f aca="false">IFERROR(VLOOKUP(A409,'Dados-Status-Invest'!$1:$1000,MATCH(U$1,'Dados-Status-Invest'!$2:$2,0),FALSE()),"")</f>
        <v>2.24</v>
      </c>
      <c r="V409" s="12" t="n">
        <f aca="false">IFERROR(VLOOKUP(A409,'Dados-Status-Invest'!$1:$1000,MATCH(V$1,'Dados-Status-Invest'!$2:$2,0),FALSE()),"")</f>
        <v>-0.02</v>
      </c>
      <c r="W409" s="10" t="n">
        <f aca="false">IFERROR(VLOOKUP(A409,'Dados-Status-Invest'!$1:$1000,MATCH(W$1,'Dados-Status-Invest'!$2:$2,0),FALSE())/100,"")</f>
        <v>0</v>
      </c>
      <c r="X409" s="10" t="n">
        <f aca="false">IFERROR(VLOOKUP(A409,'Dados-Status-Invest'!$1:$1000,MATCH(X$1,'Dados-Status-Invest'!$2:$2,0),FALSE())/100,"")</f>
        <v>0</v>
      </c>
    </row>
    <row r="410" customFormat="false" ht="15.75" hidden="false" customHeight="false" outlineLevel="0" collapsed="false">
      <c r="A410" s="6" t="s">
        <v>443</v>
      </c>
      <c r="B410" s="7" t="str">
        <f aca="false">IFERROR(VLOOKUP(LEFT(A410,4),Setor!A:D,2,FALSE()),"")</f>
        <v>Petróleo, Gás e Biocombustíveis</v>
      </c>
      <c r="C410" s="8" t="n">
        <f aca="false">IFERROR(__xludf.dummyfunction("IFERROR(IFERROR(GOOGLEFINANCE(A416,""price""),VLOOKUP(A416,'Dados-Status-Invest'!A:B,2,FALSE)),"""")"),7.51)</f>
        <v>7.51</v>
      </c>
      <c r="D410" s="8" t="n">
        <f aca="false">IFERROR(VLOOKUP(A410,'Dados-Status-Invest'!$1:$1000,MATCH(D$1,'Dados-Status-Invest'!$2:$2,0),FALSE()),"")</f>
        <v>31165576.2</v>
      </c>
      <c r="E410" s="8" t="n">
        <f aca="false">IF(D410+H410&gt;0,D410+H410,"")</f>
        <v>4843130541.2</v>
      </c>
      <c r="F410" s="8" t="n">
        <f aca="false">IFERROR(D410/VLOOKUP(A410,'Dados-Status-Invest'!$1:$1000,5,FALSE()),"")</f>
        <v>-3116557620</v>
      </c>
      <c r="G410" s="8" t="n">
        <f aca="false">IFERROR(D410/VLOOKUP(A410,'Dados-Status-Invest'!$1:$1000,6,FALSE()),"")</f>
        <v>1558278810</v>
      </c>
      <c r="H410" s="8" t="n">
        <f aca="false">IFERROR(VLOOKUP(A410,'Dados-Status-Invest'!$1:$1000,12,FALSE())*J410,"")</f>
        <v>4811964965</v>
      </c>
      <c r="I410" s="8" t="n">
        <f aca="false">IFERROR(D410/VLOOKUP(A410,'Dados-Status-Invest'!$1:$1000,14,FALSE()),"")</f>
        <v>12416564.22</v>
      </c>
      <c r="J410" s="9" t="n">
        <f aca="false">IFERROR(D410/VLOOKUP(A410,'Dados-Status-Invest'!$1:$1000,10,FALSE()),"")</f>
        <v>-623311524</v>
      </c>
      <c r="K410" s="10" t="n">
        <f aca="false">IFERROR(VLOOKUP(A410,'Dados-Status-Invest'!$1:$1000,3,FALSE())/100,"")</f>
        <v>0</v>
      </c>
      <c r="L410" s="11" t="n">
        <f aca="false">IFERROR(VLOOKUP(A410,'Dados-Status-Invest'!$1:$1000,MATCH(L$1,'Dados-Status-Invest'!$2:$2,0),FALSE())/100,"")</f>
        <v>-0.1568</v>
      </c>
      <c r="M410" s="10" t="n">
        <f aca="false">IFERROR(VLOOKUP(A410,'Dados-Status-Invest'!$1:$1000,MATCH(M$1,'Dados-Status-Invest'!$2:$2,0),FALSE())/100,"")</f>
        <v>-0.5841</v>
      </c>
      <c r="N410" s="10" t="n">
        <f aca="false">IFERROR(VLOOKUP(A410,'Dados-Status-Invest'!$1:$1000,MATCH(N$1,'Dados-Status-Invest'!$2:$2,0),FALSE())/100,"")</f>
        <v>0.6057</v>
      </c>
      <c r="O410" s="10" t="n">
        <f aca="false">IFERROR(VLOOKUP(A410,'Dados-Status-Invest'!$1:$1000,MATCH(O$1,'Dados-Status-Invest'!$2:$2,0),FALSE())/100,"")</f>
        <v>0.962</v>
      </c>
      <c r="P410" s="10" t="n">
        <f aca="false">IFERROR(VLOOKUP(A410,'Dados-Status-Invest'!$1:$1000,MATCH(P$1,'Dados-Status-Invest'!$2:$2,0),FALSE())/100,"")</f>
        <v>-46.8014</v>
      </c>
      <c r="Q410" s="10" t="n">
        <f aca="false">IFERROR(VLOOKUP(A410,'Dados-Status-Invest'!$1:$1000,MATCH(Q$1,'Dados-Status-Invest'!$2:$2,0),FALSE())/100,"")</f>
        <v>-69.2542</v>
      </c>
      <c r="R410" s="12" t="n">
        <f aca="false">IFERROR(VLOOKUP(A410,'Dados-Status-Invest'!$1:$1000,MATCH(R$1,'Dados-Status-Invest'!$2:$2,0),FALSE()),"")</f>
        <v>-0.04</v>
      </c>
      <c r="S410" s="12" t="n">
        <f aca="false">IFERROR(VLOOKUP(A410,'Dados-Status-Invest'!$1:$1000,MATCH(S$1,'Dados-Status-Invest'!$2:$2,0),FALSE()),"")</f>
        <v>-0.01</v>
      </c>
      <c r="T410" s="12" t="n">
        <f aca="false">IFERROR(VLOOKUP(A410,'Dados-Status-Invest'!$1:$1000,MATCH(T$1,'Dados-Status-Invest'!$2:$2,0),FALSE()),"")</f>
        <v>-7.77</v>
      </c>
      <c r="U410" s="12" t="n">
        <f aca="false">IFERROR(VLOOKUP(A410,'Dados-Status-Invest'!$1:$1000,MATCH(U$1,'Dados-Status-Invest'!$2:$2,0),FALSE()),"")</f>
        <v>0.03</v>
      </c>
      <c r="V410" s="12" t="n">
        <f aca="false">IFERROR(VLOOKUP(A410,'Dados-Status-Invest'!$1:$1000,MATCH(V$1,'Dados-Status-Invest'!$2:$2,0),FALSE()),"")</f>
        <v>-7.72</v>
      </c>
      <c r="W410" s="10" t="n">
        <f aca="false">IFERROR(VLOOKUP(A410,'Dados-Status-Invest'!$1:$1000,MATCH(W$1,'Dados-Status-Invest'!$2:$2,0),FALSE())/100,"")</f>
        <v>-0.444</v>
      </c>
      <c r="X410" s="10" t="n">
        <f aca="false">IFERROR(VLOOKUP(A410,'Dados-Status-Invest'!$1:$1000,MATCH(X$1,'Dados-Status-Invest'!$2:$2,0),FALSE())/100,"")</f>
        <v>0</v>
      </c>
    </row>
    <row r="411" customFormat="false" ht="15.75" hidden="false" customHeight="false" outlineLevel="0" collapsed="false">
      <c r="A411" s="6" t="s">
        <v>444</v>
      </c>
      <c r="B411" s="7" t="str">
        <f aca="false">IFERROR(VLOOKUP(LEFT(A411,4),Setor!A:D,2,FALSE()),"")</f>
        <v>Saúde</v>
      </c>
      <c r="C411" s="8" t="n">
        <f aca="false">IFERROR(__xludf.dummyfunction("IFERROR(IFERROR(GOOGLEFINANCE(A417,""price""),VLOOKUP(A417,'Dados-Status-Invest'!A:B,2,FALSE)),"""")"),19.28)</f>
        <v>19.28</v>
      </c>
      <c r="D411" s="8" t="n">
        <f aca="false">IFERROR(VLOOKUP(A411,'Dados-Status-Invest'!$1:$1000,MATCH(D$1,'Dados-Status-Invest'!$2:$2,0),FALSE()),"")</f>
        <v>2787224502</v>
      </c>
      <c r="E411" s="8" t="n">
        <f aca="false">IF(D411+H411&gt;0,D411+H411,"")</f>
        <v>2910709131.8</v>
      </c>
      <c r="F411" s="8" t="n">
        <f aca="false">IFERROR(D411/VLOOKUP(A411,'Dados-Status-Invest'!$1:$1000,5,FALSE()),"")</f>
        <v>753303919.4</v>
      </c>
      <c r="G411" s="8" t="n">
        <f aca="false">IFERROR(D411/VLOOKUP(A411,'Dados-Status-Invest'!$1:$1000,6,FALSE()),"")</f>
        <v>1976754966</v>
      </c>
      <c r="H411" s="8" t="n">
        <f aca="false">IFERROR(VLOOKUP(A411,'Dados-Status-Invest'!$1:$1000,12,FALSE())*J411,"")</f>
        <v>123484629.8</v>
      </c>
      <c r="I411" s="8" t="n">
        <f aca="false">IFERROR(D411/VLOOKUP(A411,'Dados-Status-Invest'!$1:$1000,14,FALSE()),"")</f>
        <v>1659062203</v>
      </c>
      <c r="J411" s="9" t="n">
        <f aca="false">IFERROR(D411/VLOOKUP(A411,'Dados-Status-Invest'!$1:$1000,10,FALSE()),"")</f>
        <v>252009448.6</v>
      </c>
      <c r="K411" s="10" t="n">
        <f aca="false">IFERROR(VLOOKUP(A411,'Dados-Status-Invest'!$1:$1000,3,FALSE())/100,"")</f>
        <v>0.0157</v>
      </c>
      <c r="L411" s="11" t="n">
        <f aca="false">IFERROR(VLOOKUP(A411,'Dados-Status-Invest'!$1:$1000,MATCH(L$1,'Dados-Status-Invest'!$2:$2,0),FALSE())/100,"")</f>
        <v>0.2129</v>
      </c>
      <c r="M411" s="10" t="n">
        <f aca="false">IFERROR(VLOOKUP(A411,'Dados-Status-Invest'!$1:$1000,MATCH(M$1,'Dados-Status-Invest'!$2:$2,0),FALSE())/100,"")</f>
        <v>0.081</v>
      </c>
      <c r="N411" s="10" t="n">
        <f aca="false">IFERROR(VLOOKUP(A411,'Dados-Status-Invest'!$1:$1000,MATCH(N$1,'Dados-Status-Invest'!$2:$2,0),FALSE())/100,"")</f>
        <v>0.1677</v>
      </c>
      <c r="O411" s="10" t="n">
        <f aca="false">IFERROR(VLOOKUP(A411,'Dados-Status-Invest'!$1:$1000,MATCH(O$1,'Dados-Status-Invest'!$2:$2,0),FALSE())/100,"")</f>
        <v>0.2799</v>
      </c>
      <c r="P411" s="10" t="n">
        <f aca="false">IFERROR(VLOOKUP(A411,'Dados-Status-Invest'!$1:$1000,MATCH(P$1,'Dados-Status-Invest'!$2:$2,0),FALSE())/100,"")</f>
        <v>0.1519</v>
      </c>
      <c r="Q411" s="10" t="n">
        <f aca="false">IFERROR(VLOOKUP(A411,'Dados-Status-Invest'!$1:$1000,MATCH(Q$1,'Dados-Status-Invest'!$2:$2,0),FALSE())/100,"")</f>
        <v>0.0967</v>
      </c>
      <c r="R411" s="12" t="n">
        <f aca="false">IFERROR(VLOOKUP(A411,'Dados-Status-Invest'!$1:$1000,MATCH(R$1,'Dados-Status-Invest'!$2:$2,0),FALSE()),"")</f>
        <v>17.37</v>
      </c>
      <c r="S411" s="12" t="n">
        <f aca="false">IFERROR(VLOOKUP(A411,'Dados-Status-Invest'!$1:$1000,MATCH(S$1,'Dados-Status-Invest'!$2:$2,0),FALSE()),"")</f>
        <v>3.7</v>
      </c>
      <c r="T411" s="12" t="n">
        <f aca="false">IFERROR(VLOOKUP(A411,'Dados-Status-Invest'!$1:$1000,MATCH(T$1,'Dados-Status-Invest'!$2:$2,0),FALSE()),"")</f>
        <v>11.53</v>
      </c>
      <c r="U411" s="12" t="n">
        <f aca="false">IFERROR(VLOOKUP(A411,'Dados-Status-Invest'!$1:$1000,MATCH(U$1,'Dados-Status-Invest'!$2:$2,0),FALSE()),"")</f>
        <v>1.67</v>
      </c>
      <c r="V411" s="12" t="n">
        <f aca="false">IFERROR(VLOOKUP(A411,'Dados-Status-Invest'!$1:$1000,MATCH(V$1,'Dados-Status-Invest'!$2:$2,0),FALSE()),"")</f>
        <v>0.49</v>
      </c>
      <c r="W411" s="10" t="n">
        <f aca="false">IFERROR(VLOOKUP(A411,'Dados-Status-Invest'!$1:$1000,MATCH(W$1,'Dados-Status-Invest'!$2:$2,0),FALSE())/100,"")</f>
        <v>0.1412</v>
      </c>
      <c r="X411" s="10" t="n">
        <f aca="false">IFERROR(VLOOKUP(A411,'Dados-Status-Invest'!$1:$1000,MATCH(X$1,'Dados-Status-Invest'!$2:$2,0),FALSE())/100,"")</f>
        <v>0.085</v>
      </c>
    </row>
    <row r="412" customFormat="false" ht="15.75" hidden="false" customHeight="false" outlineLevel="0" collapsed="false">
      <c r="A412" s="6" t="s">
        <v>445</v>
      </c>
      <c r="B412" s="7" t="str">
        <f aca="false">IFERROR(VLOOKUP(LEFT(A412,4),Setor!A:D,2,FALSE()),"")</f>
        <v>Materiais Básicos</v>
      </c>
      <c r="C412" s="8" t="n">
        <f aca="false">IFERROR(__xludf.dummyfunction("IFERROR(IFERROR(GOOGLEFINANCE(A418,""price""),VLOOKUP(A418,'Dados-Status-Invest'!A:B,2,FALSE)),"""")"),77.5)</f>
        <v>77.5</v>
      </c>
      <c r="D412" s="8" t="n">
        <f aca="false">IFERROR(VLOOKUP(A412,'Dados-Status-Invest'!$1:$1000,MATCH(D$1,'Dados-Status-Invest'!$2:$2,0),FALSE()),"")</f>
        <v>1925370105</v>
      </c>
      <c r="E412" s="8" t="n">
        <f aca="false">IF(D412+H412&gt;0,D412+H412,"")</f>
        <v>1968455310.15</v>
      </c>
      <c r="F412" s="8" t="n">
        <f aca="false">IFERROR(D412/VLOOKUP(A412,'Dados-Status-Invest'!$1:$1000,5,FALSE()),"")</f>
        <v>687632180.4</v>
      </c>
      <c r="G412" s="8" t="n">
        <f aca="false">IFERROR(D412/VLOOKUP(A412,'Dados-Status-Invest'!$1:$1000,6,FALSE()),"")</f>
        <v>1504195395</v>
      </c>
      <c r="H412" s="8" t="n">
        <f aca="false">IFERROR(VLOOKUP(A412,'Dados-Status-Invest'!$1:$1000,12,FALSE())*J412,"")</f>
        <v>43085205.15</v>
      </c>
      <c r="I412" s="8" t="n">
        <f aca="false">IFERROR(D412/VLOOKUP(A412,'Dados-Status-Invest'!$1:$1000,14,FALSE()),"")</f>
        <v>1766394592</v>
      </c>
      <c r="J412" s="9" t="n">
        <f aca="false">IFERROR(D412/VLOOKUP(A412,'Dados-Status-Invest'!$1:$1000,10,FALSE()),"")</f>
        <v>269282532.2</v>
      </c>
      <c r="K412" s="10" t="n">
        <f aca="false">IFERROR(VLOOKUP(A412,'Dados-Status-Invest'!$1:$1000,3,FALSE())/100,"")</f>
        <v>0.0243</v>
      </c>
      <c r="L412" s="11" t="n">
        <f aca="false">IFERROR(VLOOKUP(A412,'Dados-Status-Invest'!$1:$1000,MATCH(L$1,'Dados-Status-Invest'!$2:$2,0),FALSE())/100,"")</f>
        <v>0.2534</v>
      </c>
      <c r="M412" s="10" t="n">
        <f aca="false">IFERROR(VLOOKUP(A412,'Dados-Status-Invest'!$1:$1000,MATCH(M$1,'Dados-Status-Invest'!$2:$2,0),FALSE())/100,"")</f>
        <v>0.1163</v>
      </c>
      <c r="N412" s="10" t="n">
        <f aca="false">IFERROR(VLOOKUP(A412,'Dados-Status-Invest'!$1:$1000,MATCH(N$1,'Dados-Status-Invest'!$2:$2,0),FALSE())/100,"")</f>
        <v>0.1691</v>
      </c>
      <c r="O412" s="10" t="n">
        <f aca="false">IFERROR(VLOOKUP(A412,'Dados-Status-Invest'!$1:$1000,MATCH(O$1,'Dados-Status-Invest'!$2:$2,0),FALSE())/100,"")</f>
        <v>0.2071</v>
      </c>
      <c r="P412" s="10" t="n">
        <f aca="false">IFERROR(VLOOKUP(A412,'Dados-Status-Invest'!$1:$1000,MATCH(P$1,'Dados-Status-Invest'!$2:$2,0),FALSE())/100,"")</f>
        <v>0.1529</v>
      </c>
      <c r="Q412" s="10" t="n">
        <f aca="false">IFERROR(VLOOKUP(A412,'Dados-Status-Invest'!$1:$1000,MATCH(Q$1,'Dados-Status-Invest'!$2:$2,0),FALSE())/100,"")</f>
        <v>0.0991</v>
      </c>
      <c r="R412" s="12" t="n">
        <f aca="false">IFERROR(VLOOKUP(A412,'Dados-Status-Invest'!$1:$1000,MATCH(R$1,'Dados-Status-Invest'!$2:$2,0),FALSE()),"")</f>
        <v>11.03</v>
      </c>
      <c r="S412" s="12" t="n">
        <f aca="false">IFERROR(VLOOKUP(A412,'Dados-Status-Invest'!$1:$1000,MATCH(S$1,'Dados-Status-Invest'!$2:$2,0),FALSE()),"")</f>
        <v>2.8</v>
      </c>
      <c r="T412" s="12" t="n">
        <f aca="false">IFERROR(VLOOKUP(A412,'Dados-Status-Invest'!$1:$1000,MATCH(T$1,'Dados-Status-Invest'!$2:$2,0),FALSE()),"")</f>
        <v>7.34</v>
      </c>
      <c r="U412" s="12" t="n">
        <f aca="false">IFERROR(VLOOKUP(A412,'Dados-Status-Invest'!$1:$1000,MATCH(U$1,'Dados-Status-Invest'!$2:$2,0),FALSE()),"")</f>
        <v>2.6</v>
      </c>
      <c r="V412" s="12" t="n">
        <f aca="false">IFERROR(VLOOKUP(A412,'Dados-Status-Invest'!$1:$1000,MATCH(V$1,'Dados-Status-Invest'!$2:$2,0),FALSE()),"")</f>
        <v>0.16</v>
      </c>
      <c r="W412" s="10" t="n">
        <f aca="false">IFERROR(VLOOKUP(A412,'Dados-Status-Invest'!$1:$1000,MATCH(W$1,'Dados-Status-Invest'!$2:$2,0),FALSE())/100,"")</f>
        <v>0.1773</v>
      </c>
      <c r="X412" s="10" t="n">
        <f aca="false">IFERROR(VLOOKUP(A412,'Dados-Status-Invest'!$1:$1000,MATCH(X$1,'Dados-Status-Invest'!$2:$2,0),FALSE())/100,"")</f>
        <v>0.7516</v>
      </c>
    </row>
    <row r="413" customFormat="false" ht="15.75" hidden="false" customHeight="false" outlineLevel="0" collapsed="false">
      <c r="A413" s="6" t="s">
        <v>446</v>
      </c>
      <c r="B413" s="7" t="str">
        <f aca="false">IFERROR(VLOOKUP(LEFT(A413,4),Setor!A:D,2,FALSE()),"")</f>
        <v>Materiais Básicos</v>
      </c>
      <c r="C413" s="8" t="n">
        <f aca="false">IFERROR(__xludf.dummyfunction("IFERROR(IFERROR(GOOGLEFINANCE(A419,""price""),VLOOKUP(A419,'Dados-Status-Invest'!A:B,2,FALSE)),"""")"),60.2)</f>
        <v>60.2</v>
      </c>
      <c r="D413" s="8" t="n">
        <f aca="false">IFERROR(VLOOKUP(A413,'Dados-Status-Invest'!$1:$1000,MATCH(D$1,'Dados-Status-Invest'!$2:$2,0),FALSE()),"")</f>
        <v>1925370105</v>
      </c>
      <c r="E413" s="8" t="n">
        <f aca="false">IF(D413+H413&gt;0,D413+H413,"")</f>
        <v>1965068457.68</v>
      </c>
      <c r="F413" s="8" t="n">
        <f aca="false">IFERROR(D413/VLOOKUP(A413,'Dados-Status-Invest'!$1:$1000,5,FALSE()),"")</f>
        <v>635435678.2</v>
      </c>
      <c r="G413" s="8" t="n">
        <f aca="false">IFERROR(D413/VLOOKUP(A413,'Dados-Status-Invest'!$1:$1000,6,FALSE()),"")</f>
        <v>1385158349</v>
      </c>
      <c r="H413" s="8" t="n">
        <f aca="false">IFERROR(VLOOKUP(A413,'Dados-Status-Invest'!$1:$1000,12,FALSE())*J413,"")</f>
        <v>39698352.68</v>
      </c>
      <c r="I413" s="8" t="n">
        <f aca="false">IFERROR(D413/VLOOKUP(A413,'Dados-Status-Invest'!$1:$1000,14,FALSE()),"")</f>
        <v>1617958071</v>
      </c>
      <c r="J413" s="9" t="n">
        <f aca="false">IFERROR(D413/VLOOKUP(A413,'Dados-Status-Invest'!$1:$1000,10,FALSE()),"")</f>
        <v>248114704.3</v>
      </c>
      <c r="K413" s="10" t="n">
        <f aca="false">IFERROR(VLOOKUP(A413,'Dados-Status-Invest'!$1:$1000,3,FALSE())/100,"")</f>
        <v>0.0454</v>
      </c>
      <c r="L413" s="11" t="n">
        <f aca="false">IFERROR(VLOOKUP(A413,'Dados-Status-Invest'!$1:$1000,MATCH(L$1,'Dados-Status-Invest'!$2:$2,0),FALSE())/100,"")</f>
        <v>0.2534</v>
      </c>
      <c r="M413" s="10" t="n">
        <f aca="false">IFERROR(VLOOKUP(A413,'Dados-Status-Invest'!$1:$1000,MATCH(M$1,'Dados-Status-Invest'!$2:$2,0),FALSE())/100,"")</f>
        <v>0.1163</v>
      </c>
      <c r="N413" s="10" t="n">
        <f aca="false">IFERROR(VLOOKUP(A413,'Dados-Status-Invest'!$1:$1000,MATCH(N$1,'Dados-Status-Invest'!$2:$2,0),FALSE())/100,"")</f>
        <v>0.1691</v>
      </c>
      <c r="O413" s="10" t="n">
        <f aca="false">IFERROR(VLOOKUP(A413,'Dados-Status-Invest'!$1:$1000,MATCH(O$1,'Dados-Status-Invest'!$2:$2,0),FALSE())/100,"")</f>
        <v>0.2071</v>
      </c>
      <c r="P413" s="10" t="n">
        <f aca="false">IFERROR(VLOOKUP(A413,'Dados-Status-Invest'!$1:$1000,MATCH(P$1,'Dados-Status-Invest'!$2:$2,0),FALSE())/100,"")</f>
        <v>0.1529</v>
      </c>
      <c r="Q413" s="10" t="n">
        <f aca="false">IFERROR(VLOOKUP(A413,'Dados-Status-Invest'!$1:$1000,MATCH(Q$1,'Dados-Status-Invest'!$2:$2,0),FALSE())/100,"")</f>
        <v>0.0991</v>
      </c>
      <c r="R413" s="12" t="n">
        <f aca="false">IFERROR(VLOOKUP(A413,'Dados-Status-Invest'!$1:$1000,MATCH(R$1,'Dados-Status-Invest'!$2:$2,0),FALSE()),"")</f>
        <v>11.98</v>
      </c>
      <c r="S413" s="12" t="n">
        <f aca="false">IFERROR(VLOOKUP(A413,'Dados-Status-Invest'!$1:$1000,MATCH(S$1,'Dados-Status-Invest'!$2:$2,0),FALSE()),"")</f>
        <v>3.03</v>
      </c>
      <c r="T413" s="12" t="n">
        <f aca="false">IFERROR(VLOOKUP(A413,'Dados-Status-Invest'!$1:$1000,MATCH(T$1,'Dados-Status-Invest'!$2:$2,0),FALSE()),"")</f>
        <v>7.34</v>
      </c>
      <c r="U413" s="12" t="n">
        <f aca="false">IFERROR(VLOOKUP(A413,'Dados-Status-Invest'!$1:$1000,MATCH(U$1,'Dados-Status-Invest'!$2:$2,0),FALSE()),"")</f>
        <v>2.6</v>
      </c>
      <c r="V413" s="12" t="n">
        <f aca="false">IFERROR(VLOOKUP(A413,'Dados-Status-Invest'!$1:$1000,MATCH(V$1,'Dados-Status-Invest'!$2:$2,0),FALSE()),"")</f>
        <v>0.16</v>
      </c>
      <c r="W413" s="10" t="n">
        <f aca="false">IFERROR(VLOOKUP(A413,'Dados-Status-Invest'!$1:$1000,MATCH(W$1,'Dados-Status-Invest'!$2:$2,0),FALSE())/100,"")</f>
        <v>0.1773</v>
      </c>
      <c r="X413" s="10" t="n">
        <f aca="false">IFERROR(VLOOKUP(A413,'Dados-Status-Invest'!$1:$1000,MATCH(X$1,'Dados-Status-Invest'!$2:$2,0),FALSE())/100,"")</f>
        <v>0.7516</v>
      </c>
    </row>
    <row r="414" customFormat="false" ht="15.75" hidden="false" customHeight="false" outlineLevel="0" collapsed="false">
      <c r="A414" s="6" t="s">
        <v>447</v>
      </c>
      <c r="B414" s="7" t="str">
        <f aca="false">IFERROR(VLOOKUP(LEFT(A414,4),Setor!A:D,2,FALSE()),"")</f>
        <v>Consumo não Cíclico</v>
      </c>
      <c r="C414" s="8" t="n">
        <f aca="false">IFERROR(__xludf.dummyfunction("IFERROR(IFERROR(GOOGLEFINANCE(A420,""price""),VLOOKUP(A420,'Dados-Status-Invest'!A:B,2,FALSE)),"""")"),20.26)</f>
        <v>20.26</v>
      </c>
      <c r="D414" s="8" t="n">
        <f aca="false">IFERROR(VLOOKUP(A414,'Dados-Status-Invest'!$1:$1000,MATCH(D$1,'Dados-Status-Invest'!$2:$2,0),FALSE()),"")</f>
        <v>10258369925</v>
      </c>
      <c r="E414" s="8" t="n">
        <f aca="false">IF(D414+H414&gt;0,D414+H414,"")</f>
        <v>15071912736</v>
      </c>
      <c r="F414" s="8" t="n">
        <f aca="false">IFERROR(D414/VLOOKUP(A414,'Dados-Status-Invest'!$1:$1000,5,FALSE()),"")</f>
        <v>13862662061</v>
      </c>
      <c r="G414" s="8" t="n">
        <f aca="false">IFERROR(D414/VLOOKUP(A414,'Dados-Status-Invest'!$1:$1000,6,FALSE()),"")</f>
        <v>48849380595</v>
      </c>
      <c r="H414" s="8" t="n">
        <f aca="false">IFERROR(VLOOKUP(A414,'Dados-Status-Invest'!$1:$1000,12,FALSE())*J414,"")</f>
        <v>4813542811</v>
      </c>
      <c r="I414" s="8" t="n">
        <f aca="false">IFERROR(D414/VLOOKUP(A414,'Dados-Status-Invest'!$1:$1000,14,FALSE()),"")</f>
        <v>44601608369</v>
      </c>
      <c r="J414" s="9" t="n">
        <f aca="false">IFERROR(D414/VLOOKUP(A414,'Dados-Status-Invest'!$1:$1000,10,FALSE()),"")</f>
        <v>2630351263</v>
      </c>
      <c r="K414" s="10" t="n">
        <f aca="false">IFERROR(VLOOKUP(A414,'Dados-Status-Invest'!$1:$1000,3,FALSE())/100,"")</f>
        <v>0.0568</v>
      </c>
      <c r="L414" s="11" t="n">
        <f aca="false">IFERROR(VLOOKUP(A414,'Dados-Status-Invest'!$1:$1000,MATCH(L$1,'Dados-Status-Invest'!$2:$2,0),FALSE())/100,"")</f>
        <v>0.1729</v>
      </c>
      <c r="M414" s="10" t="n">
        <f aca="false">IFERROR(VLOOKUP(A414,'Dados-Status-Invest'!$1:$1000,MATCH(M$1,'Dados-Status-Invest'!$2:$2,0),FALSE())/100,"")</f>
        <v>0.0484</v>
      </c>
      <c r="N414" s="10" t="n">
        <f aca="false">IFERROR(VLOOKUP(A414,'Dados-Status-Invest'!$1:$1000,MATCH(N$1,'Dados-Status-Invest'!$2:$2,0),FALSE())/100,"")</f>
        <v>0.0796</v>
      </c>
      <c r="O414" s="10" t="n">
        <f aca="false">IFERROR(VLOOKUP(A414,'Dados-Status-Invest'!$1:$1000,MATCH(O$1,'Dados-Status-Invest'!$2:$2,0),FALSE())/100,"")</f>
        <v>0.2916</v>
      </c>
      <c r="P414" s="10" t="n">
        <f aca="false">IFERROR(VLOOKUP(A414,'Dados-Status-Invest'!$1:$1000,MATCH(P$1,'Dados-Status-Invest'!$2:$2,0),FALSE())/100,"")</f>
        <v>0.06</v>
      </c>
      <c r="Q414" s="10" t="n">
        <f aca="false">IFERROR(VLOOKUP(A414,'Dados-Status-Invest'!$1:$1000,MATCH(Q$1,'Dados-Status-Invest'!$2:$2,0),FALSE())/100,"")</f>
        <v>0.055</v>
      </c>
      <c r="R414" s="12" t="n">
        <f aca="false">IFERROR(VLOOKUP(A414,'Dados-Status-Invest'!$1:$1000,MATCH(R$1,'Dados-Status-Invest'!$2:$2,0),FALSE()),"")</f>
        <v>4.26</v>
      </c>
      <c r="S414" s="12" t="n">
        <f aca="false">IFERROR(VLOOKUP(A414,'Dados-Status-Invest'!$1:$1000,MATCH(S$1,'Dados-Status-Invest'!$2:$2,0),FALSE()),"")</f>
        <v>0.74</v>
      </c>
      <c r="T414" s="12" t="n">
        <f aca="false">IFERROR(VLOOKUP(A414,'Dados-Status-Invest'!$1:$1000,MATCH(T$1,'Dados-Status-Invest'!$2:$2,0),FALSE()),"")</f>
        <v>5.72</v>
      </c>
      <c r="U414" s="12" t="n">
        <f aca="false">IFERROR(VLOOKUP(A414,'Dados-Status-Invest'!$1:$1000,MATCH(U$1,'Dados-Status-Invest'!$2:$2,0),FALSE()),"")</f>
        <v>0.87</v>
      </c>
      <c r="V414" s="12" t="n">
        <f aca="false">IFERROR(VLOOKUP(A414,'Dados-Status-Invest'!$1:$1000,MATCH(V$1,'Dados-Status-Invest'!$2:$2,0),FALSE()),"")</f>
        <v>1.83</v>
      </c>
      <c r="W414" s="10" t="n">
        <f aca="false">IFERROR(VLOOKUP(A414,'Dados-Status-Invest'!$1:$1000,MATCH(W$1,'Dados-Status-Invest'!$2:$2,0),FALSE())/100,"")</f>
        <v>0.0662</v>
      </c>
      <c r="X414" s="10" t="n">
        <f aca="false">IFERROR(VLOOKUP(A414,'Dados-Status-Invest'!$1:$1000,MATCH(X$1,'Dados-Status-Invest'!$2:$2,0),FALSE())/100,"")</f>
        <v>0</v>
      </c>
    </row>
    <row r="415" customFormat="false" ht="15.75" hidden="false" customHeight="false" outlineLevel="0" collapsed="false">
      <c r="A415" s="6" t="s">
        <v>448</v>
      </c>
      <c r="B415" s="7" t="str">
        <f aca="false">IFERROR(VLOOKUP(LEFT(A415,4),Setor!A:D,2,FALSE()),"")</f>
        <v>Consumo não Cíclico</v>
      </c>
      <c r="C415" s="8" t="n">
        <f aca="false">IFERROR(__xludf.dummyfunction("IFERROR(IFERROR(GOOGLEFINANCE(A421,""price""),VLOOKUP(A421,'Dados-Status-Invest'!A:B,2,FALSE)),"""")"),72.11)</f>
        <v>72.11</v>
      </c>
      <c r="D415" s="8" t="n">
        <f aca="false">IFERROR(VLOOKUP(A415,'Dados-Status-Invest'!$1:$1000,MATCH(D$1,'Dados-Status-Invest'!$2:$2,0),FALSE()),"")</f>
        <v>10258369925</v>
      </c>
      <c r="E415" s="8" t="n">
        <f aca="false">IF(D415+H415&gt;0,D415+H415,"")</f>
        <v>12815974416</v>
      </c>
      <c r="F415" s="8" t="n">
        <f aca="false">IFERROR(D415/VLOOKUP(A415,'Dados-Status-Invest'!$1:$1000,5,FALSE()),"")</f>
        <v>7433601395</v>
      </c>
      <c r="G415" s="8" t="n">
        <f aca="false">IFERROR(D415/VLOOKUP(A415,'Dados-Status-Invest'!$1:$1000,6,FALSE()),"")</f>
        <v>26303512628</v>
      </c>
      <c r="H415" s="8" t="n">
        <f aca="false">IFERROR(VLOOKUP(A415,'Dados-Status-Invest'!$1:$1000,12,FALSE())*J415,"")</f>
        <v>2557604491</v>
      </c>
      <c r="I415" s="8" t="n">
        <f aca="false">IFERROR(D415/VLOOKUP(A415,'Dados-Status-Invest'!$1:$1000,14,FALSE()),"")</f>
        <v>23314477102</v>
      </c>
      <c r="J415" s="9" t="n">
        <f aca="false">IFERROR(D415/VLOOKUP(A415,'Dados-Status-Invest'!$1:$1000,10,FALSE()),"")</f>
        <v>1397598082</v>
      </c>
      <c r="K415" s="10" t="n">
        <f aca="false">IFERROR(VLOOKUP(A415,'Dados-Status-Invest'!$1:$1000,3,FALSE())/100,"")</f>
        <v>0</v>
      </c>
      <c r="L415" s="11" t="n">
        <f aca="false">IFERROR(VLOOKUP(A415,'Dados-Status-Invest'!$1:$1000,MATCH(L$1,'Dados-Status-Invest'!$2:$2,0),FALSE())/100,"")</f>
        <v>0.1729</v>
      </c>
      <c r="M415" s="10" t="n">
        <f aca="false">IFERROR(VLOOKUP(A415,'Dados-Status-Invest'!$1:$1000,MATCH(M$1,'Dados-Status-Invest'!$2:$2,0),FALSE())/100,"")</f>
        <v>0.0484</v>
      </c>
      <c r="N415" s="10" t="n">
        <f aca="false">IFERROR(VLOOKUP(A415,'Dados-Status-Invest'!$1:$1000,MATCH(N$1,'Dados-Status-Invest'!$2:$2,0),FALSE())/100,"")</f>
        <v>0.0796</v>
      </c>
      <c r="O415" s="10" t="n">
        <f aca="false">IFERROR(VLOOKUP(A415,'Dados-Status-Invest'!$1:$1000,MATCH(O$1,'Dados-Status-Invest'!$2:$2,0),FALSE())/100,"")</f>
        <v>0.2916</v>
      </c>
      <c r="P415" s="10" t="n">
        <f aca="false">IFERROR(VLOOKUP(A415,'Dados-Status-Invest'!$1:$1000,MATCH(P$1,'Dados-Status-Invest'!$2:$2,0),FALSE())/100,"")</f>
        <v>0.06</v>
      </c>
      <c r="Q415" s="10" t="n">
        <f aca="false">IFERROR(VLOOKUP(A415,'Dados-Status-Invest'!$1:$1000,MATCH(Q$1,'Dados-Status-Invest'!$2:$2,0),FALSE())/100,"")</f>
        <v>0.055</v>
      </c>
      <c r="R415" s="12" t="n">
        <f aca="false">IFERROR(VLOOKUP(A415,'Dados-Status-Invest'!$1:$1000,MATCH(R$1,'Dados-Status-Invest'!$2:$2,0),FALSE()),"")</f>
        <v>8.01</v>
      </c>
      <c r="S415" s="12" t="n">
        <f aca="false">IFERROR(VLOOKUP(A415,'Dados-Status-Invest'!$1:$1000,MATCH(S$1,'Dados-Status-Invest'!$2:$2,0),FALSE()),"")</f>
        <v>1.38</v>
      </c>
      <c r="T415" s="12" t="n">
        <f aca="false">IFERROR(VLOOKUP(A415,'Dados-Status-Invest'!$1:$1000,MATCH(T$1,'Dados-Status-Invest'!$2:$2,0),FALSE()),"")</f>
        <v>5.72</v>
      </c>
      <c r="U415" s="12" t="n">
        <f aca="false">IFERROR(VLOOKUP(A415,'Dados-Status-Invest'!$1:$1000,MATCH(U$1,'Dados-Status-Invest'!$2:$2,0),FALSE()),"")</f>
        <v>0.87</v>
      </c>
      <c r="V415" s="12" t="n">
        <f aca="false">IFERROR(VLOOKUP(A415,'Dados-Status-Invest'!$1:$1000,MATCH(V$1,'Dados-Status-Invest'!$2:$2,0),FALSE()),"")</f>
        <v>1.83</v>
      </c>
      <c r="W415" s="10" t="n">
        <f aca="false">IFERROR(VLOOKUP(A415,'Dados-Status-Invest'!$1:$1000,MATCH(W$1,'Dados-Status-Invest'!$2:$2,0),FALSE())/100,"")</f>
        <v>0.0662</v>
      </c>
      <c r="X415" s="10" t="n">
        <f aca="false">IFERROR(VLOOKUP(A415,'Dados-Status-Invest'!$1:$1000,MATCH(X$1,'Dados-Status-Invest'!$2:$2,0),FALSE())/100,"")</f>
        <v>0</v>
      </c>
    </row>
    <row r="416" customFormat="false" ht="15.75" hidden="false" customHeight="false" outlineLevel="0" collapsed="false">
      <c r="A416" s="6" t="s">
        <v>449</v>
      </c>
      <c r="B416" s="7" t="str">
        <f aca="false">IFERROR(VLOOKUP(LEFT(A416,4),Setor!A:D,2,FALSE()),"")</f>
        <v>Consumo Cíclico</v>
      </c>
      <c r="C416" s="8" t="n">
        <f aca="false">IFERROR(__xludf.dummyfunction("IFERROR(IFERROR(GOOGLEFINANCE(A422,""price""),VLOOKUP(A422,'Dados-Status-Invest'!A:B,2,FALSE)),"""")"),1.3)</f>
        <v>1.3</v>
      </c>
      <c r="D416" s="8" t="n">
        <f aca="false">IFERROR(VLOOKUP(A416,'Dados-Status-Invest'!$1:$1000,MATCH(D$1,'Dados-Status-Invest'!$2:$2,0),FALSE()),"")</f>
        <v>395179537.3</v>
      </c>
      <c r="E416" s="8" t="n">
        <f aca="false">IF(D416+H416&gt;0,D416+H416,"")</f>
        <v>1547509784.3</v>
      </c>
      <c r="F416" s="8" t="n">
        <f aca="false">IFERROR(D416/VLOOKUP(A416,'Dados-Status-Invest'!$1:$1000,5,FALSE()),"")</f>
        <v>-5645421961</v>
      </c>
      <c r="G416" s="8" t="n">
        <f aca="false">IFERROR(D416/VLOOKUP(A416,'Dados-Status-Invest'!$1:$1000,6,FALSE()),"")</f>
        <v>1646581405</v>
      </c>
      <c r="H416" s="8" t="n">
        <f aca="false">IFERROR(VLOOKUP(A416,'Dados-Status-Invest'!$1:$1000,12,FALSE())*J416,"")</f>
        <v>1152330247</v>
      </c>
      <c r="I416" s="8" t="n">
        <f aca="false">IFERROR(D416/VLOOKUP(A416,'Dados-Status-Invest'!$1:$1000,14,FALSE()),"")</f>
        <v>253320216.2</v>
      </c>
      <c r="J416" s="9" t="n">
        <f aca="false">IFERROR(D416/VLOOKUP(A416,'Dados-Status-Invest'!$1:$1000,10,FALSE()),"")</f>
        <v>-332083644.8</v>
      </c>
      <c r="K416" s="10" t="n">
        <f aca="false">IFERROR(VLOOKUP(A416,'Dados-Status-Invest'!$1:$1000,3,FALSE())/100,"")</f>
        <v>0</v>
      </c>
      <c r="L416" s="11" t="n">
        <f aca="false">IFERROR(VLOOKUP(A416,'Dados-Status-Invest'!$1:$1000,MATCH(L$1,'Dados-Status-Invest'!$2:$2,0),FALSE())/100,"")</f>
        <v>-0.0903</v>
      </c>
      <c r="M416" s="10" t="n">
        <f aca="false">IFERROR(VLOOKUP(A416,'Dados-Status-Invest'!$1:$1000,MATCH(M$1,'Dados-Status-Invest'!$2:$2,0),FALSE())/100,"")</f>
        <v>-0.3018</v>
      </c>
      <c r="N416" s="10" t="n">
        <f aca="false">IFERROR(VLOOKUP(A416,'Dados-Status-Invest'!$1:$1000,MATCH(N$1,'Dados-Status-Invest'!$2:$2,0),FALSE())/100,"")</f>
        <v>0.1</v>
      </c>
      <c r="O416" s="10" t="n">
        <f aca="false">IFERROR(VLOOKUP(A416,'Dados-Status-Invest'!$1:$1000,MATCH(O$1,'Dados-Status-Invest'!$2:$2,0),FALSE())/100,"")</f>
        <v>0.3405</v>
      </c>
      <c r="P416" s="10" t="n">
        <f aca="false">IFERROR(VLOOKUP(A416,'Dados-Status-Invest'!$1:$1000,MATCH(P$1,'Dados-Status-Invest'!$2:$2,0),FALSE())/100,"")</f>
        <v>-1.3063</v>
      </c>
      <c r="Q416" s="10" t="n">
        <f aca="false">IFERROR(VLOOKUP(A416,'Dados-Status-Invest'!$1:$1000,MATCH(Q$1,'Dados-Status-Invest'!$2:$2,0),FALSE())/100,"")</f>
        <v>-1.9666</v>
      </c>
      <c r="R416" s="12" t="n">
        <f aca="false">IFERROR(VLOOKUP(A416,'Dados-Status-Invest'!$1:$1000,MATCH(R$1,'Dados-Status-Invest'!$2:$2,0),FALSE()),"")</f>
        <v>-0.79</v>
      </c>
      <c r="S416" s="12" t="n">
        <f aca="false">IFERROR(VLOOKUP(A416,'Dados-Status-Invest'!$1:$1000,MATCH(S$1,'Dados-Status-Invest'!$2:$2,0),FALSE()),"")</f>
        <v>-0.07</v>
      </c>
      <c r="T416" s="12" t="n">
        <f aca="false">IFERROR(VLOOKUP(A416,'Dados-Status-Invest'!$1:$1000,MATCH(T$1,'Dados-Status-Invest'!$2:$2,0),FALSE()),"")</f>
        <v>-4.66</v>
      </c>
      <c r="U416" s="12" t="n">
        <f aca="false">IFERROR(VLOOKUP(A416,'Dados-Status-Invest'!$1:$1000,MATCH(U$1,'Dados-Status-Invest'!$2:$2,0),FALSE()),"")</f>
        <v>0.36</v>
      </c>
      <c r="V416" s="12" t="n">
        <f aca="false">IFERROR(VLOOKUP(A416,'Dados-Status-Invest'!$1:$1000,MATCH(V$1,'Dados-Status-Invest'!$2:$2,0),FALSE()),"")</f>
        <v>-3.47</v>
      </c>
      <c r="W416" s="10" t="n">
        <f aca="false">IFERROR(VLOOKUP(A416,'Dados-Status-Invest'!$1:$1000,MATCH(W$1,'Dados-Status-Invest'!$2:$2,0),FALSE())/100,"")</f>
        <v>-0.3522</v>
      </c>
      <c r="X416" s="10" t="n">
        <f aca="false">IFERROR(VLOOKUP(A416,'Dados-Status-Invest'!$1:$1000,MATCH(X$1,'Dados-Status-Invest'!$2:$2,0),FALSE())/100,"")</f>
        <v>0</v>
      </c>
    </row>
    <row r="417" customFormat="false" ht="15.75" hidden="false" customHeight="false" outlineLevel="0" collapsed="false">
      <c r="A417" s="6" t="s">
        <v>450</v>
      </c>
      <c r="B417" s="7" t="str">
        <f aca="false">IFERROR(VLOOKUP(LEFT(A417,4),Setor!A:D,2,FALSE()),"")</f>
        <v>Financeiro</v>
      </c>
      <c r="C417" s="8" t="n">
        <f aca="false">IFERROR(__xludf.dummyfunction("IFERROR(IFERROR(GOOGLEFINANCE(A423,""price""),VLOOKUP(A423,'Dados-Status-Invest'!A:B,2,FALSE)),"""")"),3.89)</f>
        <v>3.89</v>
      </c>
      <c r="D417" s="8" t="n">
        <f aca="false">IFERROR(VLOOKUP(A417,'Dados-Status-Invest'!$1:$1000,MATCH(D$1,'Dados-Status-Invest'!$2:$2,0),FALSE()),"")</f>
        <v>538165483.9</v>
      </c>
      <c r="E417" s="8" t="n">
        <f aca="false">IF(D417+H417&gt;0,D417+H417,"")</f>
        <v>559231830.15</v>
      </c>
      <c r="F417" s="8" t="n">
        <f aca="false">IFERROR(D417/VLOOKUP(A417,'Dados-Status-Invest'!$1:$1000,5,FALSE()),"")</f>
        <v>102703336.6</v>
      </c>
      <c r="G417" s="8" t="n">
        <f aca="false">IFERROR(D417/VLOOKUP(A417,'Dados-Status-Invest'!$1:$1000,6,FALSE()),"")</f>
        <v>376339499.3</v>
      </c>
      <c r="H417" s="8" t="n">
        <f aca="false">IFERROR(VLOOKUP(A417,'Dados-Status-Invest'!$1:$1000,12,FALSE())*J417,"")</f>
        <v>21066346.25</v>
      </c>
      <c r="I417" s="8" t="n">
        <f aca="false">IFERROR(D417/VLOOKUP(A417,'Dados-Status-Invest'!$1:$1000,14,FALSE()),"")</f>
        <v>168703913.5</v>
      </c>
      <c r="J417" s="9" t="n">
        <f aca="false">IFERROR(D417/VLOOKUP(A417,'Dados-Status-Invest'!$1:$1000,10,FALSE()),"")</f>
        <v>17702811.97</v>
      </c>
      <c r="K417" s="10" t="n">
        <f aca="false">IFERROR(VLOOKUP(A417,'Dados-Status-Invest'!$1:$1000,3,FALSE())/100,"")</f>
        <v>0</v>
      </c>
      <c r="L417" s="11" t="n">
        <f aca="false">IFERROR(VLOOKUP(A417,'Dados-Status-Invest'!$1:$1000,MATCH(L$1,'Dados-Status-Invest'!$2:$2,0),FALSE())/100,"")</f>
        <v>0.1671</v>
      </c>
      <c r="M417" s="10" t="n">
        <f aca="false">IFERROR(VLOOKUP(A417,'Dados-Status-Invest'!$1:$1000,MATCH(M$1,'Dados-Status-Invest'!$2:$2,0),FALSE())/100,"")</f>
        <v>0.0457</v>
      </c>
      <c r="N417" s="10" t="n">
        <f aca="false">IFERROR(VLOOKUP(A417,'Dados-Status-Invest'!$1:$1000,MATCH(N$1,'Dados-Status-Invest'!$2:$2,0),FALSE())/100,"")</f>
        <v>0.093</v>
      </c>
      <c r="O417" s="10" t="n">
        <f aca="false">IFERROR(VLOOKUP(A417,'Dados-Status-Invest'!$1:$1000,MATCH(O$1,'Dados-Status-Invest'!$2:$2,0),FALSE())/100,"")</f>
        <v>0.3643</v>
      </c>
      <c r="P417" s="10" t="n">
        <f aca="false">IFERROR(VLOOKUP(A417,'Dados-Status-Invest'!$1:$1000,MATCH(P$1,'Dados-Status-Invest'!$2:$2,0),FALSE())/100,"")</f>
        <v>0.1049</v>
      </c>
      <c r="Q417" s="10" t="n">
        <f aca="false">IFERROR(VLOOKUP(A417,'Dados-Status-Invest'!$1:$1000,MATCH(Q$1,'Dados-Status-Invest'!$2:$2,0),FALSE())/100,"")</f>
        <v>0.1017</v>
      </c>
      <c r="R417" s="12" t="n">
        <f aca="false">IFERROR(VLOOKUP(A417,'Dados-Status-Invest'!$1:$1000,MATCH(R$1,'Dados-Status-Invest'!$2:$2,0),FALSE()),"")</f>
        <v>31.36</v>
      </c>
      <c r="S417" s="12" t="n">
        <f aca="false">IFERROR(VLOOKUP(A417,'Dados-Status-Invest'!$1:$1000,MATCH(S$1,'Dados-Status-Invest'!$2:$2,0),FALSE()),"")</f>
        <v>5.24</v>
      </c>
      <c r="T417" s="12" t="n">
        <f aca="false">IFERROR(VLOOKUP(A417,'Dados-Status-Invest'!$1:$1000,MATCH(T$1,'Dados-Status-Invest'!$2:$2,0),FALSE()),"")</f>
        <v>31.5</v>
      </c>
      <c r="U417" s="12" t="n">
        <f aca="false">IFERROR(VLOOKUP(A417,'Dados-Status-Invest'!$1:$1000,MATCH(U$1,'Dados-Status-Invest'!$2:$2,0),FALSE()),"")</f>
        <v>1.82</v>
      </c>
      <c r="V417" s="12" t="n">
        <f aca="false">IFERROR(VLOOKUP(A417,'Dados-Status-Invest'!$1:$1000,MATCH(V$1,'Dados-Status-Invest'!$2:$2,0),FALSE()),"")</f>
        <v>1.19</v>
      </c>
      <c r="W417" s="10" t="n">
        <f aca="false">IFERROR(VLOOKUP(A417,'Dados-Status-Invest'!$1:$1000,MATCH(W$1,'Dados-Status-Invest'!$2:$2,0),FALSE())/100,"")</f>
        <v>1.7312</v>
      </c>
      <c r="X417" s="10" t="n">
        <f aca="false">IFERROR(VLOOKUP(A417,'Dados-Status-Invest'!$1:$1000,MATCH(X$1,'Dados-Status-Invest'!$2:$2,0),FALSE())/100,"")</f>
        <v>0</v>
      </c>
    </row>
    <row r="418" customFormat="false" ht="15.75" hidden="false" customHeight="false" outlineLevel="0" collapsed="false">
      <c r="A418" s="6" t="s">
        <v>451</v>
      </c>
      <c r="B418" s="7" t="str">
        <f aca="false">IFERROR(VLOOKUP(LEFT(A418,4),Setor!A:D,2,FALSE()),"")</f>
        <v>Financeiro</v>
      </c>
      <c r="C418" s="8" t="n">
        <f aca="false">IFERROR(__xludf.dummyfunction("IFERROR(IFERROR(GOOGLEFINANCE(A424,""price""),VLOOKUP(A424,'Dados-Status-Invest'!A:B,2,FALSE)),"""")"),60)</f>
        <v>60</v>
      </c>
      <c r="D418" s="8" t="n">
        <f aca="false">IFERROR(VLOOKUP(A418,'Dados-Status-Invest'!$1:$1000,MATCH(D$1,'Dados-Status-Invest'!$2:$2,0),FALSE()),"")</f>
        <v>880886556.9</v>
      </c>
      <c r="E418" s="8" t="n">
        <f aca="false">IF(D418+H418&gt;0,D418+H418,"")</f>
        <v>633137212.8</v>
      </c>
      <c r="F418" s="8" t="n">
        <f aca="false">IFERROR(D418/VLOOKUP(A418,'Dados-Status-Invest'!$1:$1000,5,FALSE()),"")</f>
        <v>547134507.4</v>
      </c>
      <c r="G418" s="8" t="n">
        <f aca="false">IFERROR(D418/VLOOKUP(A418,'Dados-Status-Invest'!$1:$1000,6,FALSE()),"")</f>
        <v>607507970.3</v>
      </c>
      <c r="H418" s="8" t="n">
        <f aca="false">IFERROR(VLOOKUP(A418,'Dados-Status-Invest'!$1:$1000,12,FALSE())*J418,"")</f>
        <v>-247749344.1</v>
      </c>
      <c r="I418" s="8" t="n">
        <f aca="false">IFERROR(D418/VLOOKUP(A418,'Dados-Status-Invest'!$1:$1000,14,FALSE()),"")</f>
        <v>93116972.19</v>
      </c>
      <c r="J418" s="9" t="n">
        <f aca="false">IFERROR(D418/VLOOKUP(A418,'Dados-Status-Invest'!$1:$1000,10,FALSE()),"")</f>
        <v>688192622.6</v>
      </c>
      <c r="K418" s="10" t="n">
        <f aca="false">IFERROR(VLOOKUP(A418,'Dados-Status-Invest'!$1:$1000,3,FALSE())/100,"")</f>
        <v>0.4274</v>
      </c>
      <c r="L418" s="11" t="n">
        <f aca="false">IFERROR(VLOOKUP(A418,'Dados-Status-Invest'!$1:$1000,MATCH(L$1,'Dados-Status-Invest'!$2:$2,0),FALSE())/100,"")</f>
        <v>0.8406</v>
      </c>
      <c r="M418" s="10" t="n">
        <f aca="false">IFERROR(VLOOKUP(A418,'Dados-Status-Invest'!$1:$1000,MATCH(M$1,'Dados-Status-Invest'!$2:$2,0),FALSE())/100,"")</f>
        <v>0.7591</v>
      </c>
      <c r="N418" s="10" t="n">
        <f aca="false">IFERROR(VLOOKUP(A418,'Dados-Status-Invest'!$1:$1000,MATCH(N$1,'Dados-Status-Invest'!$2:$2,0),FALSE())/100,"")</f>
        <v>0.8161</v>
      </c>
      <c r="O418" s="10" t="n">
        <f aca="false">IFERROR(VLOOKUP(A418,'Dados-Status-Invest'!$1:$1000,MATCH(O$1,'Dados-Status-Invest'!$2:$2,0),FALSE())/100,"")</f>
        <v>0.3648</v>
      </c>
      <c r="P418" s="10" t="n">
        <f aca="false">IFERROR(VLOOKUP(A418,'Dados-Status-Invest'!$1:$1000,MATCH(P$1,'Dados-Status-Invest'!$2:$2,0),FALSE())/100,"")</f>
        <v>7.3971</v>
      </c>
      <c r="Q418" s="10" t="n">
        <f aca="false">IFERROR(VLOOKUP(A418,'Dados-Status-Invest'!$1:$1000,MATCH(Q$1,'Dados-Status-Invest'!$2:$2,0),FALSE())/100,"")</f>
        <v>4.9478</v>
      </c>
      <c r="R418" s="12" t="n">
        <f aca="false">IFERROR(VLOOKUP(A418,'Dados-Status-Invest'!$1:$1000,MATCH(R$1,'Dados-Status-Invest'!$2:$2,0),FALSE()),"")</f>
        <v>1.91</v>
      </c>
      <c r="S418" s="12" t="n">
        <f aca="false">IFERROR(VLOOKUP(A418,'Dados-Status-Invest'!$1:$1000,MATCH(S$1,'Dados-Status-Invest'!$2:$2,0),FALSE()),"")</f>
        <v>1.61</v>
      </c>
      <c r="T418" s="12" t="n">
        <f aca="false">IFERROR(VLOOKUP(A418,'Dados-Status-Invest'!$1:$1000,MATCH(T$1,'Dados-Status-Invest'!$2:$2,0),FALSE()),"")</f>
        <v>0.87</v>
      </c>
      <c r="U418" s="12" t="n">
        <f aca="false">IFERROR(VLOOKUP(A418,'Dados-Status-Invest'!$1:$1000,MATCH(U$1,'Dados-Status-Invest'!$2:$2,0),FALSE()),"")</f>
        <v>24.55</v>
      </c>
      <c r="V418" s="12" t="n">
        <f aca="false">IFERROR(VLOOKUP(A418,'Dados-Status-Invest'!$1:$1000,MATCH(V$1,'Dados-Status-Invest'!$2:$2,0),FALSE()),"")</f>
        <v>-0.36</v>
      </c>
      <c r="W418" s="10" t="n">
        <f aca="false">IFERROR(VLOOKUP(A418,'Dados-Status-Invest'!$1:$1000,MATCH(W$1,'Dados-Status-Invest'!$2:$2,0),FALSE())/100,"")</f>
        <v>-0.0883</v>
      </c>
      <c r="X418" s="10" t="n">
        <f aca="false">IFERROR(VLOOKUP(A418,'Dados-Status-Invest'!$1:$1000,MATCH(X$1,'Dados-Status-Invest'!$2:$2,0),FALSE())/100,"")</f>
        <v>0.7806</v>
      </c>
    </row>
    <row r="419" customFormat="false" ht="15.75" hidden="false" customHeight="false" outlineLevel="0" collapsed="false">
      <c r="A419" s="6" t="s">
        <v>452</v>
      </c>
      <c r="B419" s="7" t="str">
        <f aca="false">IFERROR(VLOOKUP(LEFT(A419,4),Setor!A:D,2,FALSE()),"")</f>
        <v>Financeiro</v>
      </c>
      <c r="C419" s="8" t="n">
        <f aca="false">IFERROR(__xludf.dummyfunction("IFERROR(IFERROR(GOOGLEFINANCE(A425,""price""),VLOOKUP(A425,'Dados-Status-Invest'!A:B,2,FALSE)),"""")"),69.01)</f>
        <v>69.01</v>
      </c>
      <c r="D419" s="8" t="n">
        <f aca="false">IFERROR(VLOOKUP(A419,'Dados-Status-Invest'!$1:$1000,MATCH(D$1,'Dados-Status-Invest'!$2:$2,0),FALSE()),"")</f>
        <v>880886556.9</v>
      </c>
      <c r="E419" s="8" t="n">
        <f aca="false">IF(D419+H419&gt;0,D419+H419,"")</f>
        <v>623066101.2</v>
      </c>
      <c r="F419" s="8" t="n">
        <f aca="false">IFERROR(D419/VLOOKUP(A419,'Dados-Status-Invest'!$1:$1000,5,FALSE()),"")</f>
        <v>568313907.7</v>
      </c>
      <c r="G419" s="8" t="n">
        <f aca="false">IFERROR(D419/VLOOKUP(A419,'Dados-Status-Invest'!$1:$1000,6,FALSE()),"")</f>
        <v>629204683.5</v>
      </c>
      <c r="H419" s="8" t="n">
        <f aca="false">IFERROR(VLOOKUP(A419,'Dados-Status-Invest'!$1:$1000,12,FALSE())*J419,"")</f>
        <v>-257820455.7</v>
      </c>
      <c r="I419" s="8" t="n">
        <f aca="false">IFERROR(D419/VLOOKUP(A419,'Dados-Status-Invest'!$1:$1000,14,FALSE()),"")</f>
        <v>96482645.88</v>
      </c>
      <c r="J419" s="9" t="n">
        <f aca="false">IFERROR(D419/VLOOKUP(A419,'Dados-Status-Invest'!$1:$1000,10,FALSE()),"")</f>
        <v>716167932.4</v>
      </c>
      <c r="K419" s="10" t="n">
        <f aca="false">IFERROR(VLOOKUP(A419,'Dados-Status-Invest'!$1:$1000,3,FALSE())/100,"")</f>
        <v>0.4873</v>
      </c>
      <c r="L419" s="11" t="n">
        <f aca="false">IFERROR(VLOOKUP(A419,'Dados-Status-Invest'!$1:$1000,MATCH(L$1,'Dados-Status-Invest'!$2:$2,0),FALSE())/100,"")</f>
        <v>0.8406</v>
      </c>
      <c r="M419" s="10" t="n">
        <f aca="false">IFERROR(VLOOKUP(A419,'Dados-Status-Invest'!$1:$1000,MATCH(M$1,'Dados-Status-Invest'!$2:$2,0),FALSE())/100,"")</f>
        <v>0.7591</v>
      </c>
      <c r="N419" s="10" t="n">
        <f aca="false">IFERROR(VLOOKUP(A419,'Dados-Status-Invest'!$1:$1000,MATCH(N$1,'Dados-Status-Invest'!$2:$2,0),FALSE())/100,"")</f>
        <v>0.8161</v>
      </c>
      <c r="O419" s="10" t="n">
        <f aca="false">IFERROR(VLOOKUP(A419,'Dados-Status-Invest'!$1:$1000,MATCH(O$1,'Dados-Status-Invest'!$2:$2,0),FALSE())/100,"")</f>
        <v>0.3648</v>
      </c>
      <c r="P419" s="10" t="n">
        <f aca="false">IFERROR(VLOOKUP(A419,'Dados-Status-Invest'!$1:$1000,MATCH(P$1,'Dados-Status-Invest'!$2:$2,0),FALSE())/100,"")</f>
        <v>7.3971</v>
      </c>
      <c r="Q419" s="10" t="n">
        <f aca="false">IFERROR(VLOOKUP(A419,'Dados-Status-Invest'!$1:$1000,MATCH(Q$1,'Dados-Status-Invest'!$2:$2,0),FALSE())/100,"")</f>
        <v>4.9478</v>
      </c>
      <c r="R419" s="12" t="n">
        <f aca="false">IFERROR(VLOOKUP(A419,'Dados-Status-Invest'!$1:$1000,MATCH(R$1,'Dados-Status-Invest'!$2:$2,0),FALSE()),"")</f>
        <v>1.84</v>
      </c>
      <c r="S419" s="12" t="n">
        <f aca="false">IFERROR(VLOOKUP(A419,'Dados-Status-Invest'!$1:$1000,MATCH(S$1,'Dados-Status-Invest'!$2:$2,0),FALSE()),"")</f>
        <v>1.55</v>
      </c>
      <c r="T419" s="12" t="n">
        <f aca="false">IFERROR(VLOOKUP(A419,'Dados-Status-Invest'!$1:$1000,MATCH(T$1,'Dados-Status-Invest'!$2:$2,0),FALSE()),"")</f>
        <v>0.87</v>
      </c>
      <c r="U419" s="12" t="n">
        <f aca="false">IFERROR(VLOOKUP(A419,'Dados-Status-Invest'!$1:$1000,MATCH(U$1,'Dados-Status-Invest'!$2:$2,0),FALSE()),"")</f>
        <v>24.55</v>
      </c>
      <c r="V419" s="12" t="n">
        <f aca="false">IFERROR(VLOOKUP(A419,'Dados-Status-Invest'!$1:$1000,MATCH(V$1,'Dados-Status-Invest'!$2:$2,0),FALSE()),"")</f>
        <v>-0.36</v>
      </c>
      <c r="W419" s="10" t="n">
        <f aca="false">IFERROR(VLOOKUP(A419,'Dados-Status-Invest'!$1:$1000,MATCH(W$1,'Dados-Status-Invest'!$2:$2,0),FALSE())/100,"")</f>
        <v>-0.0883</v>
      </c>
      <c r="X419" s="10" t="n">
        <f aca="false">IFERROR(VLOOKUP(A419,'Dados-Status-Invest'!$1:$1000,MATCH(X$1,'Dados-Status-Invest'!$2:$2,0),FALSE())/100,"")</f>
        <v>0.7806</v>
      </c>
    </row>
    <row r="420" customFormat="false" ht="15.75" hidden="false" customHeight="false" outlineLevel="0" collapsed="false">
      <c r="A420" s="6" t="s">
        <v>453</v>
      </c>
      <c r="B420" s="7" t="str">
        <f aca="false">IFERROR(VLOOKUP(LEFT(A420,4),Setor!A:D,2,FALSE()),"")</f>
        <v>Petróleo, Gás e Biocombustíveis</v>
      </c>
      <c r="C420" s="8" t="n">
        <f aca="false">IFERROR(__xludf.dummyfunction("IFERROR(IFERROR(GOOGLEFINANCE(A426,""price""),VLOOKUP(A426,'Dados-Status-Invest'!A:B,2,FALSE)),"""")"),33.92)</f>
        <v>33.92</v>
      </c>
      <c r="D420" s="8" t="n">
        <f aca="false">IFERROR(VLOOKUP(A420,'Dados-Status-Invest'!$1:$1000,MATCH(D$1,'Dados-Status-Invest'!$2:$2,0),FALSE()),"")</f>
        <v>382366164722</v>
      </c>
      <c r="E420" s="8" t="n">
        <f aca="false">IF(D420+H420&gt;0,D420+H420,"")</f>
        <v>714522631046</v>
      </c>
      <c r="F420" s="8" t="n">
        <f aca="false">IFERROR(D420/VLOOKUP(A420,'Dados-Status-Invest'!$1:$1000,5,FALSE()),"")</f>
        <v>313414889116</v>
      </c>
      <c r="G420" s="8" t="n">
        <f aca="false">IFERROR(D420/VLOOKUP(A420,'Dados-Status-Invest'!$1:$1000,6,FALSE()),"")</f>
        <v>1006226749268</v>
      </c>
      <c r="H420" s="8" t="n">
        <f aca="false">IFERROR(VLOOKUP(A420,'Dados-Status-Invest'!$1:$1000,12,FALSE())*J420,"")</f>
        <v>332156466324</v>
      </c>
      <c r="I420" s="8" t="n">
        <f aca="false">IFERROR(D420/VLOOKUP(A420,'Dados-Status-Invest'!$1:$1000,14,FALSE()),"")</f>
        <v>283234196090</v>
      </c>
      <c r="J420" s="9" t="n">
        <f aca="false">IFERROR(D420/VLOOKUP(A420,'Dados-Status-Invest'!$1:$1000,10,FALSE()),"")</f>
        <v>128742816405</v>
      </c>
      <c r="K420" s="10" t="n">
        <f aca="false">IFERROR(VLOOKUP(A420,'Dados-Status-Invest'!$1:$1000,3,FALSE())/100,"")</f>
        <v>0.0352</v>
      </c>
      <c r="L420" s="11" t="n">
        <f aca="false">IFERROR(VLOOKUP(A420,'Dados-Status-Invest'!$1:$1000,MATCH(L$1,'Dados-Status-Invest'!$2:$2,0),FALSE())/100,"")</f>
        <v>0.1812</v>
      </c>
      <c r="M420" s="10" t="n">
        <f aca="false">IFERROR(VLOOKUP(A420,'Dados-Status-Invest'!$1:$1000,MATCH(M$1,'Dados-Status-Invest'!$2:$2,0),FALSE())/100,"")</f>
        <v>0.0569</v>
      </c>
      <c r="N420" s="10" t="n">
        <f aca="false">IFERROR(VLOOKUP(A420,'Dados-Status-Invest'!$1:$1000,MATCH(N$1,'Dados-Status-Invest'!$2:$2,0),FALSE())/100,"")</f>
        <v>0.1606</v>
      </c>
      <c r="O420" s="10" t="n">
        <f aca="false">IFERROR(VLOOKUP(A420,'Dados-Status-Invest'!$1:$1000,MATCH(O$1,'Dados-Status-Invest'!$2:$2,0),FALSE())/100,"")</f>
        <v>0.4823</v>
      </c>
      <c r="P420" s="10" t="n">
        <f aca="false">IFERROR(VLOOKUP(A420,'Dados-Status-Invest'!$1:$1000,MATCH(P$1,'Dados-Status-Invest'!$2:$2,0),FALSE())/100,"")</f>
        <v>0.4561</v>
      </c>
      <c r="Q420" s="10" t="n">
        <f aca="false">IFERROR(VLOOKUP(A420,'Dados-Status-Invest'!$1:$1000,MATCH(Q$1,'Dados-Status-Invest'!$2:$2,0),FALSE())/100,"")</f>
        <v>0.2009</v>
      </c>
      <c r="R420" s="12" t="n">
        <f aca="false">IFERROR(VLOOKUP(A420,'Dados-Status-Invest'!$1:$1000,MATCH(R$1,'Dados-Status-Invest'!$2:$2,0),FALSE()),"")</f>
        <v>6.74</v>
      </c>
      <c r="S420" s="12" t="n">
        <f aca="false">IFERROR(VLOOKUP(A420,'Dados-Status-Invest'!$1:$1000,MATCH(S$1,'Dados-Status-Invest'!$2:$2,0),FALSE()),"")</f>
        <v>1.22</v>
      </c>
      <c r="T420" s="12" t="n">
        <f aca="false">IFERROR(VLOOKUP(A420,'Dados-Status-Invest'!$1:$1000,MATCH(T$1,'Dados-Status-Invest'!$2:$2,0),FALSE()),"")</f>
        <v>5.55</v>
      </c>
      <c r="U420" s="12" t="n">
        <f aca="false">IFERROR(VLOOKUP(A420,'Dados-Status-Invest'!$1:$1000,MATCH(U$1,'Dados-Status-Invest'!$2:$2,0),FALSE()),"")</f>
        <v>1.24</v>
      </c>
      <c r="V420" s="12" t="n">
        <f aca="false">IFERROR(VLOOKUP(A420,'Dados-Status-Invest'!$1:$1000,MATCH(V$1,'Dados-Status-Invest'!$2:$2,0),FALSE()),"")</f>
        <v>2.58</v>
      </c>
      <c r="W420" s="10" t="n">
        <f aca="false">IFERROR(VLOOKUP(A420,'Dados-Status-Invest'!$1:$1000,MATCH(W$1,'Dados-Status-Invest'!$2:$2,0),FALSE())/100,"")</f>
        <v>-0.0329</v>
      </c>
      <c r="X420" s="10" t="n">
        <f aca="false">IFERROR(VLOOKUP(A420,'Dados-Status-Invest'!$1:$1000,MATCH(X$1,'Dados-Status-Invest'!$2:$2,0),FALSE())/100,"")</f>
        <v>0</v>
      </c>
    </row>
    <row r="421" customFormat="false" ht="15.75" hidden="false" customHeight="false" outlineLevel="0" collapsed="false">
      <c r="A421" s="6" t="s">
        <v>454</v>
      </c>
      <c r="B421" s="7" t="str">
        <f aca="false">IFERROR(VLOOKUP(LEFT(A421,4),Setor!A:D,2,FALSE()),"")</f>
        <v>Petróleo, Gás e Biocombustíveis</v>
      </c>
      <c r="C421" s="8" t="n">
        <f aca="false">IFERROR(__xludf.dummyfunction("IFERROR(IFERROR(GOOGLEFINANCE(A427,""price""),VLOOKUP(A427,'Dados-Status-Invest'!A:B,2,FALSE)),"""")"),31.06)</f>
        <v>31.06</v>
      </c>
      <c r="D421" s="8" t="n">
        <f aca="false">IFERROR(VLOOKUP(A421,'Dados-Status-Invest'!$1:$1000,MATCH(D$1,'Dados-Status-Invest'!$2:$2,0),FALSE()),"")</f>
        <v>382366164722</v>
      </c>
      <c r="E421" s="8" t="n">
        <f aca="false">IF(D421+H421&gt;0,D421+H421,"")</f>
        <v>719057190313</v>
      </c>
      <c r="F421" s="8" t="n">
        <f aca="false">IFERROR(D421/VLOOKUP(A421,'Dados-Status-Invest'!$1:$1000,5,FALSE()),"")</f>
        <v>318638470602</v>
      </c>
      <c r="G421" s="8" t="n">
        <f aca="false">IFERROR(D421/VLOOKUP(A421,'Dados-Status-Invest'!$1:$1000,6,FALSE()),"")</f>
        <v>1006226749268</v>
      </c>
      <c r="H421" s="8" t="n">
        <f aca="false">IFERROR(VLOOKUP(A421,'Dados-Status-Invest'!$1:$1000,12,FALSE())*J421,"")</f>
        <v>336691025591</v>
      </c>
      <c r="I421" s="8" t="n">
        <f aca="false">IFERROR(D421/VLOOKUP(A421,'Dados-Status-Invest'!$1:$1000,14,FALSE()),"")</f>
        <v>285347884121</v>
      </c>
      <c r="J421" s="9" t="n">
        <f aca="false">IFERROR(D421/VLOOKUP(A421,'Dados-Status-Invest'!$1:$1000,10,FALSE()),"")</f>
        <v>130500397516</v>
      </c>
      <c r="K421" s="10" t="n">
        <f aca="false">IFERROR(VLOOKUP(A421,'Dados-Status-Invest'!$1:$1000,3,FALSE())/100,"")</f>
        <v>0.0274</v>
      </c>
      <c r="L421" s="11" t="n">
        <f aca="false">IFERROR(VLOOKUP(A421,'Dados-Status-Invest'!$1:$1000,MATCH(L$1,'Dados-Status-Invest'!$2:$2,0),FALSE())/100,"")</f>
        <v>0.1812</v>
      </c>
      <c r="M421" s="10" t="n">
        <f aca="false">IFERROR(VLOOKUP(A421,'Dados-Status-Invest'!$1:$1000,MATCH(M$1,'Dados-Status-Invest'!$2:$2,0),FALSE())/100,"")</f>
        <v>0.0569</v>
      </c>
      <c r="N421" s="10" t="n">
        <f aca="false">IFERROR(VLOOKUP(A421,'Dados-Status-Invest'!$1:$1000,MATCH(N$1,'Dados-Status-Invest'!$2:$2,0),FALSE())/100,"")</f>
        <v>0.1606</v>
      </c>
      <c r="O421" s="10" t="n">
        <f aca="false">IFERROR(VLOOKUP(A421,'Dados-Status-Invest'!$1:$1000,MATCH(O$1,'Dados-Status-Invest'!$2:$2,0),FALSE())/100,"")</f>
        <v>0.4823</v>
      </c>
      <c r="P421" s="10" t="n">
        <f aca="false">IFERROR(VLOOKUP(A421,'Dados-Status-Invest'!$1:$1000,MATCH(P$1,'Dados-Status-Invest'!$2:$2,0),FALSE())/100,"")</f>
        <v>0.4561</v>
      </c>
      <c r="Q421" s="10" t="n">
        <f aca="false">IFERROR(VLOOKUP(A421,'Dados-Status-Invest'!$1:$1000,MATCH(Q$1,'Dados-Status-Invest'!$2:$2,0),FALSE())/100,"")</f>
        <v>0.2009</v>
      </c>
      <c r="R421" s="12" t="n">
        <f aca="false">IFERROR(VLOOKUP(A421,'Dados-Status-Invest'!$1:$1000,MATCH(R$1,'Dados-Status-Invest'!$2:$2,0),FALSE()),"")</f>
        <v>6.65</v>
      </c>
      <c r="S421" s="12" t="n">
        <f aca="false">IFERROR(VLOOKUP(A421,'Dados-Status-Invest'!$1:$1000,MATCH(S$1,'Dados-Status-Invest'!$2:$2,0),FALSE()),"")</f>
        <v>1.2</v>
      </c>
      <c r="T421" s="12" t="n">
        <f aca="false">IFERROR(VLOOKUP(A421,'Dados-Status-Invest'!$1:$1000,MATCH(T$1,'Dados-Status-Invest'!$2:$2,0),FALSE()),"")</f>
        <v>5.55</v>
      </c>
      <c r="U421" s="12" t="n">
        <f aca="false">IFERROR(VLOOKUP(A421,'Dados-Status-Invest'!$1:$1000,MATCH(U$1,'Dados-Status-Invest'!$2:$2,0),FALSE()),"")</f>
        <v>1.24</v>
      </c>
      <c r="V421" s="12" t="n">
        <f aca="false">IFERROR(VLOOKUP(A421,'Dados-Status-Invest'!$1:$1000,MATCH(V$1,'Dados-Status-Invest'!$2:$2,0),FALSE()),"")</f>
        <v>2.58</v>
      </c>
      <c r="W421" s="10" t="n">
        <f aca="false">IFERROR(VLOOKUP(A421,'Dados-Status-Invest'!$1:$1000,MATCH(W$1,'Dados-Status-Invest'!$2:$2,0),FALSE())/100,"")</f>
        <v>-0.0329</v>
      </c>
      <c r="X421" s="10" t="n">
        <f aca="false">IFERROR(VLOOKUP(A421,'Dados-Status-Invest'!$1:$1000,MATCH(X$1,'Dados-Status-Invest'!$2:$2,0),FALSE())/100,"")</f>
        <v>0</v>
      </c>
    </row>
    <row r="422" customFormat="false" ht="15.75" hidden="false" customHeight="false" outlineLevel="0" collapsed="false">
      <c r="A422" s="6" t="s">
        <v>455</v>
      </c>
      <c r="B422" s="7" t="str">
        <f aca="false">IFERROR(VLOOKUP(LEFT(A422,4),Setor!A:D,2,FALSE()),"")</f>
        <v>Consumo Cíclico</v>
      </c>
      <c r="C422" s="8" t="n">
        <f aca="false">IFERROR(__xludf.dummyfunction("IFERROR(IFERROR(GOOGLEFINANCE(A428,""price""),VLOOKUP(A428,'Dados-Status-Invest'!A:B,2,FALSE)),"""")"),11.78)</f>
        <v>11.78</v>
      </c>
      <c r="D422" s="8" t="n">
        <f aca="false">IFERROR(VLOOKUP(A422,'Dados-Status-Invest'!$1:$1000,MATCH(D$1,'Dados-Status-Invest'!$2:$2,0),FALSE()),"")</f>
        <v>10007376429</v>
      </c>
      <c r="E422" s="8" t="n">
        <f aca="false">IF(D422+H422&gt;0,D422+H422,"")</f>
        <v>10044605358.47</v>
      </c>
      <c r="F422" s="8" t="n">
        <f aca="false">IFERROR(D422/VLOOKUP(A422,'Dados-Status-Invest'!$1:$1000,5,FALSE()),"")</f>
        <v>547150160.2</v>
      </c>
      <c r="G422" s="8" t="n">
        <f aca="false">IFERROR(D422/VLOOKUP(A422,'Dados-Status-Invest'!$1:$1000,6,FALSE()),"")</f>
        <v>1962230672</v>
      </c>
      <c r="H422" s="8" t="n">
        <f aca="false">IFERROR(VLOOKUP(A422,'Dados-Status-Invest'!$1:$1000,12,FALSE())*J422,"")</f>
        <v>37228929.47</v>
      </c>
      <c r="I422" s="8" t="n">
        <f aca="false">IFERROR(D422/VLOOKUP(A422,'Dados-Status-Invest'!$1:$1000,14,FALSE()),"")</f>
        <v>1598622433</v>
      </c>
      <c r="J422" s="9" t="n">
        <f aca="false">IFERROR(D422/VLOOKUP(A422,'Dados-Status-Invest'!$1:$1000,10,FALSE()),"")</f>
        <v>120093320.9</v>
      </c>
      <c r="K422" s="10" t="n">
        <f aca="false">IFERROR(VLOOKUP(A422,'Dados-Status-Invest'!$1:$1000,3,FALSE())/100,"")</f>
        <v>0.0016</v>
      </c>
      <c r="L422" s="11" t="n">
        <f aca="false">IFERROR(VLOOKUP(A422,'Dados-Status-Invest'!$1:$1000,MATCH(L$1,'Dados-Status-Invest'!$2:$2,0),FALSE())/100,"")</f>
        <v>0.0924</v>
      </c>
      <c r="M422" s="10" t="n">
        <f aca="false">IFERROR(VLOOKUP(A422,'Dados-Status-Invest'!$1:$1000,MATCH(M$1,'Dados-Status-Invest'!$2:$2,0),FALSE())/100,"")</f>
        <v>0.0258</v>
      </c>
      <c r="N422" s="10" t="n">
        <f aca="false">IFERROR(VLOOKUP(A422,'Dados-Status-Invest'!$1:$1000,MATCH(N$1,'Dados-Status-Invest'!$2:$2,0),FALSE())/100,"")</f>
        <v>0.1137</v>
      </c>
      <c r="O422" s="10" t="n">
        <f aca="false">IFERROR(VLOOKUP(A422,'Dados-Status-Invest'!$1:$1000,MATCH(O$1,'Dados-Status-Invest'!$2:$2,0),FALSE())/100,"")</f>
        <v>0.4833</v>
      </c>
      <c r="P422" s="10" t="n">
        <f aca="false">IFERROR(VLOOKUP(A422,'Dados-Status-Invest'!$1:$1000,MATCH(P$1,'Dados-Status-Invest'!$2:$2,0),FALSE())/100,"")</f>
        <v>0.0751</v>
      </c>
      <c r="Q422" s="10" t="n">
        <f aca="false">IFERROR(VLOOKUP(A422,'Dados-Status-Invest'!$1:$1000,MATCH(Q$1,'Dados-Status-Invest'!$2:$2,0),FALSE())/100,"")</f>
        <v>0.0316</v>
      </c>
      <c r="R422" s="12" t="n">
        <f aca="false">IFERROR(VLOOKUP(A422,'Dados-Status-Invest'!$1:$1000,MATCH(R$1,'Dados-Status-Invest'!$2:$2,0),FALSE()),"")</f>
        <v>198.07</v>
      </c>
      <c r="S422" s="12" t="n">
        <f aca="false">IFERROR(VLOOKUP(A422,'Dados-Status-Invest'!$1:$1000,MATCH(S$1,'Dados-Status-Invest'!$2:$2,0),FALSE()),"")</f>
        <v>18.29</v>
      </c>
      <c r="T422" s="12" t="n">
        <f aca="false">IFERROR(VLOOKUP(A422,'Dados-Status-Invest'!$1:$1000,MATCH(T$1,'Dados-Status-Invest'!$2:$2,0),FALSE()),"")</f>
        <v>84.03</v>
      </c>
      <c r="U422" s="12" t="n">
        <f aca="false">IFERROR(VLOOKUP(A422,'Dados-Status-Invest'!$1:$1000,MATCH(U$1,'Dados-Status-Invest'!$2:$2,0),FALSE()),"")</f>
        <v>1.26</v>
      </c>
      <c r="V422" s="12" t="n">
        <f aca="false">IFERROR(VLOOKUP(A422,'Dados-Status-Invest'!$1:$1000,MATCH(V$1,'Dados-Status-Invest'!$2:$2,0),FALSE()),"")</f>
        <v>0.31</v>
      </c>
      <c r="W422" s="10" t="n">
        <f aca="false">IFERROR(VLOOKUP(A422,'Dados-Status-Invest'!$1:$1000,MATCH(W$1,'Dados-Status-Invest'!$2:$2,0),FALSE())/100,"")</f>
        <v>0</v>
      </c>
      <c r="X422" s="10" t="n">
        <f aca="false">IFERROR(VLOOKUP(A422,'Dados-Status-Invest'!$1:$1000,MATCH(X$1,'Dados-Status-Invest'!$2:$2,0),FALSE())/100,"")</f>
        <v>0</v>
      </c>
    </row>
    <row r="423" customFormat="false" ht="15.75" hidden="false" customHeight="false" outlineLevel="0" collapsed="false">
      <c r="A423" s="6" t="s">
        <v>456</v>
      </c>
      <c r="B423" s="7" t="str">
        <f aca="false">IFERROR(VLOOKUP(LEFT(A423,4),Setor!A:D,2,FALSE()),"")</f>
        <v>Saúde</v>
      </c>
      <c r="C423" s="8" t="n">
        <f aca="false">IFERROR(__xludf.dummyfunction("IFERROR(IFERROR(GOOGLEFINANCE(A429,""price""),VLOOKUP(A429,'Dados-Status-Invest'!A:B,2,FALSE)),"""")"),3.7)</f>
        <v>3.7</v>
      </c>
      <c r="D423" s="8" t="n">
        <f aca="false">IFERROR(VLOOKUP(A423,'Dados-Status-Invest'!$1:$1000,MATCH(D$1,'Dados-Status-Invest'!$2:$2,0),FALSE()),"")</f>
        <v>819640557.3</v>
      </c>
      <c r="E423" s="8" t="n">
        <f aca="false">IF(D423+H423&gt;0,D423+H423,"")</f>
        <v>1178303572.1</v>
      </c>
      <c r="F423" s="8" t="n">
        <f aca="false">IFERROR(D423/VLOOKUP(A423,'Dados-Status-Invest'!$1:$1000,5,FALSE()),"")</f>
        <v>1037519693</v>
      </c>
      <c r="G423" s="8" t="n">
        <f aca="false">IFERROR(D423/VLOOKUP(A423,'Dados-Status-Invest'!$1:$1000,6,FALSE()),"")</f>
        <v>4098202786</v>
      </c>
      <c r="H423" s="8" t="n">
        <f aca="false">IFERROR(VLOOKUP(A423,'Dados-Status-Invest'!$1:$1000,12,FALSE())*J423,"")</f>
        <v>358663014.8</v>
      </c>
      <c r="I423" s="8" t="n">
        <f aca="false">IFERROR(D423/VLOOKUP(A423,'Dados-Status-Invest'!$1:$1000,14,FALSE()),"")</f>
        <v>5464270382</v>
      </c>
      <c r="J423" s="9" t="n">
        <f aca="false">IFERROR(D423/VLOOKUP(A423,'Dados-Status-Invest'!$1:$1000,10,FALSE()),"")</f>
        <v>112433546.9</v>
      </c>
      <c r="K423" s="10" t="n">
        <f aca="false">IFERROR(VLOOKUP(A423,'Dados-Status-Invest'!$1:$1000,3,FALSE())/100,"")</f>
        <v>0</v>
      </c>
      <c r="L423" s="11" t="n">
        <f aca="false">IFERROR(VLOOKUP(A423,'Dados-Status-Invest'!$1:$1000,MATCH(L$1,'Dados-Status-Invest'!$2:$2,0),FALSE())/100,"")</f>
        <v>0.0573</v>
      </c>
      <c r="M423" s="10" t="n">
        <f aca="false">IFERROR(VLOOKUP(A423,'Dados-Status-Invest'!$1:$1000,MATCH(M$1,'Dados-Status-Invest'!$2:$2,0),FALSE())/100,"")</f>
        <v>0.0147</v>
      </c>
      <c r="N423" s="10" t="n">
        <f aca="false">IFERROR(VLOOKUP(A423,'Dados-Status-Invest'!$1:$1000,MATCH(N$1,'Dados-Status-Invest'!$2:$2,0),FALSE())/100,"")</f>
        <v>0.041</v>
      </c>
      <c r="O423" s="10" t="n">
        <f aca="false">IFERROR(VLOOKUP(A423,'Dados-Status-Invest'!$1:$1000,MATCH(O$1,'Dados-Status-Invest'!$2:$2,0),FALSE())/100,"")</f>
        <v>0.1396</v>
      </c>
      <c r="P423" s="10" t="n">
        <f aca="false">IFERROR(VLOOKUP(A423,'Dados-Status-Invest'!$1:$1000,MATCH(P$1,'Dados-Status-Invest'!$2:$2,0),FALSE())/100,"")</f>
        <v>0.0205</v>
      </c>
      <c r="Q423" s="10" t="n">
        <f aca="false">IFERROR(VLOOKUP(A423,'Dados-Status-Invest'!$1:$1000,MATCH(Q$1,'Dados-Status-Invest'!$2:$2,0),FALSE())/100,"")</f>
        <v>0.0108</v>
      </c>
      <c r="R423" s="12" t="n">
        <f aca="false">IFERROR(VLOOKUP(A423,'Dados-Status-Invest'!$1:$1000,MATCH(R$1,'Dados-Status-Invest'!$2:$2,0),FALSE()),"")</f>
        <v>13.81</v>
      </c>
      <c r="S423" s="12" t="n">
        <f aca="false">IFERROR(VLOOKUP(A423,'Dados-Status-Invest'!$1:$1000,MATCH(S$1,'Dados-Status-Invest'!$2:$2,0),FALSE()),"")</f>
        <v>0.79</v>
      </c>
      <c r="T423" s="12" t="n">
        <f aca="false">IFERROR(VLOOKUP(A423,'Dados-Status-Invest'!$1:$1000,MATCH(T$1,'Dados-Status-Invest'!$2:$2,0),FALSE()),"")</f>
        <v>10.36</v>
      </c>
      <c r="U423" s="12" t="n">
        <f aca="false">IFERROR(VLOOKUP(A423,'Dados-Status-Invest'!$1:$1000,MATCH(U$1,'Dados-Status-Invest'!$2:$2,0),FALSE()),"")</f>
        <v>1.43</v>
      </c>
      <c r="V423" s="12" t="n">
        <f aca="false">IFERROR(VLOOKUP(A423,'Dados-Status-Invest'!$1:$1000,MATCH(V$1,'Dados-Status-Invest'!$2:$2,0),FALSE()),"")</f>
        <v>3.19</v>
      </c>
      <c r="W423" s="10" t="n">
        <f aca="false">IFERROR(VLOOKUP(A423,'Dados-Status-Invest'!$1:$1000,MATCH(W$1,'Dados-Status-Invest'!$2:$2,0),FALSE())/100,"")</f>
        <v>0.0961</v>
      </c>
      <c r="X423" s="10" t="n">
        <f aca="false">IFERROR(VLOOKUP(A423,'Dados-Status-Invest'!$1:$1000,MATCH(X$1,'Dados-Status-Invest'!$2:$2,0),FALSE())/100,"")</f>
        <v>0</v>
      </c>
    </row>
    <row r="424" customFormat="false" ht="15.75" hidden="false" customHeight="false" outlineLevel="0" collapsed="false">
      <c r="A424" s="6" t="s">
        <v>457</v>
      </c>
      <c r="B424" s="7" t="str">
        <f aca="false">IFERROR(VLOOKUP(LEFT(A424,4),Setor!A:D,2,FALSE()),"")</f>
        <v>Saúde</v>
      </c>
      <c r="C424" s="8" t="n">
        <f aca="false">IFERROR(__xludf.dummyfunction("IFERROR(IFERROR(GOOGLEFINANCE(A430,""price""),VLOOKUP(A430,'Dados-Status-Invest'!A:B,2,FALSE)),"""")"),6.34)</f>
        <v>6.34</v>
      </c>
      <c r="D424" s="8" t="n">
        <f aca="false">IFERROR(VLOOKUP(A424,'Dados-Status-Invest'!$1:$1000,MATCH(D$1,'Dados-Status-Invest'!$2:$2,0),FALSE()),"")</f>
        <v>4979223516</v>
      </c>
      <c r="E424" s="8" t="n">
        <f aca="false">IF(D424+H424&gt;0,D424+H424,"")</f>
        <v>5332610564.7</v>
      </c>
      <c r="F424" s="8" t="n">
        <f aca="false">IFERROR(D424/VLOOKUP(A424,'Dados-Status-Invest'!$1:$1000,5,FALSE()),"")</f>
        <v>1968072536</v>
      </c>
      <c r="G424" s="8" t="n">
        <f aca="false">IFERROR(D424/VLOOKUP(A424,'Dados-Status-Invest'!$1:$1000,6,FALSE()),"")</f>
        <v>5723245420</v>
      </c>
      <c r="H424" s="8" t="n">
        <f aca="false">IFERROR(VLOOKUP(A424,'Dados-Status-Invest'!$1:$1000,12,FALSE())*J424,"")</f>
        <v>353387048.7</v>
      </c>
      <c r="I424" s="8" t="n">
        <f aca="false">IFERROR(D424/VLOOKUP(A424,'Dados-Status-Invest'!$1:$1000,14,FALSE()),"")</f>
        <v>6915588216</v>
      </c>
      <c r="J424" s="9" t="n">
        <f aca="false">IFERROR(D424/VLOOKUP(A424,'Dados-Status-Invest'!$1:$1000,10,FALSE()),"")</f>
        <v>353387048.7</v>
      </c>
      <c r="K424" s="10" t="n">
        <f aca="false">IFERROR(VLOOKUP(A424,'Dados-Status-Invest'!$1:$1000,3,FALSE())/100,"")</f>
        <v>0</v>
      </c>
      <c r="L424" s="11" t="n">
        <f aca="false">IFERROR(VLOOKUP(A424,'Dados-Status-Invest'!$1:$1000,MATCH(L$1,'Dados-Status-Invest'!$2:$2,0),FALSE())/100,"")</f>
        <v>0.0663</v>
      </c>
      <c r="M424" s="10" t="n">
        <f aca="false">IFERROR(VLOOKUP(A424,'Dados-Status-Invest'!$1:$1000,MATCH(M$1,'Dados-Status-Invest'!$2:$2,0),FALSE())/100,"")</f>
        <v>0.0228</v>
      </c>
      <c r="N424" s="10" t="n">
        <f aca="false">IFERROR(VLOOKUP(A424,'Dados-Status-Invest'!$1:$1000,MATCH(N$1,'Dados-Status-Invest'!$2:$2,0),FALSE())/100,"")</f>
        <v>0.1233</v>
      </c>
      <c r="O424" s="10" t="n">
        <f aca="false">IFERROR(VLOOKUP(A424,'Dados-Status-Invest'!$1:$1000,MATCH(O$1,'Dados-Status-Invest'!$2:$2,0),FALSE())/100,"")</f>
        <v>0.313</v>
      </c>
      <c r="P424" s="10" t="n">
        <f aca="false">IFERROR(VLOOKUP(A424,'Dados-Status-Invest'!$1:$1000,MATCH(P$1,'Dados-Status-Invest'!$2:$2,0),FALSE())/100,"")</f>
        <v>0.0508</v>
      </c>
      <c r="Q424" s="10" t="n">
        <f aca="false">IFERROR(VLOOKUP(A424,'Dados-Status-Invest'!$1:$1000,MATCH(Q$1,'Dados-Status-Invest'!$2:$2,0),FALSE())/100,"")</f>
        <v>0.0188</v>
      </c>
      <c r="R424" s="12" t="n">
        <f aca="false">IFERROR(VLOOKUP(A424,'Dados-Status-Invest'!$1:$1000,MATCH(R$1,'Dados-Status-Invest'!$2:$2,0),FALSE()),"")</f>
        <v>38.11</v>
      </c>
      <c r="S424" s="12" t="n">
        <f aca="false">IFERROR(VLOOKUP(A424,'Dados-Status-Invest'!$1:$1000,MATCH(S$1,'Dados-Status-Invest'!$2:$2,0),FALSE()),"")</f>
        <v>2.53</v>
      </c>
      <c r="T424" s="12" t="n">
        <f aca="false">IFERROR(VLOOKUP(A424,'Dados-Status-Invest'!$1:$1000,MATCH(T$1,'Dados-Status-Invest'!$2:$2,0),FALSE()),"")</f>
        <v>15.06</v>
      </c>
      <c r="U424" s="12" t="n">
        <f aca="false">IFERROR(VLOOKUP(A424,'Dados-Status-Invest'!$1:$1000,MATCH(U$1,'Dados-Status-Invest'!$2:$2,0),FALSE()),"")</f>
        <v>1.67</v>
      </c>
      <c r="V424" s="12" t="n">
        <f aca="false">IFERROR(VLOOKUP(A424,'Dados-Status-Invest'!$1:$1000,MATCH(V$1,'Dados-Status-Invest'!$2:$2,0),FALSE()),"")</f>
        <v>1</v>
      </c>
      <c r="W424" s="10" t="n">
        <f aca="false">IFERROR(VLOOKUP(A424,'Dados-Status-Invest'!$1:$1000,MATCH(W$1,'Dados-Status-Invest'!$2:$2,0),FALSE())/100,"")</f>
        <v>0.0817</v>
      </c>
      <c r="X424" s="10" t="n">
        <f aca="false">IFERROR(VLOOKUP(A424,'Dados-Status-Invest'!$1:$1000,MATCH(X$1,'Dados-Status-Invest'!$2:$2,0),FALSE())/100,"")</f>
        <v>0.2542</v>
      </c>
    </row>
    <row r="425" customFormat="false" ht="15.75" hidden="false" customHeight="false" outlineLevel="0" collapsed="false">
      <c r="A425" s="6" t="s">
        <v>458</v>
      </c>
      <c r="B425" s="7" t="str">
        <f aca="false">IFERROR(VLOOKUP(LEFT(A425,4),Setor!A:D,2,FALSE()),"")</f>
        <v>Financeiro</v>
      </c>
      <c r="C425" s="8" t="n">
        <f aca="false">IFERROR(__xludf.dummyfunction("IFERROR(IFERROR(GOOGLEFINANCE(A431,""price""),VLOOKUP(A431,'Dados-Status-Invest'!A:B,2,FALSE)),"""")"),0)</f>
        <v>0</v>
      </c>
      <c r="D425" s="8" t="n">
        <f aca="false">IFERROR(VLOOKUP(A425,'Dados-Status-Invest'!$1:$1000,MATCH(D$1,'Dados-Status-Invest'!$2:$2,0),FALSE()),"")</f>
        <v>219917163.7</v>
      </c>
      <c r="E425" s="8" t="n">
        <f aca="false">IF(D425+H425&gt;0,D425+H425,"")</f>
        <v>219917163.7</v>
      </c>
      <c r="F425" s="8" t="str">
        <f aca="false">IFERROR(D425/VLOOKUP(A425,'Dados-Status-Invest'!$1:$1000,5,FALSE()),"")</f>
        <v/>
      </c>
      <c r="G425" s="8" t="str">
        <f aca="false">IFERROR(D425/VLOOKUP(A425,'Dados-Status-Invest'!$1:$1000,6,FALSE()),"")</f>
        <v/>
      </c>
      <c r="H425" s="8" t="n">
        <f aca="false">IFERROR(VLOOKUP(A425,'Dados-Status-Invest'!$1:$1000,12,FALSE())*J425,"")</f>
        <v>0</v>
      </c>
      <c r="I425" s="8" t="str">
        <f aca="false">IFERROR(D425/VLOOKUP(A425,'Dados-Status-Invest'!$1:$1000,14,FALSE()),"")</f>
        <v/>
      </c>
      <c r="J425" s="9" t="str">
        <f aca="false">IFERROR(D425/VLOOKUP(A425,'Dados-Status-Invest'!$1:$1000,10,FALSE()),"")</f>
        <v/>
      </c>
      <c r="K425" s="10" t="n">
        <f aca="false">IFERROR(VLOOKUP(A425,'Dados-Status-Invest'!$1:$1000,3,FALSE())/100,"")</f>
        <v>0</v>
      </c>
      <c r="L425" s="11" t="n">
        <f aca="false">IFERROR(VLOOKUP(A425,'Dados-Status-Invest'!$1:$1000,MATCH(L$1,'Dados-Status-Invest'!$2:$2,0),FALSE())/100,"")</f>
        <v>-0.0811</v>
      </c>
      <c r="M425" s="10" t="n">
        <f aca="false">IFERROR(VLOOKUP(A425,'Dados-Status-Invest'!$1:$1000,MATCH(M$1,'Dados-Status-Invest'!$2:$2,0),FALSE())/100,"")</f>
        <v>-0.0042</v>
      </c>
      <c r="N425" s="10" t="n">
        <f aca="false">IFERROR(VLOOKUP(A425,'Dados-Status-Invest'!$1:$1000,MATCH(N$1,'Dados-Status-Invest'!$2:$2,0),FALSE())/100,"")</f>
        <v>0</v>
      </c>
      <c r="O425" s="10" t="n">
        <f aca="false">IFERROR(VLOOKUP(A425,'Dados-Status-Invest'!$1:$1000,MATCH(O$1,'Dados-Status-Invest'!$2:$2,0),FALSE())/100,"")</f>
        <v>0.2027</v>
      </c>
      <c r="P425" s="10" t="n">
        <f aca="false">IFERROR(VLOOKUP(A425,'Dados-Status-Invest'!$1:$1000,MATCH(P$1,'Dados-Status-Invest'!$2:$2,0),FALSE())/100,"")</f>
        <v>-0.1141</v>
      </c>
      <c r="Q425" s="10" t="n">
        <f aca="false">IFERROR(VLOOKUP(A425,'Dados-Status-Invest'!$1:$1000,MATCH(Q$1,'Dados-Status-Invest'!$2:$2,0),FALSE())/100,"")</f>
        <v>-0.0879</v>
      </c>
      <c r="R425" s="12" t="n">
        <f aca="false">IFERROR(VLOOKUP(A425,'Dados-Status-Invest'!$1:$1000,MATCH(R$1,'Dados-Status-Invest'!$2:$2,0),FALSE()),"")</f>
        <v>0</v>
      </c>
      <c r="S425" s="12" t="n">
        <f aca="false">IFERROR(VLOOKUP(A425,'Dados-Status-Invest'!$1:$1000,MATCH(S$1,'Dados-Status-Invest'!$2:$2,0),FALSE()),"")</f>
        <v>0</v>
      </c>
      <c r="T425" s="12" t="n">
        <f aca="false">IFERROR(VLOOKUP(A425,'Dados-Status-Invest'!$1:$1000,MATCH(T$1,'Dados-Status-Invest'!$2:$2,0),FALSE()),"")</f>
        <v>-2.79</v>
      </c>
      <c r="U425" s="12" t="n">
        <f aca="false">IFERROR(VLOOKUP(A425,'Dados-Status-Invest'!$1:$1000,MATCH(U$1,'Dados-Status-Invest'!$2:$2,0),FALSE()),"")</f>
        <v>0.64</v>
      </c>
      <c r="V425" s="12" t="n">
        <f aca="false">IFERROR(VLOOKUP(A425,'Dados-Status-Invest'!$1:$1000,MATCH(V$1,'Dados-Status-Invest'!$2:$2,0),FALSE()),"")</f>
        <v>0</v>
      </c>
      <c r="W425" s="10" t="n">
        <f aca="false">IFERROR(VLOOKUP(A425,'Dados-Status-Invest'!$1:$1000,MATCH(W$1,'Dados-Status-Invest'!$2:$2,0),FALSE())/100,"")</f>
        <v>0.0473</v>
      </c>
      <c r="X425" s="10" t="n">
        <f aca="false">IFERROR(VLOOKUP(A425,'Dados-Status-Invest'!$1:$1000,MATCH(X$1,'Dados-Status-Invest'!$2:$2,0),FALSE())/100,"")</f>
        <v>0</v>
      </c>
    </row>
    <row r="426" customFormat="false" ht="15.75" hidden="false" customHeight="false" outlineLevel="0" collapsed="false">
      <c r="A426" s="6" t="s">
        <v>459</v>
      </c>
      <c r="B426" s="7" t="str">
        <f aca="false">IFERROR(VLOOKUP(LEFT(A426,4),Setor!A:D,2,FALSE()),"")</f>
        <v>Financeiro</v>
      </c>
      <c r="C426" s="8" t="n">
        <f aca="false">IFERROR(__xludf.dummyfunction("IFERROR(IFERROR(GOOGLEFINANCE(A432,""price""),VLOOKUP(A432,'Dados-Status-Invest'!A:B,2,FALSE)),"""")"),1.24)</f>
        <v>1.24</v>
      </c>
      <c r="D426" s="8" t="n">
        <f aca="false">IFERROR(VLOOKUP(A426,'Dados-Status-Invest'!$1:$1000,MATCH(D$1,'Dados-Status-Invest'!$2:$2,0),FALSE()),"")</f>
        <v>219917163.7</v>
      </c>
      <c r="E426" s="8" t="n">
        <f aca="false">IF(D426+H426&gt;0,D426+H426,"")</f>
        <v>219917163.7</v>
      </c>
      <c r="F426" s="8" t="n">
        <f aca="false">IFERROR(D426/VLOOKUP(A426,'Dados-Status-Invest'!$1:$1000,5,FALSE()),"")</f>
        <v>366528606.1</v>
      </c>
      <c r="G426" s="8" t="n">
        <f aca="false">IFERROR(D426/VLOOKUP(A426,'Dados-Status-Invest'!$1:$1000,6,FALSE()),"")</f>
        <v>7330572122</v>
      </c>
      <c r="H426" s="8" t="n">
        <f aca="false">IFERROR(VLOOKUP(A426,'Dados-Status-Invest'!$1:$1000,12,FALSE())*J426,"")</f>
        <v>0</v>
      </c>
      <c r="I426" s="8" t="n">
        <f aca="false">IFERROR(D426/VLOOKUP(A426,'Dados-Status-Invest'!$1:$1000,14,FALSE()),"")</f>
        <v>338334097.9</v>
      </c>
      <c r="J426" s="9" t="n">
        <f aca="false">IFERROR(D426/VLOOKUP(A426,'Dados-Status-Invest'!$1:$1000,10,FALSE()),"")</f>
        <v>-38786095.88</v>
      </c>
      <c r="K426" s="10" t="n">
        <f aca="false">IFERROR(VLOOKUP(A426,'Dados-Status-Invest'!$1:$1000,3,FALSE())/100,"")</f>
        <v>0</v>
      </c>
      <c r="L426" s="11" t="n">
        <f aca="false">IFERROR(VLOOKUP(A426,'Dados-Status-Invest'!$1:$1000,MATCH(L$1,'Dados-Status-Invest'!$2:$2,0),FALSE())/100,"")</f>
        <v>-0.0811</v>
      </c>
      <c r="M426" s="10" t="n">
        <f aca="false">IFERROR(VLOOKUP(A426,'Dados-Status-Invest'!$1:$1000,MATCH(M$1,'Dados-Status-Invest'!$2:$2,0),FALSE())/100,"")</f>
        <v>-0.0042</v>
      </c>
      <c r="N426" s="10" t="n">
        <f aca="false">IFERROR(VLOOKUP(A426,'Dados-Status-Invest'!$1:$1000,MATCH(N$1,'Dados-Status-Invest'!$2:$2,0),FALSE())/100,"")</f>
        <v>0</v>
      </c>
      <c r="O426" s="10" t="n">
        <f aca="false">IFERROR(VLOOKUP(A426,'Dados-Status-Invest'!$1:$1000,MATCH(O$1,'Dados-Status-Invest'!$2:$2,0),FALSE())/100,"")</f>
        <v>0.2027</v>
      </c>
      <c r="P426" s="10" t="n">
        <f aca="false">IFERROR(VLOOKUP(A426,'Dados-Status-Invest'!$1:$1000,MATCH(P$1,'Dados-Status-Invest'!$2:$2,0),FALSE())/100,"")</f>
        <v>-0.1141</v>
      </c>
      <c r="Q426" s="10" t="n">
        <f aca="false">IFERROR(VLOOKUP(A426,'Dados-Status-Invest'!$1:$1000,MATCH(Q$1,'Dados-Status-Invest'!$2:$2,0),FALSE())/100,"")</f>
        <v>-0.0879</v>
      </c>
      <c r="R426" s="12" t="n">
        <f aca="false">IFERROR(VLOOKUP(A426,'Dados-Status-Invest'!$1:$1000,MATCH(R$1,'Dados-Status-Invest'!$2:$2,0),FALSE()),"")</f>
        <v>-7.36</v>
      </c>
      <c r="S426" s="12" t="n">
        <f aca="false">IFERROR(VLOOKUP(A426,'Dados-Status-Invest'!$1:$1000,MATCH(S$1,'Dados-Status-Invest'!$2:$2,0),FALSE()),"")</f>
        <v>0.6</v>
      </c>
      <c r="T426" s="12" t="n">
        <f aca="false">IFERROR(VLOOKUP(A426,'Dados-Status-Invest'!$1:$1000,MATCH(T$1,'Dados-Status-Invest'!$2:$2,0),FALSE()),"")</f>
        <v>-2.79</v>
      </c>
      <c r="U426" s="12" t="n">
        <f aca="false">IFERROR(VLOOKUP(A426,'Dados-Status-Invest'!$1:$1000,MATCH(U$1,'Dados-Status-Invest'!$2:$2,0),FALSE()),"")</f>
        <v>0.64</v>
      </c>
      <c r="V426" s="12" t="n">
        <f aca="false">IFERROR(VLOOKUP(A426,'Dados-Status-Invest'!$1:$1000,MATCH(V$1,'Dados-Status-Invest'!$2:$2,0),FALSE()),"")</f>
        <v>0</v>
      </c>
      <c r="W426" s="10" t="n">
        <f aca="false">IFERROR(VLOOKUP(A426,'Dados-Status-Invest'!$1:$1000,MATCH(W$1,'Dados-Status-Invest'!$2:$2,0),FALSE())/100,"")</f>
        <v>0.0473</v>
      </c>
      <c r="X426" s="10" t="n">
        <f aca="false">IFERROR(VLOOKUP(A426,'Dados-Status-Invest'!$1:$1000,MATCH(X$1,'Dados-Status-Invest'!$2:$2,0),FALSE())/100,"")</f>
        <v>0</v>
      </c>
    </row>
    <row r="427" customFormat="false" ht="15.75" hidden="false" customHeight="false" outlineLevel="0" collapsed="false">
      <c r="A427" s="6" t="s">
        <v>460</v>
      </c>
      <c r="B427" s="7" t="str">
        <f aca="false">IFERROR(VLOOKUP(LEFT(A427,4),Setor!A:D,2,FALSE()),"")</f>
        <v>Consumo Cíclico</v>
      </c>
      <c r="C427" s="8" t="n">
        <f aca="false">IFERROR(__xludf.dummyfunction("IFERROR(IFERROR(GOOGLEFINANCE(A433,""price""),VLOOKUP(A433,'Dados-Status-Invest'!A:B,2,FALSE)),"""")"),8)</f>
        <v>8</v>
      </c>
      <c r="D427" s="8" t="n">
        <f aca="false">IFERROR(VLOOKUP(A427,'Dados-Status-Invest'!$1:$1000,MATCH(D$1,'Dados-Status-Invest'!$2:$2,0),FALSE()),"")</f>
        <v>230491503.9</v>
      </c>
      <c r="E427" s="8" t="n">
        <f aca="false">IF(D427+H427&gt;0,D427+H427,"")</f>
        <v>378383663.4</v>
      </c>
      <c r="F427" s="8" t="n">
        <f aca="false">IFERROR(D427/VLOOKUP(A427,'Dados-Status-Invest'!$1:$1000,5,FALSE()),"")</f>
        <v>-203974782.2</v>
      </c>
      <c r="G427" s="8" t="n">
        <f aca="false">IFERROR(D427/VLOOKUP(A427,'Dados-Status-Invest'!$1:$1000,6,FALSE()),"")</f>
        <v>622950010.5</v>
      </c>
      <c r="H427" s="8" t="n">
        <f aca="false">IFERROR(VLOOKUP(A427,'Dados-Status-Invest'!$1:$1000,12,FALSE())*J427,"")</f>
        <v>147892159.5</v>
      </c>
      <c r="I427" s="8" t="n">
        <f aca="false">IFERROR(D427/VLOOKUP(A427,'Dados-Status-Invest'!$1:$1000,14,FALSE()),"")</f>
        <v>419075461.6</v>
      </c>
      <c r="J427" s="9" t="n">
        <f aca="false">IFERROR(D427/VLOOKUP(A427,'Dados-Status-Invest'!$1:$1000,10,FALSE()),"")</f>
        <v>-78666042.29</v>
      </c>
      <c r="K427" s="10" t="n">
        <f aca="false">IFERROR(VLOOKUP(A427,'Dados-Status-Invest'!$1:$1000,3,FALSE())/100,"")</f>
        <v>0</v>
      </c>
      <c r="L427" s="11" t="n">
        <f aca="false">IFERROR(VLOOKUP(A427,'Dados-Status-Invest'!$1:$1000,MATCH(L$1,'Dados-Status-Invest'!$2:$2,0),FALSE())/100,"")</f>
        <v>-0.5139</v>
      </c>
      <c r="M427" s="10" t="n">
        <f aca="false">IFERROR(VLOOKUP(A427,'Dados-Status-Invest'!$1:$1000,MATCH(M$1,'Dados-Status-Invest'!$2:$2,0),FALSE())/100,"")</f>
        <v>-0.1681</v>
      </c>
      <c r="N427" s="10" t="n">
        <f aca="false">IFERROR(VLOOKUP(A427,'Dados-Status-Invest'!$1:$1000,MATCH(N$1,'Dados-Status-Invest'!$2:$2,0),FALSE())/100,"")</f>
        <v>3.5256</v>
      </c>
      <c r="O427" s="10" t="n">
        <f aca="false">IFERROR(VLOOKUP(A427,'Dados-Status-Invest'!$1:$1000,MATCH(O$1,'Dados-Status-Invest'!$2:$2,0),FALSE())/100,"")</f>
        <v>0.0115</v>
      </c>
      <c r="P427" s="10" t="n">
        <f aca="false">IFERROR(VLOOKUP(A427,'Dados-Status-Invest'!$1:$1000,MATCH(P$1,'Dados-Status-Invest'!$2:$2,0),FALSE())/100,"")</f>
        <v>-0.1861</v>
      </c>
      <c r="Q427" s="10" t="n">
        <f aca="false">IFERROR(VLOOKUP(A427,'Dados-Status-Invest'!$1:$1000,MATCH(Q$1,'Dados-Status-Invest'!$2:$2,0),FALSE())/100,"")</f>
        <v>-0.249</v>
      </c>
      <c r="R427" s="12" t="n">
        <f aca="false">IFERROR(VLOOKUP(A427,'Dados-Status-Invest'!$1:$1000,MATCH(R$1,'Dados-Status-Invest'!$2:$2,0),FALSE()),"")</f>
        <v>-2.19</v>
      </c>
      <c r="S427" s="12" t="n">
        <f aca="false">IFERROR(VLOOKUP(A427,'Dados-Status-Invest'!$1:$1000,MATCH(S$1,'Dados-Status-Invest'!$2:$2,0),FALSE()),"")</f>
        <v>-1.13</v>
      </c>
      <c r="T427" s="12" t="n">
        <f aca="false">IFERROR(VLOOKUP(A427,'Dados-Status-Invest'!$1:$1000,MATCH(T$1,'Dados-Status-Invest'!$2:$2,0),FALSE()),"")</f>
        <v>-4.83</v>
      </c>
      <c r="U427" s="12" t="n">
        <f aca="false">IFERROR(VLOOKUP(A427,'Dados-Status-Invest'!$1:$1000,MATCH(U$1,'Dados-Status-Invest'!$2:$2,0),FALSE()),"")</f>
        <v>0.6</v>
      </c>
      <c r="V427" s="12" t="n">
        <f aca="false">IFERROR(VLOOKUP(A427,'Dados-Status-Invest'!$1:$1000,MATCH(V$1,'Dados-Status-Invest'!$2:$2,0),FALSE()),"")</f>
        <v>-1.88</v>
      </c>
      <c r="W427" s="10" t="n">
        <f aca="false">IFERROR(VLOOKUP(A427,'Dados-Status-Invest'!$1:$1000,MATCH(W$1,'Dados-Status-Invest'!$2:$2,0),FALSE())/100,"")</f>
        <v>-0.0514</v>
      </c>
      <c r="X427" s="10" t="n">
        <f aca="false">IFERROR(VLOOKUP(A427,'Dados-Status-Invest'!$1:$1000,MATCH(X$1,'Dados-Status-Invest'!$2:$2,0),FALSE())/100,"")</f>
        <v>0</v>
      </c>
    </row>
    <row r="428" customFormat="false" ht="15.75" hidden="false" customHeight="false" outlineLevel="0" collapsed="false">
      <c r="A428" s="6" t="s">
        <v>461</v>
      </c>
      <c r="B428" s="7" t="str">
        <f aca="false">IFERROR(VLOOKUP(LEFT(A428,4),Setor!A:D,2,FALSE()),"")</f>
        <v>Consumo Cíclico</v>
      </c>
      <c r="C428" s="8" t="n">
        <f aca="false">IFERROR(__xludf.dummyfunction("IFERROR(IFERROR(GOOGLEFINANCE(A434,""price""),VLOOKUP(A434,'Dados-Status-Invest'!A:B,2,FALSE)),"""")"),2.4)</f>
        <v>2.4</v>
      </c>
      <c r="D428" s="8" t="n">
        <f aca="false">IFERROR(VLOOKUP(A428,'Dados-Status-Invest'!$1:$1000,MATCH(D$1,'Dados-Status-Invest'!$2:$2,0),FALSE()),"")</f>
        <v>1294983040</v>
      </c>
      <c r="E428" s="8" t="n">
        <f aca="false">IF(D428+H428&gt;0,D428+H428,"")</f>
        <v>1387094804.35</v>
      </c>
      <c r="F428" s="8" t="n">
        <f aca="false">IFERROR(D428/VLOOKUP(A428,'Dados-Status-Invest'!$1:$1000,5,FALSE()),"")</f>
        <v>279091172.4</v>
      </c>
      <c r="G428" s="8" t="n">
        <f aca="false">IFERROR(D428/VLOOKUP(A428,'Dados-Status-Invest'!$1:$1000,6,FALSE()),"")</f>
        <v>1166651387</v>
      </c>
      <c r="H428" s="8" t="n">
        <f aca="false">IFERROR(VLOOKUP(A428,'Dados-Status-Invest'!$1:$1000,12,FALSE())*J428,"")</f>
        <v>92111764.35</v>
      </c>
      <c r="I428" s="8" t="n">
        <f aca="false">IFERROR(D428/VLOOKUP(A428,'Dados-Status-Invest'!$1:$1000,14,FALSE()),"")</f>
        <v>1011705500</v>
      </c>
      <c r="J428" s="9" t="n">
        <f aca="false">IFERROR(D428/VLOOKUP(A428,'Dados-Status-Invest'!$1:$1000,10,FALSE()),"")</f>
        <v>180611302.6</v>
      </c>
      <c r="K428" s="10" t="n">
        <f aca="false">IFERROR(VLOOKUP(A428,'Dados-Status-Invest'!$1:$1000,3,FALSE())/100,"")</f>
        <v>0.0308</v>
      </c>
      <c r="L428" s="11" t="n">
        <f aca="false">IFERROR(VLOOKUP(A428,'Dados-Status-Invest'!$1:$1000,MATCH(L$1,'Dados-Status-Invest'!$2:$2,0),FALSE())/100,"")</f>
        <v>0.5776</v>
      </c>
      <c r="M428" s="10" t="n">
        <f aca="false">IFERROR(VLOOKUP(A428,'Dados-Status-Invest'!$1:$1000,MATCH(M$1,'Dados-Status-Invest'!$2:$2,0),FALSE())/100,"")</f>
        <v>0.1383</v>
      </c>
      <c r="N428" s="10" t="n">
        <f aca="false">IFERROR(VLOOKUP(A428,'Dados-Status-Invest'!$1:$1000,MATCH(N$1,'Dados-Status-Invest'!$2:$2,0),FALSE())/100,"")</f>
        <v>0.2453</v>
      </c>
      <c r="O428" s="10" t="n">
        <f aca="false">IFERROR(VLOOKUP(A428,'Dados-Status-Invest'!$1:$1000,MATCH(O$1,'Dados-Status-Invest'!$2:$2,0),FALSE())/100,"")</f>
        <v>0.3567</v>
      </c>
      <c r="P428" s="10" t="n">
        <f aca="false">IFERROR(VLOOKUP(A428,'Dados-Status-Invest'!$1:$1000,MATCH(P$1,'Dados-Status-Invest'!$2:$2,0),FALSE())/100,"")</f>
        <v>0.1784</v>
      </c>
      <c r="Q428" s="10" t="n">
        <f aca="false">IFERROR(VLOOKUP(A428,'Dados-Status-Invest'!$1:$1000,MATCH(Q$1,'Dados-Status-Invest'!$2:$2,0),FALSE())/100,"")</f>
        <v>0.1593</v>
      </c>
      <c r="R428" s="12" t="n">
        <f aca="false">IFERROR(VLOOKUP(A428,'Dados-Status-Invest'!$1:$1000,MATCH(R$1,'Dados-Status-Invest'!$2:$2,0),FALSE()),"")</f>
        <v>8.03</v>
      </c>
      <c r="S428" s="12" t="n">
        <f aca="false">IFERROR(VLOOKUP(A428,'Dados-Status-Invest'!$1:$1000,MATCH(S$1,'Dados-Status-Invest'!$2:$2,0),FALSE()),"")</f>
        <v>4.64</v>
      </c>
      <c r="T428" s="12" t="n">
        <f aca="false">IFERROR(VLOOKUP(A428,'Dados-Status-Invest'!$1:$1000,MATCH(T$1,'Dados-Status-Invest'!$2:$2,0),FALSE()),"")</f>
        <v>7.66</v>
      </c>
      <c r="U428" s="12" t="n">
        <f aca="false">IFERROR(VLOOKUP(A428,'Dados-Status-Invest'!$1:$1000,MATCH(U$1,'Dados-Status-Invest'!$2:$2,0),FALSE()),"")</f>
        <v>5.68</v>
      </c>
      <c r="V428" s="12" t="n">
        <f aca="false">IFERROR(VLOOKUP(A428,'Dados-Status-Invest'!$1:$1000,MATCH(V$1,'Dados-Status-Invest'!$2:$2,0),FALSE()),"")</f>
        <v>0.51</v>
      </c>
      <c r="W428" s="10" t="n">
        <f aca="false">IFERROR(VLOOKUP(A428,'Dados-Status-Invest'!$1:$1000,MATCH(W$1,'Dados-Status-Invest'!$2:$2,0),FALSE())/100,"")</f>
        <v>0</v>
      </c>
      <c r="X428" s="10" t="n">
        <f aca="false">IFERROR(VLOOKUP(A428,'Dados-Status-Invest'!$1:$1000,MATCH(X$1,'Dados-Status-Invest'!$2:$2,0),FALSE())/100,"")</f>
        <v>0</v>
      </c>
    </row>
    <row r="429" customFormat="false" ht="15.75" hidden="false" customHeight="false" outlineLevel="0" collapsed="false">
      <c r="A429" s="6" t="s">
        <v>462</v>
      </c>
      <c r="B429" s="7" t="str">
        <f aca="false">IFERROR(VLOOKUP(LEFT(A429,4),Setor!A:D,2,FALSE()),"")</f>
        <v>Materiais Básicos</v>
      </c>
      <c r="C429" s="8" t="n">
        <f aca="false">IFERROR(__xludf.dummyfunction("IFERROR(IFERROR(GOOGLEFINANCE(A435,""price""),VLOOKUP(A435,'Dados-Status-Invest'!A:B,2,FALSE)),"""")"),6.61)</f>
        <v>6.61</v>
      </c>
      <c r="D429" s="8" t="n">
        <f aca="false">IFERROR(VLOOKUP(A429,'Dados-Status-Invest'!$1:$1000,MATCH(D$1,'Dados-Status-Invest'!$2:$2,0),FALSE()),"")</f>
        <v>653227927.5</v>
      </c>
      <c r="E429" s="8" t="n">
        <f aca="false">IF(D429+H429&gt;0,D429+H429,"")</f>
        <v>3704528157.5</v>
      </c>
      <c r="F429" s="8" t="n">
        <f aca="false">IFERROR(D429/VLOOKUP(A429,'Dados-Status-Invest'!$1:$1000,5,FALSE()),"")</f>
        <v>-593843570.4</v>
      </c>
      <c r="G429" s="8" t="n">
        <f aca="false">IFERROR(D429/VLOOKUP(A429,'Dados-Status-Invest'!$1:$1000,6,FALSE()),"")</f>
        <v>3629044041</v>
      </c>
      <c r="H429" s="8" t="n">
        <f aca="false">IFERROR(VLOOKUP(A429,'Dados-Status-Invest'!$1:$1000,12,FALSE())*J429,"")</f>
        <v>3051300230</v>
      </c>
      <c r="I429" s="8" t="n">
        <f aca="false">IFERROR(D429/VLOOKUP(A429,'Dados-Status-Invest'!$1:$1000,14,FALSE()),"")</f>
        <v>4665913768</v>
      </c>
      <c r="J429" s="9" t="n">
        <f aca="false">IFERROR(D429/VLOOKUP(A429,'Dados-Status-Invest'!$1:$1000,10,FALSE()),"")</f>
        <v>-290323523.3</v>
      </c>
      <c r="K429" s="10" t="n">
        <f aca="false">IFERROR(VLOOKUP(A429,'Dados-Status-Invest'!$1:$1000,3,FALSE())/100,"")</f>
        <v>0</v>
      </c>
      <c r="L429" s="11" t="n">
        <f aca="false">IFERROR(VLOOKUP(A429,'Dados-Status-Invest'!$1:$1000,MATCH(L$1,'Dados-Status-Invest'!$2:$2,0),FALSE())/100,"")</f>
        <v>-1.1686</v>
      </c>
      <c r="M429" s="10" t="n">
        <f aca="false">IFERROR(VLOOKUP(A429,'Dados-Status-Invest'!$1:$1000,MATCH(M$1,'Dados-Status-Invest'!$2:$2,0),FALSE())/100,"")</f>
        <v>-0.1889</v>
      </c>
      <c r="N429" s="10" t="n">
        <f aca="false">IFERROR(VLOOKUP(A429,'Dados-Status-Invest'!$1:$1000,MATCH(N$1,'Dados-Status-Invest'!$2:$2,0),FALSE())/100,"")</f>
        <v>-0.1139</v>
      </c>
      <c r="O429" s="10" t="n">
        <f aca="false">IFERROR(VLOOKUP(A429,'Dados-Status-Invest'!$1:$1000,MATCH(O$1,'Dados-Status-Invest'!$2:$2,0),FALSE())/100,"")</f>
        <v>0.0142</v>
      </c>
      <c r="P429" s="10" t="n">
        <f aca="false">IFERROR(VLOOKUP(A429,'Dados-Status-Invest'!$1:$1000,MATCH(P$1,'Dados-Status-Invest'!$2:$2,0),FALSE())/100,"")</f>
        <v>-0.0618</v>
      </c>
      <c r="Q429" s="10" t="n">
        <f aca="false">IFERROR(VLOOKUP(A429,'Dados-Status-Invest'!$1:$1000,MATCH(Q$1,'Dados-Status-Invest'!$2:$2,0),FALSE())/100,"")</f>
        <v>-0.148</v>
      </c>
      <c r="R429" s="12" t="n">
        <f aca="false">IFERROR(VLOOKUP(A429,'Dados-Status-Invest'!$1:$1000,MATCH(R$1,'Dados-Status-Invest'!$2:$2,0),FALSE()),"")</f>
        <v>-0.94</v>
      </c>
      <c r="S429" s="12" t="n">
        <f aca="false">IFERROR(VLOOKUP(A429,'Dados-Status-Invest'!$1:$1000,MATCH(S$1,'Dados-Status-Invest'!$2:$2,0),FALSE()),"")</f>
        <v>-1.1</v>
      </c>
      <c r="T429" s="12" t="n">
        <f aca="false">IFERROR(VLOOKUP(A429,'Dados-Status-Invest'!$1:$1000,MATCH(T$1,'Dados-Status-Invest'!$2:$2,0),FALSE()),"")</f>
        <v>-12.77</v>
      </c>
      <c r="U429" s="12" t="n">
        <f aca="false">IFERROR(VLOOKUP(A429,'Dados-Status-Invest'!$1:$1000,MATCH(U$1,'Dados-Status-Invest'!$2:$2,0),FALSE()),"")</f>
        <v>0.38</v>
      </c>
      <c r="V429" s="12" t="n">
        <f aca="false">IFERROR(VLOOKUP(A429,'Dados-Status-Invest'!$1:$1000,MATCH(V$1,'Dados-Status-Invest'!$2:$2,0),FALSE()),"")</f>
        <v>-10.51</v>
      </c>
      <c r="W429" s="10" t="n">
        <f aca="false">IFERROR(VLOOKUP(A429,'Dados-Status-Invest'!$1:$1000,MATCH(W$1,'Dados-Status-Invest'!$2:$2,0),FALSE())/100,"")</f>
        <v>-0.0439</v>
      </c>
      <c r="X429" s="10" t="n">
        <f aca="false">IFERROR(VLOOKUP(A429,'Dados-Status-Invest'!$1:$1000,MATCH(X$1,'Dados-Status-Invest'!$2:$2,0),FALSE())/100,"")</f>
        <v>0</v>
      </c>
    </row>
    <row r="430" customFormat="false" ht="15.75" hidden="false" customHeight="false" outlineLevel="0" collapsed="false">
      <c r="A430" s="6" t="s">
        <v>463</v>
      </c>
      <c r="B430" s="7" t="str">
        <f aca="false">IFERROR(VLOOKUP(LEFT(A430,4),Setor!A:D,2,FALSE()),"")</f>
        <v>Saúde</v>
      </c>
      <c r="C430" s="8" t="n">
        <f aca="false">IFERROR(__xludf.dummyfunction("IFERROR(IFERROR(GOOGLEFINANCE(A436,""price""),VLOOKUP(A436,'Dados-Status-Invest'!A:B,2,FALSE)),"""")"),10.54)</f>
        <v>10.54</v>
      </c>
      <c r="D430" s="8" t="n">
        <f aca="false">IFERROR(VLOOKUP(A430,'Dados-Status-Invest'!$1:$1000,MATCH(D$1,'Dados-Status-Invest'!$2:$2,0),FALSE()),"")</f>
        <v>3196236229</v>
      </c>
      <c r="E430" s="8" t="n">
        <f aca="false">IF(D430+H430&gt;0,D430+H430,"")</f>
        <v>3541486690.3</v>
      </c>
      <c r="F430" s="8" t="n">
        <f aca="false">IFERROR(D430/VLOOKUP(A430,'Dados-Status-Invest'!$1:$1000,5,FALSE()),"")</f>
        <v>1014678168</v>
      </c>
      <c r="G430" s="8" t="n">
        <f aca="false">IFERROR(D430/VLOOKUP(A430,'Dados-Status-Invest'!$1:$1000,6,FALSE()),"")</f>
        <v>2250870584</v>
      </c>
      <c r="H430" s="8" t="n">
        <f aca="false">IFERROR(VLOOKUP(A430,'Dados-Status-Invest'!$1:$1000,12,FALSE())*J430,"")</f>
        <v>345250461.3</v>
      </c>
      <c r="I430" s="8" t="n">
        <f aca="false">IFERROR(D430/VLOOKUP(A430,'Dados-Status-Invest'!$1:$1000,14,FALSE()),"")</f>
        <v>2879492098</v>
      </c>
      <c r="J430" s="9" t="n">
        <f aca="false">IFERROR(D430/VLOOKUP(A430,'Dados-Status-Invest'!$1:$1000,10,FALSE()),"")</f>
        <v>88982077.64</v>
      </c>
      <c r="K430" s="10" t="n">
        <f aca="false">IFERROR(VLOOKUP(A430,'Dados-Status-Invest'!$1:$1000,3,FALSE())/100,"")</f>
        <v>0.0064</v>
      </c>
      <c r="L430" s="11" t="n">
        <f aca="false">IFERROR(VLOOKUP(A430,'Dados-Status-Invest'!$1:$1000,MATCH(L$1,'Dados-Status-Invest'!$2:$2,0),FALSE())/100,"")</f>
        <v>0.0609</v>
      </c>
      <c r="M430" s="10" t="n">
        <f aca="false">IFERROR(VLOOKUP(A430,'Dados-Status-Invest'!$1:$1000,MATCH(M$1,'Dados-Status-Invest'!$2:$2,0),FALSE())/100,"")</f>
        <v>0.0275</v>
      </c>
      <c r="N430" s="10" t="n">
        <f aca="false">IFERROR(VLOOKUP(A430,'Dados-Status-Invest'!$1:$1000,MATCH(N$1,'Dados-Status-Invest'!$2:$2,0),FALSE())/100,"")</f>
        <v>0.0532</v>
      </c>
      <c r="O430" s="10" t="n">
        <f aca="false">IFERROR(VLOOKUP(A430,'Dados-Status-Invest'!$1:$1000,MATCH(O$1,'Dados-Status-Invest'!$2:$2,0),FALSE())/100,"")</f>
        <v>0.2977</v>
      </c>
      <c r="P430" s="10" t="n">
        <f aca="false">IFERROR(VLOOKUP(A430,'Dados-Status-Invest'!$1:$1000,MATCH(P$1,'Dados-Status-Invest'!$2:$2,0),FALSE())/100,"")</f>
        <v>0.0309</v>
      </c>
      <c r="Q430" s="10" t="n">
        <f aca="false">IFERROR(VLOOKUP(A430,'Dados-Status-Invest'!$1:$1000,MATCH(Q$1,'Dados-Status-Invest'!$2:$2,0),FALSE())/100,"")</f>
        <v>0.0215</v>
      </c>
      <c r="R430" s="12" t="n">
        <f aca="false">IFERROR(VLOOKUP(A430,'Dados-Status-Invest'!$1:$1000,MATCH(R$1,'Dados-Status-Invest'!$2:$2,0),FALSE()),"")</f>
        <v>51.67</v>
      </c>
      <c r="S430" s="12" t="n">
        <f aca="false">IFERROR(VLOOKUP(A430,'Dados-Status-Invest'!$1:$1000,MATCH(S$1,'Dados-Status-Invest'!$2:$2,0),FALSE()),"")</f>
        <v>3.15</v>
      </c>
      <c r="T430" s="12" t="n">
        <f aca="false">IFERROR(VLOOKUP(A430,'Dados-Status-Invest'!$1:$1000,MATCH(T$1,'Dados-Status-Invest'!$2:$2,0),FALSE()),"")</f>
        <v>39.77</v>
      </c>
      <c r="U430" s="12" t="n">
        <f aca="false">IFERROR(VLOOKUP(A430,'Dados-Status-Invest'!$1:$1000,MATCH(U$1,'Dados-Status-Invest'!$2:$2,0),FALSE()),"")</f>
        <v>1.94</v>
      </c>
      <c r="V430" s="12" t="n">
        <f aca="false">IFERROR(VLOOKUP(A430,'Dados-Status-Invest'!$1:$1000,MATCH(V$1,'Dados-Status-Invest'!$2:$2,0),FALSE()),"")</f>
        <v>3.88</v>
      </c>
      <c r="W430" s="10" t="n">
        <f aca="false">IFERROR(VLOOKUP(A430,'Dados-Status-Invest'!$1:$1000,MATCH(W$1,'Dados-Status-Invest'!$2:$2,0),FALSE())/100,"")</f>
        <v>0.0726</v>
      </c>
      <c r="X430" s="10" t="n">
        <f aca="false">IFERROR(VLOOKUP(A430,'Dados-Status-Invest'!$1:$1000,MATCH(X$1,'Dados-Status-Invest'!$2:$2,0),FALSE())/100,"")</f>
        <v>0.044</v>
      </c>
    </row>
    <row r="431" customFormat="false" ht="15.75" hidden="false" customHeight="false" outlineLevel="0" collapsed="false">
      <c r="A431" s="6" t="s">
        <v>464</v>
      </c>
      <c r="B431" s="7" t="str">
        <f aca="false">IFERROR(VLOOKUP(LEFT(A431,4),Setor!A:D,2,FALSE()),"")</f>
        <v>Saúde</v>
      </c>
      <c r="C431" s="8" t="n">
        <f aca="false">IFERROR(__xludf.dummyfunction("IFERROR(IFERROR(GOOGLEFINANCE(A437,""price""),VLOOKUP(A437,'Dados-Status-Invest'!A:B,2,FALSE)),"""")"),21.1)</f>
        <v>21.1</v>
      </c>
      <c r="D431" s="8" t="n">
        <f aca="false">IFERROR(VLOOKUP(A431,'Dados-Status-Invest'!$1:$1000,MATCH(D$1,'Dados-Status-Invest'!$2:$2,0),FALSE()),"")</f>
        <v>3196236229</v>
      </c>
      <c r="E431" s="8" t="n">
        <f aca="false">IF(D431+H431&gt;0,D431+H431,"")</f>
        <v>3541775280.8</v>
      </c>
      <c r="F431" s="8" t="n">
        <f aca="false">IFERROR(D431/VLOOKUP(A431,'Dados-Status-Invest'!$1:$1000,5,FALSE()),"")</f>
        <v>1014678168</v>
      </c>
      <c r="G431" s="8" t="n">
        <f aca="false">IFERROR(D431/VLOOKUP(A431,'Dados-Status-Invest'!$1:$1000,6,FALSE()),"")</f>
        <v>2250870584</v>
      </c>
      <c r="H431" s="8" t="n">
        <f aca="false">IFERROR(VLOOKUP(A431,'Dados-Status-Invest'!$1:$1000,12,FALSE())*J431,"")</f>
        <v>345539051.8</v>
      </c>
      <c r="I431" s="8" t="n">
        <f aca="false">IFERROR(D431/VLOOKUP(A431,'Dados-Status-Invest'!$1:$1000,14,FALSE()),"")</f>
        <v>2879492098</v>
      </c>
      <c r="J431" s="9" t="n">
        <f aca="false">IFERROR(D431/VLOOKUP(A431,'Dados-Status-Invest'!$1:$1000,10,FALSE()),"")</f>
        <v>89056456.65</v>
      </c>
      <c r="K431" s="10" t="n">
        <f aca="false">IFERROR(VLOOKUP(A431,'Dados-Status-Invest'!$1:$1000,3,FALSE())/100,"")</f>
        <v>0.0071</v>
      </c>
      <c r="L431" s="11" t="n">
        <f aca="false">IFERROR(VLOOKUP(A431,'Dados-Status-Invest'!$1:$1000,MATCH(L$1,'Dados-Status-Invest'!$2:$2,0),FALSE())/100,"")</f>
        <v>0.0609</v>
      </c>
      <c r="M431" s="10" t="n">
        <f aca="false">IFERROR(VLOOKUP(A431,'Dados-Status-Invest'!$1:$1000,MATCH(M$1,'Dados-Status-Invest'!$2:$2,0),FALSE())/100,"")</f>
        <v>0.0275</v>
      </c>
      <c r="N431" s="10" t="n">
        <f aca="false">IFERROR(VLOOKUP(A431,'Dados-Status-Invest'!$1:$1000,MATCH(N$1,'Dados-Status-Invest'!$2:$2,0),FALSE())/100,"")</f>
        <v>0.0532</v>
      </c>
      <c r="O431" s="10" t="n">
        <f aca="false">IFERROR(VLOOKUP(A431,'Dados-Status-Invest'!$1:$1000,MATCH(O$1,'Dados-Status-Invest'!$2:$2,0),FALSE())/100,"")</f>
        <v>0.2977</v>
      </c>
      <c r="P431" s="10" t="n">
        <f aca="false">IFERROR(VLOOKUP(A431,'Dados-Status-Invest'!$1:$1000,MATCH(P$1,'Dados-Status-Invest'!$2:$2,0),FALSE())/100,"")</f>
        <v>0.0309</v>
      </c>
      <c r="Q431" s="10" t="n">
        <f aca="false">IFERROR(VLOOKUP(A431,'Dados-Status-Invest'!$1:$1000,MATCH(Q$1,'Dados-Status-Invest'!$2:$2,0),FALSE())/100,"")</f>
        <v>0.0215</v>
      </c>
      <c r="R431" s="12" t="n">
        <f aca="false">IFERROR(VLOOKUP(A431,'Dados-Status-Invest'!$1:$1000,MATCH(R$1,'Dados-Status-Invest'!$2:$2,0),FALSE()),"")</f>
        <v>51.62</v>
      </c>
      <c r="S431" s="12" t="n">
        <f aca="false">IFERROR(VLOOKUP(A431,'Dados-Status-Invest'!$1:$1000,MATCH(S$1,'Dados-Status-Invest'!$2:$2,0),FALSE()),"")</f>
        <v>3.15</v>
      </c>
      <c r="T431" s="12" t="n">
        <f aca="false">IFERROR(VLOOKUP(A431,'Dados-Status-Invest'!$1:$1000,MATCH(T$1,'Dados-Status-Invest'!$2:$2,0),FALSE()),"")</f>
        <v>39.77</v>
      </c>
      <c r="U431" s="12" t="n">
        <f aca="false">IFERROR(VLOOKUP(A431,'Dados-Status-Invest'!$1:$1000,MATCH(U$1,'Dados-Status-Invest'!$2:$2,0),FALSE()),"")</f>
        <v>1.94</v>
      </c>
      <c r="V431" s="12" t="n">
        <f aca="false">IFERROR(VLOOKUP(A431,'Dados-Status-Invest'!$1:$1000,MATCH(V$1,'Dados-Status-Invest'!$2:$2,0),FALSE()),"")</f>
        <v>3.88</v>
      </c>
      <c r="W431" s="10" t="n">
        <f aca="false">IFERROR(VLOOKUP(A431,'Dados-Status-Invest'!$1:$1000,MATCH(W$1,'Dados-Status-Invest'!$2:$2,0),FALSE())/100,"")</f>
        <v>0.0726</v>
      </c>
      <c r="X431" s="10" t="n">
        <f aca="false">IFERROR(VLOOKUP(A431,'Dados-Status-Invest'!$1:$1000,MATCH(X$1,'Dados-Status-Invest'!$2:$2,0),FALSE())/100,"")</f>
        <v>0.044</v>
      </c>
    </row>
    <row r="432" customFormat="false" ht="15.75" hidden="false" customHeight="false" outlineLevel="0" collapsed="false">
      <c r="A432" s="6" t="s">
        <v>465</v>
      </c>
      <c r="B432" s="7" t="str">
        <f aca="false">IFERROR(VLOOKUP(LEFT(A432,4),Setor!A:D,2,FALSE()),"")</f>
        <v>Bens Industriais</v>
      </c>
      <c r="C432" s="8" t="n">
        <f aca="false">IFERROR(__xludf.dummyfunction("IFERROR(IFERROR(GOOGLEFINANCE(A438,""price""),VLOOKUP(A438,'Dados-Status-Invest'!A:B,2,FALSE)),"""")"),2.3)</f>
        <v>2.3</v>
      </c>
      <c r="D432" s="8" t="n">
        <f aca="false">IFERROR(VLOOKUP(A432,'Dados-Status-Invest'!$1:$1000,MATCH(D$1,'Dados-Status-Invest'!$2:$2,0),FALSE()),"")</f>
        <v>3182933694</v>
      </c>
      <c r="E432" s="8" t="n">
        <f aca="false">IF(D432+H432&gt;0,D432+H432,"")</f>
        <v>4296162641</v>
      </c>
      <c r="F432" s="8" t="n">
        <f aca="false">IFERROR(D432/VLOOKUP(A432,'Dados-Status-Invest'!$1:$1000,5,FALSE()),"")</f>
        <v>2674734197</v>
      </c>
      <c r="G432" s="8" t="n">
        <f aca="false">IFERROR(D432/VLOOKUP(A432,'Dados-Status-Invest'!$1:$1000,6,FALSE()),"")</f>
        <v>6241046459</v>
      </c>
      <c r="H432" s="8" t="n">
        <f aca="false">IFERROR(VLOOKUP(A432,'Dados-Status-Invest'!$1:$1000,12,FALSE())*J432,"")</f>
        <v>1113228947</v>
      </c>
      <c r="I432" s="8" t="n">
        <f aca="false">IFERROR(D432/VLOOKUP(A432,'Dados-Status-Invest'!$1:$1000,14,FALSE()),"")</f>
        <v>3616970107</v>
      </c>
      <c r="J432" s="9" t="n">
        <f aca="false">IFERROR(D432/VLOOKUP(A432,'Dados-Status-Invest'!$1:$1000,10,FALSE()),"")</f>
        <v>93864160.83</v>
      </c>
      <c r="K432" s="10" t="n">
        <f aca="false">IFERROR(VLOOKUP(A432,'Dados-Status-Invest'!$1:$1000,3,FALSE())/100,"")</f>
        <v>0.0062</v>
      </c>
      <c r="L432" s="11" t="n">
        <f aca="false">IFERROR(VLOOKUP(A432,'Dados-Status-Invest'!$1:$1000,MATCH(L$1,'Dados-Status-Invest'!$2:$2,0),FALSE())/100,"")</f>
        <v>0.0294</v>
      </c>
      <c r="M432" s="10" t="n">
        <f aca="false">IFERROR(VLOOKUP(A432,'Dados-Status-Invest'!$1:$1000,MATCH(M$1,'Dados-Status-Invest'!$2:$2,0),FALSE())/100,"")</f>
        <v>0.0128</v>
      </c>
      <c r="N432" s="10" t="n">
        <f aca="false">IFERROR(VLOOKUP(A432,'Dados-Status-Invest'!$1:$1000,MATCH(N$1,'Dados-Status-Invest'!$2:$2,0),FALSE())/100,"")</f>
        <v>0.0145</v>
      </c>
      <c r="O432" s="10" t="n">
        <f aca="false">IFERROR(VLOOKUP(A432,'Dados-Status-Invest'!$1:$1000,MATCH(O$1,'Dados-Status-Invest'!$2:$2,0),FALSE())/100,"")</f>
        <v>0.1558</v>
      </c>
      <c r="P432" s="10" t="n">
        <f aca="false">IFERROR(VLOOKUP(A432,'Dados-Status-Invest'!$1:$1000,MATCH(P$1,'Dados-Status-Invest'!$2:$2,0),FALSE())/100,"")</f>
        <v>0.0258</v>
      </c>
      <c r="Q432" s="10" t="n">
        <f aca="false">IFERROR(VLOOKUP(A432,'Dados-Status-Invest'!$1:$1000,MATCH(Q$1,'Dados-Status-Invest'!$2:$2,0),FALSE())/100,"")</f>
        <v>0.0217</v>
      </c>
      <c r="R432" s="12" t="n">
        <f aca="false">IFERROR(VLOOKUP(A432,'Dados-Status-Invest'!$1:$1000,MATCH(R$1,'Dados-Status-Invest'!$2:$2,0),FALSE()),"")</f>
        <v>40.26</v>
      </c>
      <c r="S432" s="12" t="n">
        <f aca="false">IFERROR(VLOOKUP(A432,'Dados-Status-Invest'!$1:$1000,MATCH(S$1,'Dados-Status-Invest'!$2:$2,0),FALSE()),"")</f>
        <v>1.19</v>
      </c>
      <c r="T432" s="12" t="n">
        <f aca="false">IFERROR(VLOOKUP(A432,'Dados-Status-Invest'!$1:$1000,MATCH(T$1,'Dados-Status-Invest'!$2:$2,0),FALSE()),"")</f>
        <v>47.04</v>
      </c>
      <c r="U432" s="12" t="n">
        <f aca="false">IFERROR(VLOOKUP(A432,'Dados-Status-Invest'!$1:$1000,MATCH(U$1,'Dados-Status-Invest'!$2:$2,0),FALSE()),"")</f>
        <v>1.81</v>
      </c>
      <c r="V432" s="12" t="n">
        <f aca="false">IFERROR(VLOOKUP(A432,'Dados-Status-Invest'!$1:$1000,MATCH(V$1,'Dados-Status-Invest'!$2:$2,0),FALSE()),"")</f>
        <v>11.86</v>
      </c>
      <c r="W432" s="10" t="n">
        <f aca="false">IFERROR(VLOOKUP(A432,'Dados-Status-Invest'!$1:$1000,MATCH(W$1,'Dados-Status-Invest'!$2:$2,0),FALSE())/100,"")</f>
        <v>0.0556</v>
      </c>
      <c r="X432" s="10" t="n">
        <f aca="false">IFERROR(VLOOKUP(A432,'Dados-Status-Invest'!$1:$1000,MATCH(X$1,'Dados-Status-Invest'!$2:$2,0),FALSE())/100,"")</f>
        <v>0.0036</v>
      </c>
    </row>
    <row r="433" customFormat="false" ht="15.75" hidden="false" customHeight="false" outlineLevel="0" collapsed="false">
      <c r="A433" s="6" t="s">
        <v>466</v>
      </c>
      <c r="B433" s="7" t="str">
        <f aca="false">IFERROR(VLOOKUP(LEFT(A433,4),Setor!A:D,2,FALSE()),"")</f>
        <v>Bens Industriais</v>
      </c>
      <c r="C433" s="8" t="n">
        <f aca="false">IFERROR(__xludf.dummyfunction("IFERROR(IFERROR(GOOGLEFINANCE(A439,""price""),VLOOKUP(A439,'Dados-Status-Invest'!A:B,2,FALSE)),"""")"),2.71)</f>
        <v>2.71</v>
      </c>
      <c r="D433" s="8" t="n">
        <f aca="false">IFERROR(VLOOKUP(A433,'Dados-Status-Invest'!$1:$1000,MATCH(D$1,'Dados-Status-Invest'!$2:$2,0),FALSE()),"")</f>
        <v>3182933694</v>
      </c>
      <c r="E433" s="8" t="n">
        <f aca="false">IF(D433+H433&gt;0,D433+H433,"")</f>
        <v>4237391616</v>
      </c>
      <c r="F433" s="8" t="n">
        <f aca="false">IFERROR(D433/VLOOKUP(A433,'Dados-Status-Invest'!$1:$1000,5,FALSE()),"")</f>
        <v>2546346955</v>
      </c>
      <c r="G433" s="8" t="n">
        <f aca="false">IFERROR(D433/VLOOKUP(A433,'Dados-Status-Invest'!$1:$1000,6,FALSE()),"")</f>
        <v>5894321655</v>
      </c>
      <c r="H433" s="8" t="n">
        <f aca="false">IFERROR(VLOOKUP(A433,'Dados-Status-Invest'!$1:$1000,12,FALSE())*J433,"")</f>
        <v>1054457922</v>
      </c>
      <c r="I433" s="8" t="n">
        <f aca="false">IFERROR(D433/VLOOKUP(A433,'Dados-Status-Invest'!$1:$1000,14,FALSE()),"")</f>
        <v>3459710537</v>
      </c>
      <c r="J433" s="9" t="n">
        <f aca="false">IFERROR(D433/VLOOKUP(A433,'Dados-Status-Invest'!$1:$1000,10,FALSE()),"")</f>
        <v>88908762.4</v>
      </c>
      <c r="K433" s="10" t="n">
        <f aca="false">IFERROR(VLOOKUP(A433,'Dados-Status-Invest'!$1:$1000,3,FALSE())/100,"")</f>
        <v>0.0058</v>
      </c>
      <c r="L433" s="11" t="n">
        <f aca="false">IFERROR(VLOOKUP(A433,'Dados-Status-Invest'!$1:$1000,MATCH(L$1,'Dados-Status-Invest'!$2:$2,0),FALSE())/100,"")</f>
        <v>0.0294</v>
      </c>
      <c r="M433" s="10" t="n">
        <f aca="false">IFERROR(VLOOKUP(A433,'Dados-Status-Invest'!$1:$1000,MATCH(M$1,'Dados-Status-Invest'!$2:$2,0),FALSE())/100,"")</f>
        <v>0.0128</v>
      </c>
      <c r="N433" s="10" t="n">
        <f aca="false">IFERROR(VLOOKUP(A433,'Dados-Status-Invest'!$1:$1000,MATCH(N$1,'Dados-Status-Invest'!$2:$2,0),FALSE())/100,"")</f>
        <v>0.0145</v>
      </c>
      <c r="O433" s="10" t="n">
        <f aca="false">IFERROR(VLOOKUP(A433,'Dados-Status-Invest'!$1:$1000,MATCH(O$1,'Dados-Status-Invest'!$2:$2,0),FALSE())/100,"")</f>
        <v>0.1558</v>
      </c>
      <c r="P433" s="10" t="n">
        <f aca="false">IFERROR(VLOOKUP(A433,'Dados-Status-Invest'!$1:$1000,MATCH(P$1,'Dados-Status-Invest'!$2:$2,0),FALSE())/100,"")</f>
        <v>0.0258</v>
      </c>
      <c r="Q433" s="10" t="n">
        <f aca="false">IFERROR(VLOOKUP(A433,'Dados-Status-Invest'!$1:$1000,MATCH(Q$1,'Dados-Status-Invest'!$2:$2,0),FALSE())/100,"")</f>
        <v>0.0217</v>
      </c>
      <c r="R433" s="12" t="n">
        <f aca="false">IFERROR(VLOOKUP(A433,'Dados-Status-Invest'!$1:$1000,MATCH(R$1,'Dados-Status-Invest'!$2:$2,0),FALSE()),"")</f>
        <v>42.5</v>
      </c>
      <c r="S433" s="12" t="n">
        <f aca="false">IFERROR(VLOOKUP(A433,'Dados-Status-Invest'!$1:$1000,MATCH(S$1,'Dados-Status-Invest'!$2:$2,0),FALSE()),"")</f>
        <v>1.25</v>
      </c>
      <c r="T433" s="12" t="n">
        <f aca="false">IFERROR(VLOOKUP(A433,'Dados-Status-Invest'!$1:$1000,MATCH(T$1,'Dados-Status-Invest'!$2:$2,0),FALSE()),"")</f>
        <v>47.04</v>
      </c>
      <c r="U433" s="12" t="n">
        <f aca="false">IFERROR(VLOOKUP(A433,'Dados-Status-Invest'!$1:$1000,MATCH(U$1,'Dados-Status-Invest'!$2:$2,0),FALSE()),"")</f>
        <v>1.81</v>
      </c>
      <c r="V433" s="12" t="n">
        <f aca="false">IFERROR(VLOOKUP(A433,'Dados-Status-Invest'!$1:$1000,MATCH(V$1,'Dados-Status-Invest'!$2:$2,0),FALSE()),"")</f>
        <v>11.86</v>
      </c>
      <c r="W433" s="10" t="n">
        <f aca="false">IFERROR(VLOOKUP(A433,'Dados-Status-Invest'!$1:$1000,MATCH(W$1,'Dados-Status-Invest'!$2:$2,0),FALSE())/100,"")</f>
        <v>0.0556</v>
      </c>
      <c r="X433" s="10" t="n">
        <f aca="false">IFERROR(VLOOKUP(A433,'Dados-Status-Invest'!$1:$1000,MATCH(X$1,'Dados-Status-Invest'!$2:$2,0),FALSE())/100,"")</f>
        <v>0.0036</v>
      </c>
    </row>
    <row r="434" customFormat="false" ht="15.75" hidden="false" customHeight="false" outlineLevel="0" collapsed="false">
      <c r="A434" s="6" t="s">
        <v>467</v>
      </c>
      <c r="B434" s="7" t="str">
        <f aca="false">IFERROR(VLOOKUP(LEFT(A434,4),Setor!A:D,2,FALSE()),"")</f>
        <v>Tecnologia da Informação</v>
      </c>
      <c r="C434" s="8" t="n">
        <f aca="false">IFERROR(__xludf.dummyfunction("IFERROR(IFERROR(GOOGLEFINANCE(A440,""price""),VLOOKUP(A440,'Dados-Status-Invest'!A:B,2,FALSE)),"""")"),7.62)</f>
        <v>7.62</v>
      </c>
      <c r="D434" s="8" t="n">
        <f aca="false">IFERROR(VLOOKUP(A434,'Dados-Status-Invest'!$1:$1000,MATCH(D$1,'Dados-Status-Invest'!$2:$2,0),FALSE()),"")</f>
        <v>1720034000</v>
      </c>
      <c r="E434" s="8" t="n">
        <f aca="false">IF(D434+H434&gt;0,D434+H434,"")</f>
        <v>1982907120.8</v>
      </c>
      <c r="F434" s="8" t="n">
        <f aca="false">IFERROR(D434/VLOOKUP(A434,'Dados-Status-Invest'!$1:$1000,5,FALSE()),"")</f>
        <v>1068344099</v>
      </c>
      <c r="G434" s="8" t="n">
        <f aca="false">IFERROR(D434/VLOOKUP(A434,'Dados-Status-Invest'!$1:$1000,6,FALSE()),"")</f>
        <v>2915311864</v>
      </c>
      <c r="H434" s="8" t="n">
        <f aca="false">IFERROR(VLOOKUP(A434,'Dados-Status-Invest'!$1:$1000,12,FALSE())*J434,"")</f>
        <v>262873120.8</v>
      </c>
      <c r="I434" s="8" t="n">
        <f aca="false">IFERROR(D434/VLOOKUP(A434,'Dados-Status-Invest'!$1:$1000,14,FALSE()),"")</f>
        <v>2457191429</v>
      </c>
      <c r="J434" s="9" t="n">
        <f aca="false">IFERROR(D434/VLOOKUP(A434,'Dados-Status-Invest'!$1:$1000,10,FALSE()),"")</f>
        <v>324534717</v>
      </c>
      <c r="K434" s="10" t="n">
        <f aca="false">IFERROR(VLOOKUP(A434,'Dados-Status-Invest'!$1:$1000,3,FALSE())/100,"")</f>
        <v>0.0276</v>
      </c>
      <c r="L434" s="11" t="n">
        <f aca="false">IFERROR(VLOOKUP(A434,'Dados-Status-Invest'!$1:$1000,MATCH(L$1,'Dados-Status-Invest'!$2:$2,0),FALSE())/100,"")</f>
        <v>0.2233</v>
      </c>
      <c r="M434" s="10" t="n">
        <f aca="false">IFERROR(VLOOKUP(A434,'Dados-Status-Invest'!$1:$1000,MATCH(M$1,'Dados-Status-Invest'!$2:$2,0),FALSE())/100,"")</f>
        <v>0.0821</v>
      </c>
      <c r="N434" s="10" t="n">
        <f aca="false">IFERROR(VLOOKUP(A434,'Dados-Status-Invest'!$1:$1000,MATCH(N$1,'Dados-Status-Invest'!$2:$2,0),FALSE())/100,"")</f>
        <v>0.1352</v>
      </c>
      <c r="O434" s="10" t="n">
        <f aca="false">IFERROR(VLOOKUP(A434,'Dados-Status-Invest'!$1:$1000,MATCH(O$1,'Dados-Status-Invest'!$2:$2,0),FALSE())/100,"")</f>
        <v>0.2133</v>
      </c>
      <c r="P434" s="10" t="n">
        <f aca="false">IFERROR(VLOOKUP(A434,'Dados-Status-Invest'!$1:$1000,MATCH(P$1,'Dados-Status-Invest'!$2:$2,0),FALSE())/100,"")</f>
        <v>0.1326</v>
      </c>
      <c r="Q434" s="10" t="n">
        <f aca="false">IFERROR(VLOOKUP(A434,'Dados-Status-Invest'!$1:$1000,MATCH(Q$1,'Dados-Status-Invest'!$2:$2,0),FALSE())/100,"")</f>
        <v>0.0974</v>
      </c>
      <c r="R434" s="12" t="n">
        <f aca="false">IFERROR(VLOOKUP(A434,'Dados-Status-Invest'!$1:$1000,MATCH(R$1,'Dados-Status-Invest'!$2:$2,0),FALSE()),"")</f>
        <v>7.22</v>
      </c>
      <c r="S434" s="12" t="n">
        <f aca="false">IFERROR(VLOOKUP(A434,'Dados-Status-Invest'!$1:$1000,MATCH(S$1,'Dados-Status-Invest'!$2:$2,0),FALSE()),"")</f>
        <v>1.61</v>
      </c>
      <c r="T434" s="12" t="n">
        <f aca="false">IFERROR(VLOOKUP(A434,'Dados-Status-Invest'!$1:$1000,MATCH(T$1,'Dados-Status-Invest'!$2:$2,0),FALSE()),"")</f>
        <v>6.01</v>
      </c>
      <c r="U434" s="12" t="n">
        <f aca="false">IFERROR(VLOOKUP(A434,'Dados-Status-Invest'!$1:$1000,MATCH(U$1,'Dados-Status-Invest'!$2:$2,0),FALSE()),"")</f>
        <v>1.77</v>
      </c>
      <c r="V434" s="12" t="n">
        <f aca="false">IFERROR(VLOOKUP(A434,'Dados-Status-Invest'!$1:$1000,MATCH(V$1,'Dados-Status-Invest'!$2:$2,0),FALSE()),"")</f>
        <v>0.81</v>
      </c>
      <c r="W434" s="10" t="n">
        <f aca="false">IFERROR(VLOOKUP(A434,'Dados-Status-Invest'!$1:$1000,MATCH(W$1,'Dados-Status-Invest'!$2:$2,0),FALSE())/100,"")</f>
        <v>0.0353</v>
      </c>
      <c r="X434" s="10" t="n">
        <f aca="false">IFERROR(VLOOKUP(A434,'Dados-Status-Invest'!$1:$1000,MATCH(X$1,'Dados-Status-Invest'!$2:$2,0),FALSE())/100,"")</f>
        <v>0</v>
      </c>
    </row>
    <row r="435" customFormat="false" ht="15.75" hidden="false" customHeight="false" outlineLevel="0" collapsed="false">
      <c r="A435" s="6" t="s">
        <v>468</v>
      </c>
      <c r="B435" s="7" t="s">
        <v>31</v>
      </c>
      <c r="C435" s="8" t="n">
        <f aca="false">IFERROR(__xludf.dummyfunction("IFERROR(IFERROR(GOOGLEFINANCE(A441,""price""),VLOOKUP(A441,'Dados-Status-Invest'!A:B,2,FALSE)),"""")"),16.82)</f>
        <v>16.82</v>
      </c>
      <c r="D435" s="8" t="n">
        <f aca="false">IFERROR(VLOOKUP(A435,'Dados-Status-Invest'!$1:$1000,MATCH(D$1,'Dados-Status-Invest'!$2:$2,0),FALSE()),"")</f>
        <v>1492753352</v>
      </c>
      <c r="E435" s="8" t="n">
        <f aca="false">IF(D435+H435&gt;0,D435+H435,"")</f>
        <v>823809641.3</v>
      </c>
      <c r="F435" s="8" t="n">
        <f aca="false">IFERROR(D435/VLOOKUP(A435,'Dados-Status-Invest'!$1:$1000,5,FALSE()),"")</f>
        <v>932970845.3</v>
      </c>
      <c r="G435" s="8" t="n">
        <f aca="false">IFERROR(D435/VLOOKUP(A435,'Dados-Status-Invest'!$1:$1000,6,FALSE()),"")</f>
        <v>1435339762</v>
      </c>
      <c r="H435" s="8" t="n">
        <f aca="false">IFERROR(VLOOKUP(A435,'Dados-Status-Invest'!$1:$1000,12,FALSE())*J435,"")</f>
        <v>-668943710.7</v>
      </c>
      <c r="I435" s="8" t="n">
        <f aca="false">IFERROR(D435/VLOOKUP(A435,'Dados-Status-Invest'!$1:$1000,14,FALSE()),"")</f>
        <v>1148271810</v>
      </c>
      <c r="J435" s="9" t="n">
        <f aca="false">IFERROR(D435/VLOOKUP(A435,'Dados-Status-Invest'!$1:$1000,10,FALSE()),"")</f>
        <v>32129861.22</v>
      </c>
      <c r="K435" s="10" t="n">
        <f aca="false">IFERROR(VLOOKUP(A435,'Dados-Status-Invest'!$1:$1000,3,FALSE())/100,"")</f>
        <v>0.0031</v>
      </c>
      <c r="L435" s="11" t="n">
        <f aca="false">IFERROR(VLOOKUP(A435,'Dados-Status-Invest'!$1:$1000,MATCH(L$1,'Dados-Status-Invest'!$2:$2,0),FALSE())/100,"")</f>
        <v>0.0101</v>
      </c>
      <c r="M435" s="10" t="n">
        <f aca="false">IFERROR(VLOOKUP(A435,'Dados-Status-Invest'!$1:$1000,MATCH(M$1,'Dados-Status-Invest'!$2:$2,0),FALSE())/100,"")</f>
        <v>0.0066</v>
      </c>
      <c r="N435" s="10" t="n">
        <f aca="false">IFERROR(VLOOKUP(A435,'Dados-Status-Invest'!$1:$1000,MATCH(N$1,'Dados-Status-Invest'!$2:$2,0),FALSE())/100,"")</f>
        <v>0.0187</v>
      </c>
      <c r="O435" s="10" t="n">
        <f aca="false">IFERROR(VLOOKUP(A435,'Dados-Status-Invest'!$1:$1000,MATCH(O$1,'Dados-Status-Invest'!$2:$2,0),FALSE())/100,"")</f>
        <v>0.0692</v>
      </c>
      <c r="P435" s="10" t="n">
        <f aca="false">IFERROR(VLOOKUP(A435,'Dados-Status-Invest'!$1:$1000,MATCH(P$1,'Dados-Status-Invest'!$2:$2,0),FALSE())/100,"")</f>
        <v>0.028</v>
      </c>
      <c r="Q435" s="10" t="n">
        <f aca="false">IFERROR(VLOOKUP(A435,'Dados-Status-Invest'!$1:$1000,MATCH(Q$1,'Dados-Status-Invest'!$2:$2,0),FALSE())/100,"")</f>
        <v>0.0082</v>
      </c>
      <c r="R435" s="12" t="n">
        <f aca="false">IFERROR(VLOOKUP(A435,'Dados-Status-Invest'!$1:$1000,MATCH(R$1,'Dados-Status-Invest'!$2:$2,0),FALSE()),"")</f>
        <v>158.39</v>
      </c>
      <c r="S435" s="12" t="n">
        <f aca="false">IFERROR(VLOOKUP(A435,'Dados-Status-Invest'!$1:$1000,MATCH(S$1,'Dados-Status-Invest'!$2:$2,0),FALSE()),"")</f>
        <v>1.6</v>
      </c>
      <c r="T435" s="12" t="n">
        <f aca="false">IFERROR(VLOOKUP(A435,'Dados-Status-Invest'!$1:$1000,MATCH(T$1,'Dados-Status-Invest'!$2:$2,0),FALSE()),"")</f>
        <v>25.17</v>
      </c>
      <c r="U435" s="12" t="n">
        <f aca="false">IFERROR(VLOOKUP(A435,'Dados-Status-Invest'!$1:$1000,MATCH(U$1,'Dados-Status-Invest'!$2:$2,0),FALSE()),"")</f>
        <v>3.53</v>
      </c>
      <c r="V435" s="12" t="n">
        <f aca="false">IFERROR(VLOOKUP(A435,'Dados-Status-Invest'!$1:$1000,MATCH(V$1,'Dados-Status-Invest'!$2:$2,0),FALSE()),"")</f>
        <v>-20.82</v>
      </c>
      <c r="W435" s="10" t="n">
        <f aca="false">IFERROR(VLOOKUP(A435,'Dados-Status-Invest'!$1:$1000,MATCH(W$1,'Dados-Status-Invest'!$2:$2,0),FALSE())/100,"")</f>
        <v>0</v>
      </c>
      <c r="X435" s="10" t="n">
        <f aca="false">IFERROR(VLOOKUP(A435,'Dados-Status-Invest'!$1:$1000,MATCH(X$1,'Dados-Status-Invest'!$2:$2,0),FALSE())/100,"")</f>
        <v>0</v>
      </c>
    </row>
    <row r="436" customFormat="false" ht="15.75" hidden="false" customHeight="false" outlineLevel="0" collapsed="false">
      <c r="A436" s="6" t="s">
        <v>469</v>
      </c>
      <c r="B436" s="7" t="str">
        <f aca="false">IFERROR(VLOOKUP(LEFT(A436,4),Setor!A:D,2,FALSE()),"")</f>
        <v>Outros</v>
      </c>
      <c r="C436" s="8" t="n">
        <f aca="false">IFERROR(__xludf.dummyfunction("IFERROR(IFERROR(GOOGLEFINANCE(A442,""price""),VLOOKUP(A442,'Dados-Status-Invest'!A:B,2,FALSE)),"""")"),0)</f>
        <v>0</v>
      </c>
      <c r="D436" s="8" t="n">
        <f aca="false">IFERROR(VLOOKUP(A436,'Dados-Status-Invest'!$1:$1000,MATCH(D$1,'Dados-Status-Invest'!$2:$2,0),FALSE()),"")</f>
        <v>1080400</v>
      </c>
      <c r="E436" s="8" t="str">
        <f aca="false">IF(D436+H436&gt;0,D436+H436,"")</f>
        <v/>
      </c>
      <c r="F436" s="8" t="n">
        <f aca="false">IFERROR(D436/VLOOKUP(A436,'Dados-Status-Invest'!$1:$1000,5,FALSE()),"")</f>
        <v>54020000</v>
      </c>
      <c r="G436" s="8" t="n">
        <f aca="false">IFERROR(D436/VLOOKUP(A436,'Dados-Status-Invest'!$1:$1000,6,FALSE()),"")</f>
        <v>108040000</v>
      </c>
      <c r="H436" s="8" t="n">
        <f aca="false">IFERROR(VLOOKUP(A436,'Dados-Status-Invest'!$1:$1000,12,FALSE())*J436,"")</f>
        <v>-2351531.207</v>
      </c>
      <c r="I436" s="8" t="str">
        <f aca="false">IFERROR(D436/VLOOKUP(A436,'Dados-Status-Invest'!$1:$1000,14,FALSE()),"")</f>
        <v/>
      </c>
      <c r="J436" s="9" t="n">
        <f aca="false">IFERROR(D436/VLOOKUP(A436,'Dados-Status-Invest'!$1:$1000,10,FALSE()),"")</f>
        <v>-123052.3918</v>
      </c>
      <c r="K436" s="10" t="n">
        <f aca="false">IFERROR(VLOOKUP(A436,'Dados-Status-Invest'!$1:$1000,3,FALSE())/100,"")</f>
        <v>0</v>
      </c>
      <c r="L436" s="11" t="n">
        <f aca="false">IFERROR(VLOOKUP(A436,'Dados-Status-Invest'!$1:$1000,MATCH(L$1,'Dados-Status-Invest'!$2:$2,0),FALSE())/100,"")</f>
        <v>-0.0009</v>
      </c>
      <c r="M436" s="10" t="n">
        <f aca="false">IFERROR(VLOOKUP(A436,'Dados-Status-Invest'!$1:$1000,MATCH(M$1,'Dados-Status-Invest'!$2:$2,0),FALSE())/100,"")</f>
        <v>-0.0007</v>
      </c>
      <c r="N436" s="10" t="n">
        <f aca="false">IFERROR(VLOOKUP(A436,'Dados-Status-Invest'!$1:$1000,MATCH(N$1,'Dados-Status-Invest'!$2:$2,0),FALSE())/100,"")</f>
        <v>-0.002</v>
      </c>
      <c r="O436" s="10" t="n">
        <f aca="false">IFERROR(VLOOKUP(A436,'Dados-Status-Invest'!$1:$1000,MATCH(O$1,'Dados-Status-Invest'!$2:$2,0),FALSE())/100,"")</f>
        <v>0</v>
      </c>
      <c r="P436" s="10" t="n">
        <f aca="false">IFERROR(VLOOKUP(A436,'Dados-Status-Invest'!$1:$1000,MATCH(P$1,'Dados-Status-Invest'!$2:$2,0),FALSE())/100,"")</f>
        <v>0</v>
      </c>
      <c r="Q436" s="10" t="n">
        <f aca="false">IFERROR(VLOOKUP(A436,'Dados-Status-Invest'!$1:$1000,MATCH(Q$1,'Dados-Status-Invest'!$2:$2,0),FALSE())/100,"")</f>
        <v>0</v>
      </c>
      <c r="R436" s="12" t="n">
        <f aca="false">IFERROR(VLOOKUP(A436,'Dados-Status-Invest'!$1:$1000,MATCH(R$1,'Dados-Status-Invest'!$2:$2,0),FALSE()),"")</f>
        <v>-18.95</v>
      </c>
      <c r="S436" s="12" t="n">
        <f aca="false">IFERROR(VLOOKUP(A436,'Dados-Status-Invest'!$1:$1000,MATCH(S$1,'Dados-Status-Invest'!$2:$2,0),FALSE()),"")</f>
        <v>0.02</v>
      </c>
      <c r="T436" s="12" t="n">
        <f aca="false">IFERROR(VLOOKUP(A436,'Dados-Status-Invest'!$1:$1000,MATCH(T$1,'Dados-Status-Invest'!$2:$2,0),FALSE()),"")</f>
        <v>10.33</v>
      </c>
      <c r="U436" s="12" t="n">
        <f aca="false">IFERROR(VLOOKUP(A436,'Dados-Status-Invest'!$1:$1000,MATCH(U$1,'Dados-Status-Invest'!$2:$2,0),FALSE()),"")</f>
        <v>63.26</v>
      </c>
      <c r="V436" s="12" t="n">
        <f aca="false">IFERROR(VLOOKUP(A436,'Dados-Status-Invest'!$1:$1000,MATCH(V$1,'Dados-Status-Invest'!$2:$2,0),FALSE()),"")</f>
        <v>19.11</v>
      </c>
      <c r="W436" s="10" t="n">
        <f aca="false">IFERROR(VLOOKUP(A436,'Dados-Status-Invest'!$1:$1000,MATCH(W$1,'Dados-Status-Invest'!$2:$2,0),FALSE())/100,"")</f>
        <v>0</v>
      </c>
      <c r="X436" s="10" t="n">
        <f aca="false">IFERROR(VLOOKUP(A436,'Dados-Status-Invest'!$1:$1000,MATCH(X$1,'Dados-Status-Invest'!$2:$2,0),FALSE())/100,"")</f>
        <v>0</v>
      </c>
    </row>
    <row r="437" customFormat="false" ht="15.75" hidden="false" customHeight="false" outlineLevel="0" collapsed="false">
      <c r="A437" s="6" t="s">
        <v>470</v>
      </c>
      <c r="B437" s="7" t="str">
        <f aca="false">IFERROR(VLOOKUP(LEFT(A437,4),Setor!A:D,2,FALSE()),"")</f>
        <v>Financeiro</v>
      </c>
      <c r="C437" s="8" t="n">
        <f aca="false">IFERROR(__xludf.dummyfunction("IFERROR(IFERROR(GOOGLEFINANCE(A443,""price""),VLOOKUP(A443,'Dados-Status-Invest'!A:B,2,FALSE)),"""")"),5.77)</f>
        <v>5.77</v>
      </c>
      <c r="D437" s="8" t="n">
        <f aca="false">IFERROR(VLOOKUP(A437,'Dados-Status-Invest'!$1:$1000,MATCH(D$1,'Dados-Status-Invest'!$2:$2,0),FALSE()),"")</f>
        <v>22376594.7</v>
      </c>
      <c r="E437" s="8" t="n">
        <f aca="false">IF(D437+H437&gt;0,D437+H437,"")</f>
        <v>22376594.7</v>
      </c>
      <c r="F437" s="8" t="n">
        <f aca="false">IFERROR(D437/VLOOKUP(A437,'Dados-Status-Invest'!$1:$1000,5,FALSE()),"")</f>
        <v>6022.725846</v>
      </c>
      <c r="G437" s="8" t="n">
        <f aca="false">IFERROR(D437/VLOOKUP(A437,'Dados-Status-Invest'!$1:$1000,6,FALSE()),"")</f>
        <v>1171549.461</v>
      </c>
      <c r="H437" s="8" t="n">
        <f aca="false">IFERROR(VLOOKUP(A437,'Dados-Status-Invest'!$1:$1000,12,FALSE())*J437,"")</f>
        <v>0</v>
      </c>
      <c r="I437" s="8" t="str">
        <f aca="false">IFERROR(D437/VLOOKUP(A437,'Dados-Status-Invest'!$1:$1000,14,FALSE()),"")</f>
        <v/>
      </c>
      <c r="J437" s="9" t="n">
        <f aca="false">IFERROR(D437/VLOOKUP(A437,'Dados-Status-Invest'!$1:$1000,10,FALSE()),"")</f>
        <v>-43163.06219</v>
      </c>
      <c r="K437" s="10" t="n">
        <f aca="false">IFERROR(VLOOKUP(A437,'Dados-Status-Invest'!$1:$1000,3,FALSE())/100,"")</f>
        <v>0</v>
      </c>
      <c r="L437" s="11" t="n">
        <f aca="false">IFERROR(VLOOKUP(A437,'Dados-Status-Invest'!$1:$1000,MATCH(L$1,'Dados-Status-Invest'!$2:$2,0),FALSE())/100,"")</f>
        <v>-7.1667</v>
      </c>
      <c r="M437" s="10" t="n">
        <f aca="false">IFERROR(VLOOKUP(A437,'Dados-Status-Invest'!$1:$1000,MATCH(M$1,'Dados-Status-Invest'!$2:$2,0),FALSE())/100,"")</f>
        <v>-0.0368</v>
      </c>
      <c r="N437" s="10" t="n">
        <f aca="false">IFERROR(VLOOKUP(A437,'Dados-Status-Invest'!$1:$1000,MATCH(N$1,'Dados-Status-Invest'!$2:$2,0),FALSE())/100,"")</f>
        <v>0</v>
      </c>
      <c r="O437" s="10" t="n">
        <f aca="false">IFERROR(VLOOKUP(A437,'Dados-Status-Invest'!$1:$1000,MATCH(O$1,'Dados-Status-Invest'!$2:$2,0),FALSE())/100,"")</f>
        <v>0</v>
      </c>
      <c r="P437" s="10" t="n">
        <f aca="false">IFERROR(VLOOKUP(A437,'Dados-Status-Invest'!$1:$1000,MATCH(P$1,'Dados-Status-Invest'!$2:$2,0),FALSE())/100,"")</f>
        <v>0</v>
      </c>
      <c r="Q437" s="10" t="n">
        <f aca="false">IFERROR(VLOOKUP(A437,'Dados-Status-Invest'!$1:$1000,MATCH(Q$1,'Dados-Status-Invest'!$2:$2,0),FALSE())/100,"")</f>
        <v>0</v>
      </c>
      <c r="R437" s="12" t="n">
        <f aca="false">IFERROR(VLOOKUP(A437,'Dados-Status-Invest'!$1:$1000,MATCH(R$1,'Dados-Status-Invest'!$2:$2,0),FALSE()),"")</f>
        <v>-518.42</v>
      </c>
      <c r="S437" s="12" t="n">
        <f aca="false">IFERROR(VLOOKUP(A437,'Dados-Status-Invest'!$1:$1000,MATCH(S$1,'Dados-Status-Invest'!$2:$2,0),FALSE()),"")</f>
        <v>3715.36</v>
      </c>
      <c r="T437" s="12" t="n">
        <f aca="false">IFERROR(VLOOKUP(A437,'Dados-Status-Invest'!$1:$1000,MATCH(T$1,'Dados-Status-Invest'!$2:$2,0),FALSE()),"")</f>
        <v>-520.39</v>
      </c>
      <c r="U437" s="12" t="n">
        <f aca="false">IFERROR(VLOOKUP(A437,'Dados-Status-Invest'!$1:$1000,MATCH(U$1,'Dados-Status-Invest'!$2:$2,0),FALSE()),"")</f>
        <v>1</v>
      </c>
      <c r="V437" s="12" t="n">
        <f aca="false">IFERROR(VLOOKUP(A437,'Dados-Status-Invest'!$1:$1000,MATCH(V$1,'Dados-Status-Invest'!$2:$2,0),FALSE()),"")</f>
        <v>0</v>
      </c>
      <c r="W437" s="10" t="n">
        <f aca="false">IFERROR(VLOOKUP(A437,'Dados-Status-Invest'!$1:$1000,MATCH(W$1,'Dados-Status-Invest'!$2:$2,0),FALSE())/100,"")</f>
        <v>0</v>
      </c>
      <c r="X437" s="10" t="n">
        <f aca="false">IFERROR(VLOOKUP(A437,'Dados-Status-Invest'!$1:$1000,MATCH(X$1,'Dados-Status-Invest'!$2:$2,0),FALSE())/100,"")</f>
        <v>0</v>
      </c>
    </row>
    <row r="438" customFormat="false" ht="15.75" hidden="false" customHeight="false" outlineLevel="0" collapsed="false">
      <c r="A438" s="6" t="s">
        <v>471</v>
      </c>
      <c r="B438" s="7" t="str">
        <f aca="false">IFERROR(VLOOKUP(LEFT(A438,4),Setor!A:D,2,FALSE()),"")</f>
        <v>Petróleo, Gás e Biocombustíveis</v>
      </c>
      <c r="C438" s="8" t="n">
        <f aca="false">IFERROR(__xludf.dummyfunction("IFERROR(IFERROR(GOOGLEFINANCE(A444,""price""),VLOOKUP(A444,'Dados-Status-Invest'!A:B,2,FALSE)),"""")"),27.15)</f>
        <v>27.15</v>
      </c>
      <c r="D438" s="8" t="n">
        <f aca="false">IFERROR(VLOOKUP(A438,'Dados-Status-Invest'!$1:$1000,MATCH(D$1,'Dados-Status-Invest'!$2:$2,0),FALSE()),"")</f>
        <v>16503836578</v>
      </c>
      <c r="E438" s="8" t="n">
        <f aca="false">IF(D438+H438&gt;0,D438+H438,"")</f>
        <v>16001645146.9</v>
      </c>
      <c r="F438" s="8" t="n">
        <f aca="false">IFERROR(D438/VLOOKUP(A438,'Dados-Status-Invest'!$1:$1000,5,FALSE()),"")</f>
        <v>5358388499</v>
      </c>
      <c r="G438" s="8" t="n">
        <f aca="false">IFERROR(D438/VLOOKUP(A438,'Dados-Status-Invest'!$1:$1000,6,FALSE()),"")</f>
        <v>9377179874</v>
      </c>
      <c r="H438" s="8" t="n">
        <f aca="false">IFERROR(VLOOKUP(A438,'Dados-Status-Invest'!$1:$1000,12,FALSE())*J438,"")</f>
        <v>-502191431.1</v>
      </c>
      <c r="I438" s="8" t="n">
        <f aca="false">IFERROR(D438/VLOOKUP(A438,'Dados-Status-Invest'!$1:$1000,14,FALSE()),"")</f>
        <v>2344294968</v>
      </c>
      <c r="J438" s="9" t="n">
        <f aca="false">IFERROR(D438/VLOOKUP(A438,'Dados-Status-Invest'!$1:$1000,10,FALSE()),"")</f>
        <v>1141344162</v>
      </c>
      <c r="K438" s="10" t="n">
        <f aca="false">IFERROR(VLOOKUP(A438,'Dados-Status-Invest'!$1:$1000,3,FALSE())/100,"")</f>
        <v>0</v>
      </c>
      <c r="L438" s="11" t="n">
        <f aca="false">IFERROR(VLOOKUP(A438,'Dados-Status-Invest'!$1:$1000,MATCH(L$1,'Dados-Status-Invest'!$2:$2,0),FALSE())/100,"")</f>
        <v>0.0642</v>
      </c>
      <c r="M438" s="10" t="n">
        <f aca="false">IFERROR(VLOOKUP(A438,'Dados-Status-Invest'!$1:$1000,MATCH(M$1,'Dados-Status-Invest'!$2:$2,0),FALSE())/100,"")</f>
        <v>0.0367</v>
      </c>
      <c r="N438" s="10" t="n">
        <f aca="false">IFERROR(VLOOKUP(A438,'Dados-Status-Invest'!$1:$1000,MATCH(N$1,'Dados-Status-Invest'!$2:$2,0),FALSE())/100,"")</f>
        <v>0.1351</v>
      </c>
      <c r="O438" s="10" t="n">
        <f aca="false">IFERROR(VLOOKUP(A438,'Dados-Status-Invest'!$1:$1000,MATCH(O$1,'Dados-Status-Invest'!$2:$2,0),FALSE())/100,"")</f>
        <v>0.4363</v>
      </c>
      <c r="P438" s="10" t="n">
        <f aca="false">IFERROR(VLOOKUP(A438,'Dados-Status-Invest'!$1:$1000,MATCH(P$1,'Dados-Status-Invest'!$2:$2,0),FALSE())/100,"")</f>
        <v>0.4867</v>
      </c>
      <c r="Q438" s="10" t="n">
        <f aca="false">IFERROR(VLOOKUP(A438,'Dados-Status-Invest'!$1:$1000,MATCH(Q$1,'Dados-Status-Invest'!$2:$2,0),FALSE())/100,"")</f>
        <v>0.1466</v>
      </c>
      <c r="R438" s="12" t="n">
        <f aca="false">IFERROR(VLOOKUP(A438,'Dados-Status-Invest'!$1:$1000,MATCH(R$1,'Dados-Status-Invest'!$2:$2,0),FALSE()),"")</f>
        <v>48.02</v>
      </c>
      <c r="S438" s="12" t="n">
        <f aca="false">IFERROR(VLOOKUP(A438,'Dados-Status-Invest'!$1:$1000,MATCH(S$1,'Dados-Status-Invest'!$2:$2,0),FALSE()),"")</f>
        <v>3.08</v>
      </c>
      <c r="T438" s="12" t="n">
        <f aca="false">IFERROR(VLOOKUP(A438,'Dados-Status-Invest'!$1:$1000,MATCH(T$1,'Dados-Status-Invest'!$2:$2,0),FALSE()),"")</f>
        <v>14.08</v>
      </c>
      <c r="U438" s="12" t="n">
        <f aca="false">IFERROR(VLOOKUP(A438,'Dados-Status-Invest'!$1:$1000,MATCH(U$1,'Dados-Status-Invest'!$2:$2,0),FALSE()),"")</f>
        <v>1.74</v>
      </c>
      <c r="V438" s="12" t="n">
        <f aca="false">IFERROR(VLOOKUP(A438,'Dados-Status-Invest'!$1:$1000,MATCH(V$1,'Dados-Status-Invest'!$2:$2,0),FALSE()),"")</f>
        <v>-0.44</v>
      </c>
      <c r="W438" s="10" t="n">
        <f aca="false">IFERROR(VLOOKUP(A438,'Dados-Status-Invest'!$1:$1000,MATCH(W$1,'Dados-Status-Invest'!$2:$2,0),FALSE())/100,"")</f>
        <v>0.4972</v>
      </c>
      <c r="X438" s="10" t="n">
        <f aca="false">IFERROR(VLOOKUP(A438,'Dados-Status-Invest'!$1:$1000,MATCH(X$1,'Dados-Status-Invest'!$2:$2,0),FALSE())/100,"")</f>
        <v>0.3261</v>
      </c>
    </row>
    <row r="439" customFormat="false" ht="15.75" hidden="false" customHeight="false" outlineLevel="0" collapsed="false">
      <c r="A439" s="6" t="s">
        <v>472</v>
      </c>
      <c r="B439" s="7" t="str">
        <f aca="false">IFERROR(VLOOKUP(LEFT(A439,4),Setor!A:D,2,FALSE()),"")</f>
        <v>Bens Industriais</v>
      </c>
      <c r="C439" s="8" t="n">
        <f aca="false">IFERROR(__xludf.dummyfunction("IFERROR(IFERROR(GOOGLEFINANCE(A445,""price""),VLOOKUP(A445,'Dados-Status-Invest'!A:B,2,FALSE)),"""")"),6.93)</f>
        <v>6.93</v>
      </c>
      <c r="D439" s="8" t="n">
        <f aca="false">IFERROR(VLOOKUP(A439,'Dados-Status-Invest'!$1:$1000,MATCH(D$1,'Dados-Status-Invest'!$2:$2,0),FALSE()),"")</f>
        <v>402451055.7</v>
      </c>
      <c r="E439" s="8" t="n">
        <f aca="false">IF(D439+H439&gt;0,D439+H439,"")</f>
        <v>381087298.72</v>
      </c>
      <c r="F439" s="8" t="n">
        <f aca="false">IFERROR(D439/VLOOKUP(A439,'Dados-Status-Invest'!$1:$1000,5,FALSE()),"")</f>
        <v>226096098.7</v>
      </c>
      <c r="G439" s="8" t="n">
        <f aca="false">IFERROR(D439/VLOOKUP(A439,'Dados-Status-Invest'!$1:$1000,6,FALSE()),"")</f>
        <v>338194164.5</v>
      </c>
      <c r="H439" s="8" t="n">
        <f aca="false">IFERROR(VLOOKUP(A439,'Dados-Status-Invest'!$1:$1000,12,FALSE())*J439,"")</f>
        <v>-21363756.98</v>
      </c>
      <c r="I439" s="8" t="n">
        <f aca="false">IFERROR(D439/VLOOKUP(A439,'Dados-Status-Invest'!$1:$1000,14,FALSE()),"")</f>
        <v>249969599.8</v>
      </c>
      <c r="J439" s="9" t="n">
        <f aca="false">IFERROR(D439/VLOOKUP(A439,'Dados-Status-Invest'!$1:$1000,10,FALSE()),"")</f>
        <v>-15044899.28</v>
      </c>
      <c r="K439" s="10" t="n">
        <f aca="false">IFERROR(VLOOKUP(A439,'Dados-Status-Invest'!$1:$1000,3,FALSE())/100,"")</f>
        <v>0</v>
      </c>
      <c r="L439" s="11" t="n">
        <f aca="false">IFERROR(VLOOKUP(A439,'Dados-Status-Invest'!$1:$1000,MATCH(L$1,'Dados-Status-Invest'!$2:$2,0),FALSE())/100,"")</f>
        <v>-0.0306</v>
      </c>
      <c r="M439" s="10" t="n">
        <f aca="false">IFERROR(VLOOKUP(A439,'Dados-Status-Invest'!$1:$1000,MATCH(M$1,'Dados-Status-Invest'!$2:$2,0),FALSE())/100,"")</f>
        <v>-0.0204</v>
      </c>
      <c r="N439" s="10" t="n">
        <f aca="false">IFERROR(VLOOKUP(A439,'Dados-Status-Invest'!$1:$1000,MATCH(N$1,'Dados-Status-Invest'!$2:$2,0),FALSE())/100,"")</f>
        <v>-0.0973</v>
      </c>
      <c r="O439" s="10" t="n">
        <f aca="false">IFERROR(VLOOKUP(A439,'Dados-Status-Invest'!$1:$1000,MATCH(O$1,'Dados-Status-Invest'!$2:$2,0),FALSE())/100,"")</f>
        <v>0.1168</v>
      </c>
      <c r="P439" s="10" t="n">
        <f aca="false">IFERROR(VLOOKUP(A439,'Dados-Status-Invest'!$1:$1000,MATCH(P$1,'Dados-Status-Invest'!$2:$2,0),FALSE())/100,"")</f>
        <v>-0.0601</v>
      </c>
      <c r="Q439" s="10" t="n">
        <f aca="false">IFERROR(VLOOKUP(A439,'Dados-Status-Invest'!$1:$1000,MATCH(Q$1,'Dados-Status-Invest'!$2:$2,0),FALSE())/100,"")</f>
        <v>-0.0276</v>
      </c>
      <c r="R439" s="12" t="n">
        <f aca="false">IFERROR(VLOOKUP(A439,'Dados-Status-Invest'!$1:$1000,MATCH(R$1,'Dados-Status-Invest'!$2:$2,0),FALSE()),"")</f>
        <v>-58.22</v>
      </c>
      <c r="S439" s="12" t="n">
        <f aca="false">IFERROR(VLOOKUP(A439,'Dados-Status-Invest'!$1:$1000,MATCH(S$1,'Dados-Status-Invest'!$2:$2,0),FALSE()),"")</f>
        <v>1.78</v>
      </c>
      <c r="T439" s="12" t="n">
        <f aca="false">IFERROR(VLOOKUP(A439,'Dados-Status-Invest'!$1:$1000,MATCH(T$1,'Dados-Status-Invest'!$2:$2,0),FALSE()),"")</f>
        <v>-25.4</v>
      </c>
      <c r="U439" s="12" t="n">
        <f aca="false">IFERROR(VLOOKUP(A439,'Dados-Status-Invest'!$1:$1000,MATCH(U$1,'Dados-Status-Invest'!$2:$2,0),FALSE()),"")</f>
        <v>2.54</v>
      </c>
      <c r="V439" s="12" t="n">
        <f aca="false">IFERROR(VLOOKUP(A439,'Dados-Status-Invest'!$1:$1000,MATCH(V$1,'Dados-Status-Invest'!$2:$2,0),FALSE()),"")</f>
        <v>1.42</v>
      </c>
      <c r="W439" s="10" t="n">
        <f aca="false">IFERROR(VLOOKUP(A439,'Dados-Status-Invest'!$1:$1000,MATCH(W$1,'Dados-Status-Invest'!$2:$2,0),FALSE())/100,"")</f>
        <v>0</v>
      </c>
      <c r="X439" s="10" t="n">
        <f aca="false">IFERROR(VLOOKUP(A439,'Dados-Status-Invest'!$1:$1000,MATCH(X$1,'Dados-Status-Invest'!$2:$2,0),FALSE())/100,"")</f>
        <v>0</v>
      </c>
    </row>
    <row r="440" customFormat="false" ht="15.75" hidden="false" customHeight="false" outlineLevel="0" collapsed="false">
      <c r="A440" s="6" t="s">
        <v>473</v>
      </c>
      <c r="B440" s="7" t="str">
        <f aca="false">IFERROR(VLOOKUP(LEFT(A440,4),Setor!A:D,2,FALSE()),"")</f>
        <v>Financeiro</v>
      </c>
      <c r="C440" s="8" t="n">
        <f aca="false">IFERROR(__xludf.dummyfunction("IFERROR(IFERROR(GOOGLEFINANCE(A446,""price""),VLOOKUP(A446,'Dados-Status-Invest'!A:B,2,FALSE)),"""")"),20.18)</f>
        <v>20.18</v>
      </c>
      <c r="D440" s="8" t="n">
        <f aca="false">IFERROR(VLOOKUP(A440,'Dados-Status-Invest'!$1:$1000,MATCH(D$1,'Dados-Status-Invest'!$2:$2,0),FALSE()),"")</f>
        <v>16872663236</v>
      </c>
      <c r="E440" s="8" t="n">
        <f aca="false">IF(D440+H440&gt;0,D440+H440,"")</f>
        <v>7155674067</v>
      </c>
      <c r="F440" s="8" t="n">
        <f aca="false">IFERROR(D440/VLOOKUP(A440,'Dados-Status-Invest'!$1:$1000,5,FALSE()),"")</f>
        <v>8652647813</v>
      </c>
      <c r="G440" s="8" t="n">
        <f aca="false">IFERROR(D440/VLOOKUP(A440,'Dados-Status-Invest'!$1:$1000,6,FALSE()),"")</f>
        <v>36679702686</v>
      </c>
      <c r="H440" s="8" t="n">
        <f aca="false">IFERROR(VLOOKUP(A440,'Dados-Status-Invest'!$1:$1000,12,FALSE())*J440,"")</f>
        <v>-9716989169</v>
      </c>
      <c r="I440" s="8" t="n">
        <f aca="false">IFERROR(D440/VLOOKUP(A440,'Dados-Status-Invest'!$1:$1000,14,FALSE()),"")</f>
        <v>18958048579</v>
      </c>
      <c r="J440" s="9" t="n">
        <f aca="false">IFERROR(D440/VLOOKUP(A440,'Dados-Status-Invest'!$1:$1000,10,FALSE()),"")</f>
        <v>1600821939</v>
      </c>
      <c r="K440" s="10" t="n">
        <f aca="false">IFERROR(VLOOKUP(A440,'Dados-Status-Invest'!$1:$1000,3,FALSE())/100,"")</f>
        <v>0.0535</v>
      </c>
      <c r="L440" s="11" t="n">
        <f aca="false">IFERROR(VLOOKUP(A440,'Dados-Status-Invest'!$1:$1000,MATCH(L$1,'Dados-Status-Invest'!$2:$2,0),FALSE())/100,"")</f>
        <v>0.2023</v>
      </c>
      <c r="M440" s="10" t="n">
        <f aca="false">IFERROR(VLOOKUP(A440,'Dados-Status-Invest'!$1:$1000,MATCH(M$1,'Dados-Status-Invest'!$2:$2,0),FALSE())/100,"")</f>
        <v>0.0479</v>
      </c>
      <c r="N440" s="10" t="n">
        <f aca="false">IFERROR(VLOOKUP(A440,'Dados-Status-Invest'!$1:$1000,MATCH(N$1,'Dados-Status-Invest'!$2:$2,0),FALSE())/100,"")</f>
        <v>0.0737</v>
      </c>
      <c r="O440" s="10" t="n">
        <f aca="false">IFERROR(VLOOKUP(A440,'Dados-Status-Invest'!$1:$1000,MATCH(O$1,'Dados-Status-Invest'!$2:$2,0),FALSE())/100,"")</f>
        <v>1</v>
      </c>
      <c r="P440" s="10" t="n">
        <f aca="false">IFERROR(VLOOKUP(A440,'Dados-Status-Invest'!$1:$1000,MATCH(P$1,'Dados-Status-Invest'!$2:$2,0),FALSE())/100,"")</f>
        <v>0.0848</v>
      </c>
      <c r="Q440" s="10" t="n">
        <f aca="false">IFERROR(VLOOKUP(A440,'Dados-Status-Invest'!$1:$1000,MATCH(Q$1,'Dados-Status-Invest'!$2:$2,0),FALSE())/100,"")</f>
        <v>0.0926</v>
      </c>
      <c r="R440" s="12" t="n">
        <f aca="false">IFERROR(VLOOKUP(A440,'Dados-Status-Invest'!$1:$1000,MATCH(R$1,'Dados-Status-Invest'!$2:$2,0),FALSE()),"")</f>
        <v>9.64</v>
      </c>
      <c r="S440" s="12" t="n">
        <f aca="false">IFERROR(VLOOKUP(A440,'Dados-Status-Invest'!$1:$1000,MATCH(S$1,'Dados-Status-Invest'!$2:$2,0),FALSE()),"")</f>
        <v>1.95</v>
      </c>
      <c r="T440" s="12" t="n">
        <f aca="false">IFERROR(VLOOKUP(A440,'Dados-Status-Invest'!$1:$1000,MATCH(T$1,'Dados-Status-Invest'!$2:$2,0),FALSE()),"")</f>
        <v>4.43</v>
      </c>
      <c r="U440" s="12" t="n">
        <f aca="false">IFERROR(VLOOKUP(A440,'Dados-Status-Invest'!$1:$1000,MATCH(U$1,'Dados-Status-Invest'!$2:$2,0),FALSE()),"")</f>
        <v>1.15</v>
      </c>
      <c r="V440" s="12" t="n">
        <f aca="false">IFERROR(VLOOKUP(A440,'Dados-Status-Invest'!$1:$1000,MATCH(V$1,'Dados-Status-Invest'!$2:$2,0),FALSE()),"")</f>
        <v>-6.07</v>
      </c>
      <c r="W440" s="10" t="n">
        <f aca="false">IFERROR(VLOOKUP(A440,'Dados-Status-Invest'!$1:$1000,MATCH(W$1,'Dados-Status-Invest'!$2:$2,0),FALSE())/100,"")</f>
        <v>0.0379</v>
      </c>
      <c r="X440" s="10" t="n">
        <f aca="false">IFERROR(VLOOKUP(A440,'Dados-Status-Invest'!$1:$1000,MATCH(X$1,'Dados-Status-Invest'!$2:$2,0),FALSE())/100,"")</f>
        <v>0.1108</v>
      </c>
    </row>
    <row r="441" customFormat="false" ht="15.75" hidden="false" customHeight="false" outlineLevel="0" collapsed="false">
      <c r="A441" s="6" t="s">
        <v>474</v>
      </c>
      <c r="B441" s="7" t="str">
        <f aca="false">IFERROR(VLOOKUP(LEFT(A441,4),Setor!A:D,2,FALSE()),"")</f>
        <v>Bens Industriais</v>
      </c>
      <c r="C441" s="8" t="n">
        <f aca="false">IFERROR(__xludf.dummyfunction("IFERROR(IFERROR(GOOGLEFINANCE(A447,""price""),VLOOKUP(A447,'Dados-Status-Invest'!A:B,2,FALSE)),"""")"),8.29)</f>
        <v>8.29</v>
      </c>
      <c r="D441" s="8" t="n">
        <f aca="false">IFERROR(VLOOKUP(A441,'Dados-Status-Invest'!$1:$1000,MATCH(D$1,'Dados-Status-Invest'!$2:$2,0),FALSE()),"")</f>
        <v>2599183852</v>
      </c>
      <c r="E441" s="8" t="n">
        <f aca="false">IF(D441+H441&gt;0,D441+H441,"")</f>
        <v>3062311156.5</v>
      </c>
      <c r="F441" s="8" t="n">
        <f aca="false">IFERROR(D441/VLOOKUP(A441,'Dados-Status-Invest'!$1:$1000,5,FALSE()),"")</f>
        <v>393219947.4</v>
      </c>
      <c r="G441" s="8" t="n">
        <f aca="false">IFERROR(D441/VLOOKUP(A441,'Dados-Status-Invest'!$1:$1000,6,FALSE()),"")</f>
        <v>1969078676</v>
      </c>
      <c r="H441" s="8" t="n">
        <f aca="false">IFERROR(VLOOKUP(A441,'Dados-Status-Invest'!$1:$1000,12,FALSE())*J441,"")</f>
        <v>463127304.5</v>
      </c>
      <c r="I441" s="8" t="n">
        <f aca="false">IFERROR(D441/VLOOKUP(A441,'Dados-Status-Invest'!$1:$1000,14,FALSE()),"")</f>
        <v>1460215647</v>
      </c>
      <c r="J441" s="9" t="n">
        <f aca="false">IFERROR(D441/VLOOKUP(A441,'Dados-Status-Invest'!$1:$1000,10,FALSE()),"")</f>
        <v>157526294.1</v>
      </c>
      <c r="K441" s="10" t="n">
        <f aca="false">IFERROR(VLOOKUP(A441,'Dados-Status-Invest'!$1:$1000,3,FALSE())/100,"")</f>
        <v>0.025</v>
      </c>
      <c r="L441" s="11" t="n">
        <f aca="false">IFERROR(VLOOKUP(A441,'Dados-Status-Invest'!$1:$1000,MATCH(L$1,'Dados-Status-Invest'!$2:$2,0),FALSE())/100,"")</f>
        <v>0.3711</v>
      </c>
      <c r="M441" s="10" t="n">
        <f aca="false">IFERROR(VLOOKUP(A441,'Dados-Status-Invest'!$1:$1000,MATCH(M$1,'Dados-Status-Invest'!$2:$2,0),FALSE())/100,"")</f>
        <v>0.0739</v>
      </c>
      <c r="N441" s="10" t="n">
        <f aca="false">IFERROR(VLOOKUP(A441,'Dados-Status-Invest'!$1:$1000,MATCH(N$1,'Dados-Status-Invest'!$2:$2,0),FALSE())/100,"")</f>
        <v>0.1069</v>
      </c>
      <c r="O441" s="10" t="n">
        <f aca="false">IFERROR(VLOOKUP(A441,'Dados-Status-Invest'!$1:$1000,MATCH(O$1,'Dados-Status-Invest'!$2:$2,0),FALSE())/100,"")</f>
        <v>0.3689</v>
      </c>
      <c r="P441" s="10" t="n">
        <f aca="false">IFERROR(VLOOKUP(A441,'Dados-Status-Invest'!$1:$1000,MATCH(P$1,'Dados-Status-Invest'!$2:$2,0),FALSE())/100,"")</f>
        <v>0.108</v>
      </c>
      <c r="Q441" s="10" t="n">
        <f aca="false">IFERROR(VLOOKUP(A441,'Dados-Status-Invest'!$1:$1000,MATCH(Q$1,'Dados-Status-Invest'!$2:$2,0),FALSE())/100,"")</f>
        <v>0.1001</v>
      </c>
      <c r="R441" s="12" t="n">
        <f aca="false">IFERROR(VLOOKUP(A441,'Dados-Status-Invest'!$1:$1000,MATCH(R$1,'Dados-Status-Invest'!$2:$2,0),FALSE()),"")</f>
        <v>17.8</v>
      </c>
      <c r="S441" s="12" t="n">
        <f aca="false">IFERROR(VLOOKUP(A441,'Dados-Status-Invest'!$1:$1000,MATCH(S$1,'Dados-Status-Invest'!$2:$2,0),FALSE()),"")</f>
        <v>6.61</v>
      </c>
      <c r="T441" s="12" t="n">
        <f aca="false">IFERROR(VLOOKUP(A441,'Dados-Status-Invest'!$1:$1000,MATCH(T$1,'Dados-Status-Invest'!$2:$2,0),FALSE()),"")</f>
        <v>19.27</v>
      </c>
      <c r="U441" s="12" t="n">
        <f aca="false">IFERROR(VLOOKUP(A441,'Dados-Status-Invest'!$1:$1000,MATCH(U$1,'Dados-Status-Invest'!$2:$2,0),FALSE()),"")</f>
        <v>1.15</v>
      </c>
      <c r="V441" s="12" t="n">
        <f aca="false">IFERROR(VLOOKUP(A441,'Dados-Status-Invest'!$1:$1000,MATCH(V$1,'Dados-Status-Invest'!$2:$2,0),FALSE()),"")</f>
        <v>2.94</v>
      </c>
      <c r="W441" s="10" t="n">
        <f aca="false">IFERROR(VLOOKUP(A441,'Dados-Status-Invest'!$1:$1000,MATCH(W$1,'Dados-Status-Invest'!$2:$2,0),FALSE())/100,"")</f>
        <v>0.0466</v>
      </c>
      <c r="X441" s="10" t="n">
        <f aca="false">IFERROR(VLOOKUP(A441,'Dados-Status-Invest'!$1:$1000,MATCH(X$1,'Dados-Status-Invest'!$2:$2,0),FALSE())/100,"")</f>
        <v>0.1948</v>
      </c>
    </row>
    <row r="442" customFormat="false" ht="15.75" hidden="false" customHeight="false" outlineLevel="0" collapsed="false">
      <c r="A442" s="6" t="s">
        <v>475</v>
      </c>
      <c r="B442" s="7" t="str">
        <f aca="false">IFERROR(VLOOKUP(LEFT(A442,4),Setor!A:D,2,FALSE()),"")</f>
        <v>Bens Industriais</v>
      </c>
      <c r="C442" s="8" t="n">
        <f aca="false">IFERROR(__xludf.dummyfunction("IFERROR(IFERROR(GOOGLEFINANCE(A448,""price""),VLOOKUP(A448,'Dados-Status-Invest'!A:B,2,FALSE)),"""")"),0)</f>
        <v>0</v>
      </c>
      <c r="D442" s="8" t="n">
        <f aca="false">IFERROR(VLOOKUP(A442,'Dados-Status-Invest'!$1:$1000,MATCH(D$1,'Dados-Status-Invest'!$2:$2,0),FALSE()),"")</f>
        <v>0</v>
      </c>
      <c r="E442" s="8" t="str">
        <f aca="false">IF(D442+H442&gt;0,D442+H442,"")</f>
        <v/>
      </c>
      <c r="F442" s="8" t="str">
        <f aca="false">IFERROR(D442/VLOOKUP(A442,'Dados-Status-Invest'!$1:$1000,5,FALSE()),"")</f>
        <v/>
      </c>
      <c r="G442" s="8" t="str">
        <f aca="false">IFERROR(D442/VLOOKUP(A442,'Dados-Status-Invest'!$1:$1000,6,FALSE()),"")</f>
        <v/>
      </c>
      <c r="H442" s="8" t="n">
        <f aca="false">IFERROR(VLOOKUP(A442,'Dados-Status-Invest'!$1:$1000,12,FALSE())*J442,"")</f>
        <v>0</v>
      </c>
      <c r="I442" s="8" t="str">
        <f aca="false">IFERROR(D442/VLOOKUP(A442,'Dados-Status-Invest'!$1:$1000,14,FALSE()),"")</f>
        <v/>
      </c>
      <c r="J442" s="9" t="str">
        <f aca="false">IFERROR(D442/VLOOKUP(A442,'Dados-Status-Invest'!$1:$1000,10,FALSE()),"")</f>
        <v/>
      </c>
      <c r="K442" s="10" t="n">
        <f aca="false">IFERROR(VLOOKUP(A442,'Dados-Status-Invest'!$1:$1000,3,FALSE())/100,"")</f>
        <v>0</v>
      </c>
      <c r="L442" s="11" t="n">
        <f aca="false">IFERROR(VLOOKUP(A442,'Dados-Status-Invest'!$1:$1000,MATCH(L$1,'Dados-Status-Invest'!$2:$2,0),FALSE())/100,"")</f>
        <v>0.1013</v>
      </c>
      <c r="M442" s="10" t="n">
        <f aca="false">IFERROR(VLOOKUP(A442,'Dados-Status-Invest'!$1:$1000,MATCH(M$1,'Dados-Status-Invest'!$2:$2,0),FALSE())/100,"")</f>
        <v>0.0369</v>
      </c>
      <c r="N442" s="10" t="n">
        <f aca="false">IFERROR(VLOOKUP(A442,'Dados-Status-Invest'!$1:$1000,MATCH(N$1,'Dados-Status-Invest'!$2:$2,0),FALSE())/100,"")</f>
        <v>0.066</v>
      </c>
      <c r="O442" s="10" t="n">
        <f aca="false">IFERROR(VLOOKUP(A442,'Dados-Status-Invest'!$1:$1000,MATCH(O$1,'Dados-Status-Invest'!$2:$2,0),FALSE())/100,"")</f>
        <v>0.4287</v>
      </c>
      <c r="P442" s="10" t="n">
        <f aca="false">IFERROR(VLOOKUP(A442,'Dados-Status-Invest'!$1:$1000,MATCH(P$1,'Dados-Status-Invest'!$2:$2,0),FALSE())/100,"")</f>
        <v>0.0638</v>
      </c>
      <c r="Q442" s="10" t="n">
        <f aca="false">IFERROR(VLOOKUP(A442,'Dados-Status-Invest'!$1:$1000,MATCH(Q$1,'Dados-Status-Invest'!$2:$2,0),FALSE())/100,"")</f>
        <v>0.0404</v>
      </c>
      <c r="R442" s="12" t="n">
        <f aca="false">IFERROR(VLOOKUP(A442,'Dados-Status-Invest'!$1:$1000,MATCH(R$1,'Dados-Status-Invest'!$2:$2,0),FALSE()),"")</f>
        <v>0</v>
      </c>
      <c r="S442" s="12" t="n">
        <f aca="false">IFERROR(VLOOKUP(A442,'Dados-Status-Invest'!$1:$1000,MATCH(S$1,'Dados-Status-Invest'!$2:$2,0),FALSE()),"")</f>
        <v>0</v>
      </c>
      <c r="T442" s="12" t="n">
        <f aca="false">IFERROR(VLOOKUP(A442,'Dados-Status-Invest'!$1:$1000,MATCH(T$1,'Dados-Status-Invest'!$2:$2,0),FALSE()),"")</f>
        <v>4.03</v>
      </c>
      <c r="U442" s="12" t="n">
        <f aca="false">IFERROR(VLOOKUP(A442,'Dados-Status-Invest'!$1:$1000,MATCH(U$1,'Dados-Status-Invest'!$2:$2,0),FALSE()),"")</f>
        <v>1.66</v>
      </c>
      <c r="V442" s="12" t="n">
        <f aca="false">IFERROR(VLOOKUP(A442,'Dados-Status-Invest'!$1:$1000,MATCH(V$1,'Dados-Status-Invest'!$2:$2,0),FALSE()),"")</f>
        <v>4.03</v>
      </c>
      <c r="W442" s="10" t="n">
        <f aca="false">IFERROR(VLOOKUP(A442,'Dados-Status-Invest'!$1:$1000,MATCH(W$1,'Dados-Status-Invest'!$2:$2,0),FALSE())/100,"")</f>
        <v>0.6204</v>
      </c>
      <c r="X442" s="10" t="n">
        <f aca="false">IFERROR(VLOOKUP(A442,'Dados-Status-Invest'!$1:$1000,MATCH(X$1,'Dados-Status-Invest'!$2:$2,0),FALSE())/100,"")</f>
        <v>0.6428</v>
      </c>
    </row>
    <row r="443" customFormat="false" ht="15.75" hidden="false" customHeight="false" outlineLevel="0" collapsed="false">
      <c r="A443" s="6" t="s">
        <v>476</v>
      </c>
      <c r="B443" s="7" t="str">
        <f aca="false">IFERROR(VLOOKUP(LEFT(A443,4),Setor!A:D,2,FALSE()),"")</f>
        <v>Bens Industriais</v>
      </c>
      <c r="C443" s="8" t="n">
        <f aca="false">IFERROR(__xludf.dummyfunction("IFERROR(IFERROR(GOOGLEFINANCE(A449,""price""),VLOOKUP(A449,'Dados-Status-Invest'!A:B,2,FALSE)),"""")"),0)</f>
        <v>0</v>
      </c>
      <c r="D443" s="8" t="n">
        <f aca="false">IFERROR(VLOOKUP(A443,'Dados-Status-Invest'!$1:$1000,MATCH(D$1,'Dados-Status-Invest'!$2:$2,0),FALSE()),"")</f>
        <v>0</v>
      </c>
      <c r="E443" s="8" t="str">
        <f aca="false">IF(D443+H443&gt;0,D443+H443,"")</f>
        <v/>
      </c>
      <c r="F443" s="8" t="str">
        <f aca="false">IFERROR(D443/VLOOKUP(A443,'Dados-Status-Invest'!$1:$1000,5,FALSE()),"")</f>
        <v/>
      </c>
      <c r="G443" s="8" t="str">
        <f aca="false">IFERROR(D443/VLOOKUP(A443,'Dados-Status-Invest'!$1:$1000,6,FALSE()),"")</f>
        <v/>
      </c>
      <c r="H443" s="8" t="n">
        <f aca="false">IFERROR(VLOOKUP(A443,'Dados-Status-Invest'!$1:$1000,12,FALSE())*J443,"")</f>
        <v>0</v>
      </c>
      <c r="I443" s="8" t="str">
        <f aca="false">IFERROR(D443/VLOOKUP(A443,'Dados-Status-Invest'!$1:$1000,14,FALSE()),"")</f>
        <v/>
      </c>
      <c r="J443" s="9" t="str">
        <f aca="false">IFERROR(D443/VLOOKUP(A443,'Dados-Status-Invest'!$1:$1000,10,FALSE()),"")</f>
        <v/>
      </c>
      <c r="K443" s="10" t="n">
        <f aca="false">IFERROR(VLOOKUP(A443,'Dados-Status-Invest'!$1:$1000,3,FALSE())/100,"")</f>
        <v>0</v>
      </c>
      <c r="L443" s="11" t="n">
        <f aca="false">IFERROR(VLOOKUP(A443,'Dados-Status-Invest'!$1:$1000,MATCH(L$1,'Dados-Status-Invest'!$2:$2,0),FALSE())/100,"")</f>
        <v>0.1013</v>
      </c>
      <c r="M443" s="10" t="n">
        <f aca="false">IFERROR(VLOOKUP(A443,'Dados-Status-Invest'!$1:$1000,MATCH(M$1,'Dados-Status-Invest'!$2:$2,0),FALSE())/100,"")</f>
        <v>0.0369</v>
      </c>
      <c r="N443" s="10" t="n">
        <f aca="false">IFERROR(VLOOKUP(A443,'Dados-Status-Invest'!$1:$1000,MATCH(N$1,'Dados-Status-Invest'!$2:$2,0),FALSE())/100,"")</f>
        <v>0.066</v>
      </c>
      <c r="O443" s="10" t="n">
        <f aca="false">IFERROR(VLOOKUP(A443,'Dados-Status-Invest'!$1:$1000,MATCH(O$1,'Dados-Status-Invest'!$2:$2,0),FALSE())/100,"")</f>
        <v>0.4287</v>
      </c>
      <c r="P443" s="10" t="n">
        <f aca="false">IFERROR(VLOOKUP(A443,'Dados-Status-Invest'!$1:$1000,MATCH(P$1,'Dados-Status-Invest'!$2:$2,0),FALSE())/100,"")</f>
        <v>0.0638</v>
      </c>
      <c r="Q443" s="10" t="n">
        <f aca="false">IFERROR(VLOOKUP(A443,'Dados-Status-Invest'!$1:$1000,MATCH(Q$1,'Dados-Status-Invest'!$2:$2,0),FALSE())/100,"")</f>
        <v>0.0404</v>
      </c>
      <c r="R443" s="12" t="n">
        <f aca="false">IFERROR(VLOOKUP(A443,'Dados-Status-Invest'!$1:$1000,MATCH(R$1,'Dados-Status-Invest'!$2:$2,0),FALSE()),"")</f>
        <v>0</v>
      </c>
      <c r="S443" s="12" t="n">
        <f aca="false">IFERROR(VLOOKUP(A443,'Dados-Status-Invest'!$1:$1000,MATCH(S$1,'Dados-Status-Invest'!$2:$2,0),FALSE()),"")</f>
        <v>0</v>
      </c>
      <c r="T443" s="12" t="n">
        <f aca="false">IFERROR(VLOOKUP(A443,'Dados-Status-Invest'!$1:$1000,MATCH(T$1,'Dados-Status-Invest'!$2:$2,0),FALSE()),"")</f>
        <v>4.03</v>
      </c>
      <c r="U443" s="12" t="n">
        <f aca="false">IFERROR(VLOOKUP(A443,'Dados-Status-Invest'!$1:$1000,MATCH(U$1,'Dados-Status-Invest'!$2:$2,0),FALSE()),"")</f>
        <v>1.66</v>
      </c>
      <c r="V443" s="12" t="n">
        <f aca="false">IFERROR(VLOOKUP(A443,'Dados-Status-Invest'!$1:$1000,MATCH(V$1,'Dados-Status-Invest'!$2:$2,0),FALSE()),"")</f>
        <v>4.03</v>
      </c>
      <c r="W443" s="10" t="n">
        <f aca="false">IFERROR(VLOOKUP(A443,'Dados-Status-Invest'!$1:$1000,MATCH(W$1,'Dados-Status-Invest'!$2:$2,0),FALSE())/100,"")</f>
        <v>0.6204</v>
      </c>
      <c r="X443" s="10" t="n">
        <f aca="false">IFERROR(VLOOKUP(A443,'Dados-Status-Invest'!$1:$1000,MATCH(X$1,'Dados-Status-Invest'!$2:$2,0),FALSE())/100,"")</f>
        <v>0.6428</v>
      </c>
    </row>
    <row r="444" customFormat="false" ht="15.75" hidden="false" customHeight="false" outlineLevel="0" collapsed="false">
      <c r="A444" s="6" t="s">
        <v>477</v>
      </c>
      <c r="B444" s="7" t="str">
        <f aca="false">IFERROR(VLOOKUP(LEFT(A444,4),Setor!A:D,2,FALSE()),"")</f>
        <v>Consumo Cíclico</v>
      </c>
      <c r="C444" s="8" t="n">
        <f aca="false">IFERROR(__xludf.dummyfunction("IFERROR(IFERROR(GOOGLEFINANCE(A450,""price""),VLOOKUP(A450,'Dados-Status-Invest'!A:B,2,FALSE)),"""")"),12.98)</f>
        <v>12.98</v>
      </c>
      <c r="D444" s="8" t="n">
        <f aca="false">IFERROR(VLOOKUP(A444,'Dados-Status-Invest'!$1:$1000,MATCH(D$1,'Dados-Status-Invest'!$2:$2,0),FALSE()),"")</f>
        <v>405684051.9</v>
      </c>
      <c r="E444" s="8" t="n">
        <f aca="false">IF(D444+H444&gt;0,D444+H444,"")</f>
        <v>471260378.1</v>
      </c>
      <c r="F444" s="8" t="n">
        <f aca="false">IFERROR(D444/VLOOKUP(A444,'Dados-Status-Invest'!$1:$1000,5,FALSE()),"")</f>
        <v>177154607.8</v>
      </c>
      <c r="G444" s="8" t="n">
        <f aca="false">IFERROR(D444/VLOOKUP(A444,'Dados-Status-Invest'!$1:$1000,6,FALSE()),"")</f>
        <v>466303508</v>
      </c>
      <c r="H444" s="8" t="n">
        <f aca="false">IFERROR(VLOOKUP(A444,'Dados-Status-Invest'!$1:$1000,12,FALSE())*J444,"")</f>
        <v>65576326.2</v>
      </c>
      <c r="I444" s="8" t="n">
        <f aca="false">IFERROR(D444/VLOOKUP(A444,'Dados-Status-Invest'!$1:$1000,14,FALSE()),"")</f>
        <v>359012435.3</v>
      </c>
      <c r="J444" s="9" t="n">
        <f aca="false">IFERROR(D444/VLOOKUP(A444,'Dados-Status-Invest'!$1:$1000,10,FALSE()),"")</f>
        <v>27786578.9</v>
      </c>
      <c r="K444" s="10" t="n">
        <f aca="false">IFERROR(VLOOKUP(A444,'Dados-Status-Invest'!$1:$1000,3,FALSE())/100,"")</f>
        <v>0</v>
      </c>
      <c r="L444" s="11" t="n">
        <f aca="false">IFERROR(VLOOKUP(A444,'Dados-Status-Invest'!$1:$1000,MATCH(L$1,'Dados-Status-Invest'!$2:$2,0),FALSE())/100,"")</f>
        <v>0.0906</v>
      </c>
      <c r="M444" s="10" t="n">
        <f aca="false">IFERROR(VLOOKUP(A444,'Dados-Status-Invest'!$1:$1000,MATCH(M$1,'Dados-Status-Invest'!$2:$2,0),FALSE())/100,"")</f>
        <v>0.0343</v>
      </c>
      <c r="N444" s="10" t="n">
        <f aca="false">IFERROR(VLOOKUP(A444,'Dados-Status-Invest'!$1:$1000,MATCH(N$1,'Dados-Status-Invest'!$2:$2,0),FALSE())/100,"")</f>
        <v>0.0693</v>
      </c>
      <c r="O444" s="10" t="n">
        <f aca="false">IFERROR(VLOOKUP(A444,'Dados-Status-Invest'!$1:$1000,MATCH(O$1,'Dados-Status-Invest'!$2:$2,0),FALSE())/100,"")</f>
        <v>0.1623</v>
      </c>
      <c r="P444" s="10" t="n">
        <f aca="false">IFERROR(VLOOKUP(A444,'Dados-Status-Invest'!$1:$1000,MATCH(P$1,'Dados-Status-Invest'!$2:$2,0),FALSE())/100,"")</f>
        <v>0.0777</v>
      </c>
      <c r="Q444" s="10" t="n">
        <f aca="false">IFERROR(VLOOKUP(A444,'Dados-Status-Invest'!$1:$1000,MATCH(Q$1,'Dados-Status-Invest'!$2:$2,0),FALSE())/100,"")</f>
        <v>0.0449</v>
      </c>
      <c r="R444" s="12" t="n">
        <f aca="false">IFERROR(VLOOKUP(A444,'Dados-Status-Invest'!$1:$1000,MATCH(R$1,'Dados-Status-Invest'!$2:$2,0),FALSE()),"")</f>
        <v>25.26</v>
      </c>
      <c r="S444" s="12" t="n">
        <f aca="false">IFERROR(VLOOKUP(A444,'Dados-Status-Invest'!$1:$1000,MATCH(S$1,'Dados-Status-Invest'!$2:$2,0),FALSE()),"")</f>
        <v>2.29</v>
      </c>
      <c r="T444" s="12" t="n">
        <f aca="false">IFERROR(VLOOKUP(A444,'Dados-Status-Invest'!$1:$1000,MATCH(T$1,'Dados-Status-Invest'!$2:$2,0),FALSE()),"")</f>
        <v>11.17</v>
      </c>
      <c r="U444" s="12" t="n">
        <f aca="false">IFERROR(VLOOKUP(A444,'Dados-Status-Invest'!$1:$1000,MATCH(U$1,'Dados-Status-Invest'!$2:$2,0),FALSE()),"")</f>
        <v>1.63</v>
      </c>
      <c r="V444" s="12" t="n">
        <f aca="false">IFERROR(VLOOKUP(A444,'Dados-Status-Invest'!$1:$1000,MATCH(V$1,'Dados-Status-Invest'!$2:$2,0),FALSE()),"")</f>
        <v>2.36</v>
      </c>
      <c r="W444" s="10" t="n">
        <f aca="false">IFERROR(VLOOKUP(A444,'Dados-Status-Invest'!$1:$1000,MATCH(W$1,'Dados-Status-Invest'!$2:$2,0),FALSE())/100,"")</f>
        <v>0.016</v>
      </c>
      <c r="X444" s="10" t="n">
        <f aca="false">IFERROR(VLOOKUP(A444,'Dados-Status-Invest'!$1:$1000,MATCH(X$1,'Dados-Status-Invest'!$2:$2,0),FALSE())/100,"")</f>
        <v>-0.2908</v>
      </c>
    </row>
    <row r="445" customFormat="false" ht="15.75" hidden="false" customHeight="false" outlineLevel="0" collapsed="false">
      <c r="A445" s="6" t="s">
        <v>478</v>
      </c>
      <c r="B445" s="7" t="str">
        <f aca="false">IFERROR(VLOOKUP(LEFT(A445,4),Setor!A:D,2,FALSE()),"")</f>
        <v>Consumo Cíclico</v>
      </c>
      <c r="C445" s="8" t="n">
        <f aca="false">IFERROR(__xludf.dummyfunction("IFERROR(IFERROR(GOOGLEFINANCE(A451,""price""),VLOOKUP(A451,'Dados-Status-Invest'!A:B,2,FALSE)),"""")"),5.25)</f>
        <v>5.25</v>
      </c>
      <c r="D445" s="8" t="n">
        <f aca="false">IFERROR(VLOOKUP(A445,'Dados-Status-Invest'!$1:$1000,MATCH(D$1,'Dados-Status-Invest'!$2:$2,0),FALSE()),"")</f>
        <v>405684051.9</v>
      </c>
      <c r="E445" s="8" t="n">
        <f aca="false">IF(D445+H445&gt;0,D445+H445,"")</f>
        <v>565253112.3</v>
      </c>
      <c r="F445" s="8" t="n">
        <f aca="false">IFERROR(D445/VLOOKUP(A445,'Dados-Status-Invest'!$1:$1000,5,FALSE()),"")</f>
        <v>431578778.6</v>
      </c>
      <c r="G445" s="8" t="n">
        <f aca="false">IFERROR(D445/VLOOKUP(A445,'Dados-Status-Invest'!$1:$1000,6,FALSE()),"")</f>
        <v>1126900144</v>
      </c>
      <c r="H445" s="8" t="n">
        <f aca="false">IFERROR(VLOOKUP(A445,'Dados-Status-Invest'!$1:$1000,12,FALSE())*J445,"")</f>
        <v>159569060.4</v>
      </c>
      <c r="I445" s="8" t="n">
        <f aca="false">IFERROR(D445/VLOOKUP(A445,'Dados-Status-Invest'!$1:$1000,14,FALSE()),"")</f>
        <v>863157557.3</v>
      </c>
      <c r="J445" s="9" t="n">
        <f aca="false">IFERROR(D445/VLOOKUP(A445,'Dados-Status-Invest'!$1:$1000,10,FALSE()),"")</f>
        <v>67614008.65</v>
      </c>
      <c r="K445" s="10" t="n">
        <f aca="false">IFERROR(VLOOKUP(A445,'Dados-Status-Invest'!$1:$1000,3,FALSE())/100,"")</f>
        <v>0</v>
      </c>
      <c r="L445" s="11" t="n">
        <f aca="false">IFERROR(VLOOKUP(A445,'Dados-Status-Invest'!$1:$1000,MATCH(L$1,'Dados-Status-Invest'!$2:$2,0),FALSE())/100,"")</f>
        <v>0.0906</v>
      </c>
      <c r="M445" s="10" t="n">
        <f aca="false">IFERROR(VLOOKUP(A445,'Dados-Status-Invest'!$1:$1000,MATCH(M$1,'Dados-Status-Invest'!$2:$2,0),FALSE())/100,"")</f>
        <v>0.0343</v>
      </c>
      <c r="N445" s="10" t="n">
        <f aca="false">IFERROR(VLOOKUP(A445,'Dados-Status-Invest'!$1:$1000,MATCH(N$1,'Dados-Status-Invest'!$2:$2,0),FALSE())/100,"")</f>
        <v>0.0693</v>
      </c>
      <c r="O445" s="10" t="n">
        <f aca="false">IFERROR(VLOOKUP(A445,'Dados-Status-Invest'!$1:$1000,MATCH(O$1,'Dados-Status-Invest'!$2:$2,0),FALSE())/100,"")</f>
        <v>0.1623</v>
      </c>
      <c r="P445" s="10" t="n">
        <f aca="false">IFERROR(VLOOKUP(A445,'Dados-Status-Invest'!$1:$1000,MATCH(P$1,'Dados-Status-Invest'!$2:$2,0),FALSE())/100,"")</f>
        <v>0.0777</v>
      </c>
      <c r="Q445" s="10" t="n">
        <f aca="false">IFERROR(VLOOKUP(A445,'Dados-Status-Invest'!$1:$1000,MATCH(Q$1,'Dados-Status-Invest'!$2:$2,0),FALSE())/100,"")</f>
        <v>0.0449</v>
      </c>
      <c r="R445" s="12" t="n">
        <f aca="false">IFERROR(VLOOKUP(A445,'Dados-Status-Invest'!$1:$1000,MATCH(R$1,'Dados-Status-Invest'!$2:$2,0),FALSE()),"")</f>
        <v>10.38</v>
      </c>
      <c r="S445" s="12" t="n">
        <f aca="false">IFERROR(VLOOKUP(A445,'Dados-Status-Invest'!$1:$1000,MATCH(S$1,'Dados-Status-Invest'!$2:$2,0),FALSE()),"")</f>
        <v>0.94</v>
      </c>
      <c r="T445" s="12" t="n">
        <f aca="false">IFERROR(VLOOKUP(A445,'Dados-Status-Invest'!$1:$1000,MATCH(T$1,'Dados-Status-Invest'!$2:$2,0),FALSE()),"")</f>
        <v>11.17</v>
      </c>
      <c r="U445" s="12" t="n">
        <f aca="false">IFERROR(VLOOKUP(A445,'Dados-Status-Invest'!$1:$1000,MATCH(U$1,'Dados-Status-Invest'!$2:$2,0),FALSE()),"")</f>
        <v>1.63</v>
      </c>
      <c r="V445" s="12" t="n">
        <f aca="false">IFERROR(VLOOKUP(A445,'Dados-Status-Invest'!$1:$1000,MATCH(V$1,'Dados-Status-Invest'!$2:$2,0),FALSE()),"")</f>
        <v>2.36</v>
      </c>
      <c r="W445" s="10" t="n">
        <f aca="false">IFERROR(VLOOKUP(A445,'Dados-Status-Invest'!$1:$1000,MATCH(W$1,'Dados-Status-Invest'!$2:$2,0),FALSE())/100,"")</f>
        <v>0.016</v>
      </c>
      <c r="X445" s="10" t="n">
        <f aca="false">IFERROR(VLOOKUP(A445,'Dados-Status-Invest'!$1:$1000,MATCH(X$1,'Dados-Status-Invest'!$2:$2,0),FALSE())/100,"")</f>
        <v>-0.2908</v>
      </c>
    </row>
    <row r="446" customFormat="false" ht="15.75" hidden="false" customHeight="false" outlineLevel="0" collapsed="false">
      <c r="A446" s="6" t="s">
        <v>479</v>
      </c>
      <c r="B446" s="7" t="str">
        <f aca="false">IFERROR(VLOOKUP(LEFT(A446,4),Setor!A:D,2,FALSE()),"")</f>
        <v>Saúde</v>
      </c>
      <c r="C446" s="8" t="n">
        <f aca="false">IFERROR(__xludf.dummyfunction("IFERROR(IFERROR(GOOGLEFINANCE(A452,""price""),VLOOKUP(A452,'Dados-Status-Invest'!A:B,2,FALSE)),"""")"),11.18)</f>
        <v>11.18</v>
      </c>
      <c r="D446" s="8" t="n">
        <f aca="false">IFERROR(VLOOKUP(A446,'Dados-Status-Invest'!$1:$1000,MATCH(D$1,'Dados-Status-Invest'!$2:$2,0),FALSE()),"")</f>
        <v>8190973133</v>
      </c>
      <c r="E446" s="8" t="n">
        <f aca="false">IF(D446+H446&gt;0,D446+H446,"")</f>
        <v>8672795082</v>
      </c>
      <c r="F446" s="8" t="n">
        <f aca="false">IFERROR(D446/VLOOKUP(A446,'Dados-Status-Invest'!$1:$1000,5,FALSE()),"")</f>
        <v>1800213875</v>
      </c>
      <c r="G446" s="8" t="n">
        <f aca="false">IFERROR(D446/VLOOKUP(A446,'Dados-Status-Invest'!$1:$1000,6,FALSE()),"")</f>
        <v>4380199536</v>
      </c>
      <c r="H446" s="8" t="n">
        <f aca="false">IFERROR(VLOOKUP(A446,'Dados-Status-Invest'!$1:$1000,12,FALSE())*J446,"")</f>
        <v>481821949</v>
      </c>
      <c r="I446" s="8" t="n">
        <f aca="false">IFERROR(D446/VLOOKUP(A446,'Dados-Status-Invest'!$1:$1000,14,FALSE()),"")</f>
        <v>2042636692</v>
      </c>
      <c r="J446" s="9" t="n">
        <f aca="false">IFERROR(D446/VLOOKUP(A446,'Dados-Status-Invest'!$1:$1000,10,FALSE()),"")</f>
        <v>660030067.1</v>
      </c>
      <c r="K446" s="10" t="n">
        <f aca="false">IFERROR(VLOOKUP(A446,'Dados-Status-Invest'!$1:$1000,3,FALSE())/100,"")</f>
        <v>0.0796</v>
      </c>
      <c r="L446" s="11" t="n">
        <f aca="false">IFERROR(VLOOKUP(A446,'Dados-Status-Invest'!$1:$1000,MATCH(L$1,'Dados-Status-Invest'!$2:$2,0),FALSE())/100,"")</f>
        <v>0.2423</v>
      </c>
      <c r="M446" s="10" t="n">
        <f aca="false">IFERROR(VLOOKUP(A446,'Dados-Status-Invest'!$1:$1000,MATCH(M$1,'Dados-Status-Invest'!$2:$2,0),FALSE())/100,"")</f>
        <v>0.0993</v>
      </c>
      <c r="N446" s="10" t="n">
        <f aca="false">IFERROR(VLOOKUP(A446,'Dados-Status-Invest'!$1:$1000,MATCH(N$1,'Dados-Status-Invest'!$2:$2,0),FALSE())/100,"")</f>
        <v>0.1554</v>
      </c>
      <c r="O446" s="10" t="n">
        <f aca="false">IFERROR(VLOOKUP(A446,'Dados-Status-Invest'!$1:$1000,MATCH(O$1,'Dados-Status-Invest'!$2:$2,0),FALSE())/100,"")</f>
        <v>0.8064</v>
      </c>
      <c r="P446" s="10" t="n">
        <f aca="false">IFERROR(VLOOKUP(A446,'Dados-Status-Invest'!$1:$1000,MATCH(P$1,'Dados-Status-Invest'!$2:$2,0),FALSE())/100,"")</f>
        <v>0.3226</v>
      </c>
      <c r="Q446" s="10" t="n">
        <f aca="false">IFERROR(VLOOKUP(A446,'Dados-Status-Invest'!$1:$1000,MATCH(Q$1,'Dados-Status-Invest'!$2:$2,0),FALSE())/100,"")</f>
        <v>0.2132</v>
      </c>
      <c r="R446" s="12" t="n">
        <f aca="false">IFERROR(VLOOKUP(A446,'Dados-Status-Invest'!$1:$1000,MATCH(R$1,'Dados-Status-Invest'!$2:$2,0),FALSE()),"")</f>
        <v>18.79</v>
      </c>
      <c r="S446" s="12" t="n">
        <f aca="false">IFERROR(VLOOKUP(A446,'Dados-Status-Invest'!$1:$1000,MATCH(S$1,'Dados-Status-Invest'!$2:$2,0),FALSE()),"")</f>
        <v>4.55</v>
      </c>
      <c r="T446" s="12" t="n">
        <f aca="false">IFERROR(VLOOKUP(A446,'Dados-Status-Invest'!$1:$1000,MATCH(T$1,'Dados-Status-Invest'!$2:$2,0),FALSE()),"")</f>
        <v>13.14</v>
      </c>
      <c r="U446" s="12" t="n">
        <f aca="false">IFERROR(VLOOKUP(A446,'Dados-Status-Invest'!$1:$1000,MATCH(U$1,'Dados-Status-Invest'!$2:$2,0),FALSE()),"")</f>
        <v>1.6</v>
      </c>
      <c r="V446" s="12" t="n">
        <f aca="false">IFERROR(VLOOKUP(A446,'Dados-Status-Invest'!$1:$1000,MATCH(V$1,'Dados-Status-Invest'!$2:$2,0),FALSE()),"")</f>
        <v>0.73</v>
      </c>
      <c r="W446" s="10" t="n">
        <f aca="false">IFERROR(VLOOKUP(A446,'Dados-Status-Invest'!$1:$1000,MATCH(W$1,'Dados-Status-Invest'!$2:$2,0),FALSE())/100,"")</f>
        <v>0.0321</v>
      </c>
      <c r="X446" s="10" t="n">
        <f aca="false">IFERROR(VLOOKUP(A446,'Dados-Status-Invest'!$1:$1000,MATCH(X$1,'Dados-Status-Invest'!$2:$2,0),FALSE())/100,"")</f>
        <v>0.1041</v>
      </c>
    </row>
    <row r="447" customFormat="false" ht="15.75" hidden="false" customHeight="false" outlineLevel="0" collapsed="false">
      <c r="A447" s="6" t="s">
        <v>480</v>
      </c>
      <c r="B447" s="7" t="str">
        <f aca="false">IFERROR(VLOOKUP(LEFT(A447,4),Setor!A:D,2,FALSE()),"")</f>
        <v>Tecnologia da Informação</v>
      </c>
      <c r="C447" s="8" t="n">
        <f aca="false">IFERROR(__xludf.dummyfunction("IFERROR(IFERROR(GOOGLEFINANCE(A453,""price""),VLOOKUP(A453,'Dados-Status-Invest'!A:B,2,FALSE)),"""")"),0)</f>
        <v>0</v>
      </c>
      <c r="D447" s="8" t="n">
        <f aca="false">IFERROR(VLOOKUP(A447,'Dados-Status-Invest'!$1:$1000,MATCH(D$1,'Dados-Status-Invest'!$2:$2,0),FALSE()),"")</f>
        <v>0</v>
      </c>
      <c r="E447" s="8" t="str">
        <f aca="false">IF(D447+H447&gt;0,D447+H447,"")</f>
        <v/>
      </c>
      <c r="F447" s="8" t="str">
        <f aca="false">IFERROR(D447/VLOOKUP(A447,'Dados-Status-Invest'!$1:$1000,5,FALSE()),"")</f>
        <v/>
      </c>
      <c r="G447" s="8" t="str">
        <f aca="false">IFERROR(D447/VLOOKUP(A447,'Dados-Status-Invest'!$1:$1000,6,FALSE()),"")</f>
        <v/>
      </c>
      <c r="H447" s="8" t="n">
        <f aca="false">IFERROR(VLOOKUP(A447,'Dados-Status-Invest'!$1:$1000,12,FALSE())*J447,"")</f>
        <v>0</v>
      </c>
      <c r="I447" s="8" t="str">
        <f aca="false">IFERROR(D447/VLOOKUP(A447,'Dados-Status-Invest'!$1:$1000,14,FALSE()),"")</f>
        <v/>
      </c>
      <c r="J447" s="9" t="str">
        <f aca="false">IFERROR(D447/VLOOKUP(A447,'Dados-Status-Invest'!$1:$1000,10,FALSE()),"")</f>
        <v/>
      </c>
      <c r="K447" s="10" t="n">
        <f aca="false">IFERROR(VLOOKUP(A447,'Dados-Status-Invest'!$1:$1000,3,FALSE())/100,"")</f>
        <v>0</v>
      </c>
      <c r="L447" s="11" t="n">
        <f aca="false">IFERROR(VLOOKUP(A447,'Dados-Status-Invest'!$1:$1000,MATCH(L$1,'Dados-Status-Invest'!$2:$2,0),FALSE())/100,"")</f>
        <v>0.2073</v>
      </c>
      <c r="M447" s="10" t="n">
        <f aca="false">IFERROR(VLOOKUP(A447,'Dados-Status-Invest'!$1:$1000,MATCH(M$1,'Dados-Status-Invest'!$2:$2,0),FALSE())/100,"")</f>
        <v>0.0963</v>
      </c>
      <c r="N447" s="10" t="n">
        <f aca="false">IFERROR(VLOOKUP(A447,'Dados-Status-Invest'!$1:$1000,MATCH(N$1,'Dados-Status-Invest'!$2:$2,0),FALSE())/100,"")</f>
        <v>0.1855</v>
      </c>
      <c r="O447" s="10" t="n">
        <f aca="false">IFERROR(VLOOKUP(A447,'Dados-Status-Invest'!$1:$1000,MATCH(O$1,'Dados-Status-Invest'!$2:$2,0),FALSE())/100,"")</f>
        <v>0.306</v>
      </c>
      <c r="P447" s="10" t="n">
        <f aca="false">IFERROR(VLOOKUP(A447,'Dados-Status-Invest'!$1:$1000,MATCH(P$1,'Dados-Status-Invest'!$2:$2,0),FALSE())/100,"")</f>
        <v>0.168</v>
      </c>
      <c r="Q447" s="10" t="n">
        <f aca="false">IFERROR(VLOOKUP(A447,'Dados-Status-Invest'!$1:$1000,MATCH(Q$1,'Dados-Status-Invest'!$2:$2,0),FALSE())/100,"")</f>
        <v>0.084</v>
      </c>
      <c r="R447" s="12" t="n">
        <f aca="false">IFERROR(VLOOKUP(A447,'Dados-Status-Invest'!$1:$1000,MATCH(R$1,'Dados-Status-Invest'!$2:$2,0),FALSE()),"")</f>
        <v>0</v>
      </c>
      <c r="S447" s="12" t="n">
        <f aca="false">IFERROR(VLOOKUP(A447,'Dados-Status-Invest'!$1:$1000,MATCH(S$1,'Dados-Status-Invest'!$2:$2,0),FALSE()),"")</f>
        <v>0</v>
      </c>
      <c r="T447" s="12" t="n">
        <f aca="false">IFERROR(VLOOKUP(A447,'Dados-Status-Invest'!$1:$1000,MATCH(T$1,'Dados-Status-Invest'!$2:$2,0),FALSE()),"")</f>
        <v>0.33</v>
      </c>
      <c r="U447" s="12" t="n">
        <f aca="false">IFERROR(VLOOKUP(A447,'Dados-Status-Invest'!$1:$1000,MATCH(U$1,'Dados-Status-Invest'!$2:$2,0),FALSE()),"")</f>
        <v>1.19</v>
      </c>
      <c r="V447" s="12" t="n">
        <f aca="false">IFERROR(VLOOKUP(A447,'Dados-Status-Invest'!$1:$1000,MATCH(V$1,'Dados-Status-Invest'!$2:$2,0),FALSE()),"")</f>
        <v>0.33</v>
      </c>
      <c r="W447" s="10" t="n">
        <f aca="false">IFERROR(VLOOKUP(A447,'Dados-Status-Invest'!$1:$1000,MATCH(W$1,'Dados-Status-Invest'!$2:$2,0),FALSE())/100,"")</f>
        <v>0.1513</v>
      </c>
      <c r="X447" s="10" t="n">
        <f aca="false">IFERROR(VLOOKUP(A447,'Dados-Status-Invest'!$1:$1000,MATCH(X$1,'Dados-Status-Invest'!$2:$2,0),FALSE())/100,"")</f>
        <v>0.0621</v>
      </c>
    </row>
    <row r="448" customFormat="false" ht="15.75" hidden="false" customHeight="false" outlineLevel="0" collapsed="false">
      <c r="A448" s="6" t="s">
        <v>481</v>
      </c>
      <c r="B448" s="7" t="str">
        <f aca="false">IFERROR(VLOOKUP(LEFT(A448,4),Setor!A:D,2,FALSE()),"")</f>
        <v>Outros</v>
      </c>
      <c r="C448" s="8" t="n">
        <f aca="false">IFERROR(__xludf.dummyfunction("IFERROR(IFERROR(GOOGLEFINANCE(A454,""price""),VLOOKUP(A454,'Dados-Status-Invest'!A:B,2,FALSE)),"""")"),0)</f>
        <v>0</v>
      </c>
      <c r="D448" s="8" t="n">
        <f aca="false">IFERROR(VLOOKUP(A448,'Dados-Status-Invest'!$1:$1000,MATCH(D$1,'Dados-Status-Invest'!$2:$2,0),FALSE()),"")</f>
        <v>0</v>
      </c>
      <c r="E448" s="8" t="str">
        <f aca="false">IF(D448+H448&gt;0,D448+H448,"")</f>
        <v/>
      </c>
      <c r="F448" s="8" t="str">
        <f aca="false">IFERROR(D448/VLOOKUP(A448,'Dados-Status-Invest'!$1:$1000,5,FALSE()),"")</f>
        <v/>
      </c>
      <c r="G448" s="8" t="str">
        <f aca="false">IFERROR(D448/VLOOKUP(A448,'Dados-Status-Invest'!$1:$1000,6,FALSE()),"")</f>
        <v/>
      </c>
      <c r="H448" s="8" t="n">
        <f aca="false">IFERROR(VLOOKUP(A448,'Dados-Status-Invest'!$1:$1000,12,FALSE())*J448,"")</f>
        <v>0</v>
      </c>
      <c r="I448" s="8" t="str">
        <f aca="false">IFERROR(D448/VLOOKUP(A448,'Dados-Status-Invest'!$1:$1000,14,FALSE()),"")</f>
        <v/>
      </c>
      <c r="J448" s="9" t="str">
        <f aca="false">IFERROR(D448/VLOOKUP(A448,'Dados-Status-Invest'!$1:$1000,10,FALSE()),"")</f>
        <v/>
      </c>
      <c r="K448" s="10" t="n">
        <f aca="false">IFERROR(VLOOKUP(A448,'Dados-Status-Invest'!$1:$1000,3,FALSE())/100,"")</f>
        <v>0</v>
      </c>
      <c r="L448" s="11" t="n">
        <f aca="false">IFERROR(VLOOKUP(A448,'Dados-Status-Invest'!$1:$1000,MATCH(L$1,'Dados-Status-Invest'!$2:$2,0),FALSE())/100,"")</f>
        <v>-2.1493</v>
      </c>
      <c r="M448" s="10" t="n">
        <f aca="false">IFERROR(VLOOKUP(A448,'Dados-Status-Invest'!$1:$1000,MATCH(M$1,'Dados-Status-Invest'!$2:$2,0),FALSE())/100,"")</f>
        <v>-1.8947</v>
      </c>
      <c r="N448" s="10" t="n">
        <f aca="false">IFERROR(VLOOKUP(A448,'Dados-Status-Invest'!$1:$1000,MATCH(N$1,'Dados-Status-Invest'!$2:$2,0),FALSE())/100,"")</f>
        <v>-2.1791</v>
      </c>
      <c r="O448" s="10" t="n">
        <f aca="false">IFERROR(VLOOKUP(A448,'Dados-Status-Invest'!$1:$1000,MATCH(O$1,'Dados-Status-Invest'!$2:$2,0),FALSE())/100,"")</f>
        <v>0</v>
      </c>
      <c r="P448" s="10" t="n">
        <f aca="false">IFERROR(VLOOKUP(A448,'Dados-Status-Invest'!$1:$1000,MATCH(P$1,'Dados-Status-Invest'!$2:$2,0),FALSE())/100,"")</f>
        <v>0</v>
      </c>
      <c r="Q448" s="10" t="n">
        <f aca="false">IFERROR(VLOOKUP(A448,'Dados-Status-Invest'!$1:$1000,MATCH(Q$1,'Dados-Status-Invest'!$2:$2,0),FALSE())/100,"")</f>
        <v>0</v>
      </c>
      <c r="R448" s="12" t="n">
        <f aca="false">IFERROR(VLOOKUP(A448,'Dados-Status-Invest'!$1:$1000,MATCH(R$1,'Dados-Status-Invest'!$2:$2,0),FALSE()),"")</f>
        <v>0</v>
      </c>
      <c r="S448" s="12" t="n">
        <f aca="false">IFERROR(VLOOKUP(A448,'Dados-Status-Invest'!$1:$1000,MATCH(S$1,'Dados-Status-Invest'!$2:$2,0),FALSE()),"")</f>
        <v>0</v>
      </c>
      <c r="T448" s="12" t="n">
        <f aca="false">IFERROR(VLOOKUP(A448,'Dados-Status-Invest'!$1:$1000,MATCH(T$1,'Dados-Status-Invest'!$2:$2,0),FALSE()),"")</f>
        <v>0.5</v>
      </c>
      <c r="U448" s="12" t="n">
        <f aca="false">IFERROR(VLOOKUP(A448,'Dados-Status-Invest'!$1:$1000,MATCH(U$1,'Dados-Status-Invest'!$2:$2,0),FALSE()),"")</f>
        <v>8.44</v>
      </c>
      <c r="V448" s="12" t="n">
        <f aca="false">IFERROR(VLOOKUP(A448,'Dados-Status-Invest'!$1:$1000,MATCH(V$1,'Dados-Status-Invest'!$2:$2,0),FALSE()),"")</f>
        <v>0.5</v>
      </c>
      <c r="W448" s="10" t="n">
        <f aca="false">IFERROR(VLOOKUP(A448,'Dados-Status-Invest'!$1:$1000,MATCH(W$1,'Dados-Status-Invest'!$2:$2,0),FALSE())/100,"")</f>
        <v>0</v>
      </c>
      <c r="X448" s="10" t="n">
        <f aca="false">IFERROR(VLOOKUP(A448,'Dados-Status-Invest'!$1:$1000,MATCH(X$1,'Dados-Status-Invest'!$2:$2,0),FALSE())/100,"")</f>
        <v>0</v>
      </c>
    </row>
    <row r="449" customFormat="false" ht="15.75" hidden="false" customHeight="false" outlineLevel="0" collapsed="false">
      <c r="A449" s="6" t="s">
        <v>482</v>
      </c>
      <c r="B449" s="7" t="str">
        <f aca="false">IFERROR(VLOOKUP(LEFT(A449,4),Setor!A:D,2,FALSE()),"")</f>
        <v>Saúde</v>
      </c>
      <c r="C449" s="8" t="n">
        <f aca="false">IFERROR(__xludf.dummyfunction("IFERROR(IFERROR(GOOGLEFINANCE(A455,""price""),VLOOKUP(A455,'Dados-Status-Invest'!A:B,2,FALSE)),"""")"),18.8)</f>
        <v>18.8</v>
      </c>
      <c r="D449" s="8" t="n">
        <f aca="false">IFERROR(VLOOKUP(A449,'Dados-Status-Invest'!$1:$1000,MATCH(D$1,'Dados-Status-Invest'!$2:$2,0),FALSE()),"")</f>
        <v>41265211400</v>
      </c>
      <c r="E449" s="8" t="n">
        <f aca="false">IF(D449+H449&gt;0,D449+H449,"")</f>
        <v>42167020775</v>
      </c>
      <c r="F449" s="8" t="n">
        <f aca="false">IFERROR(D449/VLOOKUP(A449,'Dados-Status-Invest'!$1:$1000,5,FALSE()),"")</f>
        <v>4418116852</v>
      </c>
      <c r="G449" s="8" t="n">
        <f aca="false">IFERROR(D449/VLOOKUP(A449,'Dados-Status-Invest'!$1:$1000,6,FALSE()),"")</f>
        <v>14131921712</v>
      </c>
      <c r="H449" s="8" t="n">
        <f aca="false">IFERROR(VLOOKUP(A449,'Dados-Status-Invest'!$1:$1000,12,FALSE())*J449,"")</f>
        <v>901809375</v>
      </c>
      <c r="I449" s="8" t="n">
        <f aca="false">IFERROR(D449/VLOOKUP(A449,'Dados-Status-Invest'!$1:$1000,14,FALSE()),"")</f>
        <v>20736287136</v>
      </c>
      <c r="J449" s="9" t="n">
        <f aca="false">IFERROR(D449/VLOOKUP(A449,'Dados-Status-Invest'!$1:$1000,10,FALSE()),"")</f>
        <v>990999313.2</v>
      </c>
      <c r="K449" s="10" t="n">
        <f aca="false">IFERROR(VLOOKUP(A449,'Dados-Status-Invest'!$1:$1000,3,FALSE())/100,"")</f>
        <v>0.0046</v>
      </c>
      <c r="L449" s="11" t="n">
        <f aca="false">IFERROR(VLOOKUP(A449,'Dados-Status-Invest'!$1:$1000,MATCH(L$1,'Dados-Status-Invest'!$2:$2,0),FALSE())/100,"")</f>
        <v>0.1211</v>
      </c>
      <c r="M449" s="10" t="n">
        <f aca="false">IFERROR(VLOOKUP(A449,'Dados-Status-Invest'!$1:$1000,MATCH(M$1,'Dados-Status-Invest'!$2:$2,0),FALSE())/100,"")</f>
        <v>0.0378</v>
      </c>
      <c r="N449" s="10" t="n">
        <f aca="false">IFERROR(VLOOKUP(A449,'Dados-Status-Invest'!$1:$1000,MATCH(N$1,'Dados-Status-Invest'!$2:$2,0),FALSE())/100,"")</f>
        <v>0.1382</v>
      </c>
      <c r="O449" s="10" t="n">
        <f aca="false">IFERROR(VLOOKUP(A449,'Dados-Status-Invest'!$1:$1000,MATCH(O$1,'Dados-Status-Invest'!$2:$2,0),FALSE())/100,"")</f>
        <v>0.2937</v>
      </c>
      <c r="P449" s="10" t="n">
        <f aca="false">IFERROR(VLOOKUP(A449,'Dados-Status-Invest'!$1:$1000,MATCH(P$1,'Dados-Status-Invest'!$2:$2,0),FALSE())/100,"")</f>
        <v>0.0478</v>
      </c>
      <c r="Q449" s="10" t="n">
        <f aca="false">IFERROR(VLOOKUP(A449,'Dados-Status-Invest'!$1:$1000,MATCH(Q$1,'Dados-Status-Invest'!$2:$2,0),FALSE())/100,"")</f>
        <v>0.0258</v>
      </c>
      <c r="R449" s="12" t="n">
        <f aca="false">IFERROR(VLOOKUP(A449,'Dados-Status-Invest'!$1:$1000,MATCH(R$1,'Dados-Status-Invest'!$2:$2,0),FALSE()),"")</f>
        <v>77.16</v>
      </c>
      <c r="S449" s="12" t="n">
        <f aca="false">IFERROR(VLOOKUP(A449,'Dados-Status-Invest'!$1:$1000,MATCH(S$1,'Dados-Status-Invest'!$2:$2,0),FALSE()),"")</f>
        <v>9.34</v>
      </c>
      <c r="T449" s="12" t="n">
        <f aca="false">IFERROR(VLOOKUP(A449,'Dados-Status-Invest'!$1:$1000,MATCH(T$1,'Dados-Status-Invest'!$2:$2,0),FALSE()),"")</f>
        <v>42.49</v>
      </c>
      <c r="U449" s="12" t="n">
        <f aca="false">IFERROR(VLOOKUP(A449,'Dados-Status-Invest'!$1:$1000,MATCH(U$1,'Dados-Status-Invest'!$2:$2,0),FALSE()),"")</f>
        <v>1.54</v>
      </c>
      <c r="V449" s="12" t="n">
        <f aca="false">IFERROR(VLOOKUP(A449,'Dados-Status-Invest'!$1:$1000,MATCH(V$1,'Dados-Status-Invest'!$2:$2,0),FALSE()),"")</f>
        <v>0.91</v>
      </c>
      <c r="W449" s="10" t="n">
        <f aca="false">IFERROR(VLOOKUP(A449,'Dados-Status-Invest'!$1:$1000,MATCH(W$1,'Dados-Status-Invest'!$2:$2,0),FALSE())/100,"")</f>
        <v>0.1766</v>
      </c>
      <c r="X449" s="10" t="n">
        <f aca="false">IFERROR(VLOOKUP(A449,'Dados-Status-Invest'!$1:$1000,MATCH(X$1,'Dados-Status-Invest'!$2:$2,0),FALSE())/100,"")</f>
        <v>0.0784</v>
      </c>
    </row>
    <row r="450" customFormat="false" ht="15.75" hidden="false" customHeight="false" outlineLevel="0" collapsed="false">
      <c r="A450" s="6" t="s">
        <v>483</v>
      </c>
      <c r="B450" s="7" t="str">
        <f aca="false">IFERROR(VLOOKUP(LEFT(A450,4),Setor!A:D,2,FALSE()),"")</f>
        <v>Bens Industriais</v>
      </c>
      <c r="C450" s="8" t="n">
        <f aca="false">IFERROR(__xludf.dummyfunction("IFERROR(IFERROR(GOOGLEFINANCE(A456,""price""),VLOOKUP(A456,'Dados-Status-Invest'!A:B,2,FALSE)),"""")"),15.92)</f>
        <v>15.92</v>
      </c>
      <c r="D450" s="8" t="n">
        <f aca="false">IFERROR(VLOOKUP(A450,'Dados-Status-Invest'!$1:$1000,MATCH(D$1,'Dados-Status-Invest'!$2:$2,0),FALSE()),"")</f>
        <v>35896514194</v>
      </c>
      <c r="E450" s="8" t="n">
        <f aca="false">IF(D450+H450&gt;0,D450+H450,"")</f>
        <v>47737986254</v>
      </c>
      <c r="F450" s="8" t="n">
        <f aca="false">IFERROR(D450/VLOOKUP(A450,'Dados-Status-Invest'!$1:$1000,5,FALSE()),"")</f>
        <v>15082568989</v>
      </c>
      <c r="G450" s="8" t="n">
        <f aca="false">IFERROR(D450/VLOOKUP(A450,'Dados-Status-Invest'!$1:$1000,6,FALSE()),"")</f>
        <v>41260361142</v>
      </c>
      <c r="H450" s="8" t="n">
        <f aca="false">IFERROR(VLOOKUP(A450,'Dados-Status-Invest'!$1:$1000,12,FALSE())*J450,"")</f>
        <v>11841472060</v>
      </c>
      <c r="I450" s="8" t="n">
        <f aca="false">IFERROR(D450/VLOOKUP(A450,'Dados-Status-Invest'!$1:$1000,14,FALSE()),"")</f>
        <v>7266500849</v>
      </c>
      <c r="J450" s="9" t="n">
        <f aca="false">IFERROR(D450/VLOOKUP(A450,'Dados-Status-Invest'!$1:$1000,10,FALSE()),"")</f>
        <v>2188811841</v>
      </c>
      <c r="K450" s="10" t="n">
        <f aca="false">IFERROR(VLOOKUP(A450,'Dados-Status-Invest'!$1:$1000,3,FALSE())/100,"")</f>
        <v>0</v>
      </c>
      <c r="L450" s="11" t="n">
        <f aca="false">IFERROR(VLOOKUP(A450,'Dados-Status-Invest'!$1:$1000,MATCH(L$1,'Dados-Status-Invest'!$2:$2,0),FALSE())/100,"")</f>
        <v>0.049</v>
      </c>
      <c r="M450" s="10" t="n">
        <f aca="false">IFERROR(VLOOKUP(A450,'Dados-Status-Invest'!$1:$1000,MATCH(M$1,'Dados-Status-Invest'!$2:$2,0),FALSE())/100,"")</f>
        <v>0.0179</v>
      </c>
      <c r="N450" s="10" t="n">
        <f aca="false">IFERROR(VLOOKUP(A450,'Dados-Status-Invest'!$1:$1000,MATCH(N$1,'Dados-Status-Invest'!$2:$2,0),FALSE())/100,"")</f>
        <v>0.0612</v>
      </c>
      <c r="O450" s="10" t="n">
        <f aca="false">IFERROR(VLOOKUP(A450,'Dados-Status-Invest'!$1:$1000,MATCH(O$1,'Dados-Status-Invest'!$2:$2,0),FALSE())/100,"")</f>
        <v>0.3319</v>
      </c>
      <c r="P450" s="10" t="n">
        <f aca="false">IFERROR(VLOOKUP(A450,'Dados-Status-Invest'!$1:$1000,MATCH(P$1,'Dados-Status-Invest'!$2:$2,0),FALSE())/100,"")</f>
        <v>0.3011</v>
      </c>
      <c r="Q450" s="10" t="n">
        <f aca="false">IFERROR(VLOOKUP(A450,'Dados-Status-Invest'!$1:$1000,MATCH(Q$1,'Dados-Status-Invest'!$2:$2,0),FALSE())/100,"")</f>
        <v>0.1018</v>
      </c>
      <c r="R450" s="12" t="n">
        <f aca="false">IFERROR(VLOOKUP(A450,'Dados-Status-Invest'!$1:$1000,MATCH(R$1,'Dados-Status-Invest'!$2:$2,0),FALSE()),"")</f>
        <v>48.5</v>
      </c>
      <c r="S450" s="12" t="n">
        <f aca="false">IFERROR(VLOOKUP(A450,'Dados-Status-Invest'!$1:$1000,MATCH(S$1,'Dados-Status-Invest'!$2:$2,0),FALSE()),"")</f>
        <v>2.38</v>
      </c>
      <c r="T450" s="12" t="n">
        <f aca="false">IFERROR(VLOOKUP(A450,'Dados-Status-Invest'!$1:$1000,MATCH(T$1,'Dados-Status-Invest'!$2:$2,0),FALSE()),"")</f>
        <v>21.76</v>
      </c>
      <c r="U450" s="12" t="n">
        <f aca="false">IFERROR(VLOOKUP(A450,'Dados-Status-Invest'!$1:$1000,MATCH(U$1,'Dados-Status-Invest'!$2:$2,0),FALSE()),"")</f>
        <v>1.92</v>
      </c>
      <c r="V450" s="12" t="n">
        <f aca="false">IFERROR(VLOOKUP(A450,'Dados-Status-Invest'!$1:$1000,MATCH(V$1,'Dados-Status-Invest'!$2:$2,0),FALSE()),"")</f>
        <v>5.41</v>
      </c>
      <c r="W450" s="10" t="n">
        <f aca="false">IFERROR(VLOOKUP(A450,'Dados-Status-Invest'!$1:$1000,MATCH(W$1,'Dados-Status-Invest'!$2:$2,0),FALSE())/100,"")</f>
        <v>0.1092</v>
      </c>
      <c r="X450" s="10" t="n">
        <f aca="false">IFERROR(VLOOKUP(A450,'Dados-Status-Invest'!$1:$1000,MATCH(X$1,'Dados-Status-Invest'!$2:$2,0),FALSE())/100,"")</f>
        <v>0</v>
      </c>
    </row>
    <row r="451" customFormat="false" ht="15.75" hidden="false" customHeight="false" outlineLevel="0" collapsed="false">
      <c r="A451" s="6" t="s">
        <v>484</v>
      </c>
      <c r="B451" s="7" t="str">
        <f aca="false">IFERROR(VLOOKUP(LEFT(A451,4),Setor!A:D,2,FALSE()),"")</f>
        <v>Materiais Básicos</v>
      </c>
      <c r="C451" s="8" t="n">
        <f aca="false">IFERROR(__xludf.dummyfunction("IFERROR(IFERROR(GOOGLEFINANCE(A457,""price""),VLOOKUP(A457,'Dados-Status-Invest'!A:B,2,FALSE)),"""")"),7.19)</f>
        <v>7.19</v>
      </c>
      <c r="D451" s="8" t="n">
        <f aca="false">IFERROR(VLOOKUP(A451,'Dados-Status-Invest'!$1:$1000,MATCH(D$1,'Dados-Status-Invest'!$2:$2,0),FALSE()),"")</f>
        <v>2223197235</v>
      </c>
      <c r="E451" s="8" t="n">
        <f aca="false">IF(D451+H451&gt;0,D451+H451,"")</f>
        <v>2439883125.4</v>
      </c>
      <c r="F451" s="8" t="n">
        <f aca="false">IFERROR(D451/VLOOKUP(A451,'Dados-Status-Invest'!$1:$1000,5,FALSE()),"")</f>
        <v>845322142.6</v>
      </c>
      <c r="G451" s="8" t="n">
        <f aca="false">IFERROR(D451/VLOOKUP(A451,'Dados-Status-Invest'!$1:$1000,6,FALSE()),"")</f>
        <v>1900168577</v>
      </c>
      <c r="H451" s="8" t="n">
        <f aca="false">IFERROR(VLOOKUP(A451,'Dados-Status-Invest'!$1:$1000,12,FALSE())*J451,"")</f>
        <v>216685890.4</v>
      </c>
      <c r="I451" s="8" t="n">
        <f aca="false">IFERROR(D451/VLOOKUP(A451,'Dados-Status-Invest'!$1:$1000,14,FALSE()),"")</f>
        <v>1151915666</v>
      </c>
      <c r="J451" s="9" t="n">
        <f aca="false">IFERROR(D451/VLOOKUP(A451,'Dados-Status-Invest'!$1:$1000,10,FALSE()),"")</f>
        <v>216685890.4</v>
      </c>
      <c r="K451" s="10" t="n">
        <f aca="false">IFERROR(VLOOKUP(A451,'Dados-Status-Invest'!$1:$1000,3,FALSE())/100,"")</f>
        <v>0.0285</v>
      </c>
      <c r="L451" s="11" t="n">
        <f aca="false">IFERROR(VLOOKUP(A451,'Dados-Status-Invest'!$1:$1000,MATCH(L$1,'Dados-Status-Invest'!$2:$2,0),FALSE())/100,"")</f>
        <v>0.156</v>
      </c>
      <c r="M451" s="10" t="n">
        <f aca="false">IFERROR(VLOOKUP(A451,'Dados-Status-Invest'!$1:$1000,MATCH(M$1,'Dados-Status-Invest'!$2:$2,0),FALSE())/100,"")</f>
        <v>0.0692</v>
      </c>
      <c r="N451" s="10" t="n">
        <f aca="false">IFERROR(VLOOKUP(A451,'Dados-Status-Invest'!$1:$1000,MATCH(N$1,'Dados-Status-Invest'!$2:$2,0),FALSE())/100,"")</f>
        <v>0.1195</v>
      </c>
      <c r="O451" s="10" t="n">
        <f aca="false">IFERROR(VLOOKUP(A451,'Dados-Status-Invest'!$1:$1000,MATCH(O$1,'Dados-Status-Invest'!$2:$2,0),FALSE())/100,"")</f>
        <v>0.3292</v>
      </c>
      <c r="P451" s="10" t="n">
        <f aca="false">IFERROR(VLOOKUP(A451,'Dados-Status-Invest'!$1:$1000,MATCH(P$1,'Dados-Status-Invest'!$2:$2,0),FALSE())/100,"")</f>
        <v>0.1884</v>
      </c>
      <c r="Q451" s="10" t="n">
        <f aca="false">IFERROR(VLOOKUP(A451,'Dados-Status-Invest'!$1:$1000,MATCH(Q$1,'Dados-Status-Invest'!$2:$2,0),FALSE())/100,"")</f>
        <v>0.1144</v>
      </c>
      <c r="R451" s="12" t="n">
        <f aca="false">IFERROR(VLOOKUP(A451,'Dados-Status-Invest'!$1:$1000,MATCH(R$1,'Dados-Status-Invest'!$2:$2,0),FALSE()),"")</f>
        <v>16.89</v>
      </c>
      <c r="S451" s="12" t="n">
        <f aca="false">IFERROR(VLOOKUP(A451,'Dados-Status-Invest'!$1:$1000,MATCH(S$1,'Dados-Status-Invest'!$2:$2,0),FALSE()),"")</f>
        <v>2.63</v>
      </c>
      <c r="T451" s="12" t="n">
        <f aca="false">IFERROR(VLOOKUP(A451,'Dados-Status-Invest'!$1:$1000,MATCH(T$1,'Dados-Status-Invest'!$2:$2,0),FALSE()),"")</f>
        <v>11.27</v>
      </c>
      <c r="U451" s="12" t="n">
        <f aca="false">IFERROR(VLOOKUP(A451,'Dados-Status-Invest'!$1:$1000,MATCH(U$1,'Dados-Status-Invest'!$2:$2,0),FALSE()),"")</f>
        <v>3.64</v>
      </c>
      <c r="V451" s="12" t="n">
        <f aca="false">IFERROR(VLOOKUP(A451,'Dados-Status-Invest'!$1:$1000,MATCH(V$1,'Dados-Status-Invest'!$2:$2,0),FALSE()),"")</f>
        <v>1</v>
      </c>
      <c r="W451" s="10" t="n">
        <f aca="false">IFERROR(VLOOKUP(A451,'Dados-Status-Invest'!$1:$1000,MATCH(W$1,'Dados-Status-Invest'!$2:$2,0),FALSE())/100,"")</f>
        <v>0.063</v>
      </c>
      <c r="X451" s="10" t="n">
        <f aca="false">IFERROR(VLOOKUP(A451,'Dados-Status-Invest'!$1:$1000,MATCH(X$1,'Dados-Status-Invest'!$2:$2,0),FALSE())/100,"")</f>
        <v>1.8481</v>
      </c>
    </row>
    <row r="452" customFormat="false" ht="15.75" hidden="false" customHeight="false" outlineLevel="0" collapsed="false">
      <c r="A452" s="6" t="s">
        <v>485</v>
      </c>
      <c r="B452" s="7" t="str">
        <f aca="false">IFERROR(VLOOKUP(LEFT(A452,4),Setor!A:D,2,FALSE()),"")</f>
        <v>Materiais Básicos</v>
      </c>
      <c r="C452" s="8" t="n">
        <f aca="false">IFERROR(__xludf.dummyfunction("IFERROR(IFERROR(GOOGLEFINANCE(A458,""price""),VLOOKUP(A458,'Dados-Status-Invest'!A:B,2,FALSE)),"""")"),5.5)</f>
        <v>5.5</v>
      </c>
      <c r="D452" s="8" t="n">
        <f aca="false">IFERROR(VLOOKUP(A452,'Dados-Status-Invest'!$1:$1000,MATCH(D$1,'Dados-Status-Invest'!$2:$2,0),FALSE()),"")</f>
        <v>2223197235</v>
      </c>
      <c r="E452" s="8" t="n">
        <f aca="false">IF(D452+H452&gt;0,D452+H452,"")</f>
        <v>2564178406</v>
      </c>
      <c r="F452" s="8" t="n">
        <f aca="false">IFERROR(D452/VLOOKUP(A452,'Dados-Status-Invest'!$1:$1000,5,FALSE()),"")</f>
        <v>1323331688</v>
      </c>
      <c r="G452" s="8" t="n">
        <f aca="false">IFERROR(D452/VLOOKUP(A452,'Dados-Status-Invest'!$1:$1000,6,FALSE()),"")</f>
        <v>3004320588</v>
      </c>
      <c r="H452" s="8" t="n">
        <f aca="false">IFERROR(VLOOKUP(A452,'Dados-Status-Invest'!$1:$1000,12,FALSE())*J452,"")</f>
        <v>340981171</v>
      </c>
      <c r="I452" s="8" t="n">
        <f aca="false">IFERROR(D452/VLOOKUP(A452,'Dados-Status-Invest'!$1:$1000,14,FALSE()),"")</f>
        <v>1807477427</v>
      </c>
      <c r="J452" s="9" t="n">
        <f aca="false">IFERROR(D452/VLOOKUP(A452,'Dados-Status-Invest'!$1:$1000,10,FALSE()),"")</f>
        <v>340981171</v>
      </c>
      <c r="K452" s="10" t="n">
        <f aca="false">IFERROR(VLOOKUP(A452,'Dados-Status-Invest'!$1:$1000,3,FALSE())/100,"")</f>
        <v>0.0106</v>
      </c>
      <c r="L452" s="11" t="n">
        <f aca="false">IFERROR(VLOOKUP(A452,'Dados-Status-Invest'!$1:$1000,MATCH(L$1,'Dados-Status-Invest'!$2:$2,0),FALSE())/100,"")</f>
        <v>0.156</v>
      </c>
      <c r="M452" s="10" t="n">
        <f aca="false">IFERROR(VLOOKUP(A452,'Dados-Status-Invest'!$1:$1000,MATCH(M$1,'Dados-Status-Invest'!$2:$2,0),FALSE())/100,"")</f>
        <v>0.0692</v>
      </c>
      <c r="N452" s="10" t="n">
        <f aca="false">IFERROR(VLOOKUP(A452,'Dados-Status-Invest'!$1:$1000,MATCH(N$1,'Dados-Status-Invest'!$2:$2,0),FALSE())/100,"")</f>
        <v>0.1195</v>
      </c>
      <c r="O452" s="10" t="n">
        <f aca="false">IFERROR(VLOOKUP(A452,'Dados-Status-Invest'!$1:$1000,MATCH(O$1,'Dados-Status-Invest'!$2:$2,0),FALSE())/100,"")</f>
        <v>0.3292</v>
      </c>
      <c r="P452" s="10" t="n">
        <f aca="false">IFERROR(VLOOKUP(A452,'Dados-Status-Invest'!$1:$1000,MATCH(P$1,'Dados-Status-Invest'!$2:$2,0),FALSE())/100,"")</f>
        <v>0.1884</v>
      </c>
      <c r="Q452" s="10" t="n">
        <f aca="false">IFERROR(VLOOKUP(A452,'Dados-Status-Invest'!$1:$1000,MATCH(Q$1,'Dados-Status-Invest'!$2:$2,0),FALSE())/100,"")</f>
        <v>0.1144</v>
      </c>
      <c r="R452" s="12" t="n">
        <f aca="false">IFERROR(VLOOKUP(A452,'Dados-Status-Invest'!$1:$1000,MATCH(R$1,'Dados-Status-Invest'!$2:$2,0),FALSE()),"")</f>
        <v>10.74</v>
      </c>
      <c r="S452" s="12" t="n">
        <f aca="false">IFERROR(VLOOKUP(A452,'Dados-Status-Invest'!$1:$1000,MATCH(S$1,'Dados-Status-Invest'!$2:$2,0),FALSE()),"")</f>
        <v>1.68</v>
      </c>
      <c r="T452" s="12" t="n">
        <f aca="false">IFERROR(VLOOKUP(A452,'Dados-Status-Invest'!$1:$1000,MATCH(T$1,'Dados-Status-Invest'!$2:$2,0),FALSE()),"")</f>
        <v>11.27</v>
      </c>
      <c r="U452" s="12" t="n">
        <f aca="false">IFERROR(VLOOKUP(A452,'Dados-Status-Invest'!$1:$1000,MATCH(U$1,'Dados-Status-Invest'!$2:$2,0),FALSE()),"")</f>
        <v>3.64</v>
      </c>
      <c r="V452" s="12" t="n">
        <f aca="false">IFERROR(VLOOKUP(A452,'Dados-Status-Invest'!$1:$1000,MATCH(V$1,'Dados-Status-Invest'!$2:$2,0),FALSE()),"")</f>
        <v>1</v>
      </c>
      <c r="W452" s="10" t="n">
        <f aca="false">IFERROR(VLOOKUP(A452,'Dados-Status-Invest'!$1:$1000,MATCH(W$1,'Dados-Status-Invest'!$2:$2,0),FALSE())/100,"")</f>
        <v>0.063</v>
      </c>
      <c r="X452" s="10" t="n">
        <f aca="false">IFERROR(VLOOKUP(A452,'Dados-Status-Invest'!$1:$1000,MATCH(X$1,'Dados-Status-Invest'!$2:$2,0),FALSE())/100,"")</f>
        <v>1.8481</v>
      </c>
    </row>
    <row r="453" customFormat="false" ht="15.75" hidden="false" customHeight="false" outlineLevel="0" collapsed="false">
      <c r="A453" s="6" t="s">
        <v>486</v>
      </c>
      <c r="B453" s="7" t="str">
        <f aca="false">IFERROR(VLOOKUP(LEFT(A453,4),Setor!A:D,2,FALSE()),"")</f>
        <v>Bens Industriais</v>
      </c>
      <c r="C453" s="8" t="n">
        <f aca="false">IFERROR(__xludf.dummyfunction("IFERROR(IFERROR(GOOGLEFINANCE(A459,""price""),VLOOKUP(A459,'Dados-Status-Invest'!A:B,2,FALSE)),"""")"),8.84)</f>
        <v>8.84</v>
      </c>
      <c r="D453" s="8" t="n">
        <f aca="false">IFERROR(VLOOKUP(A453,'Dados-Status-Invest'!$1:$1000,MATCH(D$1,'Dados-Status-Invest'!$2:$2,0),FALSE()),"")</f>
        <v>4601446448</v>
      </c>
      <c r="E453" s="8" t="n">
        <f aca="false">IF(D453+H453&gt;0,D453+H453,"")</f>
        <v>6389437068</v>
      </c>
      <c r="F453" s="8" t="n">
        <f aca="false">IFERROR(D453/VLOOKUP(A453,'Dados-Status-Invest'!$1:$1000,5,FALSE()),"")</f>
        <v>2300723224</v>
      </c>
      <c r="G453" s="8" t="n">
        <f aca="false">IFERROR(D453/VLOOKUP(A453,'Dados-Status-Invest'!$1:$1000,6,FALSE()),"")</f>
        <v>10003144452</v>
      </c>
      <c r="H453" s="8" t="n">
        <f aca="false">IFERROR(VLOOKUP(A453,'Dados-Status-Invest'!$1:$1000,12,FALSE())*J453,"")</f>
        <v>1787990620</v>
      </c>
      <c r="I453" s="8" t="n">
        <f aca="false">IFERROR(D453/VLOOKUP(A453,'Dados-Status-Invest'!$1:$1000,14,FALSE()),"")</f>
        <v>6480910490</v>
      </c>
      <c r="J453" s="9" t="n">
        <f aca="false">IFERROR(D453/VLOOKUP(A453,'Dados-Status-Invest'!$1:$1000,10,FALSE()),"")</f>
        <v>1314698985</v>
      </c>
      <c r="K453" s="10" t="n">
        <f aca="false">IFERROR(VLOOKUP(A453,'Dados-Status-Invest'!$1:$1000,3,FALSE())/100,"")</f>
        <v>0.0482</v>
      </c>
      <c r="L453" s="11" t="n">
        <f aca="false">IFERROR(VLOOKUP(A453,'Dados-Status-Invest'!$1:$1000,MATCH(L$1,'Dados-Status-Invest'!$2:$2,0),FALSE())/100,"")</f>
        <v>0.3645</v>
      </c>
      <c r="M453" s="10" t="n">
        <f aca="false">IFERROR(VLOOKUP(A453,'Dados-Status-Invest'!$1:$1000,MATCH(M$1,'Dados-Status-Invest'!$2:$2,0),FALSE())/100,"")</f>
        <v>0.0838</v>
      </c>
      <c r="N453" s="10" t="n">
        <f aca="false">IFERROR(VLOOKUP(A453,'Dados-Status-Invest'!$1:$1000,MATCH(N$1,'Dados-Status-Invest'!$2:$2,0),FALSE())/100,"")</f>
        <v>0.1172</v>
      </c>
      <c r="O453" s="10" t="n">
        <f aca="false">IFERROR(VLOOKUP(A453,'Dados-Status-Invest'!$1:$1000,MATCH(O$1,'Dados-Status-Invest'!$2:$2,0),FALSE())/100,"")</f>
        <v>0.2637</v>
      </c>
      <c r="P453" s="10" t="n">
        <f aca="false">IFERROR(VLOOKUP(A453,'Dados-Status-Invest'!$1:$1000,MATCH(P$1,'Dados-Status-Invest'!$2:$2,0),FALSE())/100,"")</f>
        <v>0.2038</v>
      </c>
      <c r="Q453" s="10" t="n">
        <f aca="false">IFERROR(VLOOKUP(A453,'Dados-Status-Invest'!$1:$1000,MATCH(Q$1,'Dados-Status-Invest'!$2:$2,0),FALSE())/100,"")</f>
        <v>0.1303</v>
      </c>
      <c r="R453" s="12" t="n">
        <f aca="false">IFERROR(VLOOKUP(A453,'Dados-Status-Invest'!$1:$1000,MATCH(R$1,'Dados-Status-Invest'!$2:$2,0),FALSE()),"")</f>
        <v>5.48</v>
      </c>
      <c r="S453" s="12" t="n">
        <f aca="false">IFERROR(VLOOKUP(A453,'Dados-Status-Invest'!$1:$1000,MATCH(S$1,'Dados-Status-Invest'!$2:$2,0),FALSE()),"")</f>
        <v>2</v>
      </c>
      <c r="T453" s="12" t="n">
        <f aca="false">IFERROR(VLOOKUP(A453,'Dados-Status-Invest'!$1:$1000,MATCH(T$1,'Dados-Status-Invest'!$2:$2,0),FALSE()),"")</f>
        <v>5.06</v>
      </c>
      <c r="U453" s="12" t="n">
        <f aca="false">IFERROR(VLOOKUP(A453,'Dados-Status-Invest'!$1:$1000,MATCH(U$1,'Dados-Status-Invest'!$2:$2,0),FALSE()),"")</f>
        <v>1.93</v>
      </c>
      <c r="V453" s="12" t="n">
        <f aca="false">IFERROR(VLOOKUP(A453,'Dados-Status-Invest'!$1:$1000,MATCH(V$1,'Dados-Status-Invest'!$2:$2,0),FALSE()),"")</f>
        <v>1.36</v>
      </c>
      <c r="W453" s="10" t="n">
        <f aca="false">IFERROR(VLOOKUP(A453,'Dados-Status-Invest'!$1:$1000,MATCH(W$1,'Dados-Status-Invest'!$2:$2,0),FALSE())/100,"")</f>
        <v>0.1159</v>
      </c>
      <c r="X453" s="10" t="n">
        <f aca="false">IFERROR(VLOOKUP(A453,'Dados-Status-Invest'!$1:$1000,MATCH(X$1,'Dados-Status-Invest'!$2:$2,0),FALSE())/100,"")</f>
        <v>0</v>
      </c>
    </row>
    <row r="454" customFormat="false" ht="15.75" hidden="false" customHeight="false" outlineLevel="0" collapsed="false">
      <c r="A454" s="6" t="s">
        <v>487</v>
      </c>
      <c r="B454" s="7" t="str">
        <f aca="false">IFERROR(VLOOKUP(LEFT(A454,4),Setor!A:D,2,FALSE()),"")</f>
        <v>Bens Industriais</v>
      </c>
      <c r="C454" s="8" t="n">
        <f aca="false">IFERROR(__xludf.dummyfunction("IFERROR(IFERROR(GOOGLEFINANCE(A460,""price""),VLOOKUP(A460,'Dados-Status-Invest'!A:B,2,FALSE)),"""")"),10.2)</f>
        <v>10.2</v>
      </c>
      <c r="D454" s="8" t="n">
        <f aca="false">IFERROR(VLOOKUP(A454,'Dados-Status-Invest'!$1:$1000,MATCH(D$1,'Dados-Status-Invest'!$2:$2,0),FALSE()),"")</f>
        <v>4601446448</v>
      </c>
      <c r="E454" s="8" t="n">
        <f aca="false">IF(D454+H454&gt;0,D454+H454,"")</f>
        <v>6261384689</v>
      </c>
      <c r="F454" s="8" t="n">
        <f aca="false">IFERROR(D454/VLOOKUP(A454,'Dados-Status-Invest'!$1:$1000,5,FALSE()),"")</f>
        <v>2140207650</v>
      </c>
      <c r="G454" s="8" t="n">
        <f aca="false">IFERROR(D454/VLOOKUP(A454,'Dados-Status-Invest'!$1:$1000,6,FALSE()),"")</f>
        <v>9390707037</v>
      </c>
      <c r="H454" s="8" t="n">
        <f aca="false">IFERROR(VLOOKUP(A454,'Dados-Status-Invest'!$1:$1000,12,FALSE())*J454,"")</f>
        <v>1659938241</v>
      </c>
      <c r="I454" s="8" t="n">
        <f aca="false">IFERROR(D454/VLOOKUP(A454,'Dados-Status-Invest'!$1:$1000,14,FALSE()),"")</f>
        <v>5975904478</v>
      </c>
      <c r="J454" s="9" t="n">
        <f aca="false">IFERROR(D454/VLOOKUP(A454,'Dados-Status-Invest'!$1:$1000,10,FALSE()),"")</f>
        <v>1220542824</v>
      </c>
      <c r="K454" s="10" t="n">
        <f aca="false">IFERROR(VLOOKUP(A454,'Dados-Status-Invest'!$1:$1000,3,FALSE())/100,"")</f>
        <v>0.0448</v>
      </c>
      <c r="L454" s="11" t="n">
        <f aca="false">IFERROR(VLOOKUP(A454,'Dados-Status-Invest'!$1:$1000,MATCH(L$1,'Dados-Status-Invest'!$2:$2,0),FALSE())/100,"")</f>
        <v>0.3645</v>
      </c>
      <c r="M454" s="10" t="n">
        <f aca="false">IFERROR(VLOOKUP(A454,'Dados-Status-Invest'!$1:$1000,MATCH(M$1,'Dados-Status-Invest'!$2:$2,0),FALSE())/100,"")</f>
        <v>0.0838</v>
      </c>
      <c r="N454" s="10" t="n">
        <f aca="false">IFERROR(VLOOKUP(A454,'Dados-Status-Invest'!$1:$1000,MATCH(N$1,'Dados-Status-Invest'!$2:$2,0),FALSE())/100,"")</f>
        <v>0.1172</v>
      </c>
      <c r="O454" s="10" t="n">
        <f aca="false">IFERROR(VLOOKUP(A454,'Dados-Status-Invest'!$1:$1000,MATCH(O$1,'Dados-Status-Invest'!$2:$2,0),FALSE())/100,"")</f>
        <v>0.2637</v>
      </c>
      <c r="P454" s="10" t="n">
        <f aca="false">IFERROR(VLOOKUP(A454,'Dados-Status-Invest'!$1:$1000,MATCH(P$1,'Dados-Status-Invest'!$2:$2,0),FALSE())/100,"")</f>
        <v>0.2038</v>
      </c>
      <c r="Q454" s="10" t="n">
        <f aca="false">IFERROR(VLOOKUP(A454,'Dados-Status-Invest'!$1:$1000,MATCH(Q$1,'Dados-Status-Invest'!$2:$2,0),FALSE())/100,"")</f>
        <v>0.1303</v>
      </c>
      <c r="R454" s="12" t="n">
        <f aca="false">IFERROR(VLOOKUP(A454,'Dados-Status-Invest'!$1:$1000,MATCH(R$1,'Dados-Status-Invest'!$2:$2,0),FALSE()),"")</f>
        <v>5.89</v>
      </c>
      <c r="S454" s="12" t="n">
        <f aca="false">IFERROR(VLOOKUP(A454,'Dados-Status-Invest'!$1:$1000,MATCH(S$1,'Dados-Status-Invest'!$2:$2,0),FALSE()),"")</f>
        <v>2.15</v>
      </c>
      <c r="T454" s="12" t="n">
        <f aca="false">IFERROR(VLOOKUP(A454,'Dados-Status-Invest'!$1:$1000,MATCH(T$1,'Dados-Status-Invest'!$2:$2,0),FALSE()),"")</f>
        <v>5.06</v>
      </c>
      <c r="U454" s="12" t="n">
        <f aca="false">IFERROR(VLOOKUP(A454,'Dados-Status-Invest'!$1:$1000,MATCH(U$1,'Dados-Status-Invest'!$2:$2,0),FALSE()),"")</f>
        <v>1.93</v>
      </c>
      <c r="V454" s="12" t="n">
        <f aca="false">IFERROR(VLOOKUP(A454,'Dados-Status-Invest'!$1:$1000,MATCH(V$1,'Dados-Status-Invest'!$2:$2,0),FALSE()),"")</f>
        <v>1.36</v>
      </c>
      <c r="W454" s="10" t="n">
        <f aca="false">IFERROR(VLOOKUP(A454,'Dados-Status-Invest'!$1:$1000,MATCH(W$1,'Dados-Status-Invest'!$2:$2,0),FALSE())/100,"")</f>
        <v>0.1159</v>
      </c>
      <c r="X454" s="10" t="n">
        <f aca="false">IFERROR(VLOOKUP(A454,'Dados-Status-Invest'!$1:$1000,MATCH(X$1,'Dados-Status-Invest'!$2:$2,0),FALSE())/100,"")</f>
        <v>0</v>
      </c>
    </row>
    <row r="455" customFormat="false" ht="15.75" hidden="false" customHeight="false" outlineLevel="0" collapsed="false">
      <c r="A455" s="6" t="s">
        <v>488</v>
      </c>
      <c r="B455" s="7" t="str">
        <f aca="false">IFERROR(VLOOKUP(LEFT(A455,4),Setor!A:D,2,FALSE()),"")</f>
        <v>Bens Industriais</v>
      </c>
      <c r="C455" s="8" t="n">
        <f aca="false">IFERROR(__xludf.dummyfunction("IFERROR(IFERROR(GOOGLEFINANCE(A461,""price""),VLOOKUP(A461,'Dados-Status-Invest'!A:B,2,FALSE)),"""")"),2.75)</f>
        <v>2.75</v>
      </c>
      <c r="D455" s="8" t="n">
        <f aca="false">IFERROR(VLOOKUP(A455,'Dados-Status-Invest'!$1:$1000,MATCH(D$1,'Dados-Status-Invest'!$2:$2,0),FALSE()),"")</f>
        <v>276082012.1</v>
      </c>
      <c r="E455" s="8" t="n">
        <f aca="false">IF(D455+H455&gt;0,D455+H455,"")</f>
        <v>273815413.777</v>
      </c>
      <c r="F455" s="8" t="n">
        <f aca="false">IFERROR(D455/VLOOKUP(A455,'Dados-Status-Invest'!$1:$1000,5,FALSE()),"")</f>
        <v>-33103358.76</v>
      </c>
      <c r="G455" s="8" t="n">
        <f aca="false">IFERROR(D455/VLOOKUP(A455,'Dados-Status-Invest'!$1:$1000,6,FALSE()),"")</f>
        <v>31230996.84</v>
      </c>
      <c r="H455" s="8" t="n">
        <f aca="false">IFERROR(VLOOKUP(A455,'Dados-Status-Invest'!$1:$1000,12,FALSE())*J455,"")</f>
        <v>-2266598.323</v>
      </c>
      <c r="I455" s="8" t="n">
        <f aca="false">IFERROR(D455/VLOOKUP(A455,'Dados-Status-Invest'!$1:$1000,14,FALSE()),"")</f>
        <v>20496066.23</v>
      </c>
      <c r="J455" s="9" t="n">
        <f aca="false">IFERROR(D455/VLOOKUP(A455,'Dados-Status-Invest'!$1:$1000,10,FALSE()),"")</f>
        <v>738305.6428</v>
      </c>
      <c r="K455" s="10" t="n">
        <f aca="false">IFERROR(VLOOKUP(A455,'Dados-Status-Invest'!$1:$1000,3,FALSE())/100,"")</f>
        <v>0</v>
      </c>
      <c r="L455" s="11" t="n">
        <f aca="false">IFERROR(VLOOKUP(A455,'Dados-Status-Invest'!$1:$1000,MATCH(L$1,'Dados-Status-Invest'!$2:$2,0),FALSE())/100,"")</f>
        <v>-0.0001</v>
      </c>
      <c r="M455" s="10" t="n">
        <f aca="false">IFERROR(VLOOKUP(A455,'Dados-Status-Invest'!$1:$1000,MATCH(M$1,'Dados-Status-Invest'!$2:$2,0),FALSE())/100,"")</f>
        <v>-0.0001</v>
      </c>
      <c r="N455" s="10" t="n">
        <f aca="false">IFERROR(VLOOKUP(A455,'Dados-Status-Invest'!$1:$1000,MATCH(N$1,'Dados-Status-Invest'!$2:$2,0),FALSE())/100,"")</f>
        <v>-0.0223</v>
      </c>
      <c r="O455" s="10" t="n">
        <f aca="false">IFERROR(VLOOKUP(A455,'Dados-Status-Invest'!$1:$1000,MATCH(O$1,'Dados-Status-Invest'!$2:$2,0),FALSE())/100,"")</f>
        <v>0.1874</v>
      </c>
      <c r="P455" s="10" t="n">
        <f aca="false">IFERROR(VLOOKUP(A455,'Dados-Status-Invest'!$1:$1000,MATCH(P$1,'Dados-Status-Invest'!$2:$2,0),FALSE())/100,"")</f>
        <v>0.036</v>
      </c>
      <c r="Q455" s="10" t="n">
        <f aca="false">IFERROR(VLOOKUP(A455,'Dados-Status-Invest'!$1:$1000,MATCH(Q$1,'Dados-Status-Invest'!$2:$2,0),FALSE())/100,"")</f>
        <v>-0.0002</v>
      </c>
      <c r="R455" s="12" t="n">
        <f aca="false">IFERROR(VLOOKUP(A455,'Dados-Status-Invest'!$1:$1000,MATCH(R$1,'Dados-Status-Invest'!$2:$2,0),FALSE()),"")</f>
        <v>-82141.99</v>
      </c>
      <c r="S455" s="12" t="n">
        <f aca="false">IFERROR(VLOOKUP(A455,'Dados-Status-Invest'!$1:$1000,MATCH(S$1,'Dados-Status-Invest'!$2:$2,0),FALSE()),"")</f>
        <v>-8.34</v>
      </c>
      <c r="T455" s="12" t="n">
        <f aca="false">IFERROR(VLOOKUP(A455,'Dados-Status-Invest'!$1:$1000,MATCH(T$1,'Dados-Status-Invest'!$2:$2,0),FALSE()),"")</f>
        <v>206.4</v>
      </c>
      <c r="U455" s="12" t="n">
        <f aca="false">IFERROR(VLOOKUP(A455,'Dados-Status-Invest'!$1:$1000,MATCH(U$1,'Dados-Status-Invest'!$2:$2,0),FALSE()),"")</f>
        <v>0.98</v>
      </c>
      <c r="V455" s="12" t="n">
        <f aca="false">IFERROR(VLOOKUP(A455,'Dados-Status-Invest'!$1:$1000,MATCH(V$1,'Dados-Status-Invest'!$2:$2,0),FALSE()),"")</f>
        <v>-3.07</v>
      </c>
      <c r="W455" s="10" t="n">
        <f aca="false">IFERROR(VLOOKUP(A455,'Dados-Status-Invest'!$1:$1000,MATCH(W$1,'Dados-Status-Invest'!$2:$2,0),FALSE())/100,"")</f>
        <v>1.1705</v>
      </c>
      <c r="X455" s="10" t="n">
        <f aca="false">IFERROR(VLOOKUP(A455,'Dados-Status-Invest'!$1:$1000,MATCH(X$1,'Dados-Status-Invest'!$2:$2,0),FALSE())/100,"")</f>
        <v>0</v>
      </c>
    </row>
    <row r="456" customFormat="false" ht="15.75" hidden="false" customHeight="false" outlineLevel="0" collapsed="false">
      <c r="A456" s="6" t="s">
        <v>489</v>
      </c>
      <c r="B456" s="7" t="str">
        <f aca="false">IFERROR(VLOOKUP(LEFT(A456,4),Setor!A:D,2,FALSE()),"")</f>
        <v>Bens Industriais</v>
      </c>
      <c r="C456" s="8" t="n">
        <f aca="false">IFERROR(__xludf.dummyfunction("IFERROR(IFERROR(GOOGLEFINANCE(A462,""price""),VLOOKUP(A462,'Dados-Status-Invest'!A:B,2,FALSE)),"""")"),0.79)</f>
        <v>0.79</v>
      </c>
      <c r="D456" s="8" t="n">
        <f aca="false">IFERROR(VLOOKUP(A456,'Dados-Status-Invest'!$1:$1000,MATCH(D$1,'Dados-Status-Invest'!$2:$2,0),FALSE()),"")</f>
        <v>276082012.1</v>
      </c>
      <c r="E456" s="8" t="n">
        <f aca="false">IF(D456+H456&gt;0,D456+H456,"")</f>
        <v>269323605.457</v>
      </c>
      <c r="F456" s="8" t="n">
        <f aca="false">IFERROR(D456/VLOOKUP(A456,'Dados-Status-Invest'!$1:$1000,5,FALSE()),"")</f>
        <v>-98600718.6</v>
      </c>
      <c r="G456" s="8" t="n">
        <f aca="false">IFERROR(D456/VLOOKUP(A456,'Dados-Status-Invest'!$1:$1000,6,FALSE()),"")</f>
        <v>92956906.42</v>
      </c>
      <c r="H456" s="8" t="n">
        <f aca="false">IFERROR(VLOOKUP(A456,'Dados-Status-Invest'!$1:$1000,12,FALSE())*J456,"")</f>
        <v>-6758406.643</v>
      </c>
      <c r="I456" s="8" t="n">
        <f aca="false">IFERROR(D456/VLOOKUP(A456,'Dados-Status-Invest'!$1:$1000,14,FALSE()),"")</f>
        <v>61080091.17</v>
      </c>
      <c r="J456" s="9" t="n">
        <f aca="false">IFERROR(D456/VLOOKUP(A456,'Dados-Status-Invest'!$1:$1000,10,FALSE()),"")</f>
        <v>2201435.389</v>
      </c>
      <c r="K456" s="10" t="n">
        <f aca="false">IFERROR(VLOOKUP(A456,'Dados-Status-Invest'!$1:$1000,3,FALSE())/100,"")</f>
        <v>0</v>
      </c>
      <c r="L456" s="11" t="n">
        <f aca="false">IFERROR(VLOOKUP(A456,'Dados-Status-Invest'!$1:$1000,MATCH(L$1,'Dados-Status-Invest'!$2:$2,0),FALSE())/100,"")</f>
        <v>-0.0001</v>
      </c>
      <c r="M456" s="10" t="n">
        <f aca="false">IFERROR(VLOOKUP(A456,'Dados-Status-Invest'!$1:$1000,MATCH(M$1,'Dados-Status-Invest'!$2:$2,0),FALSE())/100,"")</f>
        <v>-0.0001</v>
      </c>
      <c r="N456" s="10" t="n">
        <f aca="false">IFERROR(VLOOKUP(A456,'Dados-Status-Invest'!$1:$1000,MATCH(N$1,'Dados-Status-Invest'!$2:$2,0),FALSE())/100,"")</f>
        <v>-0.0223</v>
      </c>
      <c r="O456" s="10" t="n">
        <f aca="false">IFERROR(VLOOKUP(A456,'Dados-Status-Invest'!$1:$1000,MATCH(O$1,'Dados-Status-Invest'!$2:$2,0),FALSE())/100,"")</f>
        <v>0.1874</v>
      </c>
      <c r="P456" s="10" t="n">
        <f aca="false">IFERROR(VLOOKUP(A456,'Dados-Status-Invest'!$1:$1000,MATCH(P$1,'Dados-Status-Invest'!$2:$2,0),FALSE())/100,"")</f>
        <v>0.036</v>
      </c>
      <c r="Q456" s="10" t="n">
        <f aca="false">IFERROR(VLOOKUP(A456,'Dados-Status-Invest'!$1:$1000,MATCH(Q$1,'Dados-Status-Invest'!$2:$2,0),FALSE())/100,"")</f>
        <v>-0.0002</v>
      </c>
      <c r="R456" s="12" t="n">
        <f aca="false">IFERROR(VLOOKUP(A456,'Dados-Status-Invest'!$1:$1000,MATCH(R$1,'Dados-Status-Invest'!$2:$2,0),FALSE()),"")</f>
        <v>-27549.16</v>
      </c>
      <c r="S456" s="12" t="n">
        <f aca="false">IFERROR(VLOOKUP(A456,'Dados-Status-Invest'!$1:$1000,MATCH(S$1,'Dados-Status-Invest'!$2:$2,0),FALSE()),"")</f>
        <v>-2.8</v>
      </c>
      <c r="T456" s="12" t="n">
        <f aca="false">IFERROR(VLOOKUP(A456,'Dados-Status-Invest'!$1:$1000,MATCH(T$1,'Dados-Status-Invest'!$2:$2,0),FALSE()),"")</f>
        <v>206.4</v>
      </c>
      <c r="U456" s="12" t="n">
        <f aca="false">IFERROR(VLOOKUP(A456,'Dados-Status-Invest'!$1:$1000,MATCH(U$1,'Dados-Status-Invest'!$2:$2,0),FALSE()),"")</f>
        <v>0.98</v>
      </c>
      <c r="V456" s="12" t="n">
        <f aca="false">IFERROR(VLOOKUP(A456,'Dados-Status-Invest'!$1:$1000,MATCH(V$1,'Dados-Status-Invest'!$2:$2,0),FALSE()),"")</f>
        <v>-3.07</v>
      </c>
      <c r="W456" s="10" t="n">
        <f aca="false">IFERROR(VLOOKUP(A456,'Dados-Status-Invest'!$1:$1000,MATCH(W$1,'Dados-Status-Invest'!$2:$2,0),FALSE())/100,"")</f>
        <v>1.1705</v>
      </c>
      <c r="X456" s="10" t="n">
        <f aca="false">IFERROR(VLOOKUP(A456,'Dados-Status-Invest'!$1:$1000,MATCH(X$1,'Dados-Status-Invest'!$2:$2,0),FALSE())/100,"")</f>
        <v>0</v>
      </c>
    </row>
    <row r="457" customFormat="false" ht="15.75" hidden="false" customHeight="false" outlineLevel="0" collapsed="false">
      <c r="A457" s="6" t="s">
        <v>490</v>
      </c>
      <c r="B457" s="7" t="str">
        <f aca="false">IFERROR(VLOOKUP(LEFT(A457,4),Setor!A:D,2,FALSE()),"")</f>
        <v>Consumo Cíclico</v>
      </c>
      <c r="C457" s="8" t="n">
        <f aca="false">IFERROR(__xludf.dummyfunction("IFERROR(IFERROR(GOOGLEFINANCE(A463,""price""),VLOOKUP(A463,'Dados-Status-Invest'!A:B,2,FALSE)),"""")"),7.7)</f>
        <v>7.7</v>
      </c>
      <c r="D457" s="8" t="n">
        <f aca="false">IFERROR(VLOOKUP(A457,'Dados-Status-Invest'!$1:$1000,MATCH(D$1,'Dados-Status-Invest'!$2:$2,0),FALSE()),"")</f>
        <v>525237696</v>
      </c>
      <c r="E457" s="8" t="n">
        <f aca="false">IF(D457+H457&gt;0,D457+H457,"")</f>
        <v>927758566.3</v>
      </c>
      <c r="F457" s="8" t="n">
        <f aca="false">IFERROR(D457/VLOOKUP(A457,'Dados-Status-Invest'!$1:$1000,5,FALSE()),"")</f>
        <v>617926701.2</v>
      </c>
      <c r="G457" s="8" t="n">
        <f aca="false">IFERROR(D457/VLOOKUP(A457,'Dados-Status-Invest'!$1:$1000,6,FALSE()),"")</f>
        <v>1694315148</v>
      </c>
      <c r="H457" s="8" t="n">
        <f aca="false">IFERROR(VLOOKUP(A457,'Dados-Status-Invest'!$1:$1000,12,FALSE())*J457,"")</f>
        <v>402520870.3</v>
      </c>
      <c r="I457" s="8" t="n">
        <f aca="false">IFERROR(D457/VLOOKUP(A457,'Dados-Status-Invest'!$1:$1000,14,FALSE()),"")</f>
        <v>350158464</v>
      </c>
      <c r="J457" s="9" t="n">
        <f aca="false">IFERROR(D457/VLOOKUP(A457,'Dados-Status-Invest'!$1:$1000,10,FALSE()),"")</f>
        <v>24204502.12</v>
      </c>
      <c r="K457" s="10" t="n">
        <f aca="false">IFERROR(VLOOKUP(A457,'Dados-Status-Invest'!$1:$1000,3,FALSE())/100,"")</f>
        <v>0.0008</v>
      </c>
      <c r="L457" s="11" t="n">
        <f aca="false">IFERROR(VLOOKUP(A457,'Dados-Status-Invest'!$1:$1000,MATCH(L$1,'Dados-Status-Invest'!$2:$2,0),FALSE())/100,"")</f>
        <v>0.0184</v>
      </c>
      <c r="M457" s="10" t="n">
        <f aca="false">IFERROR(VLOOKUP(A457,'Dados-Status-Invest'!$1:$1000,MATCH(M$1,'Dados-Status-Invest'!$2:$2,0),FALSE())/100,"")</f>
        <v>0.0067</v>
      </c>
      <c r="N457" s="10" t="n">
        <f aca="false">IFERROR(VLOOKUP(A457,'Dados-Status-Invest'!$1:$1000,MATCH(N$1,'Dados-Status-Invest'!$2:$2,0),FALSE())/100,"")</f>
        <v>0.013</v>
      </c>
      <c r="O457" s="10" t="n">
        <f aca="false">IFERROR(VLOOKUP(A457,'Dados-Status-Invest'!$1:$1000,MATCH(O$1,'Dados-Status-Invest'!$2:$2,0),FALSE())/100,"")</f>
        <v>0.2301</v>
      </c>
      <c r="P457" s="10" t="n">
        <f aca="false">IFERROR(VLOOKUP(A457,'Dados-Status-Invest'!$1:$1000,MATCH(P$1,'Dados-Status-Invest'!$2:$2,0),FALSE())/100,"")</f>
        <v>0.0691</v>
      </c>
      <c r="Q457" s="10" t="n">
        <f aca="false">IFERROR(VLOOKUP(A457,'Dados-Status-Invest'!$1:$1000,MATCH(Q$1,'Dados-Status-Invest'!$2:$2,0),FALSE())/100,"")</f>
        <v>0.0326</v>
      </c>
      <c r="R457" s="12" t="n">
        <f aca="false">IFERROR(VLOOKUP(A457,'Dados-Status-Invest'!$1:$1000,MATCH(R$1,'Dados-Status-Invest'!$2:$2,0),FALSE()),"")</f>
        <v>45.97</v>
      </c>
      <c r="S457" s="12" t="n">
        <f aca="false">IFERROR(VLOOKUP(A457,'Dados-Status-Invest'!$1:$1000,MATCH(S$1,'Dados-Status-Invest'!$2:$2,0),FALSE()),"")</f>
        <v>0.85</v>
      </c>
      <c r="T457" s="12" t="n">
        <f aca="false">IFERROR(VLOOKUP(A457,'Dados-Status-Invest'!$1:$1000,MATCH(T$1,'Dados-Status-Invest'!$2:$2,0),FALSE()),"")</f>
        <v>38.33</v>
      </c>
      <c r="U457" s="12" t="n">
        <f aca="false">IFERROR(VLOOKUP(A457,'Dados-Status-Invest'!$1:$1000,MATCH(U$1,'Dados-Status-Invest'!$2:$2,0),FALSE()),"")</f>
        <v>1.89</v>
      </c>
      <c r="V457" s="12" t="n">
        <f aca="false">IFERROR(VLOOKUP(A457,'Dados-Status-Invest'!$1:$1000,MATCH(V$1,'Dados-Status-Invest'!$2:$2,0),FALSE()),"")</f>
        <v>16.63</v>
      </c>
      <c r="W457" s="10" t="n">
        <f aca="false">IFERROR(VLOOKUP(A457,'Dados-Status-Invest'!$1:$1000,MATCH(W$1,'Dados-Status-Invest'!$2:$2,0),FALSE())/100,"")</f>
        <v>-0.1068</v>
      </c>
      <c r="X457" s="10" t="n">
        <f aca="false">IFERROR(VLOOKUP(A457,'Dados-Status-Invest'!$1:$1000,MATCH(X$1,'Dados-Status-Invest'!$2:$2,0),FALSE())/100,"")</f>
        <v>-0.155</v>
      </c>
    </row>
    <row r="458" customFormat="false" ht="15.75" hidden="false" customHeight="false" outlineLevel="0" collapsed="false">
      <c r="A458" s="6" t="s">
        <v>491</v>
      </c>
      <c r="B458" s="7" t="s">
        <v>90</v>
      </c>
      <c r="C458" s="8" t="n">
        <f aca="false">IFERROR(__xludf.dummyfunction("IFERROR(IFERROR(GOOGLEFINANCE(A464,""price""),VLOOKUP(A464,'Dados-Status-Invest'!A:B,2,FALSE)),"""")"),33.19)</f>
        <v>33.19</v>
      </c>
      <c r="D458" s="8" t="n">
        <f aca="false">IFERROR(VLOOKUP(A458,'Dados-Status-Invest'!$1:$1000,MATCH(D$1,'Dados-Status-Invest'!$2:$2,0),FALSE()),"")</f>
        <v>137710150118</v>
      </c>
      <c r="E458" s="8" t="n">
        <f aca="false">IF(D458+H458&gt;0,D458+H458,"")</f>
        <v>147940285588</v>
      </c>
      <c r="F458" s="8" t="n">
        <f aca="false">IFERROR(D458/VLOOKUP(A458,'Dados-Status-Invest'!$1:$1000,5,FALSE()),"")</f>
        <v>13896079729</v>
      </c>
      <c r="G458" s="8" t="n">
        <f aca="false">IFERROR(D458/VLOOKUP(A458,'Dados-Status-Invest'!$1:$1000,6,FALSE()),"")</f>
        <v>46523699364</v>
      </c>
      <c r="H458" s="8" t="n">
        <f aca="false">IFERROR(VLOOKUP(A458,'Dados-Status-Invest'!$1:$1000,12,FALSE())*J458,"")</f>
        <v>10230135470</v>
      </c>
      <c r="I458" s="8" t="n">
        <f aca="false">IFERROR(D458/VLOOKUP(A458,'Dados-Status-Invest'!$1:$1000,14,FALSE()),"")</f>
        <v>15421069442</v>
      </c>
      <c r="J458" s="9" t="n">
        <f aca="false">IFERROR(D458/VLOOKUP(A458,'Dados-Status-Invest'!$1:$1000,10,FALSE()),"")</f>
        <v>2087782749</v>
      </c>
      <c r="K458" s="10" t="n">
        <f aca="false">IFERROR(VLOOKUP(A458,'Dados-Status-Invest'!$1:$1000,3,FALSE())/100,"")</f>
        <v>0.0042</v>
      </c>
      <c r="L458" s="11" t="n">
        <f aca="false">IFERROR(VLOOKUP(A458,'Dados-Status-Invest'!$1:$1000,MATCH(L$1,'Dados-Status-Invest'!$2:$2,0),FALSE())/100,"")</f>
        <v>0.0496</v>
      </c>
      <c r="M458" s="10" t="n">
        <f aca="false">IFERROR(VLOOKUP(A458,'Dados-Status-Invest'!$1:$1000,MATCH(M$1,'Dados-Status-Invest'!$2:$2,0),FALSE())/100,"")</f>
        <v>0.0148</v>
      </c>
      <c r="N458" s="10" t="n">
        <f aca="false">IFERROR(VLOOKUP(A458,'Dados-Status-Invest'!$1:$1000,MATCH(N$1,'Dados-Status-Invest'!$2:$2,0),FALSE())/100,"")</f>
        <v>0.0535</v>
      </c>
      <c r="O458" s="10" t="n">
        <f aca="false">IFERROR(VLOOKUP(A458,'Dados-Status-Invest'!$1:$1000,MATCH(O$1,'Dados-Status-Invest'!$2:$2,0),FALSE())/100,"")</f>
        <v>0.2021</v>
      </c>
      <c r="P458" s="10" t="n">
        <f aca="false">IFERROR(VLOOKUP(A458,'Dados-Status-Invest'!$1:$1000,MATCH(P$1,'Dados-Status-Invest'!$2:$2,0),FALSE())/100,"")</f>
        <v>0.1354</v>
      </c>
      <c r="Q458" s="10" t="n">
        <f aca="false">IFERROR(VLOOKUP(A458,'Dados-Status-Invest'!$1:$1000,MATCH(Q$1,'Dados-Status-Invest'!$2:$2,0),FALSE())/100,"")</f>
        <v>0.0447</v>
      </c>
      <c r="R458" s="12" t="n">
        <f aca="false">IFERROR(VLOOKUP(A458,'Dados-Status-Invest'!$1:$1000,MATCH(R$1,'Dados-Status-Invest'!$2:$2,0),FALSE()),"")</f>
        <v>199.85</v>
      </c>
      <c r="S458" s="12" t="n">
        <f aca="false">IFERROR(VLOOKUP(A458,'Dados-Status-Invest'!$1:$1000,MATCH(S$1,'Dados-Status-Invest'!$2:$2,0),FALSE()),"")</f>
        <v>9.91</v>
      </c>
      <c r="T458" s="12" t="n">
        <f aca="false">IFERROR(VLOOKUP(A458,'Dados-Status-Invest'!$1:$1000,MATCH(T$1,'Dados-Status-Invest'!$2:$2,0),FALSE()),"")</f>
        <v>70.74</v>
      </c>
      <c r="U458" s="12" t="n">
        <f aca="false">IFERROR(VLOOKUP(A458,'Dados-Status-Invest'!$1:$1000,MATCH(U$1,'Dados-Status-Invest'!$2:$2,0),FALSE()),"")</f>
        <v>5.33</v>
      </c>
      <c r="V458" s="12" t="n">
        <f aca="false">IFERROR(VLOOKUP(A458,'Dados-Status-Invest'!$1:$1000,MATCH(V$1,'Dados-Status-Invest'!$2:$2,0),FALSE()),"")</f>
        <v>4.9</v>
      </c>
      <c r="W458" s="10" t="n">
        <f aca="false">IFERROR(VLOOKUP(A458,'Dados-Status-Invest'!$1:$1000,MATCH(W$1,'Dados-Status-Invest'!$2:$2,0),FALSE())/100,"")</f>
        <v>0</v>
      </c>
      <c r="X458" s="10" t="n">
        <f aca="false">IFERROR(VLOOKUP(A458,'Dados-Status-Invest'!$1:$1000,MATCH(X$1,'Dados-Status-Invest'!$2:$2,0),FALSE())/100,"")</f>
        <v>0</v>
      </c>
    </row>
    <row r="459" customFormat="false" ht="15.75" hidden="false" customHeight="false" outlineLevel="0" collapsed="false">
      <c r="A459" s="6" t="s">
        <v>492</v>
      </c>
      <c r="B459" s="7" t="s">
        <v>437</v>
      </c>
      <c r="C459" s="8" t="n">
        <f aca="false">IFERROR(__xludf.dummyfunction("IFERROR(IFERROR(GOOGLEFINANCE(A465,""price""),VLOOKUP(A465,'Dados-Status-Invest'!A:B,2,FALSE)),"""")"),27.77)</f>
        <v>27.77</v>
      </c>
      <c r="D459" s="8" t="n">
        <f aca="false">IFERROR(VLOOKUP(A459,'Dados-Status-Invest'!$1:$1000,MATCH(D$1,'Dados-Status-Invest'!$2:$2,0),FALSE()),"")</f>
        <v>4817476521</v>
      </c>
      <c r="E459" s="8" t="n">
        <f aca="false">IF(D459+H459&gt;0,D459+H459,"")</f>
        <v>5704609246.8</v>
      </c>
      <c r="F459" s="8" t="n">
        <f aca="false">IFERROR(D459/VLOOKUP(A459,'Dados-Status-Invest'!$1:$1000,5,FALSE()),"")</f>
        <v>808301429.7</v>
      </c>
      <c r="G459" s="8" t="n">
        <f aca="false">IFERROR(D459/VLOOKUP(A459,'Dados-Status-Invest'!$1:$1000,6,FALSE()),"")</f>
        <v>2131626779</v>
      </c>
      <c r="H459" s="8" t="n">
        <f aca="false">IFERROR(VLOOKUP(A459,'Dados-Status-Invest'!$1:$1000,12,FALSE())*J459,"")</f>
        <v>887132725.8</v>
      </c>
      <c r="I459" s="8" t="n">
        <f aca="false">IFERROR(D459/VLOOKUP(A459,'Dados-Status-Invest'!$1:$1000,14,FALSE()),"")</f>
        <v>245789618.4</v>
      </c>
      <c r="J459" s="9" t="n">
        <f aca="false">IFERROR(D459/VLOOKUP(A459,'Dados-Status-Invest'!$1:$1000,10,FALSE()),"")</f>
        <v>70575395.85</v>
      </c>
      <c r="K459" s="10" t="n">
        <f aca="false">IFERROR(VLOOKUP(A459,'Dados-Status-Invest'!$1:$1000,3,FALSE())/100,"")</f>
        <v>0</v>
      </c>
      <c r="L459" s="11" t="n">
        <f aca="false">IFERROR(VLOOKUP(A459,'Dados-Status-Invest'!$1:$1000,MATCH(L$1,'Dados-Status-Invest'!$2:$2,0),FALSE())/100,"")</f>
        <v>-0.016</v>
      </c>
      <c r="M459" s="10" t="n">
        <f aca="false">IFERROR(VLOOKUP(A459,'Dados-Status-Invest'!$1:$1000,MATCH(M$1,'Dados-Status-Invest'!$2:$2,0),FALSE())/100,"")</f>
        <v>-0.006</v>
      </c>
      <c r="N459" s="10" t="n">
        <f aca="false">IFERROR(VLOOKUP(A459,'Dados-Status-Invest'!$1:$1000,MATCH(N$1,'Dados-Status-Invest'!$2:$2,0),FALSE())/100,"")</f>
        <v>0.033</v>
      </c>
      <c r="O459" s="10" t="n">
        <f aca="false">IFERROR(VLOOKUP(A459,'Dados-Status-Invest'!$1:$1000,MATCH(O$1,'Dados-Status-Invest'!$2:$2,0),FALSE())/100,"")</f>
        <v>0.3771</v>
      </c>
      <c r="P459" s="10" t="n">
        <f aca="false">IFERROR(VLOOKUP(A459,'Dados-Status-Invest'!$1:$1000,MATCH(P$1,'Dados-Status-Invest'!$2:$2,0),FALSE())/100,"")</f>
        <v>0.2872</v>
      </c>
      <c r="Q459" s="10" t="n">
        <f aca="false">IFERROR(VLOOKUP(A459,'Dados-Status-Invest'!$1:$1000,MATCH(Q$1,'Dados-Status-Invest'!$2:$2,0),FALSE())/100,"")</f>
        <v>-0.0524</v>
      </c>
      <c r="R459" s="12" t="n">
        <f aca="false">IFERROR(VLOOKUP(A459,'Dados-Status-Invest'!$1:$1000,MATCH(R$1,'Dados-Status-Invest'!$2:$2,0),FALSE()),"")</f>
        <v>-373.74</v>
      </c>
      <c r="S459" s="12" t="n">
        <f aca="false">IFERROR(VLOOKUP(A459,'Dados-Status-Invest'!$1:$1000,MATCH(S$1,'Dados-Status-Invest'!$2:$2,0),FALSE()),"")</f>
        <v>5.96</v>
      </c>
      <c r="T459" s="12" t="n">
        <f aca="false">IFERROR(VLOOKUP(A459,'Dados-Status-Invest'!$1:$1000,MATCH(T$1,'Dados-Status-Invest'!$2:$2,0),FALSE()),"")</f>
        <v>80.82</v>
      </c>
      <c r="U459" s="12" t="n">
        <f aca="false">IFERROR(VLOOKUP(A459,'Dados-Status-Invest'!$1:$1000,MATCH(U$1,'Dados-Status-Invest'!$2:$2,0),FALSE()),"")</f>
        <v>0.59</v>
      </c>
      <c r="V459" s="12" t="n">
        <f aca="false">IFERROR(VLOOKUP(A459,'Dados-Status-Invest'!$1:$1000,MATCH(V$1,'Dados-Status-Invest'!$2:$2,0),FALSE()),"")</f>
        <v>12.57</v>
      </c>
      <c r="W459" s="10" t="n">
        <f aca="false">IFERROR(VLOOKUP(A459,'Dados-Status-Invest'!$1:$1000,MATCH(W$1,'Dados-Status-Invest'!$2:$2,0),FALSE())/100,"")</f>
        <v>0</v>
      </c>
      <c r="X459" s="10" t="n">
        <f aca="false">IFERROR(VLOOKUP(A459,'Dados-Status-Invest'!$1:$1000,MATCH(X$1,'Dados-Status-Invest'!$2:$2,0),FALSE())/100,"")</f>
        <v>0</v>
      </c>
    </row>
    <row r="460" customFormat="false" ht="15.75" hidden="false" customHeight="false" outlineLevel="0" collapsed="false">
      <c r="A460" s="6" t="s">
        <v>493</v>
      </c>
      <c r="B460" s="7" t="str">
        <f aca="false">IFERROR(VLOOKUP(LEFT(A460,4),Setor!A:D,2,FALSE()),"")</f>
        <v>Utilidade Pública</v>
      </c>
      <c r="C460" s="8" t="n">
        <f aca="false">IFERROR(__xludf.dummyfunction("IFERROR(IFERROR(GOOGLEFINANCE(A466,""price""),VLOOKUP(A466,'Dados-Status-Invest'!A:B,2,FALSE)),"""")"),6.17)</f>
        <v>6.17</v>
      </c>
      <c r="D460" s="8" t="n">
        <f aca="false">IFERROR(VLOOKUP(A460,'Dados-Status-Invest'!$1:$1000,MATCH(D$1,'Dados-Status-Invest'!$2:$2,0),FALSE()),"")</f>
        <v>18908497431</v>
      </c>
      <c r="E460" s="8" t="n">
        <f aca="false">IF(D460+H460&gt;0,D460+H460,"")</f>
        <v>25009459829</v>
      </c>
      <c r="F460" s="8" t="n">
        <f aca="false">IFERROR(D460/VLOOKUP(A460,'Dados-Status-Invest'!$1:$1000,5,FALSE()),"")</f>
        <v>3922924778</v>
      </c>
      <c r="G460" s="8" t="n">
        <f aca="false">IFERROR(D460/VLOOKUP(A460,'Dados-Status-Invest'!$1:$1000,6,FALSE()),"")</f>
        <v>21009441590</v>
      </c>
      <c r="H460" s="8" t="n">
        <f aca="false">IFERROR(VLOOKUP(A460,'Dados-Status-Invest'!$1:$1000,12,FALSE())*J460,"")</f>
        <v>6100962398</v>
      </c>
      <c r="I460" s="8" t="n">
        <f aca="false">IFERROR(D460/VLOOKUP(A460,'Dados-Status-Invest'!$1:$1000,14,FALSE()),"")</f>
        <v>11967403437</v>
      </c>
      <c r="J460" s="9" t="n">
        <f aca="false">IFERROR(D460/VLOOKUP(A460,'Dados-Status-Invest'!$1:$1000,10,FALSE()),"")</f>
        <v>2243000881</v>
      </c>
      <c r="K460" s="10" t="n">
        <f aca="false">IFERROR(VLOOKUP(A460,'Dados-Status-Invest'!$1:$1000,3,FALSE())/100,"")</f>
        <v>0.0795</v>
      </c>
      <c r="L460" s="11" t="n">
        <f aca="false">IFERROR(VLOOKUP(A460,'Dados-Status-Invest'!$1:$1000,MATCH(L$1,'Dados-Status-Invest'!$2:$2,0),FALSE())/100,"")</f>
        <v>0.297</v>
      </c>
      <c r="M460" s="10" t="n">
        <f aca="false">IFERROR(VLOOKUP(A460,'Dados-Status-Invest'!$1:$1000,MATCH(M$1,'Dados-Status-Invest'!$2:$2,0),FALSE())/100,"")</f>
        <v>0.0556</v>
      </c>
      <c r="N460" s="10" t="n">
        <f aca="false">IFERROR(VLOOKUP(A460,'Dados-Status-Invest'!$1:$1000,MATCH(N$1,'Dados-Status-Invest'!$2:$2,0),FALSE())/100,"")</f>
        <v>0.1224</v>
      </c>
      <c r="O460" s="10" t="n">
        <f aca="false">IFERROR(VLOOKUP(A460,'Dados-Status-Invest'!$1:$1000,MATCH(O$1,'Dados-Status-Invest'!$2:$2,0),FALSE())/100,"")</f>
        <v>0.2342</v>
      </c>
      <c r="P460" s="10" t="n">
        <f aca="false">IFERROR(VLOOKUP(A460,'Dados-Status-Invest'!$1:$1000,MATCH(P$1,'Dados-Status-Invest'!$2:$2,0),FALSE())/100,"")</f>
        <v>0.1877</v>
      </c>
      <c r="Q460" s="10" t="n">
        <f aca="false">IFERROR(VLOOKUP(A460,'Dados-Status-Invest'!$1:$1000,MATCH(Q$1,'Dados-Status-Invest'!$2:$2,0),FALSE())/100,"")</f>
        <v>0.0976</v>
      </c>
      <c r="R460" s="12" t="n">
        <f aca="false">IFERROR(VLOOKUP(A460,'Dados-Status-Invest'!$1:$1000,MATCH(R$1,'Dados-Status-Invest'!$2:$2,0),FALSE()),"")</f>
        <v>16.22</v>
      </c>
      <c r="S460" s="12" t="n">
        <f aca="false">IFERROR(VLOOKUP(A460,'Dados-Status-Invest'!$1:$1000,MATCH(S$1,'Dados-Status-Invest'!$2:$2,0),FALSE()),"")</f>
        <v>4.82</v>
      </c>
      <c r="T460" s="12" t="n">
        <f aca="false">IFERROR(VLOOKUP(A460,'Dados-Status-Invest'!$1:$1000,MATCH(T$1,'Dados-Status-Invest'!$2:$2,0),FALSE()),"")</f>
        <v>11.18</v>
      </c>
      <c r="U460" s="12" t="n">
        <f aca="false">IFERROR(VLOOKUP(A460,'Dados-Status-Invest'!$1:$1000,MATCH(U$1,'Dados-Status-Invest'!$2:$2,0),FALSE()),"")</f>
        <v>1.55</v>
      </c>
      <c r="V460" s="12" t="n">
        <f aca="false">IFERROR(VLOOKUP(A460,'Dados-Status-Invest'!$1:$1000,MATCH(V$1,'Dados-Status-Invest'!$2:$2,0),FALSE()),"")</f>
        <v>2.72</v>
      </c>
      <c r="W460" s="10" t="n">
        <f aca="false">IFERROR(VLOOKUP(A460,'Dados-Status-Invest'!$1:$1000,MATCH(W$1,'Dados-Status-Invest'!$2:$2,0),FALSE())/100,"")</f>
        <v>0.0659</v>
      </c>
      <c r="X460" s="10" t="n">
        <f aca="false">IFERROR(VLOOKUP(A460,'Dados-Status-Invest'!$1:$1000,MATCH(X$1,'Dados-Status-Invest'!$2:$2,0),FALSE())/100,"")</f>
        <v>0.2364</v>
      </c>
    </row>
    <row r="461" customFormat="false" ht="15.75" hidden="false" customHeight="false" outlineLevel="0" collapsed="false">
      <c r="A461" s="6" t="s">
        <v>494</v>
      </c>
      <c r="B461" s="7" t="str">
        <f aca="false">IFERROR(VLOOKUP(LEFT(A461,4),Setor!A:D,2,FALSE()),"")</f>
        <v>Consumo Cíclico</v>
      </c>
      <c r="C461" s="8" t="n">
        <f aca="false">IFERROR(__xludf.dummyfunction("IFERROR(IFERROR(GOOGLEFINANCE(A467,""price""),VLOOKUP(A467,'Dados-Status-Invest'!A:B,2,FALSE)),"""")"),54.59)</f>
        <v>54.59</v>
      </c>
      <c r="D461" s="8" t="n">
        <f aca="false">IFERROR(VLOOKUP(A461,'Dados-Status-Invest'!$1:$1000,MATCH(D$1,'Dados-Status-Invest'!$2:$2,0),FALSE()),"")</f>
        <v>48079202211</v>
      </c>
      <c r="E461" s="8" t="n">
        <f aca="false">IF(D461+H461&gt;0,D461+H461,"")</f>
        <v>54974201584</v>
      </c>
      <c r="F461" s="8" t="n">
        <f aca="false">IFERROR(D461/VLOOKUP(A461,'Dados-Status-Invest'!$1:$1000,5,FALSE()),"")</f>
        <v>6436305517</v>
      </c>
      <c r="G461" s="8" t="n">
        <f aca="false">IFERROR(D461/VLOOKUP(A461,'Dados-Status-Invest'!$1:$1000,6,FALSE()),"")</f>
        <v>20201345467</v>
      </c>
      <c r="H461" s="8" t="n">
        <f aca="false">IFERROR(VLOOKUP(A461,'Dados-Status-Invest'!$1:$1000,12,FALSE())*J461,"")</f>
        <v>6894999373</v>
      </c>
      <c r="I461" s="8" t="n">
        <f aca="false">IFERROR(D461/VLOOKUP(A461,'Dados-Status-Invest'!$1:$1000,14,FALSE()),"")</f>
        <v>10251429043</v>
      </c>
      <c r="J461" s="9" t="n">
        <f aca="false">IFERROR(D461/VLOOKUP(A461,'Dados-Status-Invest'!$1:$1000,10,FALSE()),"")</f>
        <v>2064371070</v>
      </c>
      <c r="K461" s="10" t="n">
        <f aca="false">IFERROR(VLOOKUP(A461,'Dados-Status-Invest'!$1:$1000,3,FALSE())/100,"")</f>
        <v>0.0059</v>
      </c>
      <c r="L461" s="11" t="n">
        <f aca="false">IFERROR(VLOOKUP(A461,'Dados-Status-Invest'!$1:$1000,MATCH(L$1,'Dados-Status-Invest'!$2:$2,0),FALSE())/100,"")</f>
        <v>0.2007</v>
      </c>
      <c r="M461" s="10" t="n">
        <f aca="false">IFERROR(VLOOKUP(A461,'Dados-Status-Invest'!$1:$1000,MATCH(M$1,'Dados-Status-Invest'!$2:$2,0),FALSE())/100,"")</f>
        <v>0.064</v>
      </c>
      <c r="N461" s="10" t="n">
        <f aca="false">IFERROR(VLOOKUP(A461,'Dados-Status-Invest'!$1:$1000,MATCH(N$1,'Dados-Status-Invest'!$2:$2,0),FALSE())/100,"")</f>
        <v>0.0931</v>
      </c>
      <c r="O461" s="10" t="n">
        <f aca="false">IFERROR(VLOOKUP(A461,'Dados-Status-Invest'!$1:$1000,MATCH(O$1,'Dados-Status-Invest'!$2:$2,0),FALSE())/100,"")</f>
        <v>0.3127</v>
      </c>
      <c r="P461" s="10" t="n">
        <f aca="false">IFERROR(VLOOKUP(A461,'Dados-Status-Invest'!$1:$1000,MATCH(P$1,'Dados-Status-Invest'!$2:$2,0),FALSE())/100,"")</f>
        <v>0.2013</v>
      </c>
      <c r="Q461" s="10" t="n">
        <f aca="false">IFERROR(VLOOKUP(A461,'Dados-Status-Invest'!$1:$1000,MATCH(Q$1,'Dados-Status-Invest'!$2:$2,0),FALSE())/100,"")</f>
        <v>0.126</v>
      </c>
      <c r="R461" s="12" t="n">
        <f aca="false">IFERROR(VLOOKUP(A461,'Dados-Status-Invest'!$1:$1000,MATCH(R$1,'Dados-Status-Invest'!$2:$2,0),FALSE()),"")</f>
        <v>37.2</v>
      </c>
      <c r="S461" s="12" t="n">
        <f aca="false">IFERROR(VLOOKUP(A461,'Dados-Status-Invest'!$1:$1000,MATCH(S$1,'Dados-Status-Invest'!$2:$2,0),FALSE()),"")</f>
        <v>7.47</v>
      </c>
      <c r="T461" s="12" t="n">
        <f aca="false">IFERROR(VLOOKUP(A461,'Dados-Status-Invest'!$1:$1000,MATCH(T$1,'Dados-Status-Invest'!$2:$2,0),FALSE()),"")</f>
        <v>26.5</v>
      </c>
      <c r="U461" s="12" t="n">
        <f aca="false">IFERROR(VLOOKUP(A461,'Dados-Status-Invest'!$1:$1000,MATCH(U$1,'Dados-Status-Invest'!$2:$2,0),FALSE()),"")</f>
        <v>1.14</v>
      </c>
      <c r="V461" s="12" t="n">
        <f aca="false">IFERROR(VLOOKUP(A461,'Dados-Status-Invest'!$1:$1000,MATCH(V$1,'Dados-Status-Invest'!$2:$2,0),FALSE()),"")</f>
        <v>3.34</v>
      </c>
      <c r="W461" s="10" t="n">
        <f aca="false">IFERROR(VLOOKUP(A461,'Dados-Status-Invest'!$1:$1000,MATCH(W$1,'Dados-Status-Invest'!$2:$2,0),FALSE())/100,"")</f>
        <v>0.2128</v>
      </c>
      <c r="X461" s="10" t="n">
        <f aca="false">IFERROR(VLOOKUP(A461,'Dados-Status-Invest'!$1:$1000,MATCH(X$1,'Dados-Status-Invest'!$2:$2,0),FALSE())/100,"")</f>
        <v>0.211</v>
      </c>
    </row>
    <row r="462" customFormat="false" ht="15.75" hidden="false" customHeight="false" outlineLevel="0" collapsed="false">
      <c r="A462" s="6" t="s">
        <v>495</v>
      </c>
      <c r="B462" s="7" t="str">
        <f aca="false">IFERROR(VLOOKUP(LEFT(A462,4),Setor!A:D,2,FALSE()),"")</f>
        <v>Bens Industriais</v>
      </c>
      <c r="C462" s="8" t="n">
        <f aca="false">IFERROR(__xludf.dummyfunction("IFERROR(IFERROR(GOOGLEFINANCE(A468,""price""),VLOOKUP(A468,'Dados-Status-Invest'!A:B,2,FALSE)),"""")"),23.08)</f>
        <v>23.08</v>
      </c>
      <c r="D462" s="8" t="n">
        <f aca="false">IFERROR(VLOOKUP(A462,'Dados-Status-Invest'!$1:$1000,MATCH(D$1,'Dados-Status-Invest'!$2:$2,0),FALSE()),"")</f>
        <v>10691215482</v>
      </c>
      <c r="E462" s="8" t="n">
        <f aca="false">IF(D462+H462&gt;0,D462+H462,"")</f>
        <v>25001314348</v>
      </c>
      <c r="F462" s="8" t="n">
        <f aca="false">IFERROR(D462/VLOOKUP(A462,'Dados-Status-Invest'!$1:$1000,5,FALSE()),"")</f>
        <v>2509674996</v>
      </c>
      <c r="G462" s="8" t="n">
        <f aca="false">IFERROR(D462/VLOOKUP(A462,'Dados-Status-Invest'!$1:$1000,6,FALSE()),"")</f>
        <v>46483545575</v>
      </c>
      <c r="H462" s="8" t="n">
        <f aca="false">IFERROR(VLOOKUP(A462,'Dados-Status-Invest'!$1:$1000,12,FALSE())*J462,"")</f>
        <v>14310098866</v>
      </c>
      <c r="I462" s="8" t="n">
        <f aca="false">IFERROR(D462/VLOOKUP(A462,'Dados-Status-Invest'!$1:$1000,14,FALSE()),"")</f>
        <v>6987722537</v>
      </c>
      <c r="J462" s="9" t="n">
        <f aca="false">IFERROR(D462/VLOOKUP(A462,'Dados-Status-Invest'!$1:$1000,10,FALSE()),"")</f>
        <v>2067933362</v>
      </c>
      <c r="K462" s="10" t="n">
        <f aca="false">IFERROR(VLOOKUP(A462,'Dados-Status-Invest'!$1:$1000,3,FALSE())/100,"")</f>
        <v>0</v>
      </c>
      <c r="L462" s="11" t="n">
        <f aca="false">IFERROR(VLOOKUP(A462,'Dados-Status-Invest'!$1:$1000,MATCH(L$1,'Dados-Status-Invest'!$2:$2,0),FALSE())/100,"")</f>
        <v>0.0515</v>
      </c>
      <c r="M462" s="10" t="n">
        <f aca="false">IFERROR(VLOOKUP(A462,'Dados-Status-Invest'!$1:$1000,MATCH(M$1,'Dados-Status-Invest'!$2:$2,0),FALSE())/100,"")</f>
        <v>0.0028</v>
      </c>
      <c r="N462" s="10" t="n">
        <f aca="false">IFERROR(VLOOKUP(A462,'Dados-Status-Invest'!$1:$1000,MATCH(N$1,'Dados-Status-Invest'!$2:$2,0),FALSE())/100,"")</f>
        <v>0.0546</v>
      </c>
      <c r="O462" s="10" t="n">
        <f aca="false">IFERROR(VLOOKUP(A462,'Dados-Status-Invest'!$1:$1000,MATCH(O$1,'Dados-Status-Invest'!$2:$2,0),FALSE())/100,"")</f>
        <v>0.3471</v>
      </c>
      <c r="P462" s="10" t="n">
        <f aca="false">IFERROR(VLOOKUP(A462,'Dados-Status-Invest'!$1:$1000,MATCH(P$1,'Dados-Status-Invest'!$2:$2,0),FALSE())/100,"")</f>
        <v>0.2967</v>
      </c>
      <c r="Q462" s="10" t="n">
        <f aca="false">IFERROR(VLOOKUP(A462,'Dados-Status-Invest'!$1:$1000,MATCH(Q$1,'Dados-Status-Invest'!$2:$2,0),FALSE())/100,"")</f>
        <v>0.0185</v>
      </c>
      <c r="R462" s="12" t="n">
        <f aca="false">IFERROR(VLOOKUP(A462,'Dados-Status-Invest'!$1:$1000,MATCH(R$1,'Dados-Status-Invest'!$2:$2,0),FALSE()),"")</f>
        <v>82.76</v>
      </c>
      <c r="S462" s="12" t="n">
        <f aca="false">IFERROR(VLOOKUP(A462,'Dados-Status-Invest'!$1:$1000,MATCH(S$1,'Dados-Status-Invest'!$2:$2,0),FALSE()),"")</f>
        <v>4.26</v>
      </c>
      <c r="T462" s="12" t="n">
        <f aca="false">IFERROR(VLOOKUP(A462,'Dados-Status-Invest'!$1:$1000,MATCH(T$1,'Dados-Status-Invest'!$2:$2,0),FALSE()),"")</f>
        <v>12.09</v>
      </c>
      <c r="U462" s="12" t="n">
        <f aca="false">IFERROR(VLOOKUP(A462,'Dados-Status-Invest'!$1:$1000,MATCH(U$1,'Dados-Status-Invest'!$2:$2,0),FALSE()),"")</f>
        <v>2.64</v>
      </c>
      <c r="V462" s="12" t="n">
        <f aca="false">IFERROR(VLOOKUP(A462,'Dados-Status-Invest'!$1:$1000,MATCH(V$1,'Dados-Status-Invest'!$2:$2,0),FALSE()),"")</f>
        <v>6.92</v>
      </c>
      <c r="W462" s="10" t="n">
        <f aca="false">IFERROR(VLOOKUP(A462,'Dados-Status-Invest'!$1:$1000,MATCH(W$1,'Dados-Status-Invest'!$2:$2,0),FALSE())/100,"")</f>
        <v>0.5058</v>
      </c>
      <c r="X462" s="10" t="n">
        <f aca="false">IFERROR(VLOOKUP(A462,'Dados-Status-Invest'!$1:$1000,MATCH(X$1,'Dados-Status-Invest'!$2:$2,0),FALSE())/100,"")</f>
        <v>0.4236</v>
      </c>
    </row>
    <row r="463" customFormat="false" ht="15.75" hidden="false" customHeight="false" outlineLevel="0" collapsed="false">
      <c r="A463" s="6" t="s">
        <v>496</v>
      </c>
      <c r="B463" s="7" t="str">
        <f aca="false">IFERROR(VLOOKUP(LEFT(A463,4),Setor!A:D,2,FALSE()),"")</f>
        <v>Utilidade Pública</v>
      </c>
      <c r="C463" s="8" t="n">
        <f aca="false">IFERROR(__xludf.dummyfunction("IFERROR(IFERROR(GOOGLEFINANCE(A469,""price""),VLOOKUP(A469,'Dados-Status-Invest'!A:B,2,FALSE)),"""")"),5.1)</f>
        <v>5.1</v>
      </c>
      <c r="D463" s="8" t="n">
        <f aca="false">IFERROR(VLOOKUP(A463,'Dados-Status-Invest'!$1:$1000,MATCH(D$1,'Dados-Status-Invest'!$2:$2,0),FALSE()),"")</f>
        <v>419263124.3</v>
      </c>
      <c r="E463" s="8" t="n">
        <f aca="false">IF(D463+H463&gt;0,D463+H463,"")</f>
        <v>1851828063.3</v>
      </c>
      <c r="F463" s="8" t="n">
        <f aca="false">IFERROR(D463/VLOOKUP(A463,'Dados-Status-Invest'!$1:$1000,5,FALSE()),"")</f>
        <v>-1133143579</v>
      </c>
      <c r="G463" s="8" t="n">
        <f aca="false">IFERROR(D463/VLOOKUP(A463,'Dados-Status-Invest'!$1:$1000,6,FALSE()),"")</f>
        <v>2620394527</v>
      </c>
      <c r="H463" s="8" t="n">
        <f aca="false">IFERROR(VLOOKUP(A463,'Dados-Status-Invest'!$1:$1000,12,FALSE())*J463,"")</f>
        <v>1432564939</v>
      </c>
      <c r="I463" s="8" t="n">
        <f aca="false">IFERROR(D463/VLOOKUP(A463,'Dados-Status-Invest'!$1:$1000,14,FALSE()),"")</f>
        <v>80782875.59</v>
      </c>
      <c r="J463" s="9" t="n">
        <f aca="false">IFERROR(D463/VLOOKUP(A463,'Dados-Status-Invest'!$1:$1000,10,FALSE()),"")</f>
        <v>-33038859.28</v>
      </c>
      <c r="K463" s="10" t="n">
        <f aca="false">IFERROR(VLOOKUP(A463,'Dados-Status-Invest'!$1:$1000,3,FALSE())/100,"")</f>
        <v>0</v>
      </c>
      <c r="L463" s="11" t="n">
        <f aca="false">IFERROR(VLOOKUP(A463,'Dados-Status-Invest'!$1:$1000,MATCH(L$1,'Dados-Status-Invest'!$2:$2,0),FALSE())/100,"")</f>
        <v>-0.0404</v>
      </c>
      <c r="M463" s="10" t="n">
        <f aca="false">IFERROR(VLOOKUP(A463,'Dados-Status-Invest'!$1:$1000,MATCH(M$1,'Dados-Status-Invest'!$2:$2,0),FALSE())/100,"")</f>
        <v>0.0172</v>
      </c>
      <c r="N463" s="10" t="n">
        <f aca="false">IFERROR(VLOOKUP(A463,'Dados-Status-Invest'!$1:$1000,MATCH(N$1,'Dados-Status-Invest'!$2:$2,0),FALSE())/100,"")</f>
        <v>-0.0493</v>
      </c>
      <c r="O463" s="10" t="n">
        <f aca="false">IFERROR(VLOOKUP(A463,'Dados-Status-Invest'!$1:$1000,MATCH(O$1,'Dados-Status-Invest'!$2:$2,0),FALSE())/100,"")</f>
        <v>0.2398</v>
      </c>
      <c r="P463" s="10" t="n">
        <f aca="false">IFERROR(VLOOKUP(A463,'Dados-Status-Invest'!$1:$1000,MATCH(P$1,'Dados-Status-Invest'!$2:$2,0),FALSE())/100,"")</f>
        <v>-0.4089</v>
      </c>
      <c r="Q463" s="10" t="n">
        <f aca="false">IFERROR(VLOOKUP(A463,'Dados-Status-Invest'!$1:$1000,MATCH(Q$1,'Dados-Status-Invest'!$2:$2,0),FALSE())/100,"")</f>
        <v>0.5644</v>
      </c>
      <c r="R463" s="12" t="n">
        <f aca="false">IFERROR(VLOOKUP(A463,'Dados-Status-Invest'!$1:$1000,MATCH(R$1,'Dados-Status-Invest'!$2:$2,0),FALSE()),"")</f>
        <v>9.19</v>
      </c>
      <c r="S463" s="12" t="n">
        <f aca="false">IFERROR(VLOOKUP(A463,'Dados-Status-Invest'!$1:$1000,MATCH(S$1,'Dados-Status-Invest'!$2:$2,0),FALSE()),"")</f>
        <v>-0.37</v>
      </c>
      <c r="T463" s="12" t="n">
        <f aca="false">IFERROR(VLOOKUP(A463,'Dados-Status-Invest'!$1:$1000,MATCH(T$1,'Dados-Status-Invest'!$2:$2,0),FALSE()),"")</f>
        <v>-56.06</v>
      </c>
      <c r="U463" s="12" t="n">
        <f aca="false">IFERROR(VLOOKUP(A463,'Dados-Status-Invest'!$1:$1000,MATCH(U$1,'Dados-Status-Invest'!$2:$2,0),FALSE()),"")</f>
        <v>1.75</v>
      </c>
      <c r="V463" s="12" t="n">
        <f aca="false">IFERROR(VLOOKUP(A463,'Dados-Status-Invest'!$1:$1000,MATCH(V$1,'Dados-Status-Invest'!$2:$2,0),FALSE()),"")</f>
        <v>-43.36</v>
      </c>
      <c r="W463" s="10" t="n">
        <f aca="false">IFERROR(VLOOKUP(A463,'Dados-Status-Invest'!$1:$1000,MATCH(W$1,'Dados-Status-Invest'!$2:$2,0),FALSE())/100,"")</f>
        <v>-0.2967</v>
      </c>
      <c r="X463" s="10" t="n">
        <f aca="false">IFERROR(VLOOKUP(A463,'Dados-Status-Invest'!$1:$1000,MATCH(X$1,'Dados-Status-Invest'!$2:$2,0),FALSE())/100,"")</f>
        <v>-0.2828</v>
      </c>
    </row>
    <row r="464" customFormat="false" ht="15.75" hidden="false" customHeight="false" outlineLevel="0" collapsed="false">
      <c r="A464" s="6" t="s">
        <v>497</v>
      </c>
      <c r="B464" s="7" t="str">
        <f aca="false">IFERROR(VLOOKUP(LEFT(A464,4),Setor!A:D,2,FALSE()),"")</f>
        <v>Utilidade Pública</v>
      </c>
      <c r="C464" s="8" t="n">
        <f aca="false">IFERROR(__xludf.dummyfunction("IFERROR(IFERROR(GOOGLEFINANCE(A470,""price""),VLOOKUP(A470,'Dados-Status-Invest'!A:B,2,FALSE)),"""")"),1.94)</f>
        <v>1.94</v>
      </c>
      <c r="D464" s="8" t="n">
        <f aca="false">IFERROR(VLOOKUP(A464,'Dados-Status-Invest'!$1:$1000,MATCH(D$1,'Dados-Status-Invest'!$2:$2,0),FALSE()),"")</f>
        <v>419263124.3</v>
      </c>
      <c r="E464" s="8" t="n">
        <f aca="false">IF(D464+H464&gt;0,D464+H464,"")</f>
        <v>1736600013.3</v>
      </c>
      <c r="F464" s="8" t="n">
        <f aca="false">IFERROR(D464/VLOOKUP(A464,'Dados-Status-Invest'!$1:$1000,5,FALSE()),"")</f>
        <v>-1048157811</v>
      </c>
      <c r="G464" s="8" t="n">
        <f aca="false">IFERROR(D464/VLOOKUP(A464,'Dados-Status-Invest'!$1:$1000,6,FALSE()),"")</f>
        <v>2466253672</v>
      </c>
      <c r="H464" s="8" t="n">
        <f aca="false">IFERROR(VLOOKUP(A464,'Dados-Status-Invest'!$1:$1000,12,FALSE())*J464,"")</f>
        <v>1317336889</v>
      </c>
      <c r="I464" s="8" t="n">
        <f aca="false">IFERROR(D464/VLOOKUP(A464,'Dados-Status-Invest'!$1:$1000,14,FALSE()),"")</f>
        <v>74337433.39</v>
      </c>
      <c r="J464" s="9" t="n">
        <f aca="false">IFERROR(D464/VLOOKUP(A464,'Dados-Status-Invest'!$1:$1000,10,FALSE()),"")</f>
        <v>-30381385.82</v>
      </c>
      <c r="K464" s="10" t="n">
        <f aca="false">IFERROR(VLOOKUP(A464,'Dados-Status-Invest'!$1:$1000,3,FALSE())/100,"")</f>
        <v>0</v>
      </c>
      <c r="L464" s="11" t="n">
        <f aca="false">IFERROR(VLOOKUP(A464,'Dados-Status-Invest'!$1:$1000,MATCH(L$1,'Dados-Status-Invest'!$2:$2,0),FALSE())/100,"")</f>
        <v>-0.0404</v>
      </c>
      <c r="M464" s="10" t="n">
        <f aca="false">IFERROR(VLOOKUP(A464,'Dados-Status-Invest'!$1:$1000,MATCH(M$1,'Dados-Status-Invest'!$2:$2,0),FALSE())/100,"")</f>
        <v>0.0172</v>
      </c>
      <c r="N464" s="10" t="n">
        <f aca="false">IFERROR(VLOOKUP(A464,'Dados-Status-Invest'!$1:$1000,MATCH(N$1,'Dados-Status-Invest'!$2:$2,0),FALSE())/100,"")</f>
        <v>-0.0493</v>
      </c>
      <c r="O464" s="10" t="n">
        <f aca="false">IFERROR(VLOOKUP(A464,'Dados-Status-Invest'!$1:$1000,MATCH(O$1,'Dados-Status-Invest'!$2:$2,0),FALSE())/100,"")</f>
        <v>0.2398</v>
      </c>
      <c r="P464" s="10" t="n">
        <f aca="false">IFERROR(VLOOKUP(A464,'Dados-Status-Invest'!$1:$1000,MATCH(P$1,'Dados-Status-Invest'!$2:$2,0),FALSE())/100,"")</f>
        <v>-0.4089</v>
      </c>
      <c r="Q464" s="10" t="n">
        <f aca="false">IFERROR(VLOOKUP(A464,'Dados-Status-Invest'!$1:$1000,MATCH(Q$1,'Dados-Status-Invest'!$2:$2,0),FALSE())/100,"")</f>
        <v>0.5644</v>
      </c>
      <c r="R464" s="12" t="n">
        <f aca="false">IFERROR(VLOOKUP(A464,'Dados-Status-Invest'!$1:$1000,MATCH(R$1,'Dados-Status-Invest'!$2:$2,0),FALSE()),"")</f>
        <v>10</v>
      </c>
      <c r="S464" s="12" t="n">
        <f aca="false">IFERROR(VLOOKUP(A464,'Dados-Status-Invest'!$1:$1000,MATCH(S$1,'Dados-Status-Invest'!$2:$2,0),FALSE()),"")</f>
        <v>-0.4</v>
      </c>
      <c r="T464" s="12" t="n">
        <f aca="false">IFERROR(VLOOKUP(A464,'Dados-Status-Invest'!$1:$1000,MATCH(T$1,'Dados-Status-Invest'!$2:$2,0),FALSE()),"")</f>
        <v>-56.06</v>
      </c>
      <c r="U464" s="12" t="n">
        <f aca="false">IFERROR(VLOOKUP(A464,'Dados-Status-Invest'!$1:$1000,MATCH(U$1,'Dados-Status-Invest'!$2:$2,0),FALSE()),"")</f>
        <v>1.75</v>
      </c>
      <c r="V464" s="12" t="n">
        <f aca="false">IFERROR(VLOOKUP(A464,'Dados-Status-Invest'!$1:$1000,MATCH(V$1,'Dados-Status-Invest'!$2:$2,0),FALSE()),"")</f>
        <v>-43.36</v>
      </c>
      <c r="W464" s="10" t="n">
        <f aca="false">IFERROR(VLOOKUP(A464,'Dados-Status-Invest'!$1:$1000,MATCH(W$1,'Dados-Status-Invest'!$2:$2,0),FALSE())/100,"")</f>
        <v>-0.2967</v>
      </c>
      <c r="X464" s="10" t="n">
        <f aca="false">IFERROR(VLOOKUP(A464,'Dados-Status-Invest'!$1:$1000,MATCH(X$1,'Dados-Status-Invest'!$2:$2,0),FALSE())/100,"")</f>
        <v>-0.2828</v>
      </c>
    </row>
    <row r="465" customFormat="false" ht="15.75" hidden="false" customHeight="false" outlineLevel="0" collapsed="false">
      <c r="A465" s="6" t="s">
        <v>498</v>
      </c>
      <c r="B465" s="7" t="str">
        <f aca="false">IFERROR(VLOOKUP(LEFT(A465,4),Setor!A:D,2,FALSE()),"")</f>
        <v>Utilidade Pública</v>
      </c>
      <c r="C465" s="8" t="n">
        <f aca="false">IFERROR(__xludf.dummyfunction("IFERROR(IFERROR(GOOGLEFINANCE(A471,""price""),VLOOKUP(A471,'Dados-Status-Invest'!A:B,2,FALSE)),"""")"),1.56)</f>
        <v>1.56</v>
      </c>
      <c r="D465" s="8" t="n">
        <f aca="false">IFERROR(VLOOKUP(A465,'Dados-Status-Invest'!$1:$1000,MATCH(D$1,'Dados-Status-Invest'!$2:$2,0),FALSE()),"")</f>
        <v>419263124.3</v>
      </c>
      <c r="E465" s="8" t="n">
        <f aca="false">IF(D465+H465&gt;0,D465+H465,"")</f>
        <v>1932939150.3</v>
      </c>
      <c r="F465" s="8" t="n">
        <f aca="false">IFERROR(D465/VLOOKUP(A465,'Dados-Status-Invest'!$1:$1000,5,FALSE()),"")</f>
        <v>-1197894641</v>
      </c>
      <c r="G465" s="8" t="n">
        <f aca="false">IFERROR(D465/VLOOKUP(A465,'Dados-Status-Invest'!$1:$1000,6,FALSE()),"")</f>
        <v>2795087495</v>
      </c>
      <c r="H465" s="8" t="n">
        <f aca="false">IFERROR(VLOOKUP(A465,'Dados-Status-Invest'!$1:$1000,12,FALSE())*J465,"")</f>
        <v>1513676026</v>
      </c>
      <c r="I465" s="8" t="n">
        <f aca="false">IFERROR(D465/VLOOKUP(A465,'Dados-Status-Invest'!$1:$1000,14,FALSE()),"")</f>
        <v>85389638.35</v>
      </c>
      <c r="J465" s="9" t="n">
        <f aca="false">IFERROR(D465/VLOOKUP(A465,'Dados-Status-Invest'!$1:$1000,10,FALSE()),"")</f>
        <v>-34909502.44</v>
      </c>
      <c r="K465" s="10" t="n">
        <f aca="false">IFERROR(VLOOKUP(A465,'Dados-Status-Invest'!$1:$1000,3,FALSE())/100,"")</f>
        <v>0</v>
      </c>
      <c r="L465" s="11" t="n">
        <f aca="false">IFERROR(VLOOKUP(A465,'Dados-Status-Invest'!$1:$1000,MATCH(L$1,'Dados-Status-Invest'!$2:$2,0),FALSE())/100,"")</f>
        <v>-0.0404</v>
      </c>
      <c r="M465" s="10" t="n">
        <f aca="false">IFERROR(VLOOKUP(A465,'Dados-Status-Invest'!$1:$1000,MATCH(M$1,'Dados-Status-Invest'!$2:$2,0),FALSE())/100,"")</f>
        <v>0.0172</v>
      </c>
      <c r="N465" s="10" t="n">
        <f aca="false">IFERROR(VLOOKUP(A465,'Dados-Status-Invest'!$1:$1000,MATCH(N$1,'Dados-Status-Invest'!$2:$2,0),FALSE())/100,"")</f>
        <v>-0.0493</v>
      </c>
      <c r="O465" s="10" t="n">
        <f aca="false">IFERROR(VLOOKUP(A465,'Dados-Status-Invest'!$1:$1000,MATCH(O$1,'Dados-Status-Invest'!$2:$2,0),FALSE())/100,"")</f>
        <v>0.2398</v>
      </c>
      <c r="P465" s="10" t="n">
        <f aca="false">IFERROR(VLOOKUP(A465,'Dados-Status-Invest'!$1:$1000,MATCH(P$1,'Dados-Status-Invest'!$2:$2,0),FALSE())/100,"")</f>
        <v>-0.4089</v>
      </c>
      <c r="Q465" s="10" t="n">
        <f aca="false">IFERROR(VLOOKUP(A465,'Dados-Status-Invest'!$1:$1000,MATCH(Q$1,'Dados-Status-Invest'!$2:$2,0),FALSE())/100,"")</f>
        <v>0.5644</v>
      </c>
      <c r="R465" s="12" t="n">
        <f aca="false">IFERROR(VLOOKUP(A465,'Dados-Status-Invest'!$1:$1000,MATCH(R$1,'Dados-Status-Invest'!$2:$2,0),FALSE()),"")</f>
        <v>8.7</v>
      </c>
      <c r="S465" s="12" t="n">
        <f aca="false">IFERROR(VLOOKUP(A465,'Dados-Status-Invest'!$1:$1000,MATCH(S$1,'Dados-Status-Invest'!$2:$2,0),FALSE()),"")</f>
        <v>-0.35</v>
      </c>
      <c r="T465" s="12" t="n">
        <f aca="false">IFERROR(VLOOKUP(A465,'Dados-Status-Invest'!$1:$1000,MATCH(T$1,'Dados-Status-Invest'!$2:$2,0),FALSE()),"")</f>
        <v>-56.06</v>
      </c>
      <c r="U465" s="12" t="n">
        <f aca="false">IFERROR(VLOOKUP(A465,'Dados-Status-Invest'!$1:$1000,MATCH(U$1,'Dados-Status-Invest'!$2:$2,0),FALSE()),"")</f>
        <v>1.75</v>
      </c>
      <c r="V465" s="12" t="n">
        <f aca="false">IFERROR(VLOOKUP(A465,'Dados-Status-Invest'!$1:$1000,MATCH(V$1,'Dados-Status-Invest'!$2:$2,0),FALSE()),"")</f>
        <v>-43.36</v>
      </c>
      <c r="W465" s="10" t="n">
        <f aca="false">IFERROR(VLOOKUP(A465,'Dados-Status-Invest'!$1:$1000,MATCH(W$1,'Dados-Status-Invest'!$2:$2,0),FALSE())/100,"")</f>
        <v>-0.2967</v>
      </c>
      <c r="X465" s="10" t="n">
        <f aca="false">IFERROR(VLOOKUP(A465,'Dados-Status-Invest'!$1:$1000,MATCH(X$1,'Dados-Status-Invest'!$2:$2,0),FALSE())/100,"")</f>
        <v>-0.2828</v>
      </c>
    </row>
    <row r="466" customFormat="false" ht="15.75" hidden="false" customHeight="false" outlineLevel="0" collapsed="false">
      <c r="A466" s="6" t="s">
        <v>499</v>
      </c>
      <c r="B466" s="7" t="str">
        <f aca="false">IFERROR(VLOOKUP(LEFT(A466,4),Setor!A:D,2,FALSE()),"")</f>
        <v>Bens Industriais</v>
      </c>
      <c r="C466" s="8" t="n">
        <f aca="false">IFERROR(__xludf.dummyfunction("IFERROR(IFERROR(GOOGLEFINANCE(A472,""price""),VLOOKUP(A472,'Dados-Status-Invest'!A:B,2,FALSE)),"""")"),13.88)</f>
        <v>13.88</v>
      </c>
      <c r="D466" s="8" t="n">
        <f aca="false">IFERROR(VLOOKUP(A466,'Dados-Status-Invest'!$1:$1000,MATCH(D$1,'Dados-Status-Invest'!$2:$2,0),FALSE()),"")</f>
        <v>1768080859</v>
      </c>
      <c r="E466" s="8" t="n">
        <f aca="false">IF(D466+H466&gt;0,D466+H466,"")</f>
        <v>2045376993.8</v>
      </c>
      <c r="F466" s="8" t="n">
        <f aca="false">IFERROR(D466/VLOOKUP(A466,'Dados-Status-Invest'!$1:$1000,5,FALSE()),"")</f>
        <v>830084910.5</v>
      </c>
      <c r="G466" s="8" t="n">
        <f aca="false">IFERROR(D466/VLOOKUP(A466,'Dados-Status-Invest'!$1:$1000,6,FALSE()),"")</f>
        <v>1768080859</v>
      </c>
      <c r="H466" s="8" t="n">
        <f aca="false">IFERROR(VLOOKUP(A466,'Dados-Status-Invest'!$1:$1000,12,FALSE())*J466,"")</f>
        <v>277296134.8</v>
      </c>
      <c r="I466" s="8" t="n">
        <f aca="false">IFERROR(D466/VLOOKUP(A466,'Dados-Status-Invest'!$1:$1000,14,FALSE()),"")</f>
        <v>1027953988</v>
      </c>
      <c r="J466" s="9" t="n">
        <f aca="false">IFERROR(D466/VLOOKUP(A466,'Dados-Status-Invest'!$1:$1000,10,FALSE()),"")</f>
        <v>127200061.8</v>
      </c>
      <c r="K466" s="10" t="n">
        <f aca="false">IFERROR(VLOOKUP(A466,'Dados-Status-Invest'!$1:$1000,3,FALSE())/100,"")</f>
        <v>0.0856</v>
      </c>
      <c r="L466" s="11" t="n">
        <f aca="false">IFERROR(VLOOKUP(A466,'Dados-Status-Invest'!$1:$1000,MATCH(L$1,'Dados-Status-Invest'!$2:$2,0),FALSE())/100,"")</f>
        <v>0.1851</v>
      </c>
      <c r="M466" s="10" t="n">
        <f aca="false">IFERROR(VLOOKUP(A466,'Dados-Status-Invest'!$1:$1000,MATCH(M$1,'Dados-Status-Invest'!$2:$2,0),FALSE())/100,"")</f>
        <v>0.0869</v>
      </c>
      <c r="N466" s="10" t="n">
        <f aca="false">IFERROR(VLOOKUP(A466,'Dados-Status-Invest'!$1:$1000,MATCH(N$1,'Dados-Status-Invest'!$2:$2,0),FALSE())/100,"")</f>
        <v>0.087</v>
      </c>
      <c r="O466" s="10" t="n">
        <f aca="false">IFERROR(VLOOKUP(A466,'Dados-Status-Invest'!$1:$1000,MATCH(O$1,'Dados-Status-Invest'!$2:$2,0),FALSE())/100,"")</f>
        <v>0.3166</v>
      </c>
      <c r="P466" s="10" t="n">
        <f aca="false">IFERROR(VLOOKUP(A466,'Dados-Status-Invest'!$1:$1000,MATCH(P$1,'Dados-Status-Invest'!$2:$2,0),FALSE())/100,"")</f>
        <v>0.1238</v>
      </c>
      <c r="Q466" s="10" t="n">
        <f aca="false">IFERROR(VLOOKUP(A466,'Dados-Status-Invest'!$1:$1000,MATCH(Q$1,'Dados-Status-Invest'!$2:$2,0),FALSE())/100,"")</f>
        <v>0.1499</v>
      </c>
      <c r="R466" s="12" t="n">
        <f aca="false">IFERROR(VLOOKUP(A466,'Dados-Status-Invest'!$1:$1000,MATCH(R$1,'Dados-Status-Invest'!$2:$2,0),FALSE()),"")</f>
        <v>11.48</v>
      </c>
      <c r="S466" s="12" t="n">
        <f aca="false">IFERROR(VLOOKUP(A466,'Dados-Status-Invest'!$1:$1000,MATCH(S$1,'Dados-Status-Invest'!$2:$2,0),FALSE()),"")</f>
        <v>2.13</v>
      </c>
      <c r="T466" s="12" t="n">
        <f aca="false">IFERROR(VLOOKUP(A466,'Dados-Status-Invest'!$1:$1000,MATCH(T$1,'Dados-Status-Invest'!$2:$2,0),FALSE()),"")</f>
        <v>16.04</v>
      </c>
      <c r="U466" s="12" t="n">
        <f aca="false">IFERROR(VLOOKUP(A466,'Dados-Status-Invest'!$1:$1000,MATCH(U$1,'Dados-Status-Invest'!$2:$2,0),FALSE()),"")</f>
        <v>1.97</v>
      </c>
      <c r="V466" s="12" t="n">
        <f aca="false">IFERROR(VLOOKUP(A466,'Dados-Status-Invest'!$1:$1000,MATCH(V$1,'Dados-Status-Invest'!$2:$2,0),FALSE()),"")</f>
        <v>2.18</v>
      </c>
      <c r="W466" s="10" t="n">
        <f aca="false">IFERROR(VLOOKUP(A466,'Dados-Status-Invest'!$1:$1000,MATCH(W$1,'Dados-Status-Invest'!$2:$2,0),FALSE())/100,"")</f>
        <v>0.0991</v>
      </c>
      <c r="X466" s="10" t="n">
        <f aca="false">IFERROR(VLOOKUP(A466,'Dados-Status-Invest'!$1:$1000,MATCH(X$1,'Dados-Status-Invest'!$2:$2,0),FALSE())/100,"")</f>
        <v>0.8847</v>
      </c>
    </row>
    <row r="467" customFormat="false" ht="15.75" hidden="false" customHeight="false" outlineLevel="0" collapsed="false">
      <c r="A467" s="6" t="s">
        <v>500</v>
      </c>
      <c r="B467" s="7" t="str">
        <f aca="false">IFERROR(VLOOKUP(LEFT(A467,4),Setor!A:D,2,FALSE()),"")</f>
        <v>Financeiro</v>
      </c>
      <c r="C467" s="8" t="n">
        <f aca="false">IFERROR(__xludf.dummyfunction("IFERROR(IFERROR(GOOGLEFINANCE(A473,""price""),VLOOKUP(A473,'Dados-Status-Invest'!A:B,2,FALSE)),"""")"),6.37)</f>
        <v>6.37</v>
      </c>
      <c r="D467" s="8" t="n">
        <f aca="false">IFERROR(VLOOKUP(A467,'Dados-Status-Invest'!$1:$1000,MATCH(D$1,'Dados-Status-Invest'!$2:$2,0),FALSE()),"")</f>
        <v>684840879.2</v>
      </c>
      <c r="E467" s="8" t="n">
        <f aca="false">IF(D467+H467&gt;0,D467+H467,"")</f>
        <v>669069521.48</v>
      </c>
      <c r="F467" s="8" t="n">
        <f aca="false">IFERROR(D467/VLOOKUP(A467,'Dados-Status-Invest'!$1:$1000,5,FALSE()),"")</f>
        <v>1141401465</v>
      </c>
      <c r="G467" s="8" t="n">
        <f aca="false">IFERROR(D467/VLOOKUP(A467,'Dados-Status-Invest'!$1:$1000,6,FALSE()),"")</f>
        <v>1141401465</v>
      </c>
      <c r="H467" s="8" t="n">
        <f aca="false">IFERROR(VLOOKUP(A467,'Dados-Status-Invest'!$1:$1000,12,FALSE())*J467,"")</f>
        <v>-15771357.72</v>
      </c>
      <c r="I467" s="8" t="n">
        <f aca="false">IFERROR(D467/VLOOKUP(A467,'Dados-Status-Invest'!$1:$1000,14,FALSE()),"")</f>
        <v>28724.95647</v>
      </c>
      <c r="J467" s="9" t="n">
        <f aca="false">IFERROR(D467/VLOOKUP(A467,'Dados-Status-Invest'!$1:$1000,10,FALSE()),"")</f>
        <v>30329534.07</v>
      </c>
      <c r="K467" s="10" t="n">
        <f aca="false">IFERROR(VLOOKUP(A467,'Dados-Status-Invest'!$1:$1000,3,FALSE())/100,"")</f>
        <v>0</v>
      </c>
      <c r="L467" s="11" t="n">
        <f aca="false">IFERROR(VLOOKUP(A467,'Dados-Status-Invest'!$1:$1000,MATCH(L$1,'Dados-Status-Invest'!$2:$2,0),FALSE())/100,"")</f>
        <v>0.0266</v>
      </c>
      <c r="M467" s="10" t="n">
        <f aca="false">IFERROR(VLOOKUP(A467,'Dados-Status-Invest'!$1:$1000,MATCH(M$1,'Dados-Status-Invest'!$2:$2,0),FALSE())/100,"")</f>
        <v>0.0265</v>
      </c>
      <c r="N467" s="10" t="n">
        <f aca="false">IFERROR(VLOOKUP(A467,'Dados-Status-Invest'!$1:$1000,MATCH(N$1,'Dados-Status-Invest'!$2:$2,0),FALSE())/100,"")</f>
        <v>0.0265</v>
      </c>
      <c r="O467" s="10" t="n">
        <f aca="false">IFERROR(VLOOKUP(A467,'Dados-Status-Invest'!$1:$1000,MATCH(O$1,'Dados-Status-Invest'!$2:$2,0),FALSE())/100,"")</f>
        <v>0.9615</v>
      </c>
      <c r="P467" s="10" t="n">
        <f aca="false">IFERROR(VLOOKUP(A467,'Dados-Status-Invest'!$1:$1000,MATCH(P$1,'Dados-Status-Invest'!$2:$2,0),FALSE())/100,"")</f>
        <v>1056.0769</v>
      </c>
      <c r="Q467" s="10" t="n">
        <f aca="false">IFERROR(VLOOKUP(A467,'Dados-Status-Invest'!$1:$1000,MATCH(Q$1,'Dados-Status-Invest'!$2:$2,0),FALSE())/100,"")</f>
        <v>1058.3077</v>
      </c>
      <c r="R467" s="12" t="n">
        <f aca="false">IFERROR(VLOOKUP(A467,'Dados-Status-Invest'!$1:$1000,MATCH(R$1,'Dados-Status-Invest'!$2:$2,0),FALSE()),"")</f>
        <v>22.53</v>
      </c>
      <c r="S467" s="12" t="n">
        <f aca="false">IFERROR(VLOOKUP(A467,'Dados-Status-Invest'!$1:$1000,MATCH(S$1,'Dados-Status-Invest'!$2:$2,0),FALSE()),"")</f>
        <v>0.6</v>
      </c>
      <c r="T467" s="12" t="n">
        <f aca="false">IFERROR(VLOOKUP(A467,'Dados-Status-Invest'!$1:$1000,MATCH(T$1,'Dados-Status-Invest'!$2:$2,0),FALSE()),"")</f>
        <v>24.42</v>
      </c>
      <c r="U467" s="12" t="n">
        <f aca="false">IFERROR(VLOOKUP(A467,'Dados-Status-Invest'!$1:$1000,MATCH(U$1,'Dados-Status-Invest'!$2:$2,0),FALSE()),"")</f>
        <v>5.25</v>
      </c>
      <c r="V467" s="12" t="n">
        <f aca="false">IFERROR(VLOOKUP(A467,'Dados-Status-Invest'!$1:$1000,MATCH(V$1,'Dados-Status-Invest'!$2:$2,0),FALSE()),"")</f>
        <v>-0.52</v>
      </c>
      <c r="W467" s="10" t="n">
        <f aca="false">IFERROR(VLOOKUP(A467,'Dados-Status-Invest'!$1:$1000,MATCH(W$1,'Dados-Status-Invest'!$2:$2,0),FALSE())/100,"")</f>
        <v>-0.1249</v>
      </c>
      <c r="X467" s="10" t="n">
        <f aca="false">IFERROR(VLOOKUP(A467,'Dados-Status-Invest'!$1:$1000,MATCH(X$1,'Dados-Status-Invest'!$2:$2,0),FALSE())/100,"")</f>
        <v>-0.0801</v>
      </c>
    </row>
    <row r="468" customFormat="false" ht="15.75" hidden="false" customHeight="false" outlineLevel="0" collapsed="false">
      <c r="A468" s="6" t="s">
        <v>501</v>
      </c>
      <c r="B468" s="7" t="str">
        <f aca="false">IFERROR(VLOOKUP(LEFT(A468,4),Setor!A:D,2,FALSE()),"")</f>
        <v>Financeiro</v>
      </c>
      <c r="C468" s="8" t="n">
        <f aca="false">IFERROR(__xludf.dummyfunction("IFERROR(IFERROR(GOOGLEFINANCE(A474,""price""),VLOOKUP(A474,'Dados-Status-Invest'!A:B,2,FALSE)),"""")"),7.8)</f>
        <v>7.8</v>
      </c>
      <c r="D468" s="8" t="n">
        <f aca="false">IFERROR(VLOOKUP(A468,'Dados-Status-Invest'!$1:$1000,MATCH(D$1,'Dados-Status-Invest'!$2:$2,0),FALSE()),"")</f>
        <v>684840879.2</v>
      </c>
      <c r="E468" s="8" t="n">
        <f aca="false">IF(D468+H468&gt;0,D468+H468,"")</f>
        <v>672012447.74</v>
      </c>
      <c r="F468" s="8" t="n">
        <f aca="false">IFERROR(D468/VLOOKUP(A468,'Dados-Status-Invest'!$1:$1000,5,FALSE()),"")</f>
        <v>925460647.6</v>
      </c>
      <c r="G468" s="8" t="n">
        <f aca="false">IFERROR(D468/VLOOKUP(A468,'Dados-Status-Invest'!$1:$1000,6,FALSE()),"")</f>
        <v>938138190.7</v>
      </c>
      <c r="H468" s="8" t="n">
        <f aca="false">IFERROR(VLOOKUP(A468,'Dados-Status-Invest'!$1:$1000,12,FALSE())*J468,"")</f>
        <v>-12828431.46</v>
      </c>
      <c r="I468" s="8" t="n">
        <f aca="false">IFERROR(D468/VLOOKUP(A468,'Dados-Status-Invest'!$1:$1000,14,FALSE()),"")</f>
        <v>23362.97126</v>
      </c>
      <c r="J468" s="9" t="n">
        <f aca="false">IFERROR(D468/VLOOKUP(A468,'Dados-Status-Invest'!$1:$1000,10,FALSE()),"")</f>
        <v>24670060.49</v>
      </c>
      <c r="K468" s="10" t="n">
        <f aca="false">IFERROR(VLOOKUP(A468,'Dados-Status-Invest'!$1:$1000,3,FALSE())/100,"")</f>
        <v>0.0606</v>
      </c>
      <c r="L468" s="11" t="n">
        <f aca="false">IFERROR(VLOOKUP(A468,'Dados-Status-Invest'!$1:$1000,MATCH(L$1,'Dados-Status-Invest'!$2:$2,0),FALSE())/100,"")</f>
        <v>0.0266</v>
      </c>
      <c r="M468" s="10" t="n">
        <f aca="false">IFERROR(VLOOKUP(A468,'Dados-Status-Invest'!$1:$1000,MATCH(M$1,'Dados-Status-Invest'!$2:$2,0),FALSE())/100,"")</f>
        <v>0.0265</v>
      </c>
      <c r="N468" s="10" t="n">
        <f aca="false">IFERROR(VLOOKUP(A468,'Dados-Status-Invest'!$1:$1000,MATCH(N$1,'Dados-Status-Invest'!$2:$2,0),FALSE())/100,"")</f>
        <v>0.0265</v>
      </c>
      <c r="O468" s="10" t="n">
        <f aca="false">IFERROR(VLOOKUP(A468,'Dados-Status-Invest'!$1:$1000,MATCH(O$1,'Dados-Status-Invest'!$2:$2,0),FALSE())/100,"")</f>
        <v>0.9615</v>
      </c>
      <c r="P468" s="10" t="n">
        <f aca="false">IFERROR(VLOOKUP(A468,'Dados-Status-Invest'!$1:$1000,MATCH(P$1,'Dados-Status-Invest'!$2:$2,0),FALSE())/100,"")</f>
        <v>1056.0769</v>
      </c>
      <c r="Q468" s="10" t="n">
        <f aca="false">IFERROR(VLOOKUP(A468,'Dados-Status-Invest'!$1:$1000,MATCH(Q$1,'Dados-Status-Invest'!$2:$2,0),FALSE())/100,"")</f>
        <v>1058.3077</v>
      </c>
      <c r="R468" s="12" t="n">
        <f aca="false">IFERROR(VLOOKUP(A468,'Dados-Status-Invest'!$1:$1000,MATCH(R$1,'Dados-Status-Invest'!$2:$2,0),FALSE()),"")</f>
        <v>27.7</v>
      </c>
      <c r="S468" s="12" t="n">
        <f aca="false">IFERROR(VLOOKUP(A468,'Dados-Status-Invest'!$1:$1000,MATCH(S$1,'Dados-Status-Invest'!$2:$2,0),FALSE()),"")</f>
        <v>0.74</v>
      </c>
      <c r="T468" s="12" t="n">
        <f aca="false">IFERROR(VLOOKUP(A468,'Dados-Status-Invest'!$1:$1000,MATCH(T$1,'Dados-Status-Invest'!$2:$2,0),FALSE()),"")</f>
        <v>24.42</v>
      </c>
      <c r="U468" s="12" t="n">
        <f aca="false">IFERROR(VLOOKUP(A468,'Dados-Status-Invest'!$1:$1000,MATCH(U$1,'Dados-Status-Invest'!$2:$2,0),FALSE()),"")</f>
        <v>5.25</v>
      </c>
      <c r="V468" s="12" t="n">
        <f aca="false">IFERROR(VLOOKUP(A468,'Dados-Status-Invest'!$1:$1000,MATCH(V$1,'Dados-Status-Invest'!$2:$2,0),FALSE()),"")</f>
        <v>-0.52</v>
      </c>
      <c r="W468" s="10" t="n">
        <f aca="false">IFERROR(VLOOKUP(A468,'Dados-Status-Invest'!$1:$1000,MATCH(W$1,'Dados-Status-Invest'!$2:$2,0),FALSE())/100,"")</f>
        <v>-0.1249</v>
      </c>
      <c r="X468" s="10" t="n">
        <f aca="false">IFERROR(VLOOKUP(A468,'Dados-Status-Invest'!$1:$1000,MATCH(X$1,'Dados-Status-Invest'!$2:$2,0),FALSE())/100,"")</f>
        <v>-0.0801</v>
      </c>
    </row>
    <row r="469" customFormat="false" ht="15.75" hidden="false" customHeight="false" outlineLevel="0" collapsed="false">
      <c r="A469" s="6" t="s">
        <v>502</v>
      </c>
      <c r="B469" s="7" t="str">
        <f aca="false">IFERROR(VLOOKUP(LEFT(A469,4),Setor!A:D,2,FALSE()),"")</f>
        <v>Financeiro</v>
      </c>
      <c r="C469" s="8" t="n">
        <f aca="false">IFERROR(__xludf.dummyfunction("IFERROR(IFERROR(GOOGLEFINANCE(A475,""price""),VLOOKUP(A475,'Dados-Status-Invest'!A:B,2,FALSE)),"""")"),4.33)</f>
        <v>4.33</v>
      </c>
      <c r="D469" s="8" t="n">
        <f aca="false">IFERROR(VLOOKUP(A469,'Dados-Status-Invest'!$1:$1000,MATCH(D$1,'Dados-Status-Invest'!$2:$2,0),FALSE()),"")</f>
        <v>684840879.2</v>
      </c>
      <c r="E469" s="8" t="n">
        <f aca="false">IF(D469+H469&gt;0,D469+H469,"")</f>
        <v>665908542.29</v>
      </c>
      <c r="F469" s="8" t="n">
        <f aca="false">IFERROR(D469/VLOOKUP(A469,'Dados-Status-Invest'!$1:$1000,5,FALSE()),"")</f>
        <v>1369681758</v>
      </c>
      <c r="G469" s="8" t="n">
        <f aca="false">IFERROR(D469/VLOOKUP(A469,'Dados-Status-Invest'!$1:$1000,6,FALSE()),"")</f>
        <v>1369681758</v>
      </c>
      <c r="H469" s="8" t="n">
        <f aca="false">IFERROR(VLOOKUP(A469,'Dados-Status-Invest'!$1:$1000,12,FALSE())*J469,"")</f>
        <v>-18932336.91</v>
      </c>
      <c r="I469" s="8" t="n">
        <f aca="false">IFERROR(D469/VLOOKUP(A469,'Dados-Status-Invest'!$1:$1000,14,FALSE()),"")</f>
        <v>34469.95933</v>
      </c>
      <c r="J469" s="9" t="n">
        <f aca="false">IFERROR(D469/VLOOKUP(A469,'Dados-Status-Invest'!$1:$1000,10,FALSE()),"")</f>
        <v>36408340.2</v>
      </c>
      <c r="K469" s="10" t="n">
        <f aca="false">IFERROR(VLOOKUP(A469,'Dados-Status-Invest'!$1:$1000,3,FALSE())/100,"")</f>
        <v>0</v>
      </c>
      <c r="L469" s="11" t="n">
        <f aca="false">IFERROR(VLOOKUP(A469,'Dados-Status-Invest'!$1:$1000,MATCH(L$1,'Dados-Status-Invest'!$2:$2,0),FALSE())/100,"")</f>
        <v>0.0266</v>
      </c>
      <c r="M469" s="10" t="n">
        <f aca="false">IFERROR(VLOOKUP(A469,'Dados-Status-Invest'!$1:$1000,MATCH(M$1,'Dados-Status-Invest'!$2:$2,0),FALSE())/100,"")</f>
        <v>0.0265</v>
      </c>
      <c r="N469" s="10" t="n">
        <f aca="false">IFERROR(VLOOKUP(A469,'Dados-Status-Invest'!$1:$1000,MATCH(N$1,'Dados-Status-Invest'!$2:$2,0),FALSE())/100,"")</f>
        <v>0.0265</v>
      </c>
      <c r="O469" s="10" t="n">
        <f aca="false">IFERROR(VLOOKUP(A469,'Dados-Status-Invest'!$1:$1000,MATCH(O$1,'Dados-Status-Invest'!$2:$2,0),FALSE())/100,"")</f>
        <v>0.9615</v>
      </c>
      <c r="P469" s="10" t="n">
        <f aca="false">IFERROR(VLOOKUP(A469,'Dados-Status-Invest'!$1:$1000,MATCH(P$1,'Dados-Status-Invest'!$2:$2,0),FALSE())/100,"")</f>
        <v>1056.0769</v>
      </c>
      <c r="Q469" s="10" t="n">
        <f aca="false">IFERROR(VLOOKUP(A469,'Dados-Status-Invest'!$1:$1000,MATCH(Q$1,'Dados-Status-Invest'!$2:$2,0),FALSE())/100,"")</f>
        <v>1058.3077</v>
      </c>
      <c r="R469" s="12" t="n">
        <f aca="false">IFERROR(VLOOKUP(A469,'Dados-Status-Invest'!$1:$1000,MATCH(R$1,'Dados-Status-Invest'!$2:$2,0),FALSE()),"")</f>
        <v>18.77</v>
      </c>
      <c r="S469" s="12" t="n">
        <f aca="false">IFERROR(VLOOKUP(A469,'Dados-Status-Invest'!$1:$1000,MATCH(S$1,'Dados-Status-Invest'!$2:$2,0),FALSE()),"")</f>
        <v>0.5</v>
      </c>
      <c r="T469" s="12" t="n">
        <f aca="false">IFERROR(VLOOKUP(A469,'Dados-Status-Invest'!$1:$1000,MATCH(T$1,'Dados-Status-Invest'!$2:$2,0),FALSE()),"")</f>
        <v>24.42</v>
      </c>
      <c r="U469" s="12" t="n">
        <f aca="false">IFERROR(VLOOKUP(A469,'Dados-Status-Invest'!$1:$1000,MATCH(U$1,'Dados-Status-Invest'!$2:$2,0),FALSE()),"")</f>
        <v>5.25</v>
      </c>
      <c r="V469" s="12" t="n">
        <f aca="false">IFERROR(VLOOKUP(A469,'Dados-Status-Invest'!$1:$1000,MATCH(V$1,'Dados-Status-Invest'!$2:$2,0),FALSE()),"")</f>
        <v>-0.52</v>
      </c>
      <c r="W469" s="10" t="n">
        <f aca="false">IFERROR(VLOOKUP(A469,'Dados-Status-Invest'!$1:$1000,MATCH(W$1,'Dados-Status-Invest'!$2:$2,0),FALSE())/100,"")</f>
        <v>-0.1249</v>
      </c>
      <c r="X469" s="10" t="n">
        <f aca="false">IFERROR(VLOOKUP(A469,'Dados-Status-Invest'!$1:$1000,MATCH(X$1,'Dados-Status-Invest'!$2:$2,0),FALSE())/100,"")</f>
        <v>-0.0801</v>
      </c>
    </row>
    <row r="470" customFormat="false" ht="15.75" hidden="false" customHeight="false" outlineLevel="0" collapsed="false">
      <c r="A470" s="6" t="s">
        <v>503</v>
      </c>
      <c r="B470" s="7" t="str">
        <f aca="false">IFERROR(VLOOKUP(LEFT(A470,4),Setor!A:D,2,FALSE()),"")</f>
        <v>Petróleo, Gás e Biocombustíveis</v>
      </c>
      <c r="C470" s="8" t="n">
        <f aca="false">IFERROR(__xludf.dummyfunction("IFERROR(IFERROR(GOOGLEFINANCE(A476,""price""),VLOOKUP(A476,'Dados-Status-Invest'!A:B,2,FALSE)),"""")"),2.41)</f>
        <v>2.41</v>
      </c>
      <c r="D470" s="8" t="n">
        <f aca="false">IFERROR(VLOOKUP(A470,'Dados-Status-Invest'!$1:$1000,MATCH(D$1,'Dados-Status-Invest'!$2:$2,0),FALSE()),"")</f>
        <v>381103871.3</v>
      </c>
      <c r="E470" s="8" t="n">
        <f aca="false">IF(D470+H470&gt;0,D470+H470,"")</f>
        <v>381103871.3</v>
      </c>
      <c r="F470" s="8" t="n">
        <f aca="false">IFERROR(D470/VLOOKUP(A470,'Dados-Status-Invest'!$1:$1000,5,FALSE()),"")</f>
        <v>-3175865594</v>
      </c>
      <c r="G470" s="8" t="n">
        <f aca="false">IFERROR(D470/VLOOKUP(A470,'Dados-Status-Invest'!$1:$1000,6,FALSE()),"")</f>
        <v>3464580648</v>
      </c>
      <c r="H470" s="8" t="n">
        <f aca="false">IFERROR(VLOOKUP(A470,'Dados-Status-Invest'!$1:$1000,12,FALSE())*J470,"")</f>
        <v>0</v>
      </c>
      <c r="I470" s="8" t="n">
        <f aca="false">IFERROR(D470/VLOOKUP(A470,'Dados-Status-Invest'!$1:$1000,14,FALSE()),"")</f>
        <v>1524415485</v>
      </c>
      <c r="J470" s="9" t="n">
        <f aca="false">IFERROR(D470/VLOOKUP(A470,'Dados-Status-Invest'!$1:$1000,10,FALSE()),"")</f>
        <v>-309840545.7</v>
      </c>
      <c r="K470" s="10" t="n">
        <f aca="false">IFERROR(VLOOKUP(A470,'Dados-Status-Invest'!$1:$1000,3,FALSE())/100,"")</f>
        <v>0</v>
      </c>
      <c r="L470" s="11" t="n">
        <f aca="false">IFERROR(VLOOKUP(A470,'Dados-Status-Invest'!$1:$1000,MATCH(L$1,'Dados-Status-Invest'!$2:$2,0),FALSE())/100,"")</f>
        <v>-0.103</v>
      </c>
      <c r="M470" s="10" t="n">
        <f aca="false">IFERROR(VLOOKUP(A470,'Dados-Status-Invest'!$1:$1000,MATCH(M$1,'Dados-Status-Invest'!$2:$2,0),FALSE())/100,"")</f>
        <v>-0.0968</v>
      </c>
      <c r="N470" s="10" t="n">
        <f aca="false">IFERROR(VLOOKUP(A470,'Dados-Status-Invest'!$1:$1000,MATCH(N$1,'Dados-Status-Invest'!$2:$2,0),FALSE())/100,"")</f>
        <v>0.0955</v>
      </c>
      <c r="O470" s="10" t="n">
        <f aca="false">IFERROR(VLOOKUP(A470,'Dados-Status-Invest'!$1:$1000,MATCH(O$1,'Dados-Status-Invest'!$2:$2,0),FALSE())/100,"")</f>
        <v>-0.035</v>
      </c>
      <c r="P470" s="10" t="n">
        <f aca="false">IFERROR(VLOOKUP(A470,'Dados-Status-Invest'!$1:$1000,MATCH(P$1,'Dados-Status-Invest'!$2:$2,0),FALSE())/100,"")</f>
        <v>-0.2006</v>
      </c>
      <c r="Q470" s="10" t="n">
        <f aca="false">IFERROR(VLOOKUP(A470,'Dados-Status-Invest'!$1:$1000,MATCH(Q$1,'Dados-Status-Invest'!$2:$2,0),FALSE())/100,"")</f>
        <v>-0.2162</v>
      </c>
      <c r="R470" s="12" t="n">
        <f aca="false">IFERROR(VLOOKUP(A470,'Dados-Status-Invest'!$1:$1000,MATCH(R$1,'Dados-Status-Invest'!$2:$2,0),FALSE()),"")</f>
        <v>-1.14</v>
      </c>
      <c r="S470" s="12" t="n">
        <f aca="false">IFERROR(VLOOKUP(A470,'Dados-Status-Invest'!$1:$1000,MATCH(S$1,'Dados-Status-Invest'!$2:$2,0),FALSE()),"")</f>
        <v>-0.12</v>
      </c>
      <c r="T470" s="12" t="n">
        <f aca="false">IFERROR(VLOOKUP(A470,'Dados-Status-Invest'!$1:$1000,MATCH(T$1,'Dados-Status-Invest'!$2:$2,0),FALSE()),"")</f>
        <v>-1.24</v>
      </c>
      <c r="U470" s="12" t="n">
        <f aca="false">IFERROR(VLOOKUP(A470,'Dados-Status-Invest'!$1:$1000,MATCH(U$1,'Dados-Status-Invest'!$2:$2,0),FALSE()),"")</f>
        <v>0.53</v>
      </c>
      <c r="V470" s="12" t="n">
        <f aca="false">IFERROR(VLOOKUP(A470,'Dados-Status-Invest'!$1:$1000,MATCH(V$1,'Dados-Status-Invest'!$2:$2,0),FALSE()),"")</f>
        <v>0</v>
      </c>
      <c r="W470" s="10" t="n">
        <f aca="false">IFERROR(VLOOKUP(A470,'Dados-Status-Invest'!$1:$1000,MATCH(W$1,'Dados-Status-Invest'!$2:$2,0),FALSE())/100,"")</f>
        <v>0.1606</v>
      </c>
      <c r="X470" s="10" t="n">
        <f aca="false">IFERROR(VLOOKUP(A470,'Dados-Status-Invest'!$1:$1000,MATCH(X$1,'Dados-Status-Invest'!$2:$2,0),FALSE())/100,"")</f>
        <v>0</v>
      </c>
    </row>
    <row r="471" customFormat="false" ht="15.75" hidden="false" customHeight="false" outlineLevel="0" collapsed="false">
      <c r="A471" s="6" t="s">
        <v>504</v>
      </c>
      <c r="B471" s="7" t="s">
        <v>437</v>
      </c>
      <c r="C471" s="8" t="n">
        <f aca="false">IFERROR(__xludf.dummyfunction("IFERROR(IFERROR(GOOGLEFINANCE(A477,""price""),VLOOKUP(A477,'Dados-Status-Invest'!A:B,2,FALSE)),"""")"),44.74)</f>
        <v>44.74</v>
      </c>
      <c r="D471" s="8" t="n">
        <f aca="false">IFERROR(VLOOKUP(A471,'Dados-Status-Invest'!$1:$1000,MATCH(D$1,'Dados-Status-Invest'!$2:$2,0),FALSE()),"")</f>
        <v>6051491976</v>
      </c>
      <c r="E471" s="8" t="n">
        <f aca="false">IF(D471+H471&gt;0,D471+H471,"")</f>
        <v>6044856568.131</v>
      </c>
      <c r="F471" s="8" t="n">
        <f aca="false">IFERROR(D471/VLOOKUP(A471,'Dados-Status-Invest'!$1:$1000,5,FALSE()),"")</f>
        <v>1817264858</v>
      </c>
      <c r="G471" s="8" t="n">
        <f aca="false">IFERROR(D471/VLOOKUP(A471,'Dados-Status-Invest'!$1:$1000,6,FALSE()),"")</f>
        <v>2995788107</v>
      </c>
      <c r="H471" s="8" t="n">
        <f aca="false">IFERROR(VLOOKUP(A471,'Dados-Status-Invest'!$1:$1000,12,FALSE())*J471,"")</f>
        <v>-6635407.869</v>
      </c>
      <c r="I471" s="8" t="n">
        <f aca="false">IFERROR(D471/VLOOKUP(A471,'Dados-Status-Invest'!$1:$1000,14,FALSE()),"")</f>
        <v>327994145.1</v>
      </c>
      <c r="J471" s="9" t="n">
        <f aca="false">IFERROR(D471/VLOOKUP(A471,'Dados-Status-Invest'!$1:$1000,10,FALSE()),"")</f>
        <v>-110590131.1</v>
      </c>
      <c r="K471" s="10" t="n">
        <f aca="false">IFERROR(VLOOKUP(A471,'Dados-Status-Invest'!$1:$1000,3,FALSE())/100,"")</f>
        <v>0</v>
      </c>
      <c r="L471" s="11" t="n">
        <f aca="false">IFERROR(VLOOKUP(A471,'Dados-Status-Invest'!$1:$1000,MATCH(L$1,'Dados-Status-Invest'!$2:$2,0),FALSE())/100,"")</f>
        <v>-0.151</v>
      </c>
      <c r="M471" s="10" t="n">
        <f aca="false">IFERROR(VLOOKUP(A471,'Dados-Status-Invest'!$1:$1000,MATCH(M$1,'Dados-Status-Invest'!$2:$2,0),FALSE())/100,"")</f>
        <v>-0.0916</v>
      </c>
      <c r="N471" s="10" t="n">
        <f aca="false">IFERROR(VLOOKUP(A471,'Dados-Status-Invest'!$1:$1000,MATCH(N$1,'Dados-Status-Invest'!$2:$2,0),FALSE())/100,"")</f>
        <v>-0.0685</v>
      </c>
      <c r="O471" s="10" t="n">
        <f aca="false">IFERROR(VLOOKUP(A471,'Dados-Status-Invest'!$1:$1000,MATCH(O$1,'Dados-Status-Invest'!$2:$2,0),FALSE())/100,"")</f>
        <v>0.5255</v>
      </c>
      <c r="P471" s="10" t="n">
        <f aca="false">IFERROR(VLOOKUP(A471,'Dados-Status-Invest'!$1:$1000,MATCH(P$1,'Dados-Status-Invest'!$2:$2,0),FALSE())/100,"")</f>
        <v>-0.3372</v>
      </c>
      <c r="Q471" s="10" t="n">
        <f aca="false">IFERROR(VLOOKUP(A471,'Dados-Status-Invest'!$1:$1000,MATCH(Q$1,'Dados-Status-Invest'!$2:$2,0),FALSE())/100,"")</f>
        <v>-0.837</v>
      </c>
      <c r="R471" s="12" t="n">
        <f aca="false">IFERROR(VLOOKUP(A471,'Dados-Status-Invest'!$1:$1000,MATCH(R$1,'Dados-Status-Invest'!$2:$2,0),FALSE()),"")</f>
        <v>-22.04</v>
      </c>
      <c r="S471" s="12" t="n">
        <f aca="false">IFERROR(VLOOKUP(A471,'Dados-Status-Invest'!$1:$1000,MATCH(S$1,'Dados-Status-Invest'!$2:$2,0),FALSE()),"")</f>
        <v>3.33</v>
      </c>
      <c r="T471" s="12" t="n">
        <f aca="false">IFERROR(VLOOKUP(A471,'Dados-Status-Invest'!$1:$1000,MATCH(T$1,'Dados-Status-Invest'!$2:$2,0),FALSE()),"")</f>
        <v>-54.51</v>
      </c>
      <c r="U471" s="12" t="n">
        <f aca="false">IFERROR(VLOOKUP(A471,'Dados-Status-Invest'!$1:$1000,MATCH(U$1,'Dados-Status-Invest'!$2:$2,0),FALSE()),"")</f>
        <v>9.5</v>
      </c>
      <c r="V471" s="12" t="n">
        <f aca="false">IFERROR(VLOOKUP(A471,'Dados-Status-Invest'!$1:$1000,MATCH(V$1,'Dados-Status-Invest'!$2:$2,0),FALSE()),"")</f>
        <v>0.06</v>
      </c>
      <c r="W471" s="10" t="n">
        <f aca="false">IFERROR(VLOOKUP(A471,'Dados-Status-Invest'!$1:$1000,MATCH(W$1,'Dados-Status-Invest'!$2:$2,0),FALSE())/100,"")</f>
        <v>0</v>
      </c>
      <c r="X471" s="10" t="n">
        <f aca="false">IFERROR(VLOOKUP(A471,'Dados-Status-Invest'!$1:$1000,MATCH(X$1,'Dados-Status-Invest'!$2:$2,0),FALSE())/100,"")</f>
        <v>0</v>
      </c>
    </row>
    <row r="472" customFormat="false" ht="15.75" hidden="false" customHeight="false" outlineLevel="0" collapsed="false">
      <c r="A472" s="6" t="s">
        <v>505</v>
      </c>
      <c r="B472" s="7" t="str">
        <f aca="false">IFERROR(VLOOKUP(LEFT(A472,4),Setor!A:D,2,FALSE()),"")</f>
        <v>Consumo Cíclico</v>
      </c>
      <c r="C472" s="8" t="n">
        <f aca="false">IFERROR(__xludf.dummyfunction("IFERROR(IFERROR(GOOGLEFINANCE(A478,""price""),VLOOKUP(A478,'Dados-Status-Invest'!A:B,2,FALSE)),"""")"),2.46)</f>
        <v>2.46</v>
      </c>
      <c r="D472" s="8" t="n">
        <f aca="false">IFERROR(VLOOKUP(A472,'Dados-Status-Invest'!$1:$1000,MATCH(D$1,'Dados-Status-Invest'!$2:$2,0),FALSE()),"")</f>
        <v>178051638.1</v>
      </c>
      <c r="E472" s="8" t="n">
        <f aca="false">IF(D472+H472&gt;0,D472+H472,"")</f>
        <v>997761066.1</v>
      </c>
      <c r="F472" s="8" t="n">
        <f aca="false">IFERROR(D472/VLOOKUP(A472,'Dados-Status-Invest'!$1:$1000,5,FALSE()),"")</f>
        <v>-574360122.8</v>
      </c>
      <c r="G472" s="8" t="n">
        <f aca="false">IFERROR(D472/VLOOKUP(A472,'Dados-Status-Invest'!$1:$1000,6,FALSE()),"")</f>
        <v>1618651255</v>
      </c>
      <c r="H472" s="8" t="n">
        <f aca="false">IFERROR(VLOOKUP(A472,'Dados-Status-Invest'!$1:$1000,12,FALSE())*J472,"")</f>
        <v>819709428</v>
      </c>
      <c r="I472" s="8" t="n">
        <f aca="false">IFERROR(D472/VLOOKUP(A472,'Dados-Status-Invest'!$1:$1000,14,FALSE()),"")</f>
        <v>104123764.9</v>
      </c>
      <c r="J472" s="9" t="n">
        <f aca="false">IFERROR(D472/VLOOKUP(A472,'Dados-Status-Invest'!$1:$1000,10,FALSE()),"")</f>
        <v>-335946486.9</v>
      </c>
      <c r="K472" s="10" t="n">
        <f aca="false">IFERROR(VLOOKUP(A472,'Dados-Status-Invest'!$1:$1000,3,FALSE())/100,"")</f>
        <v>0</v>
      </c>
      <c r="L472" s="11" t="n">
        <f aca="false">IFERROR(VLOOKUP(A472,'Dados-Status-Invest'!$1:$1000,MATCH(L$1,'Dados-Status-Invest'!$2:$2,0),FALSE())/100,"")</f>
        <v>-0.0981</v>
      </c>
      <c r="M472" s="10" t="n">
        <f aca="false">IFERROR(VLOOKUP(A472,'Dados-Status-Invest'!$1:$1000,MATCH(M$1,'Dados-Status-Invest'!$2:$2,0),FALSE())/100,"")</f>
        <v>0.0349</v>
      </c>
      <c r="N472" s="10" t="n">
        <f aca="false">IFERROR(VLOOKUP(A472,'Dados-Status-Invest'!$1:$1000,MATCH(N$1,'Dados-Status-Invest'!$2:$2,0),FALSE())/100,"")</f>
        <v>-1.435</v>
      </c>
      <c r="O472" s="10" t="n">
        <f aca="false">IFERROR(VLOOKUP(A472,'Dados-Status-Invest'!$1:$1000,MATCH(O$1,'Dados-Status-Invest'!$2:$2,0),FALSE())/100,"")</f>
        <v>0.44</v>
      </c>
      <c r="P472" s="10" t="n">
        <f aca="false">IFERROR(VLOOKUP(A472,'Dados-Status-Invest'!$1:$1000,MATCH(P$1,'Dados-Status-Invest'!$2:$2,0),FALSE())/100,"")</f>
        <v>-3.2037</v>
      </c>
      <c r="Q472" s="10" t="n">
        <f aca="false">IFERROR(VLOOKUP(A472,'Dados-Status-Invest'!$1:$1000,MATCH(Q$1,'Dados-Status-Invest'!$2:$2,0),FALSE())/100,"")</f>
        <v>0.5367</v>
      </c>
      <c r="R472" s="12" t="n">
        <f aca="false">IFERROR(VLOOKUP(A472,'Dados-Status-Invest'!$1:$1000,MATCH(R$1,'Dados-Status-Invest'!$2:$2,0),FALSE()),"")</f>
        <v>3.18</v>
      </c>
      <c r="S472" s="12" t="n">
        <f aca="false">IFERROR(VLOOKUP(A472,'Dados-Status-Invest'!$1:$1000,MATCH(S$1,'Dados-Status-Invest'!$2:$2,0),FALSE()),"")</f>
        <v>-0.31</v>
      </c>
      <c r="T472" s="12" t="n">
        <f aca="false">IFERROR(VLOOKUP(A472,'Dados-Status-Invest'!$1:$1000,MATCH(T$1,'Dados-Status-Invest'!$2:$2,0),FALSE()),"")</f>
        <v>-2.98</v>
      </c>
      <c r="U472" s="12" t="n">
        <f aca="false">IFERROR(VLOOKUP(A472,'Dados-Status-Invest'!$1:$1000,MATCH(U$1,'Dados-Status-Invest'!$2:$2,0),FALSE()),"")</f>
        <v>0.32</v>
      </c>
      <c r="V472" s="12" t="n">
        <f aca="false">IFERROR(VLOOKUP(A472,'Dados-Status-Invest'!$1:$1000,MATCH(V$1,'Dados-Status-Invest'!$2:$2,0),FALSE()),"")</f>
        <v>-2.44</v>
      </c>
      <c r="W472" s="10" t="n">
        <f aca="false">IFERROR(VLOOKUP(A472,'Dados-Status-Invest'!$1:$1000,MATCH(W$1,'Dados-Status-Invest'!$2:$2,0),FALSE())/100,"")</f>
        <v>-0.4264</v>
      </c>
      <c r="X472" s="10" t="n">
        <f aca="false">IFERROR(VLOOKUP(A472,'Dados-Status-Invest'!$1:$1000,MATCH(X$1,'Dados-Status-Invest'!$2:$2,0),FALSE())/100,"")</f>
        <v>0</v>
      </c>
    </row>
    <row r="473" customFormat="false" ht="15.75" hidden="false" customHeight="false" outlineLevel="0" collapsed="false">
      <c r="A473" s="6" t="s">
        <v>506</v>
      </c>
      <c r="B473" s="7" t="str">
        <f aca="false">IFERROR(VLOOKUP(LEFT(A473,4),Setor!A:D,2,FALSE()),"")</f>
        <v>Bens Industriais</v>
      </c>
      <c r="C473" s="8" t="n">
        <f aca="false">IFERROR(__xludf.dummyfunction("IFERROR(IFERROR(GOOGLEFINANCE(A479,""price""),VLOOKUP(A479,'Dados-Status-Invest'!A:B,2,FALSE)),"""")"),0)</f>
        <v>0</v>
      </c>
      <c r="D473" s="8" t="n">
        <f aca="false">IFERROR(VLOOKUP(A473,'Dados-Status-Invest'!$1:$1000,MATCH(D$1,'Dados-Status-Invest'!$2:$2,0),FALSE()),"")</f>
        <v>86400000</v>
      </c>
      <c r="E473" s="8" t="n">
        <f aca="false">IF(D473+H473&gt;0,D473+H473,"")</f>
        <v>86400000</v>
      </c>
      <c r="F473" s="8" t="str">
        <f aca="false">IFERROR(D473/VLOOKUP(A473,'Dados-Status-Invest'!$1:$1000,5,FALSE()),"")</f>
        <v/>
      </c>
      <c r="G473" s="8" t="str">
        <f aca="false">IFERROR(D473/VLOOKUP(A473,'Dados-Status-Invest'!$1:$1000,6,FALSE()),"")</f>
        <v/>
      </c>
      <c r="H473" s="8" t="n">
        <f aca="false">IFERROR(VLOOKUP(A473,'Dados-Status-Invest'!$1:$1000,12,FALSE())*J473,"")</f>
        <v>0</v>
      </c>
      <c r="I473" s="8" t="str">
        <f aca="false">IFERROR(D473/VLOOKUP(A473,'Dados-Status-Invest'!$1:$1000,14,FALSE()),"")</f>
        <v/>
      </c>
      <c r="J473" s="9" t="str">
        <f aca="false">IFERROR(D473/VLOOKUP(A473,'Dados-Status-Invest'!$1:$1000,10,FALSE()),"")</f>
        <v/>
      </c>
      <c r="K473" s="10" t="n">
        <f aca="false">IFERROR(VLOOKUP(A473,'Dados-Status-Invest'!$1:$1000,3,FALSE())/100,"")</f>
        <v>0</v>
      </c>
      <c r="L473" s="11" t="n">
        <f aca="false">IFERROR(VLOOKUP(A473,'Dados-Status-Invest'!$1:$1000,MATCH(L$1,'Dados-Status-Invest'!$2:$2,0),FALSE())/100,"")</f>
        <v>0.9262</v>
      </c>
      <c r="M473" s="10" t="n">
        <f aca="false">IFERROR(VLOOKUP(A473,'Dados-Status-Invest'!$1:$1000,MATCH(M$1,'Dados-Status-Invest'!$2:$2,0),FALSE())/100,"")</f>
        <v>0.1457</v>
      </c>
      <c r="N473" s="10" t="n">
        <f aca="false">IFERROR(VLOOKUP(A473,'Dados-Status-Invest'!$1:$1000,MATCH(N$1,'Dados-Status-Invest'!$2:$2,0),FALSE())/100,"")</f>
        <v>1.1541</v>
      </c>
      <c r="O473" s="10" t="n">
        <f aca="false">IFERROR(VLOOKUP(A473,'Dados-Status-Invest'!$1:$1000,MATCH(O$1,'Dados-Status-Invest'!$2:$2,0),FALSE())/100,"")</f>
        <v>0.3864</v>
      </c>
      <c r="P473" s="10" t="n">
        <f aca="false">IFERROR(VLOOKUP(A473,'Dados-Status-Invest'!$1:$1000,MATCH(P$1,'Dados-Status-Invest'!$2:$2,0),FALSE())/100,"")</f>
        <v>0.2853</v>
      </c>
      <c r="Q473" s="10" t="n">
        <f aca="false">IFERROR(VLOOKUP(A473,'Dados-Status-Invest'!$1:$1000,MATCH(Q$1,'Dados-Status-Invest'!$2:$2,0),FALSE())/100,"")</f>
        <v>0.1625</v>
      </c>
      <c r="R473" s="12" t="n">
        <f aca="false">IFERROR(VLOOKUP(A473,'Dados-Status-Invest'!$1:$1000,MATCH(R$1,'Dados-Status-Invest'!$2:$2,0),FALSE()),"")</f>
        <v>0</v>
      </c>
      <c r="S473" s="12" t="n">
        <f aca="false">IFERROR(VLOOKUP(A473,'Dados-Status-Invest'!$1:$1000,MATCH(S$1,'Dados-Status-Invest'!$2:$2,0),FALSE()),"")</f>
        <v>0</v>
      </c>
      <c r="T473" s="12" t="n">
        <f aca="false">IFERROR(VLOOKUP(A473,'Dados-Status-Invest'!$1:$1000,MATCH(T$1,'Dados-Status-Invest'!$2:$2,0),FALSE()),"")</f>
        <v>1.33</v>
      </c>
      <c r="U473" s="12" t="n">
        <f aca="false">IFERROR(VLOOKUP(A473,'Dados-Status-Invest'!$1:$1000,MATCH(U$1,'Dados-Status-Invest'!$2:$2,0),FALSE()),"")</f>
        <v>1.42</v>
      </c>
      <c r="V473" s="12" t="n">
        <f aca="false">IFERROR(VLOOKUP(A473,'Dados-Status-Invest'!$1:$1000,MATCH(V$1,'Dados-Status-Invest'!$2:$2,0),FALSE()),"")</f>
        <v>-0.01</v>
      </c>
      <c r="W473" s="10" t="n">
        <f aca="false">IFERROR(VLOOKUP(A473,'Dados-Status-Invest'!$1:$1000,MATCH(W$1,'Dados-Status-Invest'!$2:$2,0),FALSE())/100,"")</f>
        <v>0.1133</v>
      </c>
      <c r="X473" s="10" t="n">
        <f aca="false">IFERROR(VLOOKUP(A473,'Dados-Status-Invest'!$1:$1000,MATCH(X$1,'Dados-Status-Invest'!$2:$2,0),FALSE())/100,"")</f>
        <v>0</v>
      </c>
    </row>
    <row r="474" customFormat="false" ht="15.75" hidden="false" customHeight="false" outlineLevel="0" collapsed="false">
      <c r="A474" s="6" t="s">
        <v>507</v>
      </c>
      <c r="B474" s="7" t="str">
        <f aca="false">IFERROR(VLOOKUP(LEFT(A474,4),Setor!A:D,2,FALSE()),"")</f>
        <v>Bens Industriais</v>
      </c>
      <c r="C474" s="8" t="n">
        <f aca="false">IFERROR(__xludf.dummyfunction("IFERROR(IFERROR(GOOGLEFINANCE(A480,""price""),VLOOKUP(A480,'Dados-Status-Invest'!A:B,2,FALSE)),"""")"),71.89)</f>
        <v>71.89</v>
      </c>
      <c r="D474" s="8" t="n">
        <f aca="false">IFERROR(VLOOKUP(A474,'Dados-Status-Invest'!$1:$1000,MATCH(D$1,'Dados-Status-Invest'!$2:$2,0),FALSE()),"")</f>
        <v>86400000</v>
      </c>
      <c r="E474" s="8" t="n">
        <f aca="false">IF(D474+H474&gt;0,D474+H474,"")</f>
        <v>86134969.3252</v>
      </c>
      <c r="F474" s="8" t="n">
        <f aca="false">IFERROR(D474/VLOOKUP(A474,'Dados-Status-Invest'!$1:$1000,5,FALSE()),"")</f>
        <v>16301886.79</v>
      </c>
      <c r="G474" s="8" t="n">
        <f aca="false">IFERROR(D474/VLOOKUP(A474,'Dados-Status-Invest'!$1:$1000,6,FALSE()),"")</f>
        <v>104096385.5</v>
      </c>
      <c r="H474" s="8" t="n">
        <f aca="false">IFERROR(VLOOKUP(A474,'Dados-Status-Invest'!$1:$1000,12,FALSE())*J474,"")</f>
        <v>-265030.6748</v>
      </c>
      <c r="I474" s="8" t="n">
        <f aca="false">IFERROR(D474/VLOOKUP(A474,'Dados-Status-Invest'!$1:$1000,14,FALSE()),"")</f>
        <v>92903225.81</v>
      </c>
      <c r="J474" s="9" t="n">
        <f aca="false">IFERROR(D474/VLOOKUP(A474,'Dados-Status-Invest'!$1:$1000,10,FALSE()),"")</f>
        <v>26503067.48</v>
      </c>
      <c r="K474" s="10" t="n">
        <f aca="false">IFERROR(VLOOKUP(A474,'Dados-Status-Invest'!$1:$1000,3,FALSE())/100,"")</f>
        <v>0</v>
      </c>
      <c r="L474" s="11" t="n">
        <f aca="false">IFERROR(VLOOKUP(A474,'Dados-Status-Invest'!$1:$1000,MATCH(L$1,'Dados-Status-Invest'!$2:$2,0),FALSE())/100,"")</f>
        <v>0.9262</v>
      </c>
      <c r="M474" s="10" t="n">
        <f aca="false">IFERROR(VLOOKUP(A474,'Dados-Status-Invest'!$1:$1000,MATCH(M$1,'Dados-Status-Invest'!$2:$2,0),FALSE())/100,"")</f>
        <v>0.1457</v>
      </c>
      <c r="N474" s="10" t="n">
        <f aca="false">IFERROR(VLOOKUP(A474,'Dados-Status-Invest'!$1:$1000,MATCH(N$1,'Dados-Status-Invest'!$2:$2,0),FALSE())/100,"")</f>
        <v>1.1541</v>
      </c>
      <c r="O474" s="10" t="n">
        <f aca="false">IFERROR(VLOOKUP(A474,'Dados-Status-Invest'!$1:$1000,MATCH(O$1,'Dados-Status-Invest'!$2:$2,0),FALSE())/100,"")</f>
        <v>0.3864</v>
      </c>
      <c r="P474" s="10" t="n">
        <f aca="false">IFERROR(VLOOKUP(A474,'Dados-Status-Invest'!$1:$1000,MATCH(P$1,'Dados-Status-Invest'!$2:$2,0),FALSE())/100,"")</f>
        <v>0.2853</v>
      </c>
      <c r="Q474" s="10" t="n">
        <f aca="false">IFERROR(VLOOKUP(A474,'Dados-Status-Invest'!$1:$1000,MATCH(Q$1,'Dados-Status-Invest'!$2:$2,0),FALSE())/100,"")</f>
        <v>0.1625</v>
      </c>
      <c r="R474" s="12" t="n">
        <f aca="false">IFERROR(VLOOKUP(A474,'Dados-Status-Invest'!$1:$1000,MATCH(R$1,'Dados-Status-Invest'!$2:$2,0),FALSE()),"")</f>
        <v>5.72</v>
      </c>
      <c r="S474" s="12" t="n">
        <f aca="false">IFERROR(VLOOKUP(A474,'Dados-Status-Invest'!$1:$1000,MATCH(S$1,'Dados-Status-Invest'!$2:$2,0),FALSE()),"")</f>
        <v>5.3</v>
      </c>
      <c r="T474" s="12" t="n">
        <f aca="false">IFERROR(VLOOKUP(A474,'Dados-Status-Invest'!$1:$1000,MATCH(T$1,'Dados-Status-Invest'!$2:$2,0),FALSE()),"")</f>
        <v>1.33</v>
      </c>
      <c r="U474" s="12" t="n">
        <f aca="false">IFERROR(VLOOKUP(A474,'Dados-Status-Invest'!$1:$1000,MATCH(U$1,'Dados-Status-Invest'!$2:$2,0),FALSE()),"")</f>
        <v>1.42</v>
      </c>
      <c r="V474" s="12" t="n">
        <f aca="false">IFERROR(VLOOKUP(A474,'Dados-Status-Invest'!$1:$1000,MATCH(V$1,'Dados-Status-Invest'!$2:$2,0),FALSE()),"")</f>
        <v>-0.01</v>
      </c>
      <c r="W474" s="10" t="n">
        <f aca="false">IFERROR(VLOOKUP(A474,'Dados-Status-Invest'!$1:$1000,MATCH(W$1,'Dados-Status-Invest'!$2:$2,0),FALSE())/100,"")</f>
        <v>0.1133</v>
      </c>
      <c r="X474" s="10" t="n">
        <f aca="false">IFERROR(VLOOKUP(A474,'Dados-Status-Invest'!$1:$1000,MATCH(X$1,'Dados-Status-Invest'!$2:$2,0),FALSE())/100,"")</f>
        <v>0</v>
      </c>
    </row>
    <row r="475" customFormat="false" ht="15.75" hidden="false" customHeight="false" outlineLevel="0" collapsed="false">
      <c r="A475" s="6" t="s">
        <v>508</v>
      </c>
      <c r="B475" s="7" t="str">
        <f aca="false">IFERROR(VLOOKUP(LEFT(A475,4),Setor!A:D,2,FALSE()),"")</f>
        <v>Financeiro</v>
      </c>
      <c r="C475" s="8" t="n">
        <f aca="false">IFERROR(__xludf.dummyfunction("IFERROR(IFERROR(GOOGLEFINANCE(A481,""price""),VLOOKUP(A481,'Dados-Status-Invest'!A:B,2,FALSE)),"""")"),33.99)</f>
        <v>33.99</v>
      </c>
      <c r="D475" s="8" t="n">
        <f aca="false">IFERROR(VLOOKUP(A475,'Dados-Status-Invest'!$1:$1000,MATCH(D$1,'Dados-Status-Invest'!$2:$2,0),FALSE()),"")</f>
        <v>155332070721</v>
      </c>
      <c r="E475" s="8" t="n">
        <f aca="false">IF(D475+H475&gt;0,D475+H475,"")</f>
        <v>155332070721</v>
      </c>
      <c r="F475" s="8" t="n">
        <f aca="false">IFERROR(D475/VLOOKUP(A475,'Dados-Status-Invest'!$1:$1000,5,FALSE()),"")</f>
        <v>104954101839</v>
      </c>
      <c r="G475" s="8" t="n">
        <f aca="false">IFERROR(D475/VLOOKUP(A475,'Dados-Status-Invest'!$1:$1000,6,FALSE()),"")</f>
        <v>970825442009</v>
      </c>
      <c r="H475" s="8" t="n">
        <f aca="false">IFERROR(VLOOKUP(A475,'Dados-Status-Invest'!$1:$1000,12,FALSE())*J475,"")</f>
        <v>0</v>
      </c>
      <c r="I475" s="8" t="n">
        <f aca="false">IFERROR(D475/VLOOKUP(A475,'Dados-Status-Invest'!$1:$1000,14,FALSE()),"")</f>
        <v>97082544201</v>
      </c>
      <c r="J475" s="9" t="n">
        <f aca="false">IFERROR(D475/VLOOKUP(A475,'Dados-Status-Invest'!$1:$1000,10,FALSE()),"")</f>
        <v>19343968957</v>
      </c>
      <c r="K475" s="10" t="n">
        <f aca="false">IFERROR(VLOOKUP(A475,'Dados-Status-Invest'!$1:$1000,3,FALSE())/100,"")</f>
        <v>0.0386</v>
      </c>
      <c r="L475" s="11" t="n">
        <f aca="false">IFERROR(VLOOKUP(A475,'Dados-Status-Invest'!$1:$1000,MATCH(L$1,'Dados-Status-Invest'!$2:$2,0),FALSE())/100,"")</f>
        <v>0.1356</v>
      </c>
      <c r="M475" s="10" t="n">
        <f aca="false">IFERROR(VLOOKUP(A475,'Dados-Status-Invest'!$1:$1000,MATCH(M$1,'Dados-Status-Invest'!$2:$2,0),FALSE())/100,"")</f>
        <v>0.0151</v>
      </c>
      <c r="N475" s="10" t="n">
        <f aca="false">IFERROR(VLOOKUP(A475,'Dados-Status-Invest'!$1:$1000,MATCH(N$1,'Dados-Status-Invest'!$2:$2,0),FALSE())/100,"")</f>
        <v>0</v>
      </c>
      <c r="O475" s="10" t="n">
        <f aca="false">IFERROR(VLOOKUP(A475,'Dados-Status-Invest'!$1:$1000,MATCH(O$1,'Dados-Status-Invest'!$2:$2,0),FALSE())/100,"")</f>
        <v>0.1696</v>
      </c>
      <c r="P475" s="10" t="n">
        <f aca="false">IFERROR(VLOOKUP(A475,'Dados-Status-Invest'!$1:$1000,MATCH(P$1,'Dados-Status-Invest'!$2:$2,0),FALSE())/100,"")</f>
        <v>0.1995</v>
      </c>
      <c r="Q475" s="10" t="n">
        <f aca="false">IFERROR(VLOOKUP(A475,'Dados-Status-Invest'!$1:$1000,MATCH(Q$1,'Dados-Status-Invest'!$2:$2,0),FALSE())/100,"")</f>
        <v>0.1469</v>
      </c>
      <c r="R475" s="12" t="n">
        <f aca="false">IFERROR(VLOOKUP(A475,'Dados-Status-Invest'!$1:$1000,MATCH(R$1,'Dados-Status-Invest'!$2:$2,0),FALSE()),"")</f>
        <v>10.9</v>
      </c>
      <c r="S475" s="12" t="n">
        <f aca="false">IFERROR(VLOOKUP(A475,'Dados-Status-Invest'!$1:$1000,MATCH(S$1,'Dados-Status-Invest'!$2:$2,0),FALSE()),"")</f>
        <v>1.48</v>
      </c>
      <c r="T475" s="12" t="n">
        <f aca="false">IFERROR(VLOOKUP(A475,'Dados-Status-Invest'!$1:$1000,MATCH(T$1,'Dados-Status-Invest'!$2:$2,0),FALSE()),"")</f>
        <v>8.04</v>
      </c>
      <c r="U475" s="12" t="n">
        <f aca="false">IFERROR(VLOOKUP(A475,'Dados-Status-Invest'!$1:$1000,MATCH(U$1,'Dados-Status-Invest'!$2:$2,0),FALSE()),"")</f>
        <v>0</v>
      </c>
      <c r="V475" s="12" t="n">
        <f aca="false">IFERROR(VLOOKUP(A475,'Dados-Status-Invest'!$1:$1000,MATCH(V$1,'Dados-Status-Invest'!$2:$2,0),FALSE()),"")</f>
        <v>0</v>
      </c>
      <c r="W475" s="10" t="n">
        <f aca="false">IFERROR(VLOOKUP(A475,'Dados-Status-Invest'!$1:$1000,MATCH(W$1,'Dados-Status-Invest'!$2:$2,0),FALSE())/100,"")</f>
        <v>-0.0212</v>
      </c>
      <c r="X475" s="10" t="n">
        <f aca="false">IFERROR(VLOOKUP(A475,'Dados-Status-Invest'!$1:$1000,MATCH(X$1,'Dados-Status-Invest'!$2:$2,0),FALSE())/100,"")</f>
        <v>0.0646</v>
      </c>
    </row>
    <row r="476" customFormat="false" ht="15.75" hidden="false" customHeight="false" outlineLevel="0" collapsed="false">
      <c r="A476" s="6" t="s">
        <v>509</v>
      </c>
      <c r="B476" s="7" t="str">
        <f aca="false">IFERROR(VLOOKUP(LEFT(A476,4),Setor!A:D,2,FALSE()),"")</f>
        <v>Financeiro</v>
      </c>
      <c r="C476" s="8" t="n">
        <f aca="false">IFERROR(__xludf.dummyfunction("IFERROR(IFERROR(GOOGLEFINANCE(A482,""price""),VLOOKUP(A482,'Dados-Status-Invest'!A:B,2,FALSE)),"""")"),16.2)</f>
        <v>16.2</v>
      </c>
      <c r="D476" s="8" t="n">
        <f aca="false">IFERROR(VLOOKUP(A476,'Dados-Status-Invest'!$1:$1000,MATCH(D$1,'Dados-Status-Invest'!$2:$2,0),FALSE()),"")</f>
        <v>155332070721</v>
      </c>
      <c r="E476" s="8" t="n">
        <f aca="false">IF(D476+H476&gt;0,D476+H476,"")</f>
        <v>155332070721</v>
      </c>
      <c r="F476" s="8" t="n">
        <f aca="false">IFERROR(D476/VLOOKUP(A476,'Dados-Status-Invest'!$1:$1000,5,FALSE()),"")</f>
        <v>109388782198</v>
      </c>
      <c r="G476" s="8" t="n">
        <f aca="false">IFERROR(D476/VLOOKUP(A476,'Dados-Status-Invest'!$1:$1000,6,FALSE()),"")</f>
        <v>970825442009</v>
      </c>
      <c r="H476" s="8" t="n">
        <f aca="false">IFERROR(VLOOKUP(A476,'Dados-Status-Invest'!$1:$1000,12,FALSE())*J476,"")</f>
        <v>0</v>
      </c>
      <c r="I476" s="8" t="n">
        <f aca="false">IFERROR(D476/VLOOKUP(A476,'Dados-Status-Invest'!$1:$1000,14,FALSE()),"")</f>
        <v>100864980988</v>
      </c>
      <c r="J476" s="9" t="n">
        <f aca="false">IFERROR(D476/VLOOKUP(A476,'Dados-Status-Invest'!$1:$1000,10,FALSE()),"")</f>
        <v>20120734549</v>
      </c>
      <c r="K476" s="10" t="n">
        <f aca="false">IFERROR(VLOOKUP(A476,'Dados-Status-Invest'!$1:$1000,3,FALSE())/100,"")</f>
        <v>0.0382</v>
      </c>
      <c r="L476" s="11" t="n">
        <f aca="false">IFERROR(VLOOKUP(A476,'Dados-Status-Invest'!$1:$1000,MATCH(L$1,'Dados-Status-Invest'!$2:$2,0),FALSE())/100,"")</f>
        <v>0.1356</v>
      </c>
      <c r="M476" s="10" t="n">
        <f aca="false">IFERROR(VLOOKUP(A476,'Dados-Status-Invest'!$1:$1000,MATCH(M$1,'Dados-Status-Invest'!$2:$2,0),FALSE())/100,"")</f>
        <v>0.0151</v>
      </c>
      <c r="N476" s="10" t="n">
        <f aca="false">IFERROR(VLOOKUP(A476,'Dados-Status-Invest'!$1:$1000,MATCH(N$1,'Dados-Status-Invest'!$2:$2,0),FALSE())/100,"")</f>
        <v>0</v>
      </c>
      <c r="O476" s="10" t="n">
        <f aca="false">IFERROR(VLOOKUP(A476,'Dados-Status-Invest'!$1:$1000,MATCH(O$1,'Dados-Status-Invest'!$2:$2,0),FALSE())/100,"")</f>
        <v>0.1696</v>
      </c>
      <c r="P476" s="10" t="n">
        <f aca="false">IFERROR(VLOOKUP(A476,'Dados-Status-Invest'!$1:$1000,MATCH(P$1,'Dados-Status-Invest'!$2:$2,0),FALSE())/100,"")</f>
        <v>0.1995</v>
      </c>
      <c r="Q476" s="10" t="n">
        <f aca="false">IFERROR(VLOOKUP(A476,'Dados-Status-Invest'!$1:$1000,MATCH(Q$1,'Dados-Status-Invest'!$2:$2,0),FALSE())/100,"")</f>
        <v>0.1469</v>
      </c>
      <c r="R476" s="12" t="n">
        <f aca="false">IFERROR(VLOOKUP(A476,'Dados-Status-Invest'!$1:$1000,MATCH(R$1,'Dados-Status-Invest'!$2:$2,0),FALSE()),"")</f>
        <v>10.48</v>
      </c>
      <c r="S476" s="12" t="n">
        <f aca="false">IFERROR(VLOOKUP(A476,'Dados-Status-Invest'!$1:$1000,MATCH(S$1,'Dados-Status-Invest'!$2:$2,0),FALSE()),"")</f>
        <v>1.42</v>
      </c>
      <c r="T476" s="12" t="n">
        <f aca="false">IFERROR(VLOOKUP(A476,'Dados-Status-Invest'!$1:$1000,MATCH(T$1,'Dados-Status-Invest'!$2:$2,0),FALSE()),"")</f>
        <v>8.04</v>
      </c>
      <c r="U476" s="12" t="n">
        <f aca="false">IFERROR(VLOOKUP(A476,'Dados-Status-Invest'!$1:$1000,MATCH(U$1,'Dados-Status-Invest'!$2:$2,0),FALSE()),"")</f>
        <v>0</v>
      </c>
      <c r="V476" s="12" t="n">
        <f aca="false">IFERROR(VLOOKUP(A476,'Dados-Status-Invest'!$1:$1000,MATCH(V$1,'Dados-Status-Invest'!$2:$2,0),FALSE()),"")</f>
        <v>0</v>
      </c>
      <c r="W476" s="10" t="n">
        <f aca="false">IFERROR(VLOOKUP(A476,'Dados-Status-Invest'!$1:$1000,MATCH(W$1,'Dados-Status-Invest'!$2:$2,0),FALSE())/100,"")</f>
        <v>-0.0212</v>
      </c>
      <c r="X476" s="10" t="n">
        <f aca="false">IFERROR(VLOOKUP(A476,'Dados-Status-Invest'!$1:$1000,MATCH(X$1,'Dados-Status-Invest'!$2:$2,0),FALSE())/100,"")</f>
        <v>0.0646</v>
      </c>
    </row>
    <row r="477" customFormat="false" ht="15.75" hidden="false" customHeight="false" outlineLevel="0" collapsed="false">
      <c r="A477" s="6" t="s">
        <v>510</v>
      </c>
      <c r="B477" s="7" t="str">
        <f aca="false">IFERROR(VLOOKUP(LEFT(A477,4),Setor!A:D,2,FALSE()),"")</f>
        <v>Financeiro</v>
      </c>
      <c r="C477" s="8" t="n">
        <f aca="false">IFERROR(__xludf.dummyfunction("IFERROR(IFERROR(GOOGLEFINANCE(A483,""price""),VLOOKUP(A483,'Dados-Status-Invest'!A:B,2,FALSE)),"""")"),17.73)</f>
        <v>17.73</v>
      </c>
      <c r="D477" s="8" t="n">
        <f aca="false">IFERROR(VLOOKUP(A477,'Dados-Status-Invest'!$1:$1000,MATCH(D$1,'Dados-Status-Invest'!$2:$2,0),FALSE()),"")</f>
        <v>155332070721</v>
      </c>
      <c r="E477" s="8" t="n">
        <f aca="false">IF(D477+H477&gt;0,D477+H477,"")</f>
        <v>155332070721</v>
      </c>
      <c r="F477" s="8" t="n">
        <f aca="false">IFERROR(D477/VLOOKUP(A477,'Dados-Status-Invest'!$1:$1000,5,FALSE()),"")</f>
        <v>100864980988</v>
      </c>
      <c r="G477" s="8" t="n">
        <f aca="false">IFERROR(D477/VLOOKUP(A477,'Dados-Status-Invest'!$1:$1000,6,FALSE()),"")</f>
        <v>913718063067</v>
      </c>
      <c r="H477" s="8" t="n">
        <f aca="false">IFERROR(VLOOKUP(A477,'Dados-Status-Invest'!$1:$1000,12,FALSE())*J477,"")</f>
        <v>0</v>
      </c>
      <c r="I477" s="8" t="n">
        <f aca="false">IFERROR(D477/VLOOKUP(A477,'Dados-Status-Invest'!$1:$1000,14,FALSE()),"")</f>
        <v>93013216001</v>
      </c>
      <c r="J477" s="9" t="n">
        <f aca="false">IFERROR(D477/VLOOKUP(A477,'Dados-Status-Invest'!$1:$1000,10,FALSE()),"")</f>
        <v>18580391235</v>
      </c>
      <c r="K477" s="10" t="n">
        <f aca="false">IFERROR(VLOOKUP(A477,'Dados-Status-Invest'!$1:$1000,3,FALSE())/100,"")</f>
        <v>0.0388</v>
      </c>
      <c r="L477" s="11" t="n">
        <f aca="false">IFERROR(VLOOKUP(A477,'Dados-Status-Invest'!$1:$1000,MATCH(L$1,'Dados-Status-Invest'!$2:$2,0),FALSE())/100,"")</f>
        <v>0.1356</v>
      </c>
      <c r="M477" s="10" t="n">
        <f aca="false">IFERROR(VLOOKUP(A477,'Dados-Status-Invest'!$1:$1000,MATCH(M$1,'Dados-Status-Invest'!$2:$2,0),FALSE())/100,"")</f>
        <v>0.0151</v>
      </c>
      <c r="N477" s="10" t="n">
        <f aca="false">IFERROR(VLOOKUP(A477,'Dados-Status-Invest'!$1:$1000,MATCH(N$1,'Dados-Status-Invest'!$2:$2,0),FALSE())/100,"")</f>
        <v>0</v>
      </c>
      <c r="O477" s="10" t="n">
        <f aca="false">IFERROR(VLOOKUP(A477,'Dados-Status-Invest'!$1:$1000,MATCH(O$1,'Dados-Status-Invest'!$2:$2,0),FALSE())/100,"")</f>
        <v>0.1696</v>
      </c>
      <c r="P477" s="10" t="n">
        <f aca="false">IFERROR(VLOOKUP(A477,'Dados-Status-Invest'!$1:$1000,MATCH(P$1,'Dados-Status-Invest'!$2:$2,0),FALSE())/100,"")</f>
        <v>0.1995</v>
      </c>
      <c r="Q477" s="10" t="n">
        <f aca="false">IFERROR(VLOOKUP(A477,'Dados-Status-Invest'!$1:$1000,MATCH(Q$1,'Dados-Status-Invest'!$2:$2,0),FALSE())/100,"")</f>
        <v>0.1469</v>
      </c>
      <c r="R477" s="12" t="n">
        <f aca="false">IFERROR(VLOOKUP(A477,'Dados-Status-Invest'!$1:$1000,MATCH(R$1,'Dados-Status-Invest'!$2:$2,0),FALSE()),"")</f>
        <v>11.34</v>
      </c>
      <c r="S477" s="12" t="n">
        <f aca="false">IFERROR(VLOOKUP(A477,'Dados-Status-Invest'!$1:$1000,MATCH(S$1,'Dados-Status-Invest'!$2:$2,0),FALSE()),"")</f>
        <v>1.54</v>
      </c>
      <c r="T477" s="12" t="n">
        <f aca="false">IFERROR(VLOOKUP(A477,'Dados-Status-Invest'!$1:$1000,MATCH(T$1,'Dados-Status-Invest'!$2:$2,0),FALSE()),"")</f>
        <v>8.04</v>
      </c>
      <c r="U477" s="12" t="n">
        <f aca="false">IFERROR(VLOOKUP(A477,'Dados-Status-Invest'!$1:$1000,MATCH(U$1,'Dados-Status-Invest'!$2:$2,0),FALSE()),"")</f>
        <v>0</v>
      </c>
      <c r="V477" s="12" t="n">
        <f aca="false">IFERROR(VLOOKUP(A477,'Dados-Status-Invest'!$1:$1000,MATCH(V$1,'Dados-Status-Invest'!$2:$2,0),FALSE()),"")</f>
        <v>0</v>
      </c>
      <c r="W477" s="10" t="n">
        <f aca="false">IFERROR(VLOOKUP(A477,'Dados-Status-Invest'!$1:$1000,MATCH(W$1,'Dados-Status-Invest'!$2:$2,0),FALSE())/100,"")</f>
        <v>-0.0212</v>
      </c>
      <c r="X477" s="10" t="n">
        <f aca="false">IFERROR(VLOOKUP(A477,'Dados-Status-Invest'!$1:$1000,MATCH(X$1,'Dados-Status-Invest'!$2:$2,0),FALSE())/100,"")</f>
        <v>0.0646</v>
      </c>
    </row>
    <row r="478" customFormat="false" ht="15.75" hidden="false" customHeight="false" outlineLevel="0" collapsed="false">
      <c r="A478" s="6" t="s">
        <v>511</v>
      </c>
      <c r="B478" s="7" t="str">
        <f aca="false">IFERROR(VLOOKUP(LEFT(A478,4),Setor!A:D,2,FALSE()),"")</f>
        <v>Utilidade Pública</v>
      </c>
      <c r="C478" s="8" t="n">
        <f aca="false">IFERROR(__xludf.dummyfunction("IFERROR(IFERROR(GOOGLEFINANCE(A484,""price""),VLOOKUP(A484,'Dados-Status-Invest'!A:B,2,FALSE)),"""")"),20.17)</f>
        <v>20.17</v>
      </c>
      <c r="D478" s="8" t="n">
        <f aca="false">IFERROR(VLOOKUP(A478,'Dados-Status-Invest'!$1:$1000,MATCH(D$1,'Dados-Status-Invest'!$2:$2,0),FALSE()),"")</f>
        <v>6174785751</v>
      </c>
      <c r="E478" s="8" t="n">
        <f aca="false">IF(D478+H478&gt;0,D478+H478,"")</f>
        <v>8955796127</v>
      </c>
      <c r="F478" s="8" t="n">
        <f aca="false">IFERROR(D478/VLOOKUP(A478,'Dados-Status-Invest'!$1:$1000,5,FALSE()),"")</f>
        <v>7179983431</v>
      </c>
      <c r="G478" s="8" t="n">
        <f aca="false">IFERROR(D478/VLOOKUP(A478,'Dados-Status-Invest'!$1:$1000,6,FALSE()),"")</f>
        <v>14033603979</v>
      </c>
      <c r="H478" s="8" t="n">
        <f aca="false">IFERROR(VLOOKUP(A478,'Dados-Status-Invest'!$1:$1000,12,FALSE())*J478,"")</f>
        <v>2781010376</v>
      </c>
      <c r="I478" s="8" t="n">
        <f aca="false">IFERROR(D478/VLOOKUP(A478,'Dados-Status-Invest'!$1:$1000,14,FALSE()),"")</f>
        <v>4786655621</v>
      </c>
      <c r="J478" s="9" t="n">
        <f aca="false">IFERROR(D478/VLOOKUP(A478,'Dados-Status-Invest'!$1:$1000,10,FALSE()),"")</f>
        <v>1571192303</v>
      </c>
      <c r="K478" s="10" t="n">
        <f aca="false">IFERROR(VLOOKUP(A478,'Dados-Status-Invest'!$1:$1000,3,FALSE())/100,"")</f>
        <v>0.0488</v>
      </c>
      <c r="L478" s="11" t="n">
        <f aca="false">IFERROR(VLOOKUP(A478,'Dados-Status-Invest'!$1:$1000,MATCH(L$1,'Dados-Status-Invest'!$2:$2,0),FALSE())/100,"")</f>
        <v>0.1373</v>
      </c>
      <c r="M478" s="10" t="n">
        <f aca="false">IFERROR(VLOOKUP(A478,'Dados-Status-Invest'!$1:$1000,MATCH(M$1,'Dados-Status-Invest'!$2:$2,0),FALSE())/100,"")</f>
        <v>0.0708</v>
      </c>
      <c r="N478" s="10" t="n">
        <f aca="false">IFERROR(VLOOKUP(A478,'Dados-Status-Invest'!$1:$1000,MATCH(N$1,'Dados-Status-Invest'!$2:$2,0),FALSE())/100,"")</f>
        <v>0.1058</v>
      </c>
      <c r="O478" s="10" t="n">
        <f aca="false">IFERROR(VLOOKUP(A478,'Dados-Status-Invest'!$1:$1000,MATCH(O$1,'Dados-Status-Invest'!$2:$2,0),FALSE())/100,"")</f>
        <v>0.5941</v>
      </c>
      <c r="P478" s="10" t="n">
        <f aca="false">IFERROR(VLOOKUP(A478,'Dados-Status-Invest'!$1:$1000,MATCH(P$1,'Dados-Status-Invest'!$2:$2,0),FALSE())/100,"")</f>
        <v>0.3274</v>
      </c>
      <c r="Q478" s="10" t="n">
        <f aca="false">IFERROR(VLOOKUP(A478,'Dados-Status-Invest'!$1:$1000,MATCH(Q$1,'Dados-Status-Invest'!$2:$2,0),FALSE())/100,"")</f>
        <v>0.2064</v>
      </c>
      <c r="R478" s="12" t="n">
        <f aca="false">IFERROR(VLOOKUP(A478,'Dados-Status-Invest'!$1:$1000,MATCH(R$1,'Dados-Status-Invest'!$2:$2,0),FALSE()),"")</f>
        <v>6.24</v>
      </c>
      <c r="S478" s="12" t="n">
        <f aca="false">IFERROR(VLOOKUP(A478,'Dados-Status-Invest'!$1:$1000,MATCH(S$1,'Dados-Status-Invest'!$2:$2,0),FALSE()),"")</f>
        <v>0.86</v>
      </c>
      <c r="T478" s="12" t="n">
        <f aca="false">IFERROR(VLOOKUP(A478,'Dados-Status-Invest'!$1:$1000,MATCH(T$1,'Dados-Status-Invest'!$2:$2,0),FALSE()),"")</f>
        <v>5.72</v>
      </c>
      <c r="U478" s="12" t="n">
        <f aca="false">IFERROR(VLOOKUP(A478,'Dados-Status-Invest'!$1:$1000,MATCH(U$1,'Dados-Status-Invest'!$2:$2,0),FALSE()),"")</f>
        <v>1.6</v>
      </c>
      <c r="V478" s="12" t="n">
        <f aca="false">IFERROR(VLOOKUP(A478,'Dados-Status-Invest'!$1:$1000,MATCH(V$1,'Dados-Status-Invest'!$2:$2,0),FALSE()),"")</f>
        <v>1.77</v>
      </c>
      <c r="W478" s="10" t="n">
        <f aca="false">IFERROR(VLOOKUP(A478,'Dados-Status-Invest'!$1:$1000,MATCH(W$1,'Dados-Status-Invest'!$2:$2,0),FALSE())/100,"")</f>
        <v>0.1007</v>
      </c>
      <c r="X478" s="10" t="n">
        <f aca="false">IFERROR(VLOOKUP(A478,'Dados-Status-Invest'!$1:$1000,MATCH(X$1,'Dados-Status-Invest'!$2:$2,0),FALSE())/100,"")</f>
        <v>0.1784</v>
      </c>
    </row>
    <row r="479" customFormat="false" ht="15.75" hidden="false" customHeight="false" outlineLevel="0" collapsed="false">
      <c r="A479" s="6" t="s">
        <v>512</v>
      </c>
      <c r="B479" s="7" t="str">
        <f aca="false">IFERROR(VLOOKUP(LEFT(A479,4),Setor!A:D,2,FALSE()),"")</f>
        <v>Utilidade Pública</v>
      </c>
      <c r="C479" s="8" t="n">
        <f aca="false">IFERROR(__xludf.dummyfunction("IFERROR(IFERROR(GOOGLEFINANCE(A485,""price""),VLOOKUP(A485,'Dados-Status-Invest'!A:B,2,FALSE)),"""")"),3.94)</f>
        <v>3.94</v>
      </c>
      <c r="D479" s="8" t="n">
        <f aca="false">IFERROR(VLOOKUP(A479,'Dados-Status-Invest'!$1:$1000,MATCH(D$1,'Dados-Status-Invest'!$2:$2,0),FALSE()),"")</f>
        <v>6174785751</v>
      </c>
      <c r="E479" s="8" t="n">
        <f aca="false">IF(D479+H479&gt;0,D479+H479,"")</f>
        <v>8955796127</v>
      </c>
      <c r="F479" s="8" t="n">
        <f aca="false">IFERROR(D479/VLOOKUP(A479,'Dados-Status-Invest'!$1:$1000,5,FALSE()),"")</f>
        <v>7179983431</v>
      </c>
      <c r="G479" s="8" t="n">
        <f aca="false">IFERROR(D479/VLOOKUP(A479,'Dados-Status-Invest'!$1:$1000,6,FALSE()),"")</f>
        <v>14033603979</v>
      </c>
      <c r="H479" s="8" t="n">
        <f aca="false">IFERROR(VLOOKUP(A479,'Dados-Status-Invest'!$1:$1000,12,FALSE())*J479,"")</f>
        <v>2781010376</v>
      </c>
      <c r="I479" s="8" t="n">
        <f aca="false">IFERROR(D479/VLOOKUP(A479,'Dados-Status-Invest'!$1:$1000,14,FALSE()),"")</f>
        <v>4786655621</v>
      </c>
      <c r="J479" s="9" t="n">
        <f aca="false">IFERROR(D479/VLOOKUP(A479,'Dados-Status-Invest'!$1:$1000,10,FALSE()),"")</f>
        <v>1571192303</v>
      </c>
      <c r="K479" s="10" t="n">
        <f aca="false">IFERROR(VLOOKUP(A479,'Dados-Status-Invest'!$1:$1000,3,FALSE())/100,"")</f>
        <v>0.0452</v>
      </c>
      <c r="L479" s="11" t="n">
        <f aca="false">IFERROR(VLOOKUP(A479,'Dados-Status-Invest'!$1:$1000,MATCH(L$1,'Dados-Status-Invest'!$2:$2,0),FALSE())/100,"")</f>
        <v>0.1373</v>
      </c>
      <c r="M479" s="10" t="n">
        <f aca="false">IFERROR(VLOOKUP(A479,'Dados-Status-Invest'!$1:$1000,MATCH(M$1,'Dados-Status-Invest'!$2:$2,0),FALSE())/100,"")</f>
        <v>0.0708</v>
      </c>
      <c r="N479" s="10" t="n">
        <f aca="false">IFERROR(VLOOKUP(A479,'Dados-Status-Invest'!$1:$1000,MATCH(N$1,'Dados-Status-Invest'!$2:$2,0),FALSE())/100,"")</f>
        <v>0.1058</v>
      </c>
      <c r="O479" s="10" t="n">
        <f aca="false">IFERROR(VLOOKUP(A479,'Dados-Status-Invest'!$1:$1000,MATCH(O$1,'Dados-Status-Invest'!$2:$2,0),FALSE())/100,"")</f>
        <v>0.5941</v>
      </c>
      <c r="P479" s="10" t="n">
        <f aca="false">IFERROR(VLOOKUP(A479,'Dados-Status-Invest'!$1:$1000,MATCH(P$1,'Dados-Status-Invest'!$2:$2,0),FALSE())/100,"")</f>
        <v>0.3274</v>
      </c>
      <c r="Q479" s="10" t="n">
        <f aca="false">IFERROR(VLOOKUP(A479,'Dados-Status-Invest'!$1:$1000,MATCH(Q$1,'Dados-Status-Invest'!$2:$2,0),FALSE())/100,"")</f>
        <v>0.2064</v>
      </c>
      <c r="R479" s="12" t="n">
        <f aca="false">IFERROR(VLOOKUP(A479,'Dados-Status-Invest'!$1:$1000,MATCH(R$1,'Dados-Status-Invest'!$2:$2,0),FALSE()),"")</f>
        <v>6.23</v>
      </c>
      <c r="S479" s="12" t="n">
        <f aca="false">IFERROR(VLOOKUP(A479,'Dados-Status-Invest'!$1:$1000,MATCH(S$1,'Dados-Status-Invest'!$2:$2,0),FALSE()),"")</f>
        <v>0.86</v>
      </c>
      <c r="T479" s="12" t="n">
        <f aca="false">IFERROR(VLOOKUP(A479,'Dados-Status-Invest'!$1:$1000,MATCH(T$1,'Dados-Status-Invest'!$2:$2,0),FALSE()),"")</f>
        <v>5.72</v>
      </c>
      <c r="U479" s="12" t="n">
        <f aca="false">IFERROR(VLOOKUP(A479,'Dados-Status-Invest'!$1:$1000,MATCH(U$1,'Dados-Status-Invest'!$2:$2,0),FALSE()),"")</f>
        <v>1.6</v>
      </c>
      <c r="V479" s="12" t="n">
        <f aca="false">IFERROR(VLOOKUP(A479,'Dados-Status-Invest'!$1:$1000,MATCH(V$1,'Dados-Status-Invest'!$2:$2,0),FALSE()),"")</f>
        <v>1.77</v>
      </c>
      <c r="W479" s="10" t="n">
        <f aca="false">IFERROR(VLOOKUP(A479,'Dados-Status-Invest'!$1:$1000,MATCH(W$1,'Dados-Status-Invest'!$2:$2,0),FALSE())/100,"")</f>
        <v>0.1007</v>
      </c>
      <c r="X479" s="10" t="n">
        <f aca="false">IFERROR(VLOOKUP(A479,'Dados-Status-Invest'!$1:$1000,MATCH(X$1,'Dados-Status-Invest'!$2:$2,0),FALSE())/100,"")</f>
        <v>0.1784</v>
      </c>
    </row>
    <row r="480" customFormat="false" ht="15.75" hidden="false" customHeight="false" outlineLevel="0" collapsed="false">
      <c r="A480" s="6" t="s">
        <v>513</v>
      </c>
      <c r="B480" s="7" t="str">
        <f aca="false">IFERROR(VLOOKUP(LEFT(A480,4),Setor!A:D,2,FALSE()),"")</f>
        <v>Utilidade Pública</v>
      </c>
      <c r="C480" s="8" t="n">
        <f aca="false">IFERROR(__xludf.dummyfunction("IFERROR(IFERROR(GOOGLEFINANCE(A486,""price""),VLOOKUP(A486,'Dados-Status-Invest'!A:B,2,FALSE)),"""")"),4.04)</f>
        <v>4.04</v>
      </c>
      <c r="D480" s="8" t="n">
        <f aca="false">IFERROR(VLOOKUP(A480,'Dados-Status-Invest'!$1:$1000,MATCH(D$1,'Dados-Status-Invest'!$2:$2,0),FALSE()),"")</f>
        <v>6174785751</v>
      </c>
      <c r="E480" s="8" t="n">
        <f aca="false">IF(D480+H480&gt;0,D480+H480,"")</f>
        <v>8913976422</v>
      </c>
      <c r="F480" s="8" t="n">
        <f aca="false">IFERROR(D480/VLOOKUP(A480,'Dados-Status-Invest'!$1:$1000,5,FALSE()),"")</f>
        <v>7097454886</v>
      </c>
      <c r="G480" s="8" t="n">
        <f aca="false">IFERROR(D480/VLOOKUP(A480,'Dados-Status-Invest'!$1:$1000,6,FALSE()),"")</f>
        <v>13721746113</v>
      </c>
      <c r="H480" s="8" t="n">
        <f aca="false">IFERROR(VLOOKUP(A480,'Dados-Status-Invest'!$1:$1000,12,FALSE())*J480,"")</f>
        <v>2739190671</v>
      </c>
      <c r="I480" s="8" t="n">
        <f aca="false">IFERROR(D480/VLOOKUP(A480,'Dados-Status-Invest'!$1:$1000,14,FALSE()),"")</f>
        <v>4713576909</v>
      </c>
      <c r="J480" s="9" t="n">
        <f aca="false">IFERROR(D480/VLOOKUP(A480,'Dados-Status-Invest'!$1:$1000,10,FALSE()),"")</f>
        <v>1547565351</v>
      </c>
      <c r="K480" s="10" t="n">
        <f aca="false">IFERROR(VLOOKUP(A480,'Dados-Status-Invest'!$1:$1000,3,FALSE())/100,"")</f>
        <v>0.049</v>
      </c>
      <c r="L480" s="11" t="n">
        <f aca="false">IFERROR(VLOOKUP(A480,'Dados-Status-Invest'!$1:$1000,MATCH(L$1,'Dados-Status-Invest'!$2:$2,0),FALSE())/100,"")</f>
        <v>0.1373</v>
      </c>
      <c r="M480" s="10" t="n">
        <f aca="false">IFERROR(VLOOKUP(A480,'Dados-Status-Invest'!$1:$1000,MATCH(M$1,'Dados-Status-Invest'!$2:$2,0),FALSE())/100,"")</f>
        <v>0.0708</v>
      </c>
      <c r="N480" s="10" t="n">
        <f aca="false">IFERROR(VLOOKUP(A480,'Dados-Status-Invest'!$1:$1000,MATCH(N$1,'Dados-Status-Invest'!$2:$2,0),FALSE())/100,"")</f>
        <v>0.1058</v>
      </c>
      <c r="O480" s="10" t="n">
        <f aca="false">IFERROR(VLOOKUP(A480,'Dados-Status-Invest'!$1:$1000,MATCH(O$1,'Dados-Status-Invest'!$2:$2,0),FALSE())/100,"")</f>
        <v>0.5941</v>
      </c>
      <c r="P480" s="10" t="n">
        <f aca="false">IFERROR(VLOOKUP(A480,'Dados-Status-Invest'!$1:$1000,MATCH(P$1,'Dados-Status-Invest'!$2:$2,0),FALSE())/100,"")</f>
        <v>0.3274</v>
      </c>
      <c r="Q480" s="10" t="n">
        <f aca="false">IFERROR(VLOOKUP(A480,'Dados-Status-Invest'!$1:$1000,MATCH(Q$1,'Dados-Status-Invest'!$2:$2,0),FALSE())/100,"")</f>
        <v>0.2064</v>
      </c>
      <c r="R480" s="12" t="n">
        <f aca="false">IFERROR(VLOOKUP(A480,'Dados-Status-Invest'!$1:$1000,MATCH(R$1,'Dados-Status-Invest'!$2:$2,0),FALSE()),"")</f>
        <v>6.32</v>
      </c>
      <c r="S480" s="12" t="n">
        <f aca="false">IFERROR(VLOOKUP(A480,'Dados-Status-Invest'!$1:$1000,MATCH(S$1,'Dados-Status-Invest'!$2:$2,0),FALSE()),"")</f>
        <v>0.87</v>
      </c>
      <c r="T480" s="12" t="n">
        <f aca="false">IFERROR(VLOOKUP(A480,'Dados-Status-Invest'!$1:$1000,MATCH(T$1,'Dados-Status-Invest'!$2:$2,0),FALSE()),"")</f>
        <v>5.72</v>
      </c>
      <c r="U480" s="12" t="n">
        <f aca="false">IFERROR(VLOOKUP(A480,'Dados-Status-Invest'!$1:$1000,MATCH(U$1,'Dados-Status-Invest'!$2:$2,0),FALSE()),"")</f>
        <v>1.6</v>
      </c>
      <c r="V480" s="12" t="n">
        <f aca="false">IFERROR(VLOOKUP(A480,'Dados-Status-Invest'!$1:$1000,MATCH(V$1,'Dados-Status-Invest'!$2:$2,0),FALSE()),"")</f>
        <v>1.77</v>
      </c>
      <c r="W480" s="10" t="n">
        <f aca="false">IFERROR(VLOOKUP(A480,'Dados-Status-Invest'!$1:$1000,MATCH(W$1,'Dados-Status-Invest'!$2:$2,0),FALSE())/100,"")</f>
        <v>0.1007</v>
      </c>
      <c r="X480" s="10" t="n">
        <f aca="false">IFERROR(VLOOKUP(A480,'Dados-Status-Invest'!$1:$1000,MATCH(X$1,'Dados-Status-Invest'!$2:$2,0),FALSE())/100,"")</f>
        <v>0.1784</v>
      </c>
    </row>
    <row r="481" customFormat="false" ht="15.75" hidden="false" customHeight="false" outlineLevel="0" collapsed="false">
      <c r="A481" s="6" t="s">
        <v>514</v>
      </c>
      <c r="B481" s="7" t="s">
        <v>38</v>
      </c>
      <c r="C481" s="8" t="n">
        <f aca="false">IFERROR(__xludf.dummyfunction("IFERROR(IFERROR(GOOGLEFINANCE(A487,""price""),VLOOKUP(A487,'Dados-Status-Invest'!A:B,2,FALSE)),"""")"),23.3)</f>
        <v>23.3</v>
      </c>
      <c r="D481" s="8" t="n">
        <f aca="false">IFERROR(VLOOKUP(A481,'Dados-Status-Invest'!$1:$1000,MATCH(D$1,'Dados-Status-Invest'!$2:$2,0),FALSE()),"")</f>
        <v>8812080550</v>
      </c>
      <c r="E481" s="8" t="n">
        <f aca="false">IF(D481+H481&gt;0,D481+H481,"")</f>
        <v>10292267395</v>
      </c>
      <c r="F481" s="8" t="n">
        <f aca="false">IFERROR(D481/VLOOKUP(A481,'Dados-Status-Invest'!$1:$1000,5,FALSE()),"")</f>
        <v>1940986905</v>
      </c>
      <c r="G481" s="8" t="n">
        <f aca="false">IFERROR(D481/VLOOKUP(A481,'Dados-Status-Invest'!$1:$1000,6,FALSE()),"")</f>
        <v>6162294091</v>
      </c>
      <c r="H481" s="8" t="n">
        <f aca="false">IFERROR(VLOOKUP(A481,'Dados-Status-Invest'!$1:$1000,12,FALSE())*J481,"")</f>
        <v>1480186845</v>
      </c>
      <c r="I481" s="8" t="n">
        <f aca="false">IFERROR(D481/VLOOKUP(A481,'Dados-Status-Invest'!$1:$1000,14,FALSE()),"")</f>
        <v>2686609924</v>
      </c>
      <c r="J481" s="9" t="n">
        <f aca="false">IFERROR(D481/VLOOKUP(A481,'Dados-Status-Invest'!$1:$1000,10,FALSE()),"")</f>
        <v>-104606844.1</v>
      </c>
      <c r="K481" s="10" t="n">
        <f aca="false">IFERROR(VLOOKUP(A481,'Dados-Status-Invest'!$1:$1000,3,FALSE())/100,"")</f>
        <v>0</v>
      </c>
      <c r="L481" s="11" t="n">
        <f aca="false">IFERROR(VLOOKUP(A481,'Dados-Status-Invest'!$1:$1000,MATCH(L$1,'Dados-Status-Invest'!$2:$2,0),FALSE())/100,"")</f>
        <v>-0.0799</v>
      </c>
      <c r="M481" s="10" t="n">
        <f aca="false">IFERROR(VLOOKUP(A481,'Dados-Status-Invest'!$1:$1000,MATCH(M$1,'Dados-Status-Invest'!$2:$2,0),FALSE())/100,"")</f>
        <v>-0.0252</v>
      </c>
      <c r="N481" s="10" t="n">
        <f aca="false">IFERROR(VLOOKUP(A481,'Dados-Status-Invest'!$1:$1000,MATCH(N$1,'Dados-Status-Invest'!$2:$2,0),FALSE())/100,"")</f>
        <v>-0.0585</v>
      </c>
      <c r="O481" s="10" t="n">
        <f aca="false">IFERROR(VLOOKUP(A481,'Dados-Status-Invest'!$1:$1000,MATCH(O$1,'Dados-Status-Invest'!$2:$2,0),FALSE())/100,"")</f>
        <v>0.4246</v>
      </c>
      <c r="P481" s="10" t="n">
        <f aca="false">IFERROR(VLOOKUP(A481,'Dados-Status-Invest'!$1:$1000,MATCH(P$1,'Dados-Status-Invest'!$2:$2,0),FALSE())/100,"")</f>
        <v>-0.039</v>
      </c>
      <c r="Q481" s="10" t="n">
        <f aca="false">IFERROR(VLOOKUP(A481,'Dados-Status-Invest'!$1:$1000,MATCH(Q$1,'Dados-Status-Invest'!$2:$2,0),FALSE())/100,"")</f>
        <v>-0.0579</v>
      </c>
      <c r="R481" s="12" t="n">
        <f aca="false">IFERROR(VLOOKUP(A481,'Dados-Status-Invest'!$1:$1000,MATCH(R$1,'Dados-Status-Invest'!$2:$2,0),FALSE()),"")</f>
        <v>-56.75</v>
      </c>
      <c r="S481" s="12" t="n">
        <f aca="false">IFERROR(VLOOKUP(A481,'Dados-Status-Invest'!$1:$1000,MATCH(S$1,'Dados-Status-Invest'!$2:$2,0),FALSE()),"")</f>
        <v>4.54</v>
      </c>
      <c r="T481" s="12" t="n">
        <f aca="false">IFERROR(VLOOKUP(A481,'Dados-Status-Invest'!$1:$1000,MATCH(T$1,'Dados-Status-Invest'!$2:$2,0),FALSE()),"")</f>
        <v>-97.43</v>
      </c>
      <c r="U481" s="12" t="n">
        <f aca="false">IFERROR(VLOOKUP(A481,'Dados-Status-Invest'!$1:$1000,MATCH(U$1,'Dados-Status-Invest'!$2:$2,0),FALSE()),"")</f>
        <v>1.77</v>
      </c>
      <c r="V481" s="12" t="n">
        <f aca="false">IFERROR(VLOOKUP(A481,'Dados-Status-Invest'!$1:$1000,MATCH(V$1,'Dados-Status-Invest'!$2:$2,0),FALSE()),"")</f>
        <v>-14.15</v>
      </c>
      <c r="W481" s="10" t="n">
        <f aca="false">IFERROR(VLOOKUP(A481,'Dados-Status-Invest'!$1:$1000,MATCH(W$1,'Dados-Status-Invest'!$2:$2,0),FALSE())/100,"")</f>
        <v>0</v>
      </c>
      <c r="X481" s="10" t="n">
        <f aca="false">IFERROR(VLOOKUP(A481,'Dados-Status-Invest'!$1:$1000,MATCH(X$1,'Dados-Status-Invest'!$2:$2,0),FALSE())/100,"")</f>
        <v>0</v>
      </c>
    </row>
    <row r="482" customFormat="false" ht="15.75" hidden="false" customHeight="false" outlineLevel="0" collapsed="false">
      <c r="A482" s="6" t="s">
        <v>515</v>
      </c>
      <c r="B482" s="7" t="str">
        <f aca="false">IFERROR(VLOOKUP(LEFT(A482,4),Setor!A:D,2,FALSE()),"")</f>
        <v>Utilidade Pública</v>
      </c>
      <c r="C482" s="8" t="n">
        <f aca="false">IFERROR(__xludf.dummyfunction("IFERROR(IFERROR(GOOGLEFINANCE(A488,""price""),VLOOKUP(A488,'Dados-Status-Invest'!A:B,2,FALSE)),"""")"),47.59)</f>
        <v>47.59</v>
      </c>
      <c r="D482" s="8" t="n">
        <f aca="false">IFERROR(VLOOKUP(A482,'Dados-Status-Invest'!$1:$1000,MATCH(D$1,'Dados-Status-Invest'!$2:$2,0),FALSE()),"")</f>
        <v>25324040646</v>
      </c>
      <c r="E482" s="8" t="n">
        <f aca="false">IF(D482+H482&gt;0,D482+H482,"")</f>
        <v>38860891464</v>
      </c>
      <c r="F482" s="8" t="n">
        <f aca="false">IFERROR(D482/VLOOKUP(A482,'Dados-Status-Invest'!$1:$1000,5,FALSE()),"")</f>
        <v>23448185784</v>
      </c>
      <c r="G482" s="8" t="n">
        <f aca="false">IFERROR(D482/VLOOKUP(A482,'Dados-Status-Invest'!$1:$1000,6,FALSE()),"")</f>
        <v>50648081293</v>
      </c>
      <c r="H482" s="8" t="n">
        <f aca="false">IFERROR(VLOOKUP(A482,'Dados-Status-Invest'!$1:$1000,12,FALSE())*J482,"")</f>
        <v>13536850818</v>
      </c>
      <c r="I482" s="8" t="n">
        <f aca="false">IFERROR(D482/VLOOKUP(A482,'Dados-Status-Invest'!$1:$1000,14,FALSE()),"")</f>
        <v>18484701202</v>
      </c>
      <c r="J482" s="9" t="n">
        <f aca="false">IFERROR(D482/VLOOKUP(A482,'Dados-Status-Invest'!$1:$1000,10,FALSE()),"")</f>
        <v>4604371027</v>
      </c>
      <c r="K482" s="10" t="n">
        <f aca="false">IFERROR(VLOOKUP(A482,'Dados-Status-Invest'!$1:$1000,3,FALSE())/100,"")</f>
        <v>0.0108</v>
      </c>
      <c r="L482" s="11" t="n">
        <f aca="false">IFERROR(VLOOKUP(A482,'Dados-Status-Invest'!$1:$1000,MATCH(L$1,'Dados-Status-Invest'!$2:$2,0),FALSE())/100,"")</f>
        <v>0.0914</v>
      </c>
      <c r="M482" s="10" t="n">
        <f aca="false">IFERROR(VLOOKUP(A482,'Dados-Status-Invest'!$1:$1000,MATCH(M$1,'Dados-Status-Invest'!$2:$2,0),FALSE())/100,"")</f>
        <v>0.0418</v>
      </c>
      <c r="N482" s="10" t="n">
        <f aca="false">IFERROR(VLOOKUP(A482,'Dados-Status-Invest'!$1:$1000,MATCH(N$1,'Dados-Status-Invest'!$2:$2,0),FALSE())/100,"")</f>
        <v>0.091</v>
      </c>
      <c r="O482" s="10" t="n">
        <f aca="false">IFERROR(VLOOKUP(A482,'Dados-Status-Invest'!$1:$1000,MATCH(O$1,'Dados-Status-Invest'!$2:$2,0),FALSE())/100,"")</f>
        <v>0.3595</v>
      </c>
      <c r="P482" s="10" t="n">
        <f aca="false">IFERROR(VLOOKUP(A482,'Dados-Status-Invest'!$1:$1000,MATCH(P$1,'Dados-Status-Invest'!$2:$2,0),FALSE())/100,"")</f>
        <v>0.2493</v>
      </c>
      <c r="Q482" s="10" t="n">
        <f aca="false">IFERROR(VLOOKUP(A482,'Dados-Status-Invest'!$1:$1000,MATCH(Q$1,'Dados-Status-Invest'!$2:$2,0),FALSE())/100,"")</f>
        <v>0.1155</v>
      </c>
      <c r="R482" s="12" t="n">
        <f aca="false">IFERROR(VLOOKUP(A482,'Dados-Status-Invest'!$1:$1000,MATCH(R$1,'Dados-Status-Invest'!$2:$2,0),FALSE()),"")</f>
        <v>11.86</v>
      </c>
      <c r="S482" s="12" t="n">
        <f aca="false">IFERROR(VLOOKUP(A482,'Dados-Status-Invest'!$1:$1000,MATCH(S$1,'Dados-Status-Invest'!$2:$2,0),FALSE()),"")</f>
        <v>1.08</v>
      </c>
      <c r="T482" s="12" t="n">
        <f aca="false">IFERROR(VLOOKUP(A482,'Dados-Status-Invest'!$1:$1000,MATCH(T$1,'Dados-Status-Invest'!$2:$2,0),FALSE()),"")</f>
        <v>8.45</v>
      </c>
      <c r="U482" s="12" t="n">
        <f aca="false">IFERROR(VLOOKUP(A482,'Dados-Status-Invest'!$1:$1000,MATCH(U$1,'Dados-Status-Invest'!$2:$2,0),FALSE()),"")</f>
        <v>1.01</v>
      </c>
      <c r="V482" s="12" t="n">
        <f aca="false">IFERROR(VLOOKUP(A482,'Dados-Status-Invest'!$1:$1000,MATCH(V$1,'Dados-Status-Invest'!$2:$2,0),FALSE()),"")</f>
        <v>2.94</v>
      </c>
      <c r="W482" s="10" t="n">
        <f aca="false">IFERROR(VLOOKUP(A482,'Dados-Status-Invest'!$1:$1000,MATCH(W$1,'Dados-Status-Invest'!$2:$2,0),FALSE())/100,"")</f>
        <v>0.0873</v>
      </c>
      <c r="X482" s="10" t="n">
        <f aca="false">IFERROR(VLOOKUP(A482,'Dados-Status-Invest'!$1:$1000,MATCH(X$1,'Dados-Status-Invest'!$2:$2,0),FALSE())/100,"")</f>
        <v>0.1266</v>
      </c>
    </row>
    <row r="483" customFormat="false" ht="15.75" hidden="false" customHeight="false" outlineLevel="0" collapsed="false">
      <c r="A483" s="6" t="s">
        <v>516</v>
      </c>
      <c r="B483" s="7" t="str">
        <f aca="false">IFERROR(VLOOKUP(LEFT(A483,4),Setor!A:D,2,FALSE()),"")</f>
        <v>Financeiro</v>
      </c>
      <c r="C483" s="8" t="n">
        <f aca="false">IFERROR(__xludf.dummyfunction("IFERROR(IFERROR(GOOGLEFINANCE(A489,""price""),VLOOKUP(A489,'Dados-Status-Invest'!A:B,2,FALSE)),"""")"),30.54)</f>
        <v>30.54</v>
      </c>
      <c r="D483" s="8" t="n">
        <f aca="false">IFERROR(VLOOKUP(A483,'Dados-Status-Invest'!$1:$1000,MATCH(D$1,'Dados-Status-Invest'!$2:$2,0),FALSE()),"")</f>
        <v>2409955695</v>
      </c>
      <c r="E483" s="8" t="n">
        <f aca="false">IF(D483+H483&gt;0,D483+H483,"")</f>
        <v>3451853834</v>
      </c>
      <c r="F483" s="8" t="n">
        <f aca="false">IFERROR(D483/VLOOKUP(A483,'Dados-Status-Invest'!$1:$1000,5,FALSE()),"")</f>
        <v>1564906295</v>
      </c>
      <c r="G483" s="8" t="n">
        <f aca="false">IFERROR(D483/VLOOKUP(A483,'Dados-Status-Invest'!$1:$1000,6,FALSE()),"")</f>
        <v>3012444619</v>
      </c>
      <c r="H483" s="8" t="n">
        <f aca="false">IFERROR(VLOOKUP(A483,'Dados-Status-Invest'!$1:$1000,12,FALSE())*J483,"")</f>
        <v>1041898139</v>
      </c>
      <c r="I483" s="8" t="n">
        <f aca="false">IFERROR(D483/VLOOKUP(A483,'Dados-Status-Invest'!$1:$1000,14,FALSE()),"")</f>
        <v>351305494.9</v>
      </c>
      <c r="J483" s="9" t="n">
        <f aca="false">IFERROR(D483/VLOOKUP(A483,'Dados-Status-Invest'!$1:$1000,10,FALSE()),"")</f>
        <v>226499595.4</v>
      </c>
      <c r="K483" s="10" t="n">
        <f aca="false">IFERROR(VLOOKUP(A483,'Dados-Status-Invest'!$1:$1000,3,FALSE())/100,"")</f>
        <v>0.0088</v>
      </c>
      <c r="L483" s="11" t="n">
        <f aca="false">IFERROR(VLOOKUP(A483,'Dados-Status-Invest'!$1:$1000,MATCH(L$1,'Dados-Status-Invest'!$2:$2,0),FALSE())/100,"")</f>
        <v>0.0616</v>
      </c>
      <c r="M483" s="10" t="n">
        <f aca="false">IFERROR(VLOOKUP(A483,'Dados-Status-Invest'!$1:$1000,MATCH(M$1,'Dados-Status-Invest'!$2:$2,0),FALSE())/100,"")</f>
        <v>0.0322</v>
      </c>
      <c r="N483" s="10" t="n">
        <f aca="false">IFERROR(VLOOKUP(A483,'Dados-Status-Invest'!$1:$1000,MATCH(N$1,'Dados-Status-Invest'!$2:$2,0),FALSE())/100,"")</f>
        <v>0.0616</v>
      </c>
      <c r="O483" s="10" t="n">
        <f aca="false">IFERROR(VLOOKUP(A483,'Dados-Status-Invest'!$1:$1000,MATCH(O$1,'Dados-Status-Invest'!$2:$2,0),FALSE())/100,"")</f>
        <v>0.8074</v>
      </c>
      <c r="P483" s="10" t="n">
        <f aca="false">IFERROR(VLOOKUP(A483,'Dados-Status-Invest'!$1:$1000,MATCH(P$1,'Dados-Status-Invest'!$2:$2,0),FALSE())/100,"")</f>
        <v>0.6447</v>
      </c>
      <c r="Q483" s="10" t="n">
        <f aca="false">IFERROR(VLOOKUP(A483,'Dados-Status-Invest'!$1:$1000,MATCH(Q$1,'Dados-Status-Invest'!$2:$2,0),FALSE())/100,"")</f>
        <v>0.2748</v>
      </c>
      <c r="R483" s="12" t="n">
        <f aca="false">IFERROR(VLOOKUP(A483,'Dados-Status-Invest'!$1:$1000,MATCH(R$1,'Dados-Status-Invest'!$2:$2,0),FALSE()),"")</f>
        <v>24.97</v>
      </c>
      <c r="S483" s="12" t="n">
        <f aca="false">IFERROR(VLOOKUP(A483,'Dados-Status-Invest'!$1:$1000,MATCH(S$1,'Dados-Status-Invest'!$2:$2,0),FALSE()),"")</f>
        <v>1.54</v>
      </c>
      <c r="T483" s="12" t="n">
        <f aca="false">IFERROR(VLOOKUP(A483,'Dados-Status-Invest'!$1:$1000,MATCH(T$1,'Dados-Status-Invest'!$2:$2,0),FALSE()),"")</f>
        <v>15.29</v>
      </c>
      <c r="U483" s="12" t="n">
        <f aca="false">IFERROR(VLOOKUP(A483,'Dados-Status-Invest'!$1:$1000,MATCH(U$1,'Dados-Status-Invest'!$2:$2,0),FALSE()),"")</f>
        <v>2.86</v>
      </c>
      <c r="V483" s="12" t="n">
        <f aca="false">IFERROR(VLOOKUP(A483,'Dados-Status-Invest'!$1:$1000,MATCH(V$1,'Dados-Status-Invest'!$2:$2,0),FALSE()),"")</f>
        <v>4.6</v>
      </c>
      <c r="W483" s="10" t="n">
        <f aca="false">IFERROR(VLOOKUP(A483,'Dados-Status-Invest'!$1:$1000,MATCH(W$1,'Dados-Status-Invest'!$2:$2,0),FALSE())/100,"")</f>
        <v>-0.0659</v>
      </c>
      <c r="X483" s="10" t="n">
        <f aca="false">IFERROR(VLOOKUP(A483,'Dados-Status-Invest'!$1:$1000,MATCH(X$1,'Dados-Status-Invest'!$2:$2,0),FALSE())/100,"")</f>
        <v>-0.1147</v>
      </c>
    </row>
    <row r="484" customFormat="false" ht="15.75" hidden="false" customHeight="false" outlineLevel="0" collapsed="false">
      <c r="A484" s="6" t="s">
        <v>517</v>
      </c>
      <c r="B484" s="7" t="s">
        <v>38</v>
      </c>
      <c r="C484" s="8" t="n">
        <f aca="false">IFERROR(__xludf.dummyfunction("IFERROR(IFERROR(GOOGLEFINANCE(A490,""price""),VLOOKUP(A490,'Dados-Status-Invest'!A:B,2,FALSE)),"""")"),23.8)</f>
        <v>23.8</v>
      </c>
      <c r="D484" s="8" t="n">
        <f aca="false">IFERROR(VLOOKUP(A484,'Dados-Status-Invest'!$1:$1000,MATCH(D$1,'Dados-Status-Invest'!$2:$2,0),FALSE()),"")</f>
        <v>6238667820</v>
      </c>
      <c r="E484" s="8" t="n">
        <f aca="false">IF(D484+H484&gt;0,D484+H484,"")</f>
        <v>7962922745</v>
      </c>
      <c r="F484" s="8" t="n">
        <f aca="false">IFERROR(D484/VLOOKUP(A484,'Dados-Status-Invest'!$1:$1000,5,FALSE()),"")</f>
        <v>415911188</v>
      </c>
      <c r="G484" s="8" t="n">
        <f aca="false">IFERROR(D484/VLOOKUP(A484,'Dados-Status-Invest'!$1:$1000,6,FALSE()),"")</f>
        <v>4077560667</v>
      </c>
      <c r="H484" s="8" t="n">
        <f aca="false">IFERROR(VLOOKUP(A484,'Dados-Status-Invest'!$1:$1000,12,FALSE())*J484,"")</f>
        <v>1724254925</v>
      </c>
      <c r="I484" s="8" t="n">
        <f aca="false">IFERROR(D484/VLOOKUP(A484,'Dados-Status-Invest'!$1:$1000,14,FALSE()),"")</f>
        <v>1813566227</v>
      </c>
      <c r="J484" s="9" t="n">
        <f aca="false">IFERROR(D484/VLOOKUP(A484,'Dados-Status-Invest'!$1:$1000,10,FALSE()),"")</f>
        <v>-285000814.1</v>
      </c>
      <c r="K484" s="10" t="n">
        <f aca="false">IFERROR(VLOOKUP(A484,'Dados-Status-Invest'!$1:$1000,3,FALSE())/100,"")</f>
        <v>0</v>
      </c>
      <c r="L484" s="11" t="n">
        <f aca="false">IFERROR(VLOOKUP(A484,'Dados-Status-Invest'!$1:$1000,MATCH(L$1,'Dados-Status-Invest'!$2:$2,0),FALSE())/100,"")</f>
        <v>-1.1229</v>
      </c>
      <c r="M484" s="10" t="n">
        <f aca="false">IFERROR(VLOOKUP(A484,'Dados-Status-Invest'!$1:$1000,MATCH(M$1,'Dados-Status-Invest'!$2:$2,0),FALSE())/100,"")</f>
        <v>-0.1146</v>
      </c>
      <c r="N484" s="10" t="n">
        <f aca="false">IFERROR(VLOOKUP(A484,'Dados-Status-Invest'!$1:$1000,MATCH(N$1,'Dados-Status-Invest'!$2:$2,0),FALSE())/100,"")</f>
        <v>-0.1315</v>
      </c>
      <c r="O484" s="10" t="n">
        <f aca="false">IFERROR(VLOOKUP(A484,'Dados-Status-Invest'!$1:$1000,MATCH(O$1,'Dados-Status-Invest'!$2:$2,0),FALSE())/100,"")</f>
        <v>0.4836</v>
      </c>
      <c r="P484" s="10" t="n">
        <f aca="false">IFERROR(VLOOKUP(A484,'Dados-Status-Invest'!$1:$1000,MATCH(P$1,'Dados-Status-Invest'!$2:$2,0),FALSE())/100,"")</f>
        <v>-0.1573</v>
      </c>
      <c r="Q484" s="10" t="n">
        <f aca="false">IFERROR(VLOOKUP(A484,'Dados-Status-Invest'!$1:$1000,MATCH(Q$1,'Dados-Status-Invest'!$2:$2,0),FALSE())/100,"")</f>
        <v>-0.2577</v>
      </c>
      <c r="R484" s="12" t="n">
        <f aca="false">IFERROR(VLOOKUP(A484,'Dados-Status-Invest'!$1:$1000,MATCH(R$1,'Dados-Status-Invest'!$2:$2,0),FALSE()),"")</f>
        <v>-13.36</v>
      </c>
      <c r="S484" s="12" t="n">
        <f aca="false">IFERROR(VLOOKUP(A484,'Dados-Status-Invest'!$1:$1000,MATCH(S$1,'Dados-Status-Invest'!$2:$2,0),FALSE()),"")</f>
        <v>15</v>
      </c>
      <c r="T484" s="12" t="n">
        <f aca="false">IFERROR(VLOOKUP(A484,'Dados-Status-Invest'!$1:$1000,MATCH(T$1,'Dados-Status-Invest'!$2:$2,0),FALSE()),"")</f>
        <v>-27.94</v>
      </c>
      <c r="U484" s="12" t="n">
        <f aca="false">IFERROR(VLOOKUP(A484,'Dados-Status-Invest'!$1:$1000,MATCH(U$1,'Dados-Status-Invest'!$2:$2,0),FALSE()),"")</f>
        <v>1.09</v>
      </c>
      <c r="V484" s="12" t="n">
        <f aca="false">IFERROR(VLOOKUP(A484,'Dados-Status-Invest'!$1:$1000,MATCH(V$1,'Dados-Status-Invest'!$2:$2,0),FALSE()),"")</f>
        <v>-6.05</v>
      </c>
      <c r="W484" s="10" t="n">
        <f aca="false">IFERROR(VLOOKUP(A484,'Dados-Status-Invest'!$1:$1000,MATCH(W$1,'Dados-Status-Invest'!$2:$2,0),FALSE())/100,"")</f>
        <v>0.1249</v>
      </c>
      <c r="X484" s="10" t="n">
        <f aca="false">IFERROR(VLOOKUP(A484,'Dados-Status-Invest'!$1:$1000,MATCH(X$1,'Dados-Status-Invest'!$2:$2,0),FALSE())/100,"")</f>
        <v>0</v>
      </c>
    </row>
    <row r="485" customFormat="false" ht="15.75" hidden="false" customHeight="false" outlineLevel="0" collapsed="false">
      <c r="A485" s="6" t="s">
        <v>518</v>
      </c>
      <c r="B485" s="7" t="str">
        <f aca="false">IFERROR(VLOOKUP(LEFT(A485,4),Setor!A:D,2,FALSE()),"")</f>
        <v>Consumo Cíclico</v>
      </c>
      <c r="C485" s="8" t="n">
        <f aca="false">IFERROR(__xludf.dummyfunction("IFERROR(IFERROR(GOOGLEFINANCE(A491,""price""),VLOOKUP(A491,'Dados-Status-Invest'!A:B,2,FALSE)),"""")"),7.93)</f>
        <v>7.93</v>
      </c>
      <c r="D485" s="8" t="n">
        <f aca="false">IFERROR(VLOOKUP(A485,'Dados-Status-Invest'!$1:$1000,MATCH(D$1,'Dados-Status-Invest'!$2:$2,0),FALSE()),"")</f>
        <v>2320849727</v>
      </c>
      <c r="E485" s="8" t="n">
        <f aca="false">IF(D485+H485&gt;0,D485+H485,"")</f>
        <v>2302133196.95</v>
      </c>
      <c r="F485" s="8" t="n">
        <f aca="false">IFERROR(D485/VLOOKUP(A485,'Dados-Status-Invest'!$1:$1000,5,FALSE()),"")</f>
        <v>1450531079</v>
      </c>
      <c r="G485" s="8" t="n">
        <f aca="false">IFERROR(D485/VLOOKUP(A485,'Dados-Status-Invest'!$1:$1000,6,FALSE()),"")</f>
        <v>3136283415</v>
      </c>
      <c r="H485" s="8" t="n">
        <f aca="false">IFERROR(VLOOKUP(A485,'Dados-Status-Invest'!$1:$1000,12,FALSE())*J485,"")</f>
        <v>-18716530.05</v>
      </c>
      <c r="I485" s="8" t="n">
        <f aca="false">IFERROR(D485/VLOOKUP(A485,'Dados-Status-Invest'!$1:$1000,14,FALSE()),"")</f>
        <v>1241096111</v>
      </c>
      <c r="J485" s="9" t="n">
        <f aca="false">IFERROR(D485/VLOOKUP(A485,'Dados-Status-Invest'!$1:$1000,10,FALSE()),"")</f>
        <v>311942167.6</v>
      </c>
      <c r="K485" s="10" t="n">
        <f aca="false">IFERROR(VLOOKUP(A485,'Dados-Status-Invest'!$1:$1000,3,FALSE())/100,"")</f>
        <v>0.0202</v>
      </c>
      <c r="L485" s="11" t="n">
        <f aca="false">IFERROR(VLOOKUP(A485,'Dados-Status-Invest'!$1:$1000,MATCH(L$1,'Dados-Status-Invest'!$2:$2,0),FALSE())/100,"")</f>
        <v>0.1224</v>
      </c>
      <c r="M485" s="10" t="n">
        <f aca="false">IFERROR(VLOOKUP(A485,'Dados-Status-Invest'!$1:$1000,MATCH(M$1,'Dados-Status-Invest'!$2:$2,0),FALSE())/100,"")</f>
        <v>0.0566</v>
      </c>
      <c r="N485" s="10" t="n">
        <f aca="false">IFERROR(VLOOKUP(A485,'Dados-Status-Invest'!$1:$1000,MATCH(N$1,'Dados-Status-Invest'!$2:$2,0),FALSE())/100,"")</f>
        <v>0.136</v>
      </c>
      <c r="O485" s="10" t="n">
        <f aca="false">IFERROR(VLOOKUP(A485,'Dados-Status-Invest'!$1:$1000,MATCH(O$1,'Dados-Status-Invest'!$2:$2,0),FALSE())/100,"")</f>
        <v>0.5443</v>
      </c>
      <c r="P485" s="10" t="n">
        <f aca="false">IFERROR(VLOOKUP(A485,'Dados-Status-Invest'!$1:$1000,MATCH(P$1,'Dados-Status-Invest'!$2:$2,0),FALSE())/100,"")</f>
        <v>0.2509</v>
      </c>
      <c r="Q485" s="10" t="n">
        <f aca="false">IFERROR(VLOOKUP(A485,'Dados-Status-Invest'!$1:$1000,MATCH(Q$1,'Dados-Status-Invest'!$2:$2,0),FALSE())/100,"")</f>
        <v>0.1428</v>
      </c>
      <c r="R485" s="12" t="n">
        <f aca="false">IFERROR(VLOOKUP(A485,'Dados-Status-Invest'!$1:$1000,MATCH(R$1,'Dados-Status-Invest'!$2:$2,0),FALSE()),"")</f>
        <v>13.07</v>
      </c>
      <c r="S485" s="12" t="n">
        <f aca="false">IFERROR(VLOOKUP(A485,'Dados-Status-Invest'!$1:$1000,MATCH(S$1,'Dados-Status-Invest'!$2:$2,0),FALSE()),"")</f>
        <v>1.6</v>
      </c>
      <c r="T485" s="12" t="n">
        <f aca="false">IFERROR(VLOOKUP(A485,'Dados-Status-Invest'!$1:$1000,MATCH(T$1,'Dados-Status-Invest'!$2:$2,0),FALSE()),"")</f>
        <v>7.35</v>
      </c>
      <c r="U485" s="12" t="n">
        <f aca="false">IFERROR(VLOOKUP(A485,'Dados-Status-Invest'!$1:$1000,MATCH(U$1,'Dados-Status-Invest'!$2:$2,0),FALSE()),"")</f>
        <v>2.13</v>
      </c>
      <c r="V485" s="12" t="n">
        <f aca="false">IFERROR(VLOOKUP(A485,'Dados-Status-Invest'!$1:$1000,MATCH(V$1,'Dados-Status-Invest'!$2:$2,0),FALSE()),"")</f>
        <v>-0.06</v>
      </c>
      <c r="W485" s="10" t="n">
        <f aca="false">IFERROR(VLOOKUP(A485,'Dados-Status-Invest'!$1:$1000,MATCH(W$1,'Dados-Status-Invest'!$2:$2,0),FALSE())/100,"")</f>
        <v>0.0415</v>
      </c>
      <c r="X485" s="10" t="n">
        <f aca="false">IFERROR(VLOOKUP(A485,'Dados-Status-Invest'!$1:$1000,MATCH(X$1,'Dados-Status-Invest'!$2:$2,0),FALSE())/100,"")</f>
        <v>0.0049</v>
      </c>
    </row>
    <row r="486" customFormat="false" ht="15.75" hidden="false" customHeight="false" outlineLevel="0" collapsed="false">
      <c r="A486" s="6" t="s">
        <v>519</v>
      </c>
      <c r="B486" s="7" t="s">
        <v>29</v>
      </c>
      <c r="C486" s="8" t="n">
        <f aca="false">IFERROR(__xludf.dummyfunction("IFERROR(IFERROR(GOOGLEFINANCE(A492,""price""),VLOOKUP(A492,'Dados-Status-Invest'!A:B,2,FALSE)),"""")"),8.11)</f>
        <v>8.11</v>
      </c>
      <c r="D486" s="8" t="n">
        <f aca="false">IFERROR(VLOOKUP(A486,'Dados-Status-Invest'!$1:$1000,MATCH(D$1,'Dados-Status-Invest'!$2:$2,0),FALSE()),"")</f>
        <v>3921242760</v>
      </c>
      <c r="E486" s="8" t="n">
        <f aca="false">IF(D486+H486&gt;0,D486+H486,"")</f>
        <v>4293479315.8</v>
      </c>
      <c r="F486" s="8" t="n">
        <f aca="false">IFERROR(D486/VLOOKUP(A486,'Dados-Status-Invest'!$1:$1000,5,FALSE()),"")</f>
        <v>399311890</v>
      </c>
      <c r="G486" s="8" t="n">
        <f aca="false">IFERROR(D486/VLOOKUP(A486,'Dados-Status-Invest'!$1:$1000,6,FALSE()),"")</f>
        <v>1620348248</v>
      </c>
      <c r="H486" s="8" t="n">
        <f aca="false">IFERROR(VLOOKUP(A486,'Dados-Status-Invest'!$1:$1000,12,FALSE())*J486,"")</f>
        <v>372236555.8</v>
      </c>
      <c r="I486" s="8" t="n">
        <f aca="false">IFERROR(D486/VLOOKUP(A486,'Dados-Status-Invest'!$1:$1000,14,FALSE()),"")</f>
        <v>1163573519</v>
      </c>
      <c r="J486" s="9" t="n">
        <f aca="false">IFERROR(D486/VLOOKUP(A486,'Dados-Status-Invest'!$1:$1000,10,FALSE()),"")</f>
        <v>40504521.85</v>
      </c>
      <c r="K486" s="10" t="n">
        <f aca="false">IFERROR(VLOOKUP(A486,'Dados-Status-Invest'!$1:$1000,3,FALSE())/100,"")</f>
        <v>0</v>
      </c>
      <c r="L486" s="11" t="n">
        <f aca="false">IFERROR(VLOOKUP(A486,'Dados-Status-Invest'!$1:$1000,MATCH(L$1,'Dados-Status-Invest'!$2:$2,0),FALSE())/100,"")</f>
        <v>-0.0043</v>
      </c>
      <c r="M486" s="10" t="n">
        <f aca="false">IFERROR(VLOOKUP(A486,'Dados-Status-Invest'!$1:$1000,MATCH(M$1,'Dados-Status-Invest'!$2:$2,0),FALSE())/100,"")</f>
        <v>-0.0011</v>
      </c>
      <c r="N486" s="10" t="n">
        <f aca="false">IFERROR(VLOOKUP(A486,'Dados-Status-Invest'!$1:$1000,MATCH(N$1,'Dados-Status-Invest'!$2:$2,0),FALSE())/100,"")</f>
        <v>0.0266</v>
      </c>
      <c r="O486" s="10" t="n">
        <f aca="false">IFERROR(VLOOKUP(A486,'Dados-Status-Invest'!$1:$1000,MATCH(O$1,'Dados-Status-Invest'!$2:$2,0),FALSE())/100,"")</f>
        <v>0.2068</v>
      </c>
      <c r="P486" s="10" t="n">
        <f aca="false">IFERROR(VLOOKUP(A486,'Dados-Status-Invest'!$1:$1000,MATCH(P$1,'Dados-Status-Invest'!$2:$2,0),FALSE())/100,"")</f>
        <v>0.0348</v>
      </c>
      <c r="Q486" s="10" t="n">
        <f aca="false">IFERROR(VLOOKUP(A486,'Dados-Status-Invest'!$1:$1000,MATCH(Q$1,'Dados-Status-Invest'!$2:$2,0),FALSE())/100,"")</f>
        <v>-0.0015</v>
      </c>
      <c r="R486" s="12" t="n">
        <f aca="false">IFERROR(VLOOKUP(A486,'Dados-Status-Invest'!$1:$1000,MATCH(R$1,'Dados-Status-Invest'!$2:$2,0),FALSE()),"")</f>
        <v>-2275.14</v>
      </c>
      <c r="S486" s="12" t="n">
        <f aca="false">IFERROR(VLOOKUP(A486,'Dados-Status-Invest'!$1:$1000,MATCH(S$1,'Dados-Status-Invest'!$2:$2,0),FALSE()),"")</f>
        <v>9.82</v>
      </c>
      <c r="T486" s="12" t="n">
        <f aca="false">IFERROR(VLOOKUP(A486,'Dados-Status-Invest'!$1:$1000,MATCH(T$1,'Dados-Status-Invest'!$2:$2,0),FALSE()),"")</f>
        <v>106.48</v>
      </c>
      <c r="U486" s="12" t="n">
        <f aca="false">IFERROR(VLOOKUP(A486,'Dados-Status-Invest'!$1:$1000,MATCH(U$1,'Dados-Status-Invest'!$2:$2,0),FALSE()),"")</f>
        <v>1.39</v>
      </c>
      <c r="V486" s="12" t="n">
        <f aca="false">IFERROR(VLOOKUP(A486,'Dados-Status-Invest'!$1:$1000,MATCH(V$1,'Dados-Status-Invest'!$2:$2,0),FALSE()),"")</f>
        <v>9.19</v>
      </c>
      <c r="W486" s="10" t="n">
        <f aca="false">IFERROR(VLOOKUP(A486,'Dados-Status-Invest'!$1:$1000,MATCH(W$1,'Dados-Status-Invest'!$2:$2,0),FALSE())/100,"")</f>
        <v>0</v>
      </c>
      <c r="X486" s="10" t="n">
        <f aca="false">IFERROR(VLOOKUP(A486,'Dados-Status-Invest'!$1:$1000,MATCH(X$1,'Dados-Status-Invest'!$2:$2,0),FALSE())/100,"")</f>
        <v>0</v>
      </c>
    </row>
    <row r="487" customFormat="false" ht="15.75" hidden="false" customHeight="false" outlineLevel="0" collapsed="false">
      <c r="A487" s="6" t="s">
        <v>520</v>
      </c>
      <c r="B487" s="7" t="str">
        <f aca="false">IFERROR(VLOOKUP(LEFT(A487,4),Setor!A:D,2,FALSE()),"")</f>
        <v>Consumo Cíclico</v>
      </c>
      <c r="C487" s="8" t="n">
        <f aca="false">IFERROR(__xludf.dummyfunction("IFERROR(IFERROR(GOOGLEFINANCE(A493,""price""),VLOOKUP(A493,'Dados-Status-Invest'!A:B,2,FALSE)),"""")"),3.39)</f>
        <v>3.39</v>
      </c>
      <c r="D487" s="8" t="n">
        <f aca="false">IFERROR(VLOOKUP(A487,'Dados-Status-Invest'!$1:$1000,MATCH(D$1,'Dados-Status-Invest'!$2:$2,0),FALSE()),"")</f>
        <v>538500000</v>
      </c>
      <c r="E487" s="8" t="n">
        <f aca="false">IF(D487+H487&gt;0,D487+H487,"")</f>
        <v>1307228260.9</v>
      </c>
      <c r="F487" s="8" t="n">
        <f aca="false">IFERROR(D487/VLOOKUP(A487,'Dados-Status-Invest'!$1:$1000,5,FALSE()),"")</f>
        <v>1098979592</v>
      </c>
      <c r="G487" s="8" t="n">
        <f aca="false">IFERROR(D487/VLOOKUP(A487,'Dados-Status-Invest'!$1:$1000,6,FALSE()),"")</f>
        <v>3167647059</v>
      </c>
      <c r="H487" s="8" t="n">
        <f aca="false">IFERROR(VLOOKUP(A487,'Dados-Status-Invest'!$1:$1000,12,FALSE())*J487,"")</f>
        <v>768728260.9</v>
      </c>
      <c r="I487" s="8" t="n">
        <f aca="false">IFERROR(D487/VLOOKUP(A487,'Dados-Status-Invest'!$1:$1000,14,FALSE()),"")</f>
        <v>1682812500</v>
      </c>
      <c r="J487" s="9" t="n">
        <f aca="false">IFERROR(D487/VLOOKUP(A487,'Dados-Status-Invest'!$1:$1000,10,FALSE()),"")</f>
        <v>130072463.8</v>
      </c>
      <c r="K487" s="10" t="n">
        <f aca="false">IFERROR(VLOOKUP(A487,'Dados-Status-Invest'!$1:$1000,3,FALSE())/100,"")</f>
        <v>0</v>
      </c>
      <c r="L487" s="11" t="n">
        <f aca="false">IFERROR(VLOOKUP(A487,'Dados-Status-Invest'!$1:$1000,MATCH(L$1,'Dados-Status-Invest'!$2:$2,0),FALSE())/100,"")</f>
        <v>-0.1342</v>
      </c>
      <c r="M487" s="10" t="n">
        <f aca="false">IFERROR(VLOOKUP(A487,'Dados-Status-Invest'!$1:$1000,MATCH(M$1,'Dados-Status-Invest'!$2:$2,0),FALSE())/100,"")</f>
        <v>-0.0457</v>
      </c>
      <c r="N487" s="10" t="n">
        <f aca="false">IFERROR(VLOOKUP(A487,'Dados-Status-Invest'!$1:$1000,MATCH(N$1,'Dados-Status-Invest'!$2:$2,0),FALSE())/100,"")</f>
        <v>0.0638</v>
      </c>
      <c r="O487" s="10" t="n">
        <f aca="false">IFERROR(VLOOKUP(A487,'Dados-Status-Invest'!$1:$1000,MATCH(O$1,'Dados-Status-Invest'!$2:$2,0),FALSE())/100,"")</f>
        <v>0.3434</v>
      </c>
      <c r="P487" s="10" t="n">
        <f aca="false">IFERROR(VLOOKUP(A487,'Dados-Status-Invest'!$1:$1000,MATCH(P$1,'Dados-Status-Invest'!$2:$2,0),FALSE())/100,"")</f>
        <v>0.0782</v>
      </c>
      <c r="Q487" s="10" t="n">
        <f aca="false">IFERROR(VLOOKUP(A487,'Dados-Status-Invest'!$1:$1000,MATCH(Q$1,'Dados-Status-Invest'!$2:$2,0),FALSE())/100,"")</f>
        <v>-0.0879</v>
      </c>
      <c r="R487" s="12" t="n">
        <f aca="false">IFERROR(VLOOKUP(A487,'Dados-Status-Invest'!$1:$1000,MATCH(R$1,'Dados-Status-Invest'!$2:$2,0),FALSE()),"")</f>
        <v>-3.68</v>
      </c>
      <c r="S487" s="12" t="n">
        <f aca="false">IFERROR(VLOOKUP(A487,'Dados-Status-Invest'!$1:$1000,MATCH(S$1,'Dados-Status-Invest'!$2:$2,0),FALSE()),"")</f>
        <v>0.49</v>
      </c>
      <c r="T487" s="12" t="n">
        <f aca="false">IFERROR(VLOOKUP(A487,'Dados-Status-Invest'!$1:$1000,MATCH(T$1,'Dados-Status-Invest'!$2:$2,0),FALSE()),"")</f>
        <v>10.05</v>
      </c>
      <c r="U487" s="12" t="n">
        <f aca="false">IFERROR(VLOOKUP(A487,'Dados-Status-Invest'!$1:$1000,MATCH(U$1,'Dados-Status-Invest'!$2:$2,0),FALSE()),"")</f>
        <v>1.27</v>
      </c>
      <c r="V487" s="12" t="n">
        <f aca="false">IFERROR(VLOOKUP(A487,'Dados-Status-Invest'!$1:$1000,MATCH(V$1,'Dados-Status-Invest'!$2:$2,0),FALSE()),"")</f>
        <v>5.91</v>
      </c>
      <c r="W487" s="10" t="n">
        <f aca="false">IFERROR(VLOOKUP(A487,'Dados-Status-Invest'!$1:$1000,MATCH(W$1,'Dados-Status-Invest'!$2:$2,0),FALSE())/100,"")</f>
        <v>-0.075</v>
      </c>
      <c r="X487" s="10" t="n">
        <f aca="false">IFERROR(VLOOKUP(A487,'Dados-Status-Invest'!$1:$1000,MATCH(X$1,'Dados-Status-Invest'!$2:$2,0),FALSE())/100,"")</f>
        <v>0</v>
      </c>
    </row>
    <row r="488" customFormat="false" ht="15.75" hidden="false" customHeight="false" outlineLevel="0" collapsed="false">
      <c r="A488" s="6" t="s">
        <v>521</v>
      </c>
      <c r="B488" s="7" t="str">
        <f aca="false">IFERROR(VLOOKUP(LEFT(A488,4),Setor!A:D,2,FALSE()),"")</f>
        <v>Consumo Cíclico</v>
      </c>
      <c r="C488" s="8" t="n">
        <f aca="false">IFERROR(__xludf.dummyfunction("IFERROR(IFERROR(GOOGLEFINANCE(A494,""price""),VLOOKUP(A494,'Dados-Status-Invest'!A:B,2,FALSE)),"""")"),3.85)</f>
        <v>3.85</v>
      </c>
      <c r="D488" s="8" t="n">
        <f aca="false">IFERROR(VLOOKUP(A488,'Dados-Status-Invest'!$1:$1000,MATCH(D$1,'Dados-Status-Invest'!$2:$2,0),FALSE()),"")</f>
        <v>419306552.4</v>
      </c>
      <c r="E488" s="8" t="n">
        <f aca="false">IF(D488+H488&gt;0,D488+H488,"")</f>
        <v>345218552.54</v>
      </c>
      <c r="F488" s="8" t="n">
        <f aca="false">IFERROR(D488/VLOOKUP(A488,'Dados-Status-Invest'!$1:$1000,5,FALSE()),"")</f>
        <v>188876825.4</v>
      </c>
      <c r="G488" s="8" t="n">
        <f aca="false">IFERROR(D488/VLOOKUP(A488,'Dados-Status-Invest'!$1:$1000,6,FALSE()),"")</f>
        <v>511349454.1</v>
      </c>
      <c r="H488" s="8" t="n">
        <f aca="false">IFERROR(VLOOKUP(A488,'Dados-Status-Invest'!$1:$1000,12,FALSE())*J488,"")</f>
        <v>-74087999.86</v>
      </c>
      <c r="I488" s="8" t="n">
        <f aca="false">IFERROR(D488/VLOOKUP(A488,'Dados-Status-Invest'!$1:$1000,14,FALSE()),"")</f>
        <v>10133072.8</v>
      </c>
      <c r="J488" s="9" t="n">
        <f aca="false">IFERROR(D488/VLOOKUP(A488,'Dados-Status-Invest'!$1:$1000,10,FALSE()),"")</f>
        <v>-78817021.12</v>
      </c>
      <c r="K488" s="10" t="n">
        <f aca="false">IFERROR(VLOOKUP(A488,'Dados-Status-Invest'!$1:$1000,3,FALSE())/100,"")</f>
        <v>0</v>
      </c>
      <c r="L488" s="11" t="n">
        <f aca="false">IFERROR(VLOOKUP(A488,'Dados-Status-Invest'!$1:$1000,MATCH(L$1,'Dados-Status-Invest'!$2:$2,0),FALSE())/100,"")</f>
        <v>-0.5574</v>
      </c>
      <c r="M488" s="10" t="n">
        <f aca="false">IFERROR(VLOOKUP(A488,'Dados-Status-Invest'!$1:$1000,MATCH(M$1,'Dados-Status-Invest'!$2:$2,0),FALSE())/100,"")</f>
        <v>-0.2063</v>
      </c>
      <c r="N488" s="10" t="n">
        <f aca="false">IFERROR(VLOOKUP(A488,'Dados-Status-Invest'!$1:$1000,MATCH(N$1,'Dados-Status-Invest'!$2:$2,0),FALSE())/100,"")</f>
        <v>-0.2933</v>
      </c>
      <c r="O488" s="10" t="n">
        <f aca="false">IFERROR(VLOOKUP(A488,'Dados-Status-Invest'!$1:$1000,MATCH(O$1,'Dados-Status-Invest'!$2:$2,0),FALSE())/100,"")</f>
        <v>-2.1066</v>
      </c>
      <c r="P488" s="10" t="n">
        <f aca="false">IFERROR(VLOOKUP(A488,'Dados-Status-Invest'!$1:$1000,MATCH(P$1,'Dados-Status-Invest'!$2:$2,0),FALSE())/100,"")</f>
        <v>-7.7833</v>
      </c>
      <c r="Q488" s="10" t="n">
        <f aca="false">IFERROR(VLOOKUP(A488,'Dados-Status-Invest'!$1:$1000,MATCH(Q$1,'Dados-Status-Invest'!$2:$2,0),FALSE())/100,"")</f>
        <v>-10.3914</v>
      </c>
      <c r="R488" s="12" t="n">
        <f aca="false">IFERROR(VLOOKUP(A488,'Dados-Status-Invest'!$1:$1000,MATCH(R$1,'Dados-Status-Invest'!$2:$2,0),FALSE()),"")</f>
        <v>-3.98</v>
      </c>
      <c r="S488" s="12" t="n">
        <f aca="false">IFERROR(VLOOKUP(A488,'Dados-Status-Invest'!$1:$1000,MATCH(S$1,'Dados-Status-Invest'!$2:$2,0),FALSE()),"")</f>
        <v>2.22</v>
      </c>
      <c r="T488" s="12" t="n">
        <f aca="false">IFERROR(VLOOKUP(A488,'Dados-Status-Invest'!$1:$1000,MATCH(T$1,'Dados-Status-Invest'!$2:$2,0),FALSE()),"")</f>
        <v>-4.36</v>
      </c>
      <c r="U488" s="12" t="n">
        <f aca="false">IFERROR(VLOOKUP(A488,'Dados-Status-Invest'!$1:$1000,MATCH(U$1,'Dados-Status-Invest'!$2:$2,0),FALSE()),"")</f>
        <v>1.46</v>
      </c>
      <c r="V488" s="12" t="n">
        <f aca="false">IFERROR(VLOOKUP(A488,'Dados-Status-Invest'!$1:$1000,MATCH(V$1,'Dados-Status-Invest'!$2:$2,0),FALSE()),"")</f>
        <v>0.94</v>
      </c>
      <c r="W488" s="10" t="n">
        <f aca="false">IFERROR(VLOOKUP(A488,'Dados-Status-Invest'!$1:$1000,MATCH(W$1,'Dados-Status-Invest'!$2:$2,0),FALSE())/100,"")</f>
        <v>-0.4082</v>
      </c>
      <c r="X488" s="10" t="n">
        <f aca="false">IFERROR(VLOOKUP(A488,'Dados-Status-Invest'!$1:$1000,MATCH(X$1,'Dados-Status-Invest'!$2:$2,0),FALSE())/100,"")</f>
        <v>0</v>
      </c>
    </row>
    <row r="489" customFormat="false" ht="15.75" hidden="false" customHeight="false" outlineLevel="0" collapsed="false">
      <c r="A489" s="6" t="s">
        <v>522</v>
      </c>
      <c r="B489" s="7" t="str">
        <f aca="false">IFERROR(VLOOKUP(LEFT(A489,4),Setor!A:D,2,FALSE()),"")</f>
        <v>Bens Industriais</v>
      </c>
      <c r="C489" s="8" t="n">
        <f aca="false">IFERROR(__xludf.dummyfunction("IFERROR(IFERROR(GOOGLEFINANCE(A495,""price""),VLOOKUP(A495,'Dados-Status-Invest'!A:B,2,FALSE)),"""")"),56.01)</f>
        <v>56.01</v>
      </c>
      <c r="D489" s="8" t="n">
        <f aca="false">IFERROR(VLOOKUP(A489,'Dados-Status-Invest'!$1:$1000,MATCH(D$1,'Dados-Status-Invest'!$2:$2,0),FALSE()),"")</f>
        <v>9588289034</v>
      </c>
      <c r="E489" s="8" t="n">
        <f aca="false">IF(D489+H489&gt;0,D489+H489,"")</f>
        <v>9749369738</v>
      </c>
      <c r="F489" s="8" t="n">
        <f aca="false">IFERROR(D489/VLOOKUP(A489,'Dados-Status-Invest'!$1:$1000,5,FALSE()),"")</f>
        <v>370490302.7</v>
      </c>
      <c r="G489" s="8" t="n">
        <f aca="false">IFERROR(D489/VLOOKUP(A489,'Dados-Status-Invest'!$1:$1000,6,FALSE()),"")</f>
        <v>920181289.2</v>
      </c>
      <c r="H489" s="8" t="n">
        <f aca="false">IFERROR(VLOOKUP(A489,'Dados-Status-Invest'!$1:$1000,12,FALSE())*J489,"")</f>
        <v>161080704</v>
      </c>
      <c r="I489" s="8" t="n">
        <f aca="false">IFERROR(D489/VLOOKUP(A489,'Dados-Status-Invest'!$1:$1000,14,FALSE()),"")</f>
        <v>568700417.2</v>
      </c>
      <c r="J489" s="9" t="n">
        <f aca="false">IFERROR(D489/VLOOKUP(A489,'Dados-Status-Invest'!$1:$1000,10,FALSE()),"")</f>
        <v>79742922.77</v>
      </c>
      <c r="K489" s="10" t="n">
        <f aca="false">IFERROR(VLOOKUP(A489,'Dados-Status-Invest'!$1:$1000,3,FALSE())/100,"")</f>
        <v>0.0028</v>
      </c>
      <c r="L489" s="11" t="n">
        <f aca="false">IFERROR(VLOOKUP(A489,'Dados-Status-Invest'!$1:$1000,MATCH(L$1,'Dados-Status-Invest'!$2:$2,0),FALSE())/100,"")</f>
        <v>0.1988</v>
      </c>
      <c r="M489" s="10" t="n">
        <f aca="false">IFERROR(VLOOKUP(A489,'Dados-Status-Invest'!$1:$1000,MATCH(M$1,'Dados-Status-Invest'!$2:$2,0),FALSE())/100,"")</f>
        <v>0.08</v>
      </c>
      <c r="N489" s="10" t="n">
        <f aca="false">IFERROR(VLOOKUP(A489,'Dados-Status-Invest'!$1:$1000,MATCH(N$1,'Dados-Status-Invest'!$2:$2,0),FALSE())/100,"")</f>
        <v>0.0807</v>
      </c>
      <c r="O489" s="10" t="n">
        <f aca="false">IFERROR(VLOOKUP(A489,'Dados-Status-Invest'!$1:$1000,MATCH(O$1,'Dados-Status-Invest'!$2:$2,0),FALSE())/100,"")</f>
        <v>0.2237</v>
      </c>
      <c r="P489" s="10" t="n">
        <f aca="false">IFERROR(VLOOKUP(A489,'Dados-Status-Invest'!$1:$1000,MATCH(P$1,'Dados-Status-Invest'!$2:$2,0),FALSE())/100,"")</f>
        <v>0.1402</v>
      </c>
      <c r="Q489" s="10" t="n">
        <f aca="false">IFERROR(VLOOKUP(A489,'Dados-Status-Invest'!$1:$1000,MATCH(Q$1,'Dados-Status-Invest'!$2:$2,0),FALSE())/100,"")</f>
        <v>0.1295</v>
      </c>
      <c r="R489" s="12" t="n">
        <f aca="false">IFERROR(VLOOKUP(A489,'Dados-Status-Invest'!$1:$1000,MATCH(R$1,'Dados-Status-Invest'!$2:$2,0),FALSE()),"")</f>
        <v>130.23</v>
      </c>
      <c r="S489" s="12" t="n">
        <f aca="false">IFERROR(VLOOKUP(A489,'Dados-Status-Invest'!$1:$1000,MATCH(S$1,'Dados-Status-Invest'!$2:$2,0),FALSE()),"")</f>
        <v>25.88</v>
      </c>
      <c r="T489" s="12" t="n">
        <f aca="false">IFERROR(VLOOKUP(A489,'Dados-Status-Invest'!$1:$1000,MATCH(T$1,'Dados-Status-Invest'!$2:$2,0),FALSE()),"")</f>
        <v>59.64</v>
      </c>
      <c r="U489" s="12" t="n">
        <f aca="false">IFERROR(VLOOKUP(A489,'Dados-Status-Invest'!$1:$1000,MATCH(U$1,'Dados-Status-Invest'!$2:$2,0),FALSE()),"")</f>
        <v>2.63</v>
      </c>
      <c r="V489" s="12" t="n">
        <f aca="false">IFERROR(VLOOKUP(A489,'Dados-Status-Invest'!$1:$1000,MATCH(V$1,'Dados-Status-Invest'!$2:$2,0),FALSE()),"")</f>
        <v>2.02</v>
      </c>
      <c r="W489" s="10" t="n">
        <f aca="false">IFERROR(VLOOKUP(A489,'Dados-Status-Invest'!$1:$1000,MATCH(W$1,'Dados-Status-Invest'!$2:$2,0),FALSE())/100,"")</f>
        <v>0.1016</v>
      </c>
      <c r="X489" s="10" t="n">
        <f aca="false">IFERROR(VLOOKUP(A489,'Dados-Status-Invest'!$1:$1000,MATCH(X$1,'Dados-Status-Invest'!$2:$2,0),FALSE())/100,"")</f>
        <v>0.2414</v>
      </c>
    </row>
    <row r="490" customFormat="false" ht="15.75" hidden="false" customHeight="false" outlineLevel="0" collapsed="false">
      <c r="A490" s="6" t="s">
        <v>523</v>
      </c>
      <c r="B490" s="7" t="str">
        <f aca="false">IFERROR(VLOOKUP(LEFT(A490,4),Setor!A:D,2,FALSE()),"")</f>
        <v>Bens Industriais</v>
      </c>
      <c r="C490" s="8" t="n">
        <f aca="false">IFERROR(__xludf.dummyfunction("IFERROR(IFERROR(GOOGLEFINANCE(A496,""price""),VLOOKUP(A496,'Dados-Status-Invest'!A:B,2,FALSE)),"""")"),4.42)</f>
        <v>4.42</v>
      </c>
      <c r="D490" s="8" t="n">
        <f aca="false">IFERROR(VLOOKUP(A490,'Dados-Status-Invest'!$1:$1000,MATCH(D$1,'Dados-Status-Invest'!$2:$2,0),FALSE()),"")</f>
        <v>9588289034</v>
      </c>
      <c r="E490" s="8" t="n">
        <f aca="false">IF(D490+H490&gt;0,D490+H490,"")</f>
        <v>11366833005</v>
      </c>
      <c r="F490" s="8" t="n">
        <f aca="false">IFERROR(D490/VLOOKUP(A490,'Dados-Status-Invest'!$1:$1000,5,FALSE()),"")</f>
        <v>4097559416</v>
      </c>
      <c r="G490" s="8" t="n">
        <f aca="false">IFERROR(D490/VLOOKUP(A490,'Dados-Status-Invest'!$1:$1000,6,FALSE()),"")</f>
        <v>10200307483</v>
      </c>
      <c r="H490" s="8" t="n">
        <f aca="false">IFERROR(VLOOKUP(A490,'Dados-Status-Invest'!$1:$1000,12,FALSE())*J490,"")</f>
        <v>1778543971</v>
      </c>
      <c r="I490" s="8" t="n">
        <f aca="false">IFERROR(D490/VLOOKUP(A490,'Dados-Status-Invest'!$1:$1000,14,FALSE()),"")</f>
        <v>6266855578</v>
      </c>
      <c r="J490" s="9" t="n">
        <f aca="false">IFERROR(D490/VLOOKUP(A490,'Dados-Status-Invest'!$1:$1000,10,FALSE()),"")</f>
        <v>880467312.6</v>
      </c>
      <c r="K490" s="10" t="n">
        <f aca="false">IFERROR(VLOOKUP(A490,'Dados-Status-Invest'!$1:$1000,3,FALSE())/100,"")</f>
        <v>0.0343</v>
      </c>
      <c r="L490" s="11" t="n">
        <f aca="false">IFERROR(VLOOKUP(A490,'Dados-Status-Invest'!$1:$1000,MATCH(L$1,'Dados-Status-Invest'!$2:$2,0),FALSE())/100,"")</f>
        <v>0.1988</v>
      </c>
      <c r="M490" s="10" t="n">
        <f aca="false">IFERROR(VLOOKUP(A490,'Dados-Status-Invest'!$1:$1000,MATCH(M$1,'Dados-Status-Invest'!$2:$2,0),FALSE())/100,"")</f>
        <v>0.08</v>
      </c>
      <c r="N490" s="10" t="n">
        <f aca="false">IFERROR(VLOOKUP(A490,'Dados-Status-Invest'!$1:$1000,MATCH(N$1,'Dados-Status-Invest'!$2:$2,0),FALSE())/100,"")</f>
        <v>0.0807</v>
      </c>
      <c r="O490" s="10" t="n">
        <f aca="false">IFERROR(VLOOKUP(A490,'Dados-Status-Invest'!$1:$1000,MATCH(O$1,'Dados-Status-Invest'!$2:$2,0),FALSE())/100,"")</f>
        <v>0.2237</v>
      </c>
      <c r="P490" s="10" t="n">
        <f aca="false">IFERROR(VLOOKUP(A490,'Dados-Status-Invest'!$1:$1000,MATCH(P$1,'Dados-Status-Invest'!$2:$2,0),FALSE())/100,"")</f>
        <v>0.1402</v>
      </c>
      <c r="Q490" s="10" t="n">
        <f aca="false">IFERROR(VLOOKUP(A490,'Dados-Status-Invest'!$1:$1000,MATCH(Q$1,'Dados-Status-Invest'!$2:$2,0),FALSE())/100,"")</f>
        <v>0.1295</v>
      </c>
      <c r="R490" s="12" t="n">
        <f aca="false">IFERROR(VLOOKUP(A490,'Dados-Status-Invest'!$1:$1000,MATCH(R$1,'Dados-Status-Invest'!$2:$2,0),FALSE()),"")</f>
        <v>11.79</v>
      </c>
      <c r="S490" s="12" t="n">
        <f aca="false">IFERROR(VLOOKUP(A490,'Dados-Status-Invest'!$1:$1000,MATCH(S$1,'Dados-Status-Invest'!$2:$2,0),FALSE()),"")</f>
        <v>2.34</v>
      </c>
      <c r="T490" s="12" t="n">
        <f aca="false">IFERROR(VLOOKUP(A490,'Dados-Status-Invest'!$1:$1000,MATCH(T$1,'Dados-Status-Invest'!$2:$2,0),FALSE()),"")</f>
        <v>59.64</v>
      </c>
      <c r="U490" s="12" t="n">
        <f aca="false">IFERROR(VLOOKUP(A490,'Dados-Status-Invest'!$1:$1000,MATCH(U$1,'Dados-Status-Invest'!$2:$2,0),FALSE()),"")</f>
        <v>2.63</v>
      </c>
      <c r="V490" s="12" t="n">
        <f aca="false">IFERROR(VLOOKUP(A490,'Dados-Status-Invest'!$1:$1000,MATCH(V$1,'Dados-Status-Invest'!$2:$2,0),FALSE()),"")</f>
        <v>2.02</v>
      </c>
      <c r="W490" s="10" t="n">
        <f aca="false">IFERROR(VLOOKUP(A490,'Dados-Status-Invest'!$1:$1000,MATCH(W$1,'Dados-Status-Invest'!$2:$2,0),FALSE())/100,"")</f>
        <v>0.1016</v>
      </c>
      <c r="X490" s="10" t="n">
        <f aca="false">IFERROR(VLOOKUP(A490,'Dados-Status-Invest'!$1:$1000,MATCH(X$1,'Dados-Status-Invest'!$2:$2,0),FALSE())/100,"")</f>
        <v>0.2414</v>
      </c>
    </row>
    <row r="491" customFormat="false" ht="15.75" hidden="false" customHeight="false" outlineLevel="0" collapsed="false">
      <c r="A491" s="6" t="s">
        <v>524</v>
      </c>
      <c r="B491" s="7" t="str">
        <f aca="false">IFERROR(VLOOKUP(LEFT(A491,4),Setor!A:D,2,FALSE()),"")</f>
        <v>Financeiro</v>
      </c>
      <c r="C491" s="8" t="n">
        <f aca="false">IFERROR(__xludf.dummyfunction("IFERROR(IFERROR(GOOGLEFINANCE(A497,""price""),VLOOKUP(A497,'Dados-Status-Invest'!A:B,2,FALSE)),"""")"),10.7)</f>
        <v>10.7</v>
      </c>
      <c r="D491" s="8" t="n">
        <f aca="false">IFERROR(VLOOKUP(A491,'Dados-Status-Invest'!$1:$1000,MATCH(D$1,'Dados-Status-Invest'!$2:$2,0),FALSE()),"")</f>
        <v>10978623720</v>
      </c>
      <c r="E491" s="8" t="n">
        <f aca="false">IF(D491+H491&gt;0,D491+H491,"")</f>
        <v>23578751485</v>
      </c>
      <c r="F491" s="8" t="n">
        <f aca="false">IFERROR(D491/VLOOKUP(A491,'Dados-Status-Invest'!$1:$1000,5,FALSE()),"")</f>
        <v>2249717975</v>
      </c>
      <c r="G491" s="8" t="n">
        <f aca="false">IFERROR(D491/VLOOKUP(A491,'Dados-Status-Invest'!$1:$1000,6,FALSE()),"")</f>
        <v>31367496342</v>
      </c>
      <c r="H491" s="8" t="n">
        <f aca="false">IFERROR(VLOOKUP(A491,'Dados-Status-Invest'!$1:$1000,12,FALSE())*J491,"")</f>
        <v>12600127765</v>
      </c>
      <c r="I491" s="8" t="n">
        <f aca="false">IFERROR(D491/VLOOKUP(A491,'Dados-Status-Invest'!$1:$1000,14,FALSE()),"")</f>
        <v>9980567018</v>
      </c>
      <c r="J491" s="9" t="n">
        <f aca="false">IFERROR(D491/VLOOKUP(A491,'Dados-Status-Invest'!$1:$1000,10,FALSE()),"")</f>
        <v>1487618390</v>
      </c>
      <c r="K491" s="10" t="n">
        <f aca="false">IFERROR(VLOOKUP(A491,'Dados-Status-Invest'!$1:$1000,3,FALSE())/100,"")</f>
        <v>0.0064</v>
      </c>
      <c r="L491" s="11" t="n">
        <f aca="false">IFERROR(VLOOKUP(A491,'Dados-Status-Invest'!$1:$1000,MATCH(L$1,'Dados-Status-Invest'!$2:$2,0),FALSE())/100,"")</f>
        <v>0.1776</v>
      </c>
      <c r="M491" s="10" t="n">
        <f aca="false">IFERROR(VLOOKUP(A491,'Dados-Status-Invest'!$1:$1000,MATCH(M$1,'Dados-Status-Invest'!$2:$2,0),FALSE())/100,"")</f>
        <v>0.0127</v>
      </c>
      <c r="N491" s="10" t="n">
        <f aca="false">IFERROR(VLOOKUP(A491,'Dados-Status-Invest'!$1:$1000,MATCH(N$1,'Dados-Status-Invest'!$2:$2,0),FALSE())/100,"")</f>
        <v>0.0406</v>
      </c>
      <c r="O491" s="10" t="n">
        <f aca="false">IFERROR(VLOOKUP(A491,'Dados-Status-Invest'!$1:$1000,MATCH(O$1,'Dados-Status-Invest'!$2:$2,0),FALSE())/100,"")</f>
        <v>0.2316</v>
      </c>
      <c r="P491" s="10" t="n">
        <f aca="false">IFERROR(VLOOKUP(A491,'Dados-Status-Invest'!$1:$1000,MATCH(P$1,'Dados-Status-Invest'!$2:$2,0),FALSE())/100,"")</f>
        <v>0.1496</v>
      </c>
      <c r="Q491" s="10" t="n">
        <f aca="false">IFERROR(VLOOKUP(A491,'Dados-Status-Invest'!$1:$1000,MATCH(Q$1,'Dados-Status-Invest'!$2:$2,0),FALSE())/100,"")</f>
        <v>0.0402</v>
      </c>
      <c r="R491" s="12" t="n">
        <f aca="false">IFERROR(VLOOKUP(A491,'Dados-Status-Invest'!$1:$1000,MATCH(R$1,'Dados-Status-Invest'!$2:$2,0),FALSE()),"")</f>
        <v>27.45</v>
      </c>
      <c r="S491" s="12" t="n">
        <f aca="false">IFERROR(VLOOKUP(A491,'Dados-Status-Invest'!$1:$1000,MATCH(S$1,'Dados-Status-Invest'!$2:$2,0),FALSE()),"")</f>
        <v>4.88</v>
      </c>
      <c r="T491" s="12" t="n">
        <f aca="false">IFERROR(VLOOKUP(A491,'Dados-Status-Invest'!$1:$1000,MATCH(T$1,'Dados-Status-Invest'!$2:$2,0),FALSE()),"")</f>
        <v>15.75</v>
      </c>
      <c r="U491" s="12" t="n">
        <f aca="false">IFERROR(VLOOKUP(A491,'Dados-Status-Invest'!$1:$1000,MATCH(U$1,'Dados-Status-Invest'!$2:$2,0),FALSE()),"")</f>
        <v>3.25</v>
      </c>
      <c r="V491" s="12" t="n">
        <f aca="false">IFERROR(VLOOKUP(A491,'Dados-Status-Invest'!$1:$1000,MATCH(V$1,'Dados-Status-Invest'!$2:$2,0),FALSE()),"")</f>
        <v>8.47</v>
      </c>
      <c r="W491" s="10" t="n">
        <f aca="false">IFERROR(VLOOKUP(A491,'Dados-Status-Invest'!$1:$1000,MATCH(W$1,'Dados-Status-Invest'!$2:$2,0),FALSE())/100,"")</f>
        <v>0.1036</v>
      </c>
      <c r="X491" s="10" t="n">
        <f aca="false">IFERROR(VLOOKUP(A491,'Dados-Status-Invest'!$1:$1000,MATCH(X$1,'Dados-Status-Invest'!$2:$2,0),FALSE())/100,"")</f>
        <v>0.5342</v>
      </c>
    </row>
    <row r="492" customFormat="false" ht="15.75" hidden="false" customHeight="false" outlineLevel="0" collapsed="false">
      <c r="A492" s="6" t="s">
        <v>525</v>
      </c>
      <c r="B492" s="7" t="str">
        <f aca="false">IFERROR(VLOOKUP(LEFT(A492,4),Setor!A:D,2,FALSE()),"")</f>
        <v>Consumo não Cíclico</v>
      </c>
      <c r="C492" s="8" t="n">
        <f aca="false">IFERROR(__xludf.dummyfunction("IFERROR(IFERROR(GOOGLEFINANCE(A498,""price""),VLOOKUP(A498,'Dados-Status-Invest'!A:B,2,FALSE)),"""")"),53.27)</f>
        <v>53.27</v>
      </c>
      <c r="D492" s="8" t="n">
        <f aca="false">IFERROR(VLOOKUP(A492,'Dados-Status-Invest'!$1:$1000,MATCH(D$1,'Dados-Status-Invest'!$2:$2,0),FALSE()),"")</f>
        <v>9287694350</v>
      </c>
      <c r="E492" s="8" t="n">
        <f aca="false">IF(D492+H492&gt;0,D492+H492,"")</f>
        <v>10313398459</v>
      </c>
      <c r="F492" s="8" t="n">
        <f aca="false">IFERROR(D492/VLOOKUP(A492,'Dados-Status-Invest'!$1:$1000,5,FALSE()),"")</f>
        <v>3137734578</v>
      </c>
      <c r="G492" s="8" t="n">
        <f aca="false">IFERROR(D492/VLOOKUP(A492,'Dados-Status-Invest'!$1:$1000,6,FALSE()),"")</f>
        <v>9105582696</v>
      </c>
      <c r="H492" s="8" t="n">
        <f aca="false">IFERROR(VLOOKUP(A492,'Dados-Status-Invest'!$1:$1000,12,FALSE())*J492,"")</f>
        <v>1025704109</v>
      </c>
      <c r="I492" s="8" t="n">
        <f aca="false">IFERROR(D492/VLOOKUP(A492,'Dados-Status-Invest'!$1:$1000,14,FALSE()),"")</f>
        <v>4508589490</v>
      </c>
      <c r="J492" s="9" t="n">
        <f aca="false">IFERROR(D492/VLOOKUP(A492,'Dados-Status-Invest'!$1:$1000,10,FALSE()),"")</f>
        <v>1127147373</v>
      </c>
      <c r="K492" s="10" t="n">
        <f aca="false">IFERROR(VLOOKUP(A492,'Dados-Status-Invest'!$1:$1000,3,FALSE())/100,"")</f>
        <v>0.0339</v>
      </c>
      <c r="L492" s="11" t="n">
        <f aca="false">IFERROR(VLOOKUP(A492,'Dados-Status-Invest'!$1:$1000,MATCH(L$1,'Dados-Status-Invest'!$2:$2,0),FALSE())/100,"")</f>
        <v>0.2184</v>
      </c>
      <c r="M492" s="10" t="n">
        <f aca="false">IFERROR(VLOOKUP(A492,'Dados-Status-Invest'!$1:$1000,MATCH(M$1,'Dados-Status-Invest'!$2:$2,0),FALSE())/100,"")</f>
        <v>0.0755</v>
      </c>
      <c r="N492" s="10" t="n">
        <f aca="false">IFERROR(VLOOKUP(A492,'Dados-Status-Invest'!$1:$1000,MATCH(N$1,'Dados-Status-Invest'!$2:$2,0),FALSE())/100,"")</f>
        <v>0.1384</v>
      </c>
      <c r="O492" s="10" t="n">
        <f aca="false">IFERROR(VLOOKUP(A492,'Dados-Status-Invest'!$1:$1000,MATCH(O$1,'Dados-Status-Invest'!$2:$2,0),FALSE())/100,"")</f>
        <v>0.3192</v>
      </c>
      <c r="P492" s="10" t="n">
        <f aca="false">IFERROR(VLOOKUP(A492,'Dados-Status-Invest'!$1:$1000,MATCH(P$1,'Dados-Status-Invest'!$2:$2,0),FALSE())/100,"")</f>
        <v>0.2503</v>
      </c>
      <c r="Q492" s="10" t="n">
        <f aca="false">IFERROR(VLOOKUP(A492,'Dados-Status-Invest'!$1:$1000,MATCH(Q$1,'Dados-Status-Invest'!$2:$2,0),FALSE())/100,"")</f>
        <v>0.1525</v>
      </c>
      <c r="R492" s="12" t="n">
        <f aca="false">IFERROR(VLOOKUP(A492,'Dados-Status-Invest'!$1:$1000,MATCH(R$1,'Dados-Status-Invest'!$2:$2,0),FALSE()),"")</f>
        <v>13.53</v>
      </c>
      <c r="S492" s="12" t="n">
        <f aca="false">IFERROR(VLOOKUP(A492,'Dados-Status-Invest'!$1:$1000,MATCH(S$1,'Dados-Status-Invest'!$2:$2,0),FALSE()),"")</f>
        <v>2.96</v>
      </c>
      <c r="T492" s="12" t="n">
        <f aca="false">IFERROR(VLOOKUP(A492,'Dados-Status-Invest'!$1:$1000,MATCH(T$1,'Dados-Status-Invest'!$2:$2,0),FALSE()),"")</f>
        <v>9.13</v>
      </c>
      <c r="U492" s="12" t="n">
        <f aca="false">IFERROR(VLOOKUP(A492,'Dados-Status-Invest'!$1:$1000,MATCH(U$1,'Dados-Status-Invest'!$2:$2,0),FALSE()),"")</f>
        <v>1.61</v>
      </c>
      <c r="V492" s="12" t="n">
        <f aca="false">IFERROR(VLOOKUP(A492,'Dados-Status-Invest'!$1:$1000,MATCH(V$1,'Dados-Status-Invest'!$2:$2,0),FALSE()),"")</f>
        <v>0.91</v>
      </c>
      <c r="W492" s="10" t="n">
        <f aca="false">IFERROR(VLOOKUP(A492,'Dados-Status-Invest'!$1:$1000,MATCH(W$1,'Dados-Status-Invest'!$2:$2,0),FALSE())/100,"")</f>
        <v>0.1707</v>
      </c>
      <c r="X492" s="10" t="n">
        <f aca="false">IFERROR(VLOOKUP(A492,'Dados-Status-Invest'!$1:$1000,MATCH(X$1,'Dados-Status-Invest'!$2:$2,0),FALSE())/100,"")</f>
        <v>0.3335</v>
      </c>
    </row>
    <row r="493" customFormat="false" ht="15.75" hidden="false" customHeight="false" outlineLevel="0" collapsed="false">
      <c r="A493" s="6" t="s">
        <v>526</v>
      </c>
      <c r="B493" s="7" t="str">
        <f aca="false">IFERROR(VLOOKUP(LEFT(A493,4),Setor!A:D,2,FALSE()),"")</f>
        <v>Consumo Cíclico</v>
      </c>
      <c r="C493" s="8" t="n">
        <f aca="false">IFERROR(__xludf.dummyfunction("IFERROR(IFERROR(GOOGLEFINANCE(A499,""price""),VLOOKUP(A499,'Dados-Status-Invest'!A:B,2,FALSE)),"""")"),13)</f>
        <v>13</v>
      </c>
      <c r="D493" s="8" t="n">
        <f aca="false">IFERROR(VLOOKUP(A493,'Dados-Status-Invest'!$1:$1000,MATCH(D$1,'Dados-Status-Invest'!$2:$2,0),FALSE()),"")</f>
        <v>47758028.82</v>
      </c>
      <c r="E493" s="8" t="n">
        <f aca="false">IF(D493+H493&gt;0,D493+H493,"")</f>
        <v>238790144.12</v>
      </c>
      <c r="F493" s="8" t="n">
        <f aca="false">IFERROR(D493/VLOOKUP(A493,'Dados-Status-Invest'!$1:$1000,5,FALSE()),"")</f>
        <v>-397983573.5</v>
      </c>
      <c r="G493" s="8" t="n">
        <f aca="false">IFERROR(D493/VLOOKUP(A493,'Dados-Status-Invest'!$1:$1000,6,FALSE()),"")</f>
        <v>207643603.6</v>
      </c>
      <c r="H493" s="8" t="n">
        <f aca="false">IFERROR(VLOOKUP(A493,'Dados-Status-Invest'!$1:$1000,12,FALSE())*J493,"")</f>
        <v>191032115.3</v>
      </c>
      <c r="I493" s="8" t="n">
        <f aca="false">IFERROR(D493/VLOOKUP(A493,'Dados-Status-Invest'!$1:$1000,14,FALSE()),"")</f>
        <v>97465364.94</v>
      </c>
      <c r="J493" s="9" t="n">
        <f aca="false">IFERROR(D493/VLOOKUP(A493,'Dados-Status-Invest'!$1:$1000,10,FALSE()),"")</f>
        <v>-265322382.3</v>
      </c>
      <c r="K493" s="10" t="n">
        <f aca="false">IFERROR(VLOOKUP(A493,'Dados-Status-Invest'!$1:$1000,3,FALSE())/100,"")</f>
        <v>0</v>
      </c>
      <c r="L493" s="11" t="n">
        <f aca="false">IFERROR(VLOOKUP(A493,'Dados-Status-Invest'!$1:$1000,MATCH(L$1,'Dados-Status-Invest'!$2:$2,0),FALSE())/100,"")</f>
        <v>-0.6874</v>
      </c>
      <c r="M493" s="10" t="n">
        <f aca="false">IFERROR(VLOOKUP(A493,'Dados-Status-Invest'!$1:$1000,MATCH(M$1,'Dados-Status-Invest'!$2:$2,0),FALSE())/100,"")</f>
        <v>-1.3619</v>
      </c>
      <c r="N493" s="10" t="n">
        <f aca="false">IFERROR(VLOOKUP(A493,'Dados-Status-Invest'!$1:$1000,MATCH(N$1,'Dados-Status-Invest'!$2:$2,0),FALSE())/100,"")</f>
        <v>1.229</v>
      </c>
      <c r="O493" s="10" t="n">
        <f aca="false">IFERROR(VLOOKUP(A493,'Dados-Status-Invest'!$1:$1000,MATCH(O$1,'Dados-Status-Invest'!$2:$2,0),FALSE())/100,"")</f>
        <v>0.2169</v>
      </c>
      <c r="P493" s="10" t="n">
        <f aca="false">IFERROR(VLOOKUP(A493,'Dados-Status-Invest'!$1:$1000,MATCH(P$1,'Dados-Status-Invest'!$2:$2,0),FALSE())/100,"")</f>
        <v>-2.6848</v>
      </c>
      <c r="Q493" s="10" t="n">
        <f aca="false">IFERROR(VLOOKUP(A493,'Dados-Status-Invest'!$1:$1000,MATCH(Q$1,'Dados-Status-Invest'!$2:$2,0),FALSE())/100,"")</f>
        <v>-2.9125</v>
      </c>
      <c r="R493" s="12" t="n">
        <f aca="false">IFERROR(VLOOKUP(A493,'Dados-Status-Invest'!$1:$1000,MATCH(R$1,'Dados-Status-Invest'!$2:$2,0),FALSE()),"")</f>
        <v>-0.17</v>
      </c>
      <c r="S493" s="12" t="n">
        <f aca="false">IFERROR(VLOOKUP(A493,'Dados-Status-Invest'!$1:$1000,MATCH(S$1,'Dados-Status-Invest'!$2:$2,0),FALSE()),"")</f>
        <v>-0.12</v>
      </c>
      <c r="T493" s="12" t="n">
        <f aca="false">IFERROR(VLOOKUP(A493,'Dados-Status-Invest'!$1:$1000,MATCH(T$1,'Dados-Status-Invest'!$2:$2,0),FALSE()),"")</f>
        <v>-0.85</v>
      </c>
      <c r="U493" s="12" t="n">
        <f aca="false">IFERROR(VLOOKUP(A493,'Dados-Status-Invest'!$1:$1000,MATCH(U$1,'Dados-Status-Invest'!$2:$2,0),FALSE()),"")</f>
        <v>0.65</v>
      </c>
      <c r="V493" s="12" t="n">
        <f aca="false">IFERROR(VLOOKUP(A493,'Dados-Status-Invest'!$1:$1000,MATCH(V$1,'Dados-Status-Invest'!$2:$2,0),FALSE()),"")</f>
        <v>-0.72</v>
      </c>
      <c r="W493" s="10" t="n">
        <f aca="false">IFERROR(VLOOKUP(A493,'Dados-Status-Invest'!$1:$1000,MATCH(W$1,'Dados-Status-Invest'!$2:$2,0),FALSE())/100,"")</f>
        <v>-0.3261</v>
      </c>
      <c r="X493" s="10" t="n">
        <f aca="false">IFERROR(VLOOKUP(A493,'Dados-Status-Invest'!$1:$1000,MATCH(X$1,'Dados-Status-Invest'!$2:$2,0),FALSE())/100,"")</f>
        <v>0</v>
      </c>
    </row>
    <row r="494" customFormat="false" ht="15.75" hidden="false" customHeight="false" outlineLevel="0" collapsed="false">
      <c r="A494" s="6" t="s">
        <v>527</v>
      </c>
      <c r="B494" s="7" t="str">
        <f aca="false">IFERROR(VLOOKUP(LEFT(A494,4),Setor!A:D,2,FALSE()),"")</f>
        <v>Consumo Cíclico</v>
      </c>
      <c r="C494" s="8" t="n">
        <f aca="false">IFERROR(__xludf.dummyfunction("IFERROR(IFERROR(GOOGLEFINANCE(A500,""price""),VLOOKUP(A500,'Dados-Status-Invest'!A:B,2,FALSE)),"""")"),5.47)</f>
        <v>5.47</v>
      </c>
      <c r="D494" s="8" t="n">
        <f aca="false">IFERROR(VLOOKUP(A494,'Dados-Status-Invest'!$1:$1000,MATCH(D$1,'Dados-Status-Invest'!$2:$2,0),FALSE()),"")</f>
        <v>47758028.82</v>
      </c>
      <c r="E494" s="8" t="n">
        <f aca="false">IF(D494+H494&gt;0,D494+H494,"")</f>
        <v>360356035.62</v>
      </c>
      <c r="F494" s="8" t="n">
        <f aca="false">IFERROR(D494/VLOOKUP(A494,'Dados-Status-Invest'!$1:$1000,5,FALSE()),"")</f>
        <v>-682257554.6</v>
      </c>
      <c r="G494" s="8" t="n">
        <f aca="false">IFERROR(D494/VLOOKUP(A494,'Dados-Status-Invest'!$1:$1000,6,FALSE()),"")</f>
        <v>367369452.5</v>
      </c>
      <c r="H494" s="8" t="n">
        <f aca="false">IFERROR(VLOOKUP(A494,'Dados-Status-Invest'!$1:$1000,12,FALSE())*J494,"")</f>
        <v>312598006.8</v>
      </c>
      <c r="I494" s="8" t="n">
        <f aca="false">IFERROR(D494/VLOOKUP(A494,'Dados-Status-Invest'!$1:$1000,14,FALSE()),"")</f>
        <v>164682858</v>
      </c>
      <c r="J494" s="9" t="n">
        <f aca="false">IFERROR(D494/VLOOKUP(A494,'Dados-Status-Invest'!$1:$1000,10,FALSE()),"")</f>
        <v>-434163898.4</v>
      </c>
      <c r="K494" s="10" t="n">
        <f aca="false">IFERROR(VLOOKUP(A494,'Dados-Status-Invest'!$1:$1000,3,FALSE())/100,"")</f>
        <v>0</v>
      </c>
      <c r="L494" s="11" t="n">
        <f aca="false">IFERROR(VLOOKUP(A494,'Dados-Status-Invest'!$1:$1000,MATCH(L$1,'Dados-Status-Invest'!$2:$2,0),FALSE())/100,"")</f>
        <v>-0.6874</v>
      </c>
      <c r="M494" s="10" t="n">
        <f aca="false">IFERROR(VLOOKUP(A494,'Dados-Status-Invest'!$1:$1000,MATCH(M$1,'Dados-Status-Invest'!$2:$2,0),FALSE())/100,"")</f>
        <v>-1.3619</v>
      </c>
      <c r="N494" s="10" t="n">
        <f aca="false">IFERROR(VLOOKUP(A494,'Dados-Status-Invest'!$1:$1000,MATCH(N$1,'Dados-Status-Invest'!$2:$2,0),FALSE())/100,"")</f>
        <v>1.229</v>
      </c>
      <c r="O494" s="10" t="n">
        <f aca="false">IFERROR(VLOOKUP(A494,'Dados-Status-Invest'!$1:$1000,MATCH(O$1,'Dados-Status-Invest'!$2:$2,0),FALSE())/100,"")</f>
        <v>0.2169</v>
      </c>
      <c r="P494" s="10" t="n">
        <f aca="false">IFERROR(VLOOKUP(A494,'Dados-Status-Invest'!$1:$1000,MATCH(P$1,'Dados-Status-Invest'!$2:$2,0),FALSE())/100,"")</f>
        <v>-2.6848</v>
      </c>
      <c r="Q494" s="10" t="n">
        <f aca="false">IFERROR(VLOOKUP(A494,'Dados-Status-Invest'!$1:$1000,MATCH(Q$1,'Dados-Status-Invest'!$2:$2,0),FALSE())/100,"")</f>
        <v>-2.9125</v>
      </c>
      <c r="R494" s="12" t="n">
        <f aca="false">IFERROR(VLOOKUP(A494,'Dados-Status-Invest'!$1:$1000,MATCH(R$1,'Dados-Status-Invest'!$2:$2,0),FALSE()),"")</f>
        <v>-0.1</v>
      </c>
      <c r="S494" s="12" t="n">
        <f aca="false">IFERROR(VLOOKUP(A494,'Dados-Status-Invest'!$1:$1000,MATCH(S$1,'Dados-Status-Invest'!$2:$2,0),FALSE()),"")</f>
        <v>-0.07</v>
      </c>
      <c r="T494" s="12" t="n">
        <f aca="false">IFERROR(VLOOKUP(A494,'Dados-Status-Invest'!$1:$1000,MATCH(T$1,'Dados-Status-Invest'!$2:$2,0),FALSE()),"")</f>
        <v>-0.85</v>
      </c>
      <c r="U494" s="12" t="n">
        <f aca="false">IFERROR(VLOOKUP(A494,'Dados-Status-Invest'!$1:$1000,MATCH(U$1,'Dados-Status-Invest'!$2:$2,0),FALSE()),"")</f>
        <v>0.65</v>
      </c>
      <c r="V494" s="12" t="n">
        <f aca="false">IFERROR(VLOOKUP(A494,'Dados-Status-Invest'!$1:$1000,MATCH(V$1,'Dados-Status-Invest'!$2:$2,0),FALSE()),"")</f>
        <v>-0.72</v>
      </c>
      <c r="W494" s="10" t="n">
        <f aca="false">IFERROR(VLOOKUP(A494,'Dados-Status-Invest'!$1:$1000,MATCH(W$1,'Dados-Status-Invest'!$2:$2,0),FALSE())/100,"")</f>
        <v>-0.3261</v>
      </c>
      <c r="X494" s="10" t="n">
        <f aca="false">IFERROR(VLOOKUP(A494,'Dados-Status-Invest'!$1:$1000,MATCH(X$1,'Dados-Status-Invest'!$2:$2,0),FALSE())/100,"")</f>
        <v>0</v>
      </c>
    </row>
    <row r="495" customFormat="false" ht="15.75" hidden="false" customHeight="false" outlineLevel="0" collapsed="false">
      <c r="A495" s="6" t="s">
        <v>528</v>
      </c>
      <c r="B495" s="7" t="str">
        <f aca="false">IFERROR(VLOOKUP(LEFT(A495,4),Setor!A:D,2,FALSE()),"")</f>
        <v>Consumo Cíclico</v>
      </c>
      <c r="C495" s="8" t="n">
        <f aca="false">IFERROR(__xludf.dummyfunction("IFERROR(IFERROR(GOOGLEFINANCE(A501,""price""),VLOOKUP(A501,'Dados-Status-Invest'!A:B,2,FALSE)),"""")"),15.34)</f>
        <v>15.34</v>
      </c>
      <c r="D495" s="8" t="n">
        <f aca="false">IFERROR(VLOOKUP(A495,'Dados-Status-Invest'!$1:$1000,MATCH(D$1,'Dados-Status-Invest'!$2:$2,0),FALSE()),"")</f>
        <v>0</v>
      </c>
      <c r="E495" s="8" t="str">
        <f aca="false">IF(D495+H495&gt;0,D495+H495,"")</f>
        <v/>
      </c>
      <c r="F495" s="8" t="str">
        <f aca="false">IFERROR(D495/VLOOKUP(A495,'Dados-Status-Invest'!$1:$1000,5,FALSE()),"")</f>
        <v/>
      </c>
      <c r="G495" s="8" t="str">
        <f aca="false">IFERROR(D495/VLOOKUP(A495,'Dados-Status-Invest'!$1:$1000,6,FALSE()),"")</f>
        <v/>
      </c>
      <c r="H495" s="8" t="n">
        <f aca="false">IFERROR(VLOOKUP(A495,'Dados-Status-Invest'!$1:$1000,12,FALSE())*J495,"")</f>
        <v>0</v>
      </c>
      <c r="I495" s="8" t="str">
        <f aca="false">IFERROR(D495/VLOOKUP(A495,'Dados-Status-Invest'!$1:$1000,14,FALSE()),"")</f>
        <v/>
      </c>
      <c r="J495" s="9" t="str">
        <f aca="false">IFERROR(D495/VLOOKUP(A495,'Dados-Status-Invest'!$1:$1000,10,FALSE()),"")</f>
        <v/>
      </c>
      <c r="K495" s="10" t="n">
        <f aca="false">IFERROR(VLOOKUP(A495,'Dados-Status-Invest'!$1:$1000,3,FALSE())/100,"")</f>
        <v>0</v>
      </c>
      <c r="L495" s="11" t="n">
        <f aca="false">IFERROR(VLOOKUP(A495,'Dados-Status-Invest'!$1:$1000,MATCH(L$1,'Dados-Status-Invest'!$2:$2,0),FALSE())/100,"")</f>
        <v>-0.3091</v>
      </c>
      <c r="M495" s="10" t="n">
        <f aca="false">IFERROR(VLOOKUP(A495,'Dados-Status-Invest'!$1:$1000,MATCH(M$1,'Dados-Status-Invest'!$2:$2,0),FALSE())/100,"")</f>
        <v>-0.0883</v>
      </c>
      <c r="N495" s="10" t="n">
        <f aca="false">IFERROR(VLOOKUP(A495,'Dados-Status-Invest'!$1:$1000,MATCH(N$1,'Dados-Status-Invest'!$2:$2,0),FALSE())/100,"")</f>
        <v>-0.1344</v>
      </c>
      <c r="O495" s="10" t="n">
        <f aca="false">IFERROR(VLOOKUP(A495,'Dados-Status-Invest'!$1:$1000,MATCH(O$1,'Dados-Status-Invest'!$2:$2,0),FALSE())/100,"")</f>
        <v>-0.2326</v>
      </c>
      <c r="P495" s="10" t="n">
        <f aca="false">IFERROR(VLOOKUP(A495,'Dados-Status-Invest'!$1:$1000,MATCH(P$1,'Dados-Status-Invest'!$2:$2,0),FALSE())/100,"")</f>
        <v>-0.6007</v>
      </c>
      <c r="Q495" s="10" t="n">
        <f aca="false">IFERROR(VLOOKUP(A495,'Dados-Status-Invest'!$1:$1000,MATCH(Q$1,'Dados-Status-Invest'!$2:$2,0),FALSE())/100,"")</f>
        <v>-0.7359</v>
      </c>
      <c r="R495" s="12" t="n">
        <f aca="false">IFERROR(VLOOKUP(A495,'Dados-Status-Invest'!$1:$1000,MATCH(R$1,'Dados-Status-Invest'!$2:$2,0),FALSE()),"")</f>
        <v>0</v>
      </c>
      <c r="S495" s="12" t="n">
        <f aca="false">IFERROR(VLOOKUP(A495,'Dados-Status-Invest'!$1:$1000,MATCH(S$1,'Dados-Status-Invest'!$2:$2,0),FALSE()),"")</f>
        <v>0</v>
      </c>
      <c r="T495" s="12" t="n">
        <f aca="false">IFERROR(VLOOKUP(A495,'Dados-Status-Invest'!$1:$1000,MATCH(T$1,'Dados-Status-Invest'!$2:$2,0),FALSE()),"")</f>
        <v>-2.96</v>
      </c>
      <c r="U495" s="12" t="n">
        <f aca="false">IFERROR(VLOOKUP(A495,'Dados-Status-Invest'!$1:$1000,MATCH(U$1,'Dados-Status-Invest'!$2:$2,0),FALSE()),"")</f>
        <v>0.94</v>
      </c>
      <c r="V495" s="12" t="n">
        <f aca="false">IFERROR(VLOOKUP(A495,'Dados-Status-Invest'!$1:$1000,MATCH(V$1,'Dados-Status-Invest'!$2:$2,0),FALSE()),"")</f>
        <v>-2.96</v>
      </c>
      <c r="W495" s="10" t="n">
        <f aca="false">IFERROR(VLOOKUP(A495,'Dados-Status-Invest'!$1:$1000,MATCH(W$1,'Dados-Status-Invest'!$2:$2,0),FALSE())/100,"")</f>
        <v>0.1859</v>
      </c>
      <c r="X495" s="10" t="n">
        <f aca="false">IFERROR(VLOOKUP(A495,'Dados-Status-Invest'!$1:$1000,MATCH(X$1,'Dados-Status-Invest'!$2:$2,0),FALSE())/100,"")</f>
        <v>0</v>
      </c>
    </row>
    <row r="496" customFormat="false" ht="15.75" hidden="false" customHeight="false" outlineLevel="0" collapsed="false">
      <c r="A496" s="6" t="s">
        <v>529</v>
      </c>
      <c r="B496" s="7" t="str">
        <f aca="false">IFERROR(VLOOKUP(LEFT(A496,4),Setor!A:D,2,FALSE()),"")</f>
        <v>Consumo Cíclico</v>
      </c>
      <c r="C496" s="8" t="n">
        <f aca="false">IFERROR(__xludf.dummyfunction("IFERROR(IFERROR(GOOGLEFINANCE(A502,""price""),VLOOKUP(A502,'Dados-Status-Invest'!A:B,2,FALSE)),"""")"),22.4)</f>
        <v>22.4</v>
      </c>
      <c r="D496" s="8" t="n">
        <f aca="false">IFERROR(VLOOKUP(A496,'Dados-Status-Invest'!$1:$1000,MATCH(D$1,'Dados-Status-Invest'!$2:$2,0),FALSE()),"")</f>
        <v>2781160547</v>
      </c>
      <c r="E496" s="8" t="n">
        <f aca="false">IF(D496+H496&gt;0,D496+H496,"")</f>
        <v>2131142900.3</v>
      </c>
      <c r="F496" s="8" t="n">
        <f aca="false">IFERROR(D496/VLOOKUP(A496,'Dados-Status-Invest'!$1:$1000,5,FALSE()),"")</f>
        <v>897148563.6</v>
      </c>
      <c r="G496" s="8" t="n">
        <f aca="false">IFERROR(D496/VLOOKUP(A496,'Dados-Status-Invest'!$1:$1000,6,FALSE()),"")</f>
        <v>3433531540</v>
      </c>
      <c r="H496" s="8" t="n">
        <f aca="false">IFERROR(VLOOKUP(A496,'Dados-Status-Invest'!$1:$1000,12,FALSE())*J496,"")</f>
        <v>-650017646.7</v>
      </c>
      <c r="I496" s="8" t="n">
        <f aca="false">IFERROR(D496/VLOOKUP(A496,'Dados-Status-Invest'!$1:$1000,14,FALSE()),"")</f>
        <v>552914621.7</v>
      </c>
      <c r="J496" s="9" t="n">
        <f aca="false">IFERROR(D496/VLOOKUP(A496,'Dados-Status-Invest'!$1:$1000,10,FALSE()),"")</f>
        <v>190621010.8</v>
      </c>
      <c r="K496" s="10" t="n">
        <f aca="false">IFERROR(VLOOKUP(A496,'Dados-Status-Invest'!$1:$1000,3,FALSE())/100,"")</f>
        <v>0.2365</v>
      </c>
      <c r="L496" s="11" t="n">
        <f aca="false">IFERROR(VLOOKUP(A496,'Dados-Status-Invest'!$1:$1000,MATCH(L$1,'Dados-Status-Invest'!$2:$2,0),FALSE())/100,"")</f>
        <v>0.2086</v>
      </c>
      <c r="M496" s="10" t="n">
        <f aca="false">IFERROR(VLOOKUP(A496,'Dados-Status-Invest'!$1:$1000,MATCH(M$1,'Dados-Status-Invest'!$2:$2,0),FALSE())/100,"")</f>
        <v>0.0549</v>
      </c>
      <c r="N496" s="10" t="n">
        <f aca="false">IFERROR(VLOOKUP(A496,'Dados-Status-Invest'!$1:$1000,MATCH(N$1,'Dados-Status-Invest'!$2:$2,0),FALSE())/100,"")</f>
        <v>0.1132</v>
      </c>
      <c r="O496" s="10" t="n">
        <f aca="false">IFERROR(VLOOKUP(A496,'Dados-Status-Invest'!$1:$1000,MATCH(O$1,'Dados-Status-Invest'!$2:$2,0),FALSE())/100,"")</f>
        <v>0.8193</v>
      </c>
      <c r="P496" s="10" t="n">
        <f aca="false">IFERROR(VLOOKUP(A496,'Dados-Status-Invest'!$1:$1000,MATCH(P$1,'Dados-Status-Invest'!$2:$2,0),FALSE())/100,"")</f>
        <v>0.3448</v>
      </c>
      <c r="Q496" s="10" t="n">
        <f aca="false">IFERROR(VLOOKUP(A496,'Dados-Status-Invest'!$1:$1000,MATCH(Q$1,'Dados-Status-Invest'!$2:$2,0),FALSE())/100,"")</f>
        <v>0.3391</v>
      </c>
      <c r="R496" s="12" t="n">
        <f aca="false">IFERROR(VLOOKUP(A496,'Dados-Status-Invest'!$1:$1000,MATCH(R$1,'Dados-Status-Invest'!$2:$2,0),FALSE()),"")</f>
        <v>14.84</v>
      </c>
      <c r="S496" s="12" t="n">
        <f aca="false">IFERROR(VLOOKUP(A496,'Dados-Status-Invest'!$1:$1000,MATCH(S$1,'Dados-Status-Invest'!$2:$2,0),FALSE()),"")</f>
        <v>3.1</v>
      </c>
      <c r="T496" s="12" t="n">
        <f aca="false">IFERROR(VLOOKUP(A496,'Dados-Status-Invest'!$1:$1000,MATCH(T$1,'Dados-Status-Invest'!$2:$2,0),FALSE()),"")</f>
        <v>11.18</v>
      </c>
      <c r="U496" s="12" t="n">
        <f aca="false">IFERROR(VLOOKUP(A496,'Dados-Status-Invest'!$1:$1000,MATCH(U$1,'Dados-Status-Invest'!$2:$2,0),FALSE()),"")</f>
        <v>1.05</v>
      </c>
      <c r="V496" s="12" t="n">
        <f aca="false">IFERROR(VLOOKUP(A496,'Dados-Status-Invest'!$1:$1000,MATCH(V$1,'Dados-Status-Invest'!$2:$2,0),FALSE()),"")</f>
        <v>-3.41</v>
      </c>
      <c r="W496" s="10" t="n">
        <f aca="false">IFERROR(VLOOKUP(A496,'Dados-Status-Invest'!$1:$1000,MATCH(W$1,'Dados-Status-Invest'!$2:$2,0),FALSE())/100,"")</f>
        <v>0</v>
      </c>
      <c r="X496" s="10" t="n">
        <f aca="false">IFERROR(VLOOKUP(A496,'Dados-Status-Invest'!$1:$1000,MATCH(X$1,'Dados-Status-Invest'!$2:$2,0),FALSE())/100,"")</f>
        <v>0</v>
      </c>
    </row>
    <row r="497" customFormat="false" ht="15.75" hidden="false" customHeight="false" outlineLevel="0" collapsed="false">
      <c r="A497" s="6" t="s">
        <v>530</v>
      </c>
      <c r="B497" s="7" t="str">
        <f aca="false">IFERROR(VLOOKUP(LEFT(A497,4),Setor!A:D,2,FALSE()),"")</f>
        <v>Consumo não Cíclico</v>
      </c>
      <c r="C497" s="8" t="n">
        <f aca="false">IFERROR(__xludf.dummyfunction("IFERROR(IFERROR(GOOGLEFINANCE(A503,""price""),VLOOKUP(A503,'Dados-Status-Invest'!A:B,2,FALSE)),"""")"),47.51)</f>
        <v>47.51</v>
      </c>
      <c r="D497" s="8" t="n">
        <f aca="false">IFERROR(VLOOKUP(A497,'Dados-Status-Invest'!$1:$1000,MATCH(D$1,'Dados-Status-Invest'!$2:$2,0),FALSE()),"")</f>
        <v>12390396515</v>
      </c>
      <c r="E497" s="8" t="n">
        <f aca="false">IF(D497+H497&gt;0,D497+H497,"")</f>
        <v>16973145911</v>
      </c>
      <c r="F497" s="8" t="n">
        <f aca="false">IFERROR(D497/VLOOKUP(A497,'Dados-Status-Invest'!$1:$1000,5,FALSE()),"")</f>
        <v>3971280934</v>
      </c>
      <c r="G497" s="8" t="n">
        <f aca="false">IFERROR(D497/VLOOKUP(A497,'Dados-Status-Invest'!$1:$1000,6,FALSE()),"")</f>
        <v>12390396515</v>
      </c>
      <c r="H497" s="8" t="n">
        <f aca="false">IFERROR(VLOOKUP(A497,'Dados-Status-Invest'!$1:$1000,12,FALSE())*J497,"")</f>
        <v>4582749396</v>
      </c>
      <c r="I497" s="8" t="n">
        <f aca="false">IFERROR(D497/VLOOKUP(A497,'Dados-Status-Invest'!$1:$1000,14,FALSE()),"")</f>
        <v>4287334434</v>
      </c>
      <c r="J497" s="9" t="n">
        <f aca="false">IFERROR(D497/VLOOKUP(A497,'Dados-Status-Invest'!$1:$1000,10,FALSE()),"")</f>
        <v>1543013265</v>
      </c>
      <c r="K497" s="10" t="n">
        <f aca="false">IFERROR(VLOOKUP(A497,'Dados-Status-Invest'!$1:$1000,3,FALSE())/100,"")</f>
        <v>0.0154</v>
      </c>
      <c r="L497" s="11" t="n">
        <f aca="false">IFERROR(VLOOKUP(A497,'Dados-Status-Invest'!$1:$1000,MATCH(L$1,'Dados-Status-Invest'!$2:$2,0),FALSE())/100,"")</f>
        <v>0.2326</v>
      </c>
      <c r="M497" s="10" t="n">
        <f aca="false">IFERROR(VLOOKUP(A497,'Dados-Status-Invest'!$1:$1000,MATCH(M$1,'Dados-Status-Invest'!$2:$2,0),FALSE())/100,"")</f>
        <v>0.0747</v>
      </c>
      <c r="N497" s="10" t="n">
        <f aca="false">IFERROR(VLOOKUP(A497,'Dados-Status-Invest'!$1:$1000,MATCH(N$1,'Dados-Status-Invest'!$2:$2,0),FALSE())/100,"")</f>
        <v>0.1276</v>
      </c>
      <c r="O497" s="10" t="n">
        <f aca="false">IFERROR(VLOOKUP(A497,'Dados-Status-Invest'!$1:$1000,MATCH(O$1,'Dados-Status-Invest'!$2:$2,0),FALSE())/100,"")</f>
        <v>0.361</v>
      </c>
      <c r="P497" s="10" t="n">
        <f aca="false">IFERROR(VLOOKUP(A497,'Dados-Status-Invest'!$1:$1000,MATCH(P$1,'Dados-Status-Invest'!$2:$2,0),FALSE())/100,"")</f>
        <v>0.3603</v>
      </c>
      <c r="Q497" s="10" t="n">
        <f aca="false">IFERROR(VLOOKUP(A497,'Dados-Status-Invest'!$1:$1000,MATCH(Q$1,'Dados-Status-Invest'!$2:$2,0),FALSE())/100,"")</f>
        <v>0.2154</v>
      </c>
      <c r="R497" s="12" t="n">
        <f aca="false">IFERROR(VLOOKUP(A497,'Dados-Status-Invest'!$1:$1000,MATCH(R$1,'Dados-Status-Invest'!$2:$2,0),FALSE()),"")</f>
        <v>13.43</v>
      </c>
      <c r="S497" s="12" t="n">
        <f aca="false">IFERROR(VLOOKUP(A497,'Dados-Status-Invest'!$1:$1000,MATCH(S$1,'Dados-Status-Invest'!$2:$2,0),FALSE()),"")</f>
        <v>3.12</v>
      </c>
      <c r="T497" s="12" t="n">
        <f aca="false">IFERROR(VLOOKUP(A497,'Dados-Status-Invest'!$1:$1000,MATCH(T$1,'Dados-Status-Invest'!$2:$2,0),FALSE()),"")</f>
        <v>10.96</v>
      </c>
      <c r="U497" s="12" t="n">
        <f aca="false">IFERROR(VLOOKUP(A497,'Dados-Status-Invest'!$1:$1000,MATCH(U$1,'Dados-Status-Invest'!$2:$2,0),FALSE()),"")</f>
        <v>1.74</v>
      </c>
      <c r="V497" s="12" t="n">
        <f aca="false">IFERROR(VLOOKUP(A497,'Dados-Status-Invest'!$1:$1000,MATCH(V$1,'Dados-Status-Invest'!$2:$2,0),FALSE()),"")</f>
        <v>2.97</v>
      </c>
      <c r="W497" s="10" t="n">
        <f aca="false">IFERROR(VLOOKUP(A497,'Dados-Status-Invest'!$1:$1000,MATCH(W$1,'Dados-Status-Invest'!$2:$2,0),FALSE())/100,"")</f>
        <v>0.1298</v>
      </c>
      <c r="X497" s="10" t="n">
        <f aca="false">IFERROR(VLOOKUP(A497,'Dados-Status-Invest'!$1:$1000,MATCH(X$1,'Dados-Status-Invest'!$2:$2,0),FALSE())/100,"")</f>
        <v>0.3498</v>
      </c>
    </row>
    <row r="498" customFormat="false" ht="15.75" hidden="false" customHeight="false" outlineLevel="0" collapsed="false">
      <c r="A498" s="6" t="s">
        <v>531</v>
      </c>
      <c r="B498" s="7" t="str">
        <f aca="false">IFERROR(VLOOKUP(LEFT(A498,4),Setor!A:D,2,FALSE()),"")</f>
        <v>Materiais Básicos</v>
      </c>
      <c r="C498" s="8" t="n">
        <f aca="false">IFERROR(__xludf.dummyfunction("IFERROR(IFERROR(GOOGLEFINANCE(A504,""price""),VLOOKUP(A504,'Dados-Status-Invest'!A:B,2,FALSE)),"""")"),9.99)</f>
        <v>9.99</v>
      </c>
      <c r="D498" s="8" t="n">
        <f aca="false">IFERROR(VLOOKUP(A498,'Dados-Status-Invest'!$1:$1000,MATCH(D$1,'Dados-Status-Invest'!$2:$2,0),FALSE()),"")</f>
        <v>71498055.2</v>
      </c>
      <c r="E498" s="8" t="n">
        <f aca="false">IF(D498+H498&gt;0,D498+H498,"")</f>
        <v>147953308.89</v>
      </c>
      <c r="F498" s="8" t="n">
        <f aca="false">IFERROR(D498/VLOOKUP(A498,'Dados-Status-Invest'!$1:$1000,5,FALSE()),"")</f>
        <v>-794422835.6</v>
      </c>
      <c r="G498" s="8" t="n">
        <f aca="false">IFERROR(D498/VLOOKUP(A498,'Dados-Status-Invest'!$1:$1000,6,FALSE()),"")</f>
        <v>246545017.9</v>
      </c>
      <c r="H498" s="8" t="n">
        <f aca="false">IFERROR(VLOOKUP(A498,'Dados-Status-Invest'!$1:$1000,12,FALSE())*J498,"")</f>
        <v>76455253.69</v>
      </c>
      <c r="I498" s="8" t="n">
        <f aca="false">IFERROR(D498/VLOOKUP(A498,'Dados-Status-Invest'!$1:$1000,14,FALSE()),"")</f>
        <v>340466929.5</v>
      </c>
      <c r="J498" s="9" t="n">
        <f aca="false">IFERROR(D498/VLOOKUP(A498,'Dados-Status-Invest'!$1:$1000,10,FALSE()),"")</f>
        <v>-19066148.05</v>
      </c>
      <c r="K498" s="10" t="n">
        <f aca="false">IFERROR(VLOOKUP(A498,'Dados-Status-Invest'!$1:$1000,3,FALSE())/100,"")</f>
        <v>0</v>
      </c>
      <c r="L498" s="11" t="n">
        <f aca="false">IFERROR(VLOOKUP(A498,'Dados-Status-Invest'!$1:$1000,MATCH(L$1,'Dados-Status-Invest'!$2:$2,0),FALSE())/100,"")</f>
        <v>-0.0882</v>
      </c>
      <c r="M498" s="10" t="n">
        <f aca="false">IFERROR(VLOOKUP(A498,'Dados-Status-Invest'!$1:$1000,MATCH(M$1,'Dados-Status-Invest'!$2:$2,0),FALSE())/100,"")</f>
        <v>-0.2949</v>
      </c>
      <c r="N498" s="10" t="n">
        <f aca="false">IFERROR(VLOOKUP(A498,'Dados-Status-Invest'!$1:$1000,MATCH(N$1,'Dados-Status-Invest'!$2:$2,0),FALSE())/100,"")</f>
        <v>0.0254</v>
      </c>
      <c r="O498" s="10" t="n">
        <f aca="false">IFERROR(VLOOKUP(A498,'Dados-Status-Invest'!$1:$1000,MATCH(O$1,'Dados-Status-Invest'!$2:$2,0),FALSE())/100,"")</f>
        <v>0.1701</v>
      </c>
      <c r="P498" s="10" t="n">
        <f aca="false">IFERROR(VLOOKUP(A498,'Dados-Status-Invest'!$1:$1000,MATCH(P$1,'Dados-Status-Invest'!$2:$2,0),FALSE())/100,"")</f>
        <v>-0.0556</v>
      </c>
      <c r="Q498" s="10" t="n">
        <f aca="false">IFERROR(VLOOKUP(A498,'Dados-Status-Invest'!$1:$1000,MATCH(Q$1,'Dados-Status-Invest'!$2:$2,0),FALSE())/100,"")</f>
        <v>-0.2141</v>
      </c>
      <c r="R498" s="12" t="n">
        <f aca="false">IFERROR(VLOOKUP(A498,'Dados-Status-Invest'!$1:$1000,MATCH(R$1,'Dados-Status-Invest'!$2:$2,0),FALSE()),"")</f>
        <v>-0.97</v>
      </c>
      <c r="S498" s="12" t="n">
        <f aca="false">IFERROR(VLOOKUP(A498,'Dados-Status-Invest'!$1:$1000,MATCH(S$1,'Dados-Status-Invest'!$2:$2,0),FALSE()),"")</f>
        <v>-0.09</v>
      </c>
      <c r="T498" s="12" t="n">
        <f aca="false">IFERROR(VLOOKUP(A498,'Dados-Status-Invest'!$1:$1000,MATCH(T$1,'Dados-Status-Invest'!$2:$2,0),FALSE()),"")</f>
        <v>-6.25</v>
      </c>
      <c r="U498" s="12" t="n">
        <f aca="false">IFERROR(VLOOKUP(A498,'Dados-Status-Invest'!$1:$1000,MATCH(U$1,'Dados-Status-Invest'!$2:$2,0),FALSE()),"")</f>
        <v>0.64</v>
      </c>
      <c r="V498" s="12" t="n">
        <f aca="false">IFERROR(VLOOKUP(A498,'Dados-Status-Invest'!$1:$1000,MATCH(V$1,'Dados-Status-Invest'!$2:$2,0),FALSE()),"")</f>
        <v>-4.01</v>
      </c>
      <c r="W498" s="10" t="n">
        <f aca="false">IFERROR(VLOOKUP(A498,'Dados-Status-Invest'!$1:$1000,MATCH(W$1,'Dados-Status-Invest'!$2:$2,0),FALSE())/100,"")</f>
        <v>0.0414</v>
      </c>
      <c r="X498" s="10" t="n">
        <f aca="false">IFERROR(VLOOKUP(A498,'Dados-Status-Invest'!$1:$1000,MATCH(X$1,'Dados-Status-Invest'!$2:$2,0),FALSE())/100,"")</f>
        <v>0</v>
      </c>
    </row>
    <row r="499" customFormat="false" ht="15.75" hidden="false" customHeight="false" outlineLevel="0" collapsed="false">
      <c r="A499" s="6" t="s">
        <v>532</v>
      </c>
      <c r="B499" s="7" t="str">
        <f aca="false">IFERROR(VLOOKUP(LEFT(A499,4),Setor!A:D,2,FALSE()),"")</f>
        <v>Materiais Básicos</v>
      </c>
      <c r="C499" s="8" t="n">
        <f aca="false">IFERROR(__xludf.dummyfunction("IFERROR(IFERROR(GOOGLEFINANCE(A505,""price""),VLOOKUP(A505,'Dados-Status-Invest'!A:B,2,FALSE)),"""")"),2.92)</f>
        <v>2.92</v>
      </c>
      <c r="D499" s="8" t="n">
        <f aca="false">IFERROR(VLOOKUP(A499,'Dados-Status-Invest'!$1:$1000,MATCH(D$1,'Dados-Status-Invest'!$2:$2,0),FALSE()),"")</f>
        <v>71498055.2</v>
      </c>
      <c r="E499" s="8" t="n">
        <f aca="false">IF(D499+H499&gt;0,D499+H499,"")</f>
        <v>269227159.6</v>
      </c>
      <c r="F499" s="8" t="n">
        <f aca="false">IFERROR(D499/VLOOKUP(A499,'Dados-Status-Invest'!$1:$1000,5,FALSE()),"")</f>
        <v>-2383268507</v>
      </c>
      <c r="G499" s="8" t="n">
        <f aca="false">IFERROR(D499/VLOOKUP(A499,'Dados-Status-Invest'!$1:$1000,6,FALSE()),"")</f>
        <v>649982320</v>
      </c>
      <c r="H499" s="8" t="n">
        <f aca="false">IFERROR(VLOOKUP(A499,'Dados-Status-Invest'!$1:$1000,12,FALSE())*J499,"")</f>
        <v>197729104.4</v>
      </c>
      <c r="I499" s="8" t="n">
        <f aca="false">IFERROR(D499/VLOOKUP(A499,'Dados-Status-Invest'!$1:$1000,14,FALSE()),"")</f>
        <v>893725690</v>
      </c>
      <c r="J499" s="9" t="n">
        <f aca="false">IFERROR(D499/VLOOKUP(A499,'Dados-Status-Invest'!$1:$1000,10,FALSE()),"")</f>
        <v>-49309003.59</v>
      </c>
      <c r="K499" s="10" t="n">
        <f aca="false">IFERROR(VLOOKUP(A499,'Dados-Status-Invest'!$1:$1000,3,FALSE())/100,"")</f>
        <v>0</v>
      </c>
      <c r="L499" s="11" t="n">
        <f aca="false">IFERROR(VLOOKUP(A499,'Dados-Status-Invest'!$1:$1000,MATCH(L$1,'Dados-Status-Invest'!$2:$2,0),FALSE())/100,"")</f>
        <v>-0.0882</v>
      </c>
      <c r="M499" s="10" t="n">
        <f aca="false">IFERROR(VLOOKUP(A499,'Dados-Status-Invest'!$1:$1000,MATCH(M$1,'Dados-Status-Invest'!$2:$2,0),FALSE())/100,"")</f>
        <v>-0.2949</v>
      </c>
      <c r="N499" s="10" t="n">
        <f aca="false">IFERROR(VLOOKUP(A499,'Dados-Status-Invest'!$1:$1000,MATCH(N$1,'Dados-Status-Invest'!$2:$2,0),FALSE())/100,"")</f>
        <v>0.0254</v>
      </c>
      <c r="O499" s="10" t="n">
        <f aca="false">IFERROR(VLOOKUP(A499,'Dados-Status-Invest'!$1:$1000,MATCH(O$1,'Dados-Status-Invest'!$2:$2,0),FALSE())/100,"")</f>
        <v>0.1701</v>
      </c>
      <c r="P499" s="10" t="n">
        <f aca="false">IFERROR(VLOOKUP(A499,'Dados-Status-Invest'!$1:$1000,MATCH(P$1,'Dados-Status-Invest'!$2:$2,0),FALSE())/100,"")</f>
        <v>-0.0556</v>
      </c>
      <c r="Q499" s="10" t="n">
        <f aca="false">IFERROR(VLOOKUP(A499,'Dados-Status-Invest'!$1:$1000,MATCH(Q$1,'Dados-Status-Invest'!$2:$2,0),FALSE())/100,"")</f>
        <v>-0.2141</v>
      </c>
      <c r="R499" s="12" t="n">
        <f aca="false">IFERROR(VLOOKUP(A499,'Dados-Status-Invest'!$1:$1000,MATCH(R$1,'Dados-Status-Invest'!$2:$2,0),FALSE()),"")</f>
        <v>-0.38</v>
      </c>
      <c r="S499" s="12" t="n">
        <f aca="false">IFERROR(VLOOKUP(A499,'Dados-Status-Invest'!$1:$1000,MATCH(S$1,'Dados-Status-Invest'!$2:$2,0),FALSE()),"")</f>
        <v>-0.03</v>
      </c>
      <c r="T499" s="12" t="n">
        <f aca="false">IFERROR(VLOOKUP(A499,'Dados-Status-Invest'!$1:$1000,MATCH(T$1,'Dados-Status-Invest'!$2:$2,0),FALSE()),"")</f>
        <v>-6.25</v>
      </c>
      <c r="U499" s="12" t="n">
        <f aca="false">IFERROR(VLOOKUP(A499,'Dados-Status-Invest'!$1:$1000,MATCH(U$1,'Dados-Status-Invest'!$2:$2,0),FALSE()),"")</f>
        <v>0.64</v>
      </c>
      <c r="V499" s="12" t="n">
        <f aca="false">IFERROR(VLOOKUP(A499,'Dados-Status-Invest'!$1:$1000,MATCH(V$1,'Dados-Status-Invest'!$2:$2,0),FALSE()),"")</f>
        <v>-4.01</v>
      </c>
      <c r="W499" s="10" t="n">
        <f aca="false">IFERROR(VLOOKUP(A499,'Dados-Status-Invest'!$1:$1000,MATCH(W$1,'Dados-Status-Invest'!$2:$2,0),FALSE())/100,"")</f>
        <v>0.0414</v>
      </c>
      <c r="X499" s="10" t="n">
        <f aca="false">IFERROR(VLOOKUP(A499,'Dados-Status-Invest'!$1:$1000,MATCH(X$1,'Dados-Status-Invest'!$2:$2,0),FALSE())/100,"")</f>
        <v>0</v>
      </c>
    </row>
    <row r="500" customFormat="false" ht="15.75" hidden="false" customHeight="false" outlineLevel="0" collapsed="false">
      <c r="A500" s="6" t="s">
        <v>533</v>
      </c>
      <c r="B500" s="7" t="str">
        <f aca="false">IFERROR(VLOOKUP(LEFT(A500,4),Setor!A:D,2,FALSE()),"")</f>
        <v>Materiais Básicos</v>
      </c>
      <c r="C500" s="8" t="n">
        <f aca="false">IFERROR(__xludf.dummyfunction("IFERROR(IFERROR(GOOGLEFINANCE(A506,""price""),VLOOKUP(A506,'Dados-Status-Invest'!A:B,2,FALSE)),"""")"),11.51)</f>
        <v>11.51</v>
      </c>
      <c r="D500" s="8" t="n">
        <f aca="false">IFERROR(VLOOKUP(A500,'Dados-Status-Invest'!$1:$1000,MATCH(D$1,'Dados-Status-Invest'!$2:$2,0),FALSE()),"")</f>
        <v>71498055.2</v>
      </c>
      <c r="E500" s="8" t="n">
        <f aca="false">IF(D500+H500&gt;0,D500+H500,"")</f>
        <v>160537558.73</v>
      </c>
      <c r="F500" s="8" t="n">
        <f aca="false">IFERROR(D500/VLOOKUP(A500,'Dados-Status-Invest'!$1:$1000,5,FALSE()),"")</f>
        <v>-1021400789</v>
      </c>
      <c r="G500" s="8" t="n">
        <f aca="false">IFERROR(D500/VLOOKUP(A500,'Dados-Status-Invest'!$1:$1000,6,FALSE()),"")</f>
        <v>285992220.8</v>
      </c>
      <c r="H500" s="8" t="n">
        <f aca="false">IFERROR(VLOOKUP(A500,'Dados-Status-Invest'!$1:$1000,12,FALSE())*J500,"")</f>
        <v>89039503.53</v>
      </c>
      <c r="I500" s="8" t="n">
        <f aca="false">IFERROR(D500/VLOOKUP(A500,'Dados-Status-Invest'!$1:$1000,14,FALSE()),"")</f>
        <v>397211417.8</v>
      </c>
      <c r="J500" s="9" t="n">
        <f aca="false">IFERROR(D500/VLOOKUP(A500,'Dados-Status-Invest'!$1:$1000,10,FALSE()),"")</f>
        <v>-22204364.97</v>
      </c>
      <c r="K500" s="10" t="n">
        <f aca="false">IFERROR(VLOOKUP(A500,'Dados-Status-Invest'!$1:$1000,3,FALSE())/100,"")</f>
        <v>0</v>
      </c>
      <c r="L500" s="11" t="n">
        <f aca="false">IFERROR(VLOOKUP(A500,'Dados-Status-Invest'!$1:$1000,MATCH(L$1,'Dados-Status-Invest'!$2:$2,0),FALSE())/100,"")</f>
        <v>-0.0882</v>
      </c>
      <c r="M500" s="10" t="n">
        <f aca="false">IFERROR(VLOOKUP(A500,'Dados-Status-Invest'!$1:$1000,MATCH(M$1,'Dados-Status-Invest'!$2:$2,0),FALSE())/100,"")</f>
        <v>-0.2949</v>
      </c>
      <c r="N500" s="10" t="n">
        <f aca="false">IFERROR(VLOOKUP(A500,'Dados-Status-Invest'!$1:$1000,MATCH(N$1,'Dados-Status-Invest'!$2:$2,0),FALSE())/100,"")</f>
        <v>0.0254</v>
      </c>
      <c r="O500" s="10" t="n">
        <f aca="false">IFERROR(VLOOKUP(A500,'Dados-Status-Invest'!$1:$1000,MATCH(O$1,'Dados-Status-Invest'!$2:$2,0),FALSE())/100,"")</f>
        <v>0.1701</v>
      </c>
      <c r="P500" s="10" t="n">
        <f aca="false">IFERROR(VLOOKUP(A500,'Dados-Status-Invest'!$1:$1000,MATCH(P$1,'Dados-Status-Invest'!$2:$2,0),FALSE())/100,"")</f>
        <v>-0.0556</v>
      </c>
      <c r="Q500" s="10" t="n">
        <f aca="false">IFERROR(VLOOKUP(A500,'Dados-Status-Invest'!$1:$1000,MATCH(Q$1,'Dados-Status-Invest'!$2:$2,0),FALSE())/100,"")</f>
        <v>-0.2141</v>
      </c>
      <c r="R500" s="12" t="n">
        <f aca="false">IFERROR(VLOOKUP(A500,'Dados-Status-Invest'!$1:$1000,MATCH(R$1,'Dados-Status-Invest'!$2:$2,0),FALSE()),"")</f>
        <v>-0.84</v>
      </c>
      <c r="S500" s="12" t="n">
        <f aca="false">IFERROR(VLOOKUP(A500,'Dados-Status-Invest'!$1:$1000,MATCH(S$1,'Dados-Status-Invest'!$2:$2,0),FALSE()),"")</f>
        <v>-0.07</v>
      </c>
      <c r="T500" s="12" t="n">
        <f aca="false">IFERROR(VLOOKUP(A500,'Dados-Status-Invest'!$1:$1000,MATCH(T$1,'Dados-Status-Invest'!$2:$2,0),FALSE()),"")</f>
        <v>-6.25</v>
      </c>
      <c r="U500" s="12" t="n">
        <f aca="false">IFERROR(VLOOKUP(A500,'Dados-Status-Invest'!$1:$1000,MATCH(U$1,'Dados-Status-Invest'!$2:$2,0),FALSE()),"")</f>
        <v>0.64</v>
      </c>
      <c r="V500" s="12" t="n">
        <f aca="false">IFERROR(VLOOKUP(A500,'Dados-Status-Invest'!$1:$1000,MATCH(V$1,'Dados-Status-Invest'!$2:$2,0),FALSE()),"")</f>
        <v>-4.01</v>
      </c>
      <c r="W500" s="10" t="n">
        <f aca="false">IFERROR(VLOOKUP(A500,'Dados-Status-Invest'!$1:$1000,MATCH(W$1,'Dados-Status-Invest'!$2:$2,0),FALSE())/100,"")</f>
        <v>0.0414</v>
      </c>
      <c r="X500" s="10" t="n">
        <f aca="false">IFERROR(VLOOKUP(A500,'Dados-Status-Invest'!$1:$1000,MATCH(X$1,'Dados-Status-Invest'!$2:$2,0),FALSE())/100,"")</f>
        <v>0</v>
      </c>
    </row>
    <row r="501" customFormat="false" ht="15.75" hidden="false" customHeight="false" outlineLevel="0" collapsed="false">
      <c r="A501" s="6" t="s">
        <v>534</v>
      </c>
      <c r="B501" s="7" t="s">
        <v>54</v>
      </c>
      <c r="C501" s="8" t="n">
        <f aca="false">IFERROR(__xludf.dummyfunction("IFERROR(IFERROR(GOOGLEFINANCE(A507,""price""),VLOOKUP(A507,'Dados-Status-Invest'!A:B,2,FALSE)),"""")"),12.92)</f>
        <v>12.92</v>
      </c>
      <c r="D501" s="8" t="n">
        <f aca="false">IFERROR(VLOOKUP(A501,'Dados-Status-Invest'!$1:$1000,MATCH(D$1,'Dados-Status-Invest'!$2:$2,0),FALSE()),"")</f>
        <v>1737191035</v>
      </c>
      <c r="E501" s="8" t="n">
        <f aca="false">IF(D501+H501&gt;0,D501+H501,"")</f>
        <v>1884556466.4</v>
      </c>
      <c r="F501" s="8" t="n">
        <f aca="false">IFERROR(D501/VLOOKUP(A501,'Dados-Status-Invest'!$1:$1000,5,FALSE()),"")</f>
        <v>105926282.6</v>
      </c>
      <c r="G501" s="8" t="n">
        <f aca="false">IFERROR(D501/VLOOKUP(A501,'Dados-Status-Invest'!$1:$1000,6,FALSE()),"")</f>
        <v>447729648.1</v>
      </c>
      <c r="H501" s="8" t="n">
        <f aca="false">IFERROR(VLOOKUP(A501,'Dados-Status-Invest'!$1:$1000,12,FALSE())*J501,"")</f>
        <v>147365431.4</v>
      </c>
      <c r="I501" s="8" t="n">
        <f aca="false">IFERROR(D501/VLOOKUP(A501,'Dados-Status-Invest'!$1:$1000,14,FALSE()),"")</f>
        <v>135189963.8</v>
      </c>
      <c r="J501" s="9" t="n">
        <f aca="false">IFERROR(D501/VLOOKUP(A501,'Dados-Status-Invest'!$1:$1000,10,FALSE()),"")</f>
        <v>17927668.06</v>
      </c>
      <c r="K501" s="10" t="n">
        <f aca="false">IFERROR(VLOOKUP(A501,'Dados-Status-Invest'!$1:$1000,3,FALSE())/100,"")</f>
        <v>0</v>
      </c>
      <c r="L501" s="11" t="n">
        <f aca="false">IFERROR(VLOOKUP(A501,'Dados-Status-Invest'!$1:$1000,MATCH(L$1,'Dados-Status-Invest'!$2:$2,0),FALSE())/100,"")</f>
        <v>0.0067</v>
      </c>
      <c r="M501" s="10" t="n">
        <f aca="false">IFERROR(VLOOKUP(A501,'Dados-Status-Invest'!$1:$1000,MATCH(M$1,'Dados-Status-Invest'!$2:$2,0),FALSE())/100,"")</f>
        <v>0.0016</v>
      </c>
      <c r="N501" s="10" t="n">
        <f aca="false">IFERROR(VLOOKUP(A501,'Dados-Status-Invest'!$1:$1000,MATCH(N$1,'Dados-Status-Invest'!$2:$2,0),FALSE())/100,"")</f>
        <v>0.0562</v>
      </c>
      <c r="O501" s="10" t="n">
        <f aca="false">IFERROR(VLOOKUP(A501,'Dados-Status-Invest'!$1:$1000,MATCH(O$1,'Dados-Status-Invest'!$2:$2,0),FALSE())/100,"")</f>
        <v>0.2273</v>
      </c>
      <c r="P501" s="10" t="n">
        <f aca="false">IFERROR(VLOOKUP(A501,'Dados-Status-Invest'!$1:$1000,MATCH(P$1,'Dados-Status-Invest'!$2:$2,0),FALSE())/100,"")</f>
        <v>0.1326</v>
      </c>
      <c r="Q501" s="10" t="n">
        <f aca="false">IFERROR(VLOOKUP(A501,'Dados-Status-Invest'!$1:$1000,MATCH(Q$1,'Dados-Status-Invest'!$2:$2,0),FALSE())/100,"")</f>
        <v>0.0053</v>
      </c>
      <c r="R501" s="12" t="n">
        <f aca="false">IFERROR(VLOOKUP(A501,'Dados-Status-Invest'!$1:$1000,MATCH(R$1,'Dados-Status-Invest'!$2:$2,0),FALSE()),"")</f>
        <v>2441.52</v>
      </c>
      <c r="S501" s="12" t="n">
        <f aca="false">IFERROR(VLOOKUP(A501,'Dados-Status-Invest'!$1:$1000,MATCH(S$1,'Dados-Status-Invest'!$2:$2,0),FALSE()),"")</f>
        <v>16.4</v>
      </c>
      <c r="T501" s="12" t="n">
        <f aca="false">IFERROR(VLOOKUP(A501,'Dados-Status-Invest'!$1:$1000,MATCH(T$1,'Dados-Status-Invest'!$2:$2,0),FALSE()),"")</f>
        <v>105.06</v>
      </c>
      <c r="U501" s="12" t="n">
        <f aca="false">IFERROR(VLOOKUP(A501,'Dados-Status-Invest'!$1:$1000,MATCH(U$1,'Dados-Status-Invest'!$2:$2,0),FALSE()),"")</f>
        <v>1.2</v>
      </c>
      <c r="V501" s="12" t="n">
        <f aca="false">IFERROR(VLOOKUP(A501,'Dados-Status-Invest'!$1:$1000,MATCH(V$1,'Dados-Status-Invest'!$2:$2,0),FALSE()),"")</f>
        <v>8.22</v>
      </c>
      <c r="W501" s="10" t="n">
        <f aca="false">IFERROR(VLOOKUP(A501,'Dados-Status-Invest'!$1:$1000,MATCH(W$1,'Dados-Status-Invest'!$2:$2,0),FALSE())/100,"")</f>
        <v>0</v>
      </c>
      <c r="X501" s="10" t="n">
        <f aca="false">IFERROR(VLOOKUP(A501,'Dados-Status-Invest'!$1:$1000,MATCH(X$1,'Dados-Status-Invest'!$2:$2,0),FALSE())/100,"")</f>
        <v>0</v>
      </c>
    </row>
    <row r="502" customFormat="false" ht="15.75" hidden="false" customHeight="false" outlineLevel="0" collapsed="false">
      <c r="A502" s="6" t="s">
        <v>535</v>
      </c>
      <c r="B502" s="7" t="str">
        <f aca="false">IFERROR(VLOOKUP(LEFT(A502,4),Setor!A:D,2,FALSE()),"")</f>
        <v>Consumo Cíclico</v>
      </c>
      <c r="C502" s="8" t="n">
        <f aca="false">IFERROR(__xludf.dummyfunction("IFERROR(IFERROR(GOOGLEFINANCE(A508,""price""),VLOOKUP(A508,'Dados-Status-Invest'!A:B,2,FALSE)),"""")"),10.85)</f>
        <v>10.85</v>
      </c>
      <c r="D502" s="8" t="n">
        <f aca="false">IFERROR(VLOOKUP(A502,'Dados-Status-Invest'!$1:$1000,MATCH(D$1,'Dados-Status-Invest'!$2:$2,0),FALSE()),"")</f>
        <v>7740512808</v>
      </c>
      <c r="E502" s="8" t="n">
        <f aca="false">IF(D502+H502&gt;0,D502+H502,"")</f>
        <v>7572891494.3</v>
      </c>
      <c r="F502" s="8" t="n">
        <f aca="false">IFERROR(D502/VLOOKUP(A502,'Dados-Status-Invest'!$1:$1000,5,FALSE()),"")</f>
        <v>1701211606</v>
      </c>
      <c r="G502" s="8" t="n">
        <f aca="false">IFERROR(D502/VLOOKUP(A502,'Dados-Status-Invest'!$1:$1000,6,FALSE()),"")</f>
        <v>2537873052</v>
      </c>
      <c r="H502" s="8" t="n">
        <f aca="false">IFERROR(VLOOKUP(A502,'Dados-Status-Invest'!$1:$1000,12,FALSE())*J502,"")</f>
        <v>-167621313.7</v>
      </c>
      <c r="I502" s="8" t="n">
        <f aca="false">IFERROR(D502/VLOOKUP(A502,'Dados-Status-Invest'!$1:$1000,14,FALSE()),"")</f>
        <v>1305314133</v>
      </c>
      <c r="J502" s="9" t="n">
        <f aca="false">IFERROR(D502/VLOOKUP(A502,'Dados-Status-Invest'!$1:$1000,10,FALSE()),"")</f>
        <v>-37415471.81</v>
      </c>
      <c r="K502" s="10" t="n">
        <f aca="false">IFERROR(VLOOKUP(A502,'Dados-Status-Invest'!$1:$1000,3,FALSE())/100,"")</f>
        <v>0</v>
      </c>
      <c r="L502" s="11" t="n">
        <f aca="false">IFERROR(VLOOKUP(A502,'Dados-Status-Invest'!$1:$1000,MATCH(L$1,'Dados-Status-Invest'!$2:$2,0),FALSE())/100,"")</f>
        <v>-0.0067</v>
      </c>
      <c r="M502" s="10" t="n">
        <f aca="false">IFERROR(VLOOKUP(A502,'Dados-Status-Invest'!$1:$1000,MATCH(M$1,'Dados-Status-Invest'!$2:$2,0),FALSE())/100,"")</f>
        <v>-0.0045</v>
      </c>
      <c r="N502" s="10" t="n">
        <f aca="false">IFERROR(VLOOKUP(A502,'Dados-Status-Invest'!$1:$1000,MATCH(N$1,'Dados-Status-Invest'!$2:$2,0),FALSE())/100,"")</f>
        <v>-0.0779</v>
      </c>
      <c r="O502" s="10" t="n">
        <f aca="false">IFERROR(VLOOKUP(A502,'Dados-Status-Invest'!$1:$1000,MATCH(O$1,'Dados-Status-Invest'!$2:$2,0),FALSE())/100,"")</f>
        <v>0.6229</v>
      </c>
      <c r="P502" s="10" t="n">
        <f aca="false">IFERROR(VLOOKUP(A502,'Dados-Status-Invest'!$1:$1000,MATCH(P$1,'Dados-Status-Invest'!$2:$2,0),FALSE())/100,"")</f>
        <v>-0.0287</v>
      </c>
      <c r="Q502" s="10" t="n">
        <f aca="false">IFERROR(VLOOKUP(A502,'Dados-Status-Invest'!$1:$1000,MATCH(Q$1,'Dados-Status-Invest'!$2:$2,0),FALSE())/100,"")</f>
        <v>-0.0087</v>
      </c>
      <c r="R502" s="12" t="n">
        <f aca="false">IFERROR(VLOOKUP(A502,'Dados-Status-Invest'!$1:$1000,MATCH(R$1,'Dados-Status-Invest'!$2:$2,0),FALSE()),"")</f>
        <v>-679.27</v>
      </c>
      <c r="S502" s="12" t="n">
        <f aca="false">IFERROR(VLOOKUP(A502,'Dados-Status-Invest'!$1:$1000,MATCH(S$1,'Dados-Status-Invest'!$2:$2,0),FALSE()),"")</f>
        <v>4.55</v>
      </c>
      <c r="T502" s="12" t="n">
        <f aca="false">IFERROR(VLOOKUP(A502,'Dados-Status-Invest'!$1:$1000,MATCH(T$1,'Dados-Status-Invest'!$2:$2,0),FALSE()),"")</f>
        <v>-202.67</v>
      </c>
      <c r="U502" s="12" t="n">
        <f aca="false">IFERROR(VLOOKUP(A502,'Dados-Status-Invest'!$1:$1000,MATCH(U$1,'Dados-Status-Invest'!$2:$2,0),FALSE()),"")</f>
        <v>2.92</v>
      </c>
      <c r="V502" s="12" t="n">
        <f aca="false">IFERROR(VLOOKUP(A502,'Dados-Status-Invest'!$1:$1000,MATCH(V$1,'Dados-Status-Invest'!$2:$2,0),FALSE()),"")</f>
        <v>4.48</v>
      </c>
      <c r="W502" s="10" t="n">
        <f aca="false">IFERROR(VLOOKUP(A502,'Dados-Status-Invest'!$1:$1000,MATCH(W$1,'Dados-Status-Invest'!$2:$2,0),FALSE())/100,"")</f>
        <v>0</v>
      </c>
      <c r="X502" s="10" t="n">
        <f aca="false">IFERROR(VLOOKUP(A502,'Dados-Status-Invest'!$1:$1000,MATCH(X$1,'Dados-Status-Invest'!$2:$2,0),FALSE())/100,"")</f>
        <v>0</v>
      </c>
    </row>
    <row r="503" customFormat="false" ht="15.75" hidden="false" customHeight="false" outlineLevel="0" collapsed="false">
      <c r="A503" s="6" t="s">
        <v>536</v>
      </c>
      <c r="B503" s="7" t="str">
        <f aca="false">IFERROR(VLOOKUP(LEFT(A503,4),Setor!A:D,2,FALSE()),"")</f>
        <v>Bens Industriais</v>
      </c>
      <c r="C503" s="8" t="n">
        <f aca="false">IFERROR(__xludf.dummyfunction("IFERROR(IFERROR(GOOGLEFINANCE(A509,""price""),VLOOKUP(A509,'Dados-Status-Invest'!A:B,2,FALSE)),"""")"),46.01)</f>
        <v>46.01</v>
      </c>
      <c r="D503" s="8" t="n">
        <f aca="false">IFERROR(VLOOKUP(A503,'Dados-Status-Invest'!$1:$1000,MATCH(D$1,'Dados-Status-Invest'!$2:$2,0),FALSE()),"")</f>
        <v>107297650</v>
      </c>
      <c r="E503" s="8" t="n">
        <f aca="false">IF(D503+H503&gt;0,D503+H503,"")</f>
        <v>64091916.89</v>
      </c>
      <c r="F503" s="8" t="n">
        <f aca="false">IFERROR(D503/VLOOKUP(A503,'Dados-Status-Invest'!$1:$1000,5,FALSE()),"")</f>
        <v>78895330.88</v>
      </c>
      <c r="G503" s="8" t="n">
        <f aca="false">IFERROR(D503/VLOOKUP(A503,'Dados-Status-Invest'!$1:$1000,6,FALSE()),"")</f>
        <v>108381464.6</v>
      </c>
      <c r="H503" s="8" t="n">
        <f aca="false">IFERROR(VLOOKUP(A503,'Dados-Status-Invest'!$1:$1000,12,FALSE())*J503,"")</f>
        <v>-43205733.11</v>
      </c>
      <c r="I503" s="8" t="n">
        <f aca="false">IFERROR(D503/VLOOKUP(A503,'Dados-Status-Invest'!$1:$1000,14,FALSE()),"")</f>
        <v>70129183.01</v>
      </c>
      <c r="J503" s="9" t="n">
        <f aca="false">IFERROR(D503/VLOOKUP(A503,'Dados-Status-Invest'!$1:$1000,10,FALSE()),"")</f>
        <v>20476650.76</v>
      </c>
      <c r="K503" s="10" t="n">
        <f aca="false">IFERROR(VLOOKUP(A503,'Dados-Status-Invest'!$1:$1000,3,FALSE())/100,"")</f>
        <v>0.1926</v>
      </c>
      <c r="L503" s="11" t="n">
        <f aca="false">IFERROR(VLOOKUP(A503,'Dados-Status-Invest'!$1:$1000,MATCH(L$1,'Dados-Status-Invest'!$2:$2,0),FALSE())/100,"")</f>
        <v>0.2874</v>
      </c>
      <c r="M503" s="10" t="n">
        <f aca="false">IFERROR(VLOOKUP(A503,'Dados-Status-Invest'!$1:$1000,MATCH(M$1,'Dados-Status-Invest'!$2:$2,0),FALSE())/100,"")</f>
        <v>0.2082</v>
      </c>
      <c r="N503" s="10" t="n">
        <f aca="false">IFERROR(VLOOKUP(A503,'Dados-Status-Invest'!$1:$1000,MATCH(N$1,'Dados-Status-Invest'!$2:$2,0),FALSE())/100,"")</f>
        <v>0.2471</v>
      </c>
      <c r="O503" s="10" t="n">
        <f aca="false">IFERROR(VLOOKUP(A503,'Dados-Status-Invest'!$1:$1000,MATCH(O$1,'Dados-Status-Invest'!$2:$2,0),FALSE())/100,"")</f>
        <v>0.2764</v>
      </c>
      <c r="P503" s="10" t="n">
        <f aca="false">IFERROR(VLOOKUP(A503,'Dados-Status-Invest'!$1:$1000,MATCH(P$1,'Dados-Status-Invest'!$2:$2,0),FALSE())/100,"")</f>
        <v>0.2916</v>
      </c>
      <c r="Q503" s="10" t="n">
        <f aca="false">IFERROR(VLOOKUP(A503,'Dados-Status-Invest'!$1:$1000,MATCH(Q$1,'Dados-Status-Invest'!$2:$2,0),FALSE())/100,"")</f>
        <v>0.3218</v>
      </c>
      <c r="R503" s="12" t="n">
        <f aca="false">IFERROR(VLOOKUP(A503,'Dados-Status-Invest'!$1:$1000,MATCH(R$1,'Dados-Status-Invest'!$2:$2,0),FALSE()),"")</f>
        <v>4.75</v>
      </c>
      <c r="S503" s="12" t="n">
        <f aca="false">IFERROR(VLOOKUP(A503,'Dados-Status-Invest'!$1:$1000,MATCH(S$1,'Dados-Status-Invest'!$2:$2,0),FALSE()),"")</f>
        <v>1.36</v>
      </c>
      <c r="T503" s="12" t="n">
        <f aca="false">IFERROR(VLOOKUP(A503,'Dados-Status-Invest'!$1:$1000,MATCH(T$1,'Dados-Status-Invest'!$2:$2,0),FALSE()),"")</f>
        <v>3.58</v>
      </c>
      <c r="U503" s="12" t="n">
        <f aca="false">IFERROR(VLOOKUP(A503,'Dados-Status-Invest'!$1:$1000,MATCH(U$1,'Dados-Status-Invest'!$2:$2,0),FALSE()),"")</f>
        <v>3.28</v>
      </c>
      <c r="V503" s="12" t="n">
        <f aca="false">IFERROR(VLOOKUP(A503,'Dados-Status-Invest'!$1:$1000,MATCH(V$1,'Dados-Status-Invest'!$2:$2,0),FALSE()),"")</f>
        <v>-2.11</v>
      </c>
      <c r="W503" s="10" t="n">
        <f aca="false">IFERROR(VLOOKUP(A503,'Dados-Status-Invest'!$1:$1000,MATCH(W$1,'Dados-Status-Invest'!$2:$2,0),FALSE())/100,"")</f>
        <v>-0.104</v>
      </c>
      <c r="X503" s="10" t="n">
        <f aca="false">IFERROR(VLOOKUP(A503,'Dados-Status-Invest'!$1:$1000,MATCH(X$1,'Dados-Status-Invest'!$2:$2,0),FALSE())/100,"")</f>
        <v>0</v>
      </c>
    </row>
    <row r="504" customFormat="false" ht="15.75" hidden="false" customHeight="false" outlineLevel="0" collapsed="false">
      <c r="A504" s="6" t="s">
        <v>537</v>
      </c>
      <c r="B504" s="7" t="str">
        <f aca="false">IFERROR(VLOOKUP(LEFT(A504,4),Setor!A:D,2,FALSE()),"")</f>
        <v>Bens Industriais</v>
      </c>
      <c r="C504" s="8" t="n">
        <f aca="false">IFERROR(__xludf.dummyfunction("IFERROR(IFERROR(GOOGLEFINANCE(A510,""price""),VLOOKUP(A510,'Dados-Status-Invest'!A:B,2,FALSE)),"""")"),40.3)</f>
        <v>40.3</v>
      </c>
      <c r="D504" s="8" t="n">
        <f aca="false">IFERROR(VLOOKUP(A504,'Dados-Status-Invest'!$1:$1000,MATCH(D$1,'Dados-Status-Invest'!$2:$2,0),FALSE()),"")</f>
        <v>107297650</v>
      </c>
      <c r="E504" s="8" t="n">
        <f aca="false">IF(D504+H504&gt;0,D504+H504,"")</f>
        <v>74198521.13</v>
      </c>
      <c r="F504" s="8" t="n">
        <f aca="false">IFERROR(D504/VLOOKUP(A504,'Dados-Status-Invest'!$1:$1000,5,FALSE()),"")</f>
        <v>60279578.65</v>
      </c>
      <c r="G504" s="8" t="n">
        <f aca="false">IFERROR(D504/VLOOKUP(A504,'Dados-Status-Invest'!$1:$1000,6,FALSE()),"")</f>
        <v>83176472.87</v>
      </c>
      <c r="H504" s="8" t="n">
        <f aca="false">IFERROR(VLOOKUP(A504,'Dados-Status-Invest'!$1:$1000,12,FALSE())*J504,"")</f>
        <v>-33099128.87</v>
      </c>
      <c r="I504" s="8" t="n">
        <f aca="false">IFERROR(D504/VLOOKUP(A504,'Dados-Status-Invest'!$1:$1000,14,FALSE()),"")</f>
        <v>53918417.09</v>
      </c>
      <c r="J504" s="9" t="n">
        <f aca="false">IFERROR(D504/VLOOKUP(A504,'Dados-Status-Invest'!$1:$1000,10,FALSE()),"")</f>
        <v>15686790.94</v>
      </c>
      <c r="K504" s="10" t="n">
        <f aca="false">IFERROR(VLOOKUP(A504,'Dados-Status-Invest'!$1:$1000,3,FALSE())/100,"")</f>
        <v>0.1623</v>
      </c>
      <c r="L504" s="11" t="n">
        <f aca="false">IFERROR(VLOOKUP(A504,'Dados-Status-Invest'!$1:$1000,MATCH(L$1,'Dados-Status-Invest'!$2:$2,0),FALSE())/100,"")</f>
        <v>0.2874</v>
      </c>
      <c r="M504" s="10" t="n">
        <f aca="false">IFERROR(VLOOKUP(A504,'Dados-Status-Invest'!$1:$1000,MATCH(M$1,'Dados-Status-Invest'!$2:$2,0),FALSE())/100,"")</f>
        <v>0.2082</v>
      </c>
      <c r="N504" s="10" t="n">
        <f aca="false">IFERROR(VLOOKUP(A504,'Dados-Status-Invest'!$1:$1000,MATCH(N$1,'Dados-Status-Invest'!$2:$2,0),FALSE())/100,"")</f>
        <v>0.2471</v>
      </c>
      <c r="O504" s="10" t="n">
        <f aca="false">IFERROR(VLOOKUP(A504,'Dados-Status-Invest'!$1:$1000,MATCH(O$1,'Dados-Status-Invest'!$2:$2,0),FALSE())/100,"")</f>
        <v>0.2764</v>
      </c>
      <c r="P504" s="10" t="n">
        <f aca="false">IFERROR(VLOOKUP(A504,'Dados-Status-Invest'!$1:$1000,MATCH(P$1,'Dados-Status-Invest'!$2:$2,0),FALSE())/100,"")</f>
        <v>0.2916</v>
      </c>
      <c r="Q504" s="10" t="n">
        <f aca="false">IFERROR(VLOOKUP(A504,'Dados-Status-Invest'!$1:$1000,MATCH(Q$1,'Dados-Status-Invest'!$2:$2,0),FALSE())/100,"")</f>
        <v>0.3218</v>
      </c>
      <c r="R504" s="12" t="n">
        <f aca="false">IFERROR(VLOOKUP(A504,'Dados-Status-Invest'!$1:$1000,MATCH(R$1,'Dados-Status-Invest'!$2:$2,0),FALSE()),"")</f>
        <v>6.2</v>
      </c>
      <c r="S504" s="12" t="n">
        <f aca="false">IFERROR(VLOOKUP(A504,'Dados-Status-Invest'!$1:$1000,MATCH(S$1,'Dados-Status-Invest'!$2:$2,0),FALSE()),"")</f>
        <v>1.78</v>
      </c>
      <c r="T504" s="12" t="n">
        <f aca="false">IFERROR(VLOOKUP(A504,'Dados-Status-Invest'!$1:$1000,MATCH(T$1,'Dados-Status-Invest'!$2:$2,0),FALSE()),"")</f>
        <v>3.58</v>
      </c>
      <c r="U504" s="12" t="n">
        <f aca="false">IFERROR(VLOOKUP(A504,'Dados-Status-Invest'!$1:$1000,MATCH(U$1,'Dados-Status-Invest'!$2:$2,0),FALSE()),"")</f>
        <v>3.28</v>
      </c>
      <c r="V504" s="12" t="n">
        <f aca="false">IFERROR(VLOOKUP(A504,'Dados-Status-Invest'!$1:$1000,MATCH(V$1,'Dados-Status-Invest'!$2:$2,0),FALSE()),"")</f>
        <v>-2.11</v>
      </c>
      <c r="W504" s="10" t="n">
        <f aca="false">IFERROR(VLOOKUP(A504,'Dados-Status-Invest'!$1:$1000,MATCH(W$1,'Dados-Status-Invest'!$2:$2,0),FALSE())/100,"")</f>
        <v>-0.104</v>
      </c>
      <c r="X504" s="10" t="n">
        <f aca="false">IFERROR(VLOOKUP(A504,'Dados-Status-Invest'!$1:$1000,MATCH(X$1,'Dados-Status-Invest'!$2:$2,0),FALSE())/100,"")</f>
        <v>0</v>
      </c>
    </row>
    <row r="505" customFormat="false" ht="15.75" hidden="false" customHeight="false" outlineLevel="0" collapsed="false">
      <c r="A505" s="6" t="s">
        <v>538</v>
      </c>
      <c r="B505" s="7" t="str">
        <f aca="false">IFERROR(VLOOKUP(LEFT(A505,4),Setor!A:D,2,FALSE()),"")</f>
        <v>Bens Industriais</v>
      </c>
      <c r="C505" s="8" t="n">
        <f aca="false">IFERROR(__xludf.dummyfunction("IFERROR(IFERROR(GOOGLEFINANCE(A511,""price""),VLOOKUP(A511,'Dados-Status-Invest'!A:B,2,FALSE)),"""")"),47)</f>
        <v>47</v>
      </c>
      <c r="D505" s="8" t="n">
        <f aca="false">IFERROR(VLOOKUP(A505,'Dados-Status-Invest'!$1:$1000,MATCH(D$1,'Dados-Status-Invest'!$2:$2,0),FALSE()),"")</f>
        <v>107297650</v>
      </c>
      <c r="E505" s="8" t="n">
        <f aca="false">IF(D505+H505&gt;0,D505+H505,"")</f>
        <v>69119228.16</v>
      </c>
      <c r="F505" s="8" t="n">
        <f aca="false">IFERROR(D505/VLOOKUP(A505,'Dados-Status-Invest'!$1:$1000,5,FALSE()),"")</f>
        <v>69673798.7</v>
      </c>
      <c r="G505" s="8" t="n">
        <f aca="false">IFERROR(D505/VLOOKUP(A505,'Dados-Status-Invest'!$1:$1000,6,FALSE()),"")</f>
        <v>95801473.21</v>
      </c>
      <c r="H505" s="8" t="n">
        <f aca="false">IFERROR(VLOOKUP(A505,'Dados-Status-Invest'!$1:$1000,12,FALSE())*J505,"")</f>
        <v>-38178421.84</v>
      </c>
      <c r="I505" s="8" t="n">
        <f aca="false">IFERROR(D505/VLOOKUP(A505,'Dados-Status-Invest'!$1:$1000,14,FALSE()),"")</f>
        <v>62021763.01</v>
      </c>
      <c r="J505" s="9" t="n">
        <f aca="false">IFERROR(D505/VLOOKUP(A505,'Dados-Status-Invest'!$1:$1000,10,FALSE()),"")</f>
        <v>18094038.79</v>
      </c>
      <c r="K505" s="10" t="n">
        <f aca="false">IFERROR(VLOOKUP(A505,'Dados-Status-Invest'!$1:$1000,3,FALSE())/100,"")</f>
        <v>0.1872</v>
      </c>
      <c r="L505" s="11" t="n">
        <f aca="false">IFERROR(VLOOKUP(A505,'Dados-Status-Invest'!$1:$1000,MATCH(L$1,'Dados-Status-Invest'!$2:$2,0),FALSE())/100,"")</f>
        <v>0.2874</v>
      </c>
      <c r="M505" s="10" t="n">
        <f aca="false">IFERROR(VLOOKUP(A505,'Dados-Status-Invest'!$1:$1000,MATCH(M$1,'Dados-Status-Invest'!$2:$2,0),FALSE())/100,"")</f>
        <v>0.2082</v>
      </c>
      <c r="N505" s="10" t="n">
        <f aca="false">IFERROR(VLOOKUP(A505,'Dados-Status-Invest'!$1:$1000,MATCH(N$1,'Dados-Status-Invest'!$2:$2,0),FALSE())/100,"")</f>
        <v>0.2471</v>
      </c>
      <c r="O505" s="10" t="n">
        <f aca="false">IFERROR(VLOOKUP(A505,'Dados-Status-Invest'!$1:$1000,MATCH(O$1,'Dados-Status-Invest'!$2:$2,0),FALSE())/100,"")</f>
        <v>0.2764</v>
      </c>
      <c r="P505" s="10" t="n">
        <f aca="false">IFERROR(VLOOKUP(A505,'Dados-Status-Invest'!$1:$1000,MATCH(P$1,'Dados-Status-Invest'!$2:$2,0),FALSE())/100,"")</f>
        <v>0.2916</v>
      </c>
      <c r="Q505" s="10" t="n">
        <f aca="false">IFERROR(VLOOKUP(A505,'Dados-Status-Invest'!$1:$1000,MATCH(Q$1,'Dados-Status-Invest'!$2:$2,0),FALSE())/100,"")</f>
        <v>0.3218</v>
      </c>
      <c r="R505" s="12" t="n">
        <f aca="false">IFERROR(VLOOKUP(A505,'Dados-Status-Invest'!$1:$1000,MATCH(R$1,'Dados-Status-Invest'!$2:$2,0),FALSE()),"")</f>
        <v>5.37</v>
      </c>
      <c r="S505" s="12" t="n">
        <f aca="false">IFERROR(VLOOKUP(A505,'Dados-Status-Invest'!$1:$1000,MATCH(S$1,'Dados-Status-Invest'!$2:$2,0),FALSE()),"")</f>
        <v>1.54</v>
      </c>
      <c r="T505" s="12" t="n">
        <f aca="false">IFERROR(VLOOKUP(A505,'Dados-Status-Invest'!$1:$1000,MATCH(T$1,'Dados-Status-Invest'!$2:$2,0),FALSE()),"")</f>
        <v>3.58</v>
      </c>
      <c r="U505" s="12" t="n">
        <f aca="false">IFERROR(VLOOKUP(A505,'Dados-Status-Invest'!$1:$1000,MATCH(U$1,'Dados-Status-Invest'!$2:$2,0),FALSE()),"")</f>
        <v>3.28</v>
      </c>
      <c r="V505" s="12" t="n">
        <f aca="false">IFERROR(VLOOKUP(A505,'Dados-Status-Invest'!$1:$1000,MATCH(V$1,'Dados-Status-Invest'!$2:$2,0),FALSE()),"")</f>
        <v>-2.11</v>
      </c>
      <c r="W505" s="10" t="n">
        <f aca="false">IFERROR(VLOOKUP(A505,'Dados-Status-Invest'!$1:$1000,MATCH(W$1,'Dados-Status-Invest'!$2:$2,0),FALSE())/100,"")</f>
        <v>-0.104</v>
      </c>
      <c r="X505" s="10" t="n">
        <f aca="false">IFERROR(VLOOKUP(A505,'Dados-Status-Invest'!$1:$1000,MATCH(X$1,'Dados-Status-Invest'!$2:$2,0),FALSE())/100,"")</f>
        <v>0</v>
      </c>
    </row>
    <row r="506" customFormat="false" ht="15.75" hidden="false" customHeight="false" outlineLevel="0" collapsed="false">
      <c r="A506" s="6" t="s">
        <v>539</v>
      </c>
      <c r="B506" s="7" t="str">
        <f aca="false">IFERROR(VLOOKUP(LEFT(A506,4),Setor!A:D,2,FALSE()),"")</f>
        <v>Outros</v>
      </c>
      <c r="C506" s="8" t="n">
        <f aca="false">IFERROR(__xludf.dummyfunction("IFERROR(IFERROR(GOOGLEFINANCE(A512,""price""),VLOOKUP(A512,'Dados-Status-Invest'!A:B,2,FALSE)),"""")"),76.4)</f>
        <v>76.4</v>
      </c>
      <c r="D506" s="8" t="n">
        <f aca="false">IFERROR(VLOOKUP(A506,'Dados-Status-Invest'!$1:$1000,MATCH(D$1,'Dados-Status-Invest'!$2:$2,0),FALSE()),"")</f>
        <v>370531748.8</v>
      </c>
      <c r="E506" s="8" t="n">
        <f aca="false">IF(D506+H506&gt;0,D506+H506,"")</f>
        <v>370531748.8</v>
      </c>
      <c r="F506" s="8" t="n">
        <f aca="false">IFERROR(D506/VLOOKUP(A506,'Dados-Status-Invest'!$1:$1000,5,FALSE()),"")</f>
        <v>-132534.8831</v>
      </c>
      <c r="G506" s="8" t="n">
        <f aca="false">IFERROR(D506/VLOOKUP(A506,'Dados-Status-Invest'!$1:$1000,6,FALSE()),"")</f>
        <v>10673.99875</v>
      </c>
      <c r="H506" s="8" t="n">
        <f aca="false">IFERROR(VLOOKUP(A506,'Dados-Status-Invest'!$1:$1000,12,FALSE())*J506,"")</f>
        <v>0</v>
      </c>
      <c r="I506" s="8" t="str">
        <f aca="false">IFERROR(D506/VLOOKUP(A506,'Dados-Status-Invest'!$1:$1000,14,FALSE()),"")</f>
        <v/>
      </c>
      <c r="J506" s="9" t="n">
        <f aca="false">IFERROR(D506/VLOOKUP(A506,'Dados-Status-Invest'!$1:$1000,10,FALSE()),"")</f>
        <v>-125263.8594</v>
      </c>
      <c r="K506" s="10" t="n">
        <f aca="false">IFERROR(VLOOKUP(A506,'Dados-Status-Invest'!$1:$1000,3,FALSE())/100,"")</f>
        <v>0</v>
      </c>
      <c r="L506" s="11" t="n">
        <f aca="false">IFERROR(VLOOKUP(A506,'Dados-Status-Invest'!$1:$1000,MATCH(L$1,'Dados-Status-Invest'!$2:$2,0),FALSE())/100,"")</f>
        <v>-1.0288</v>
      </c>
      <c r="M506" s="10" t="n">
        <f aca="false">IFERROR(VLOOKUP(A506,'Dados-Status-Invest'!$1:$1000,MATCH(M$1,'Dados-Status-Invest'!$2:$2,0),FALSE())/100,"")</f>
        <v>-12.774</v>
      </c>
      <c r="N506" s="10" t="n">
        <f aca="false">IFERROR(VLOOKUP(A506,'Dados-Status-Invest'!$1:$1000,MATCH(N$1,'Dados-Status-Invest'!$2:$2,0),FALSE())/100,"")</f>
        <v>0.9451</v>
      </c>
      <c r="O506" s="10" t="n">
        <f aca="false">IFERROR(VLOOKUP(A506,'Dados-Status-Invest'!$1:$1000,MATCH(O$1,'Dados-Status-Invest'!$2:$2,0),FALSE())/100,"")</f>
        <v>0</v>
      </c>
      <c r="P506" s="10" t="n">
        <f aca="false">IFERROR(VLOOKUP(A506,'Dados-Status-Invest'!$1:$1000,MATCH(P$1,'Dados-Status-Invest'!$2:$2,0),FALSE())/100,"")</f>
        <v>0</v>
      </c>
      <c r="Q506" s="10" t="n">
        <f aca="false">IFERROR(VLOOKUP(A506,'Dados-Status-Invest'!$1:$1000,MATCH(Q$1,'Dados-Status-Invest'!$2:$2,0),FALSE())/100,"")</f>
        <v>0</v>
      </c>
      <c r="R506" s="12" t="n">
        <f aca="false">IFERROR(VLOOKUP(A506,'Dados-Status-Invest'!$1:$1000,MATCH(R$1,'Dados-Status-Invest'!$2:$2,0),FALSE()),"")</f>
        <v>-2717.5</v>
      </c>
      <c r="S506" s="12" t="n">
        <f aca="false">IFERROR(VLOOKUP(A506,'Dados-Status-Invest'!$1:$1000,MATCH(S$1,'Dados-Status-Invest'!$2:$2,0),FALSE()),"")</f>
        <v>-2795.73</v>
      </c>
      <c r="T506" s="12" t="n">
        <f aca="false">IFERROR(VLOOKUP(A506,'Dados-Status-Invest'!$1:$1000,MATCH(T$1,'Dados-Status-Invest'!$2:$2,0),FALSE()),"")</f>
        <v>-2958.01</v>
      </c>
      <c r="U506" s="12" t="n">
        <f aca="false">IFERROR(VLOOKUP(A506,'Dados-Status-Invest'!$1:$1000,MATCH(U$1,'Dados-Status-Invest'!$2:$2,0),FALSE()),"")</f>
        <v>0</v>
      </c>
      <c r="V506" s="12" t="n">
        <f aca="false">IFERROR(VLOOKUP(A506,'Dados-Status-Invest'!$1:$1000,MATCH(V$1,'Dados-Status-Invest'!$2:$2,0),FALSE()),"")</f>
        <v>0</v>
      </c>
      <c r="W506" s="10" t="n">
        <f aca="false">IFERROR(VLOOKUP(A506,'Dados-Status-Invest'!$1:$1000,MATCH(W$1,'Dados-Status-Invest'!$2:$2,0),FALSE())/100,"")</f>
        <v>0</v>
      </c>
      <c r="X506" s="10" t="n">
        <f aca="false">IFERROR(VLOOKUP(A506,'Dados-Status-Invest'!$1:$1000,MATCH(X$1,'Dados-Status-Invest'!$2:$2,0),FALSE())/100,"")</f>
        <v>0</v>
      </c>
    </row>
    <row r="507" customFormat="false" ht="15.75" hidden="false" customHeight="false" outlineLevel="0" collapsed="false">
      <c r="A507" s="6" t="s">
        <v>540</v>
      </c>
      <c r="B507" s="7" t="str">
        <f aca="false">IFERROR(VLOOKUP(LEFT(A507,4),Setor!A:D,2,FALSE()),"")</f>
        <v>Tecnologia da Informação</v>
      </c>
      <c r="C507" s="8" t="n">
        <f aca="false">IFERROR(__xludf.dummyfunction("IFERROR(IFERROR(GOOGLEFINANCE(A513,""price""),VLOOKUP(A513,'Dados-Status-Invest'!A:B,2,FALSE)),"""")"),18.8)</f>
        <v>18.8</v>
      </c>
      <c r="D507" s="8" t="n">
        <f aca="false">IFERROR(VLOOKUP(A507,'Dados-Status-Invest'!$1:$1000,MATCH(D$1,'Dados-Status-Invest'!$2:$2,0),FALSE()),"")</f>
        <v>1716452596</v>
      </c>
      <c r="E507" s="8" t="n">
        <f aca="false">IF(D507+H507&gt;0,D507+H507,"")</f>
        <v>1651744542.04</v>
      </c>
      <c r="F507" s="8" t="n">
        <f aca="false">IFERROR(D507/VLOOKUP(A507,'Dados-Status-Invest'!$1:$1000,5,FALSE()),"")</f>
        <v>402923144.6</v>
      </c>
      <c r="G507" s="8" t="n">
        <f aca="false">IFERROR(D507/VLOOKUP(A507,'Dados-Status-Invest'!$1:$1000,6,FALSE()),"")</f>
        <v>662723010</v>
      </c>
      <c r="H507" s="8" t="n">
        <f aca="false">IFERROR(VLOOKUP(A507,'Dados-Status-Invest'!$1:$1000,12,FALSE())*J507,"")</f>
        <v>-64708053.96</v>
      </c>
      <c r="I507" s="8" t="n">
        <f aca="false">IFERROR(D507/VLOOKUP(A507,'Dados-Status-Invest'!$1:$1000,14,FALSE()),"")</f>
        <v>231327843.1</v>
      </c>
      <c r="J507" s="9" t="n">
        <f aca="false">IFERROR(D507/VLOOKUP(A507,'Dados-Status-Invest'!$1:$1000,10,FALSE()),"")</f>
        <v>12993585.13</v>
      </c>
      <c r="K507" s="10" t="n">
        <f aca="false">IFERROR(VLOOKUP(A507,'Dados-Status-Invest'!$1:$1000,3,FALSE())/100,"")</f>
        <v>0.0008</v>
      </c>
      <c r="L507" s="11" t="n">
        <f aca="false">IFERROR(VLOOKUP(A507,'Dados-Status-Invest'!$1:$1000,MATCH(L$1,'Dados-Status-Invest'!$2:$2,0),FALSE())/100,"")</f>
        <v>0.0132</v>
      </c>
      <c r="M507" s="10" t="n">
        <f aca="false">IFERROR(VLOOKUP(A507,'Dados-Status-Invest'!$1:$1000,MATCH(M$1,'Dados-Status-Invest'!$2:$2,0),FALSE())/100,"")</f>
        <v>0.0081</v>
      </c>
      <c r="N507" s="10" t="n">
        <f aca="false">IFERROR(VLOOKUP(A507,'Dados-Status-Invest'!$1:$1000,MATCH(N$1,'Dados-Status-Invest'!$2:$2,0),FALSE())/100,"")</f>
        <v>0.0153</v>
      </c>
      <c r="O507" s="10" t="n">
        <f aca="false">IFERROR(VLOOKUP(A507,'Dados-Status-Invest'!$1:$1000,MATCH(O$1,'Dados-Status-Invest'!$2:$2,0),FALSE())/100,"")</f>
        <v>0.353</v>
      </c>
      <c r="P507" s="10" t="n">
        <f aca="false">IFERROR(VLOOKUP(A507,'Dados-Status-Invest'!$1:$1000,MATCH(P$1,'Dados-Status-Invest'!$2:$2,0),FALSE())/100,"")</f>
        <v>0.0562</v>
      </c>
      <c r="Q507" s="10" t="n">
        <f aca="false">IFERROR(VLOOKUP(A507,'Dados-Status-Invest'!$1:$1000,MATCH(Q$1,'Dados-Status-Invest'!$2:$2,0),FALSE())/100,"")</f>
        <v>0.0231</v>
      </c>
      <c r="R507" s="12" t="n">
        <f aca="false">IFERROR(VLOOKUP(A507,'Dados-Status-Invest'!$1:$1000,MATCH(R$1,'Dados-Status-Invest'!$2:$2,0),FALSE()),"")</f>
        <v>321.29</v>
      </c>
      <c r="S507" s="12" t="n">
        <f aca="false">IFERROR(VLOOKUP(A507,'Dados-Status-Invest'!$1:$1000,MATCH(S$1,'Dados-Status-Invest'!$2:$2,0),FALSE()),"")</f>
        <v>4.26</v>
      </c>
      <c r="T507" s="12" t="n">
        <f aca="false">IFERROR(VLOOKUP(A507,'Dados-Status-Invest'!$1:$1000,MATCH(T$1,'Dados-Status-Invest'!$2:$2,0),FALSE()),"")</f>
        <v>128.05</v>
      </c>
      <c r="U507" s="12" t="n">
        <f aca="false">IFERROR(VLOOKUP(A507,'Dados-Status-Invest'!$1:$1000,MATCH(U$1,'Dados-Status-Invest'!$2:$2,0),FALSE()),"")</f>
        <v>3</v>
      </c>
      <c r="V507" s="12" t="n">
        <f aca="false">IFERROR(VLOOKUP(A507,'Dados-Status-Invest'!$1:$1000,MATCH(V$1,'Dados-Status-Invest'!$2:$2,0),FALSE()),"")</f>
        <v>-4.98</v>
      </c>
      <c r="W507" s="10" t="n">
        <f aca="false">IFERROR(VLOOKUP(A507,'Dados-Status-Invest'!$1:$1000,MATCH(W$1,'Dados-Status-Invest'!$2:$2,0),FALSE())/100,"")</f>
        <v>0.2277</v>
      </c>
      <c r="X507" s="10" t="n">
        <f aca="false">IFERROR(VLOOKUP(A507,'Dados-Status-Invest'!$1:$1000,MATCH(X$1,'Dados-Status-Invest'!$2:$2,0),FALSE())/100,"")</f>
        <v>-0.1274</v>
      </c>
    </row>
    <row r="508" customFormat="false" ht="15.75" hidden="false" customHeight="false" outlineLevel="0" collapsed="false">
      <c r="A508" s="6" t="s">
        <v>541</v>
      </c>
      <c r="B508" s="7" t="str">
        <f aca="false">IFERROR(VLOOKUP(LEFT(A508,4),Setor!A:D,2,FALSE()),"")</f>
        <v>Bens Industriais</v>
      </c>
      <c r="C508" s="8" t="n">
        <f aca="false">IFERROR(__xludf.dummyfunction("IFERROR(IFERROR(GOOGLEFINANCE(A514,""price""),VLOOKUP(A514,'Dados-Status-Invest'!A:B,2,FALSE)),"""")"),7.23)</f>
        <v>7.23</v>
      </c>
      <c r="D508" s="8" t="n">
        <f aca="false">IFERROR(VLOOKUP(A508,'Dados-Status-Invest'!$1:$1000,MATCH(D$1,'Dados-Status-Invest'!$2:$2,0),FALSE()),"")</f>
        <v>7770930186</v>
      </c>
      <c r="E508" s="8" t="n">
        <f aca="false">IF(D508+H508&gt;0,D508+H508,"")</f>
        <v>7116573841.8</v>
      </c>
      <c r="F508" s="8" t="n">
        <f aca="false">IFERROR(D508/VLOOKUP(A508,'Dados-Status-Invest'!$1:$1000,5,FALSE()),"")</f>
        <v>2134870930</v>
      </c>
      <c r="G508" s="8" t="n">
        <f aca="false">IFERROR(D508/VLOOKUP(A508,'Dados-Status-Invest'!$1:$1000,6,FALSE()),"")</f>
        <v>4317183437</v>
      </c>
      <c r="H508" s="8" t="n">
        <f aca="false">IFERROR(VLOOKUP(A508,'Dados-Status-Invest'!$1:$1000,12,FALSE())*J508,"")</f>
        <v>-654356344.2</v>
      </c>
      <c r="I508" s="8" t="n">
        <f aca="false">IFERROR(D508/VLOOKUP(A508,'Dados-Status-Invest'!$1:$1000,14,FALSE()),"")</f>
        <v>1022490814</v>
      </c>
      <c r="J508" s="9" t="n">
        <f aca="false">IFERROR(D508/VLOOKUP(A508,'Dados-Status-Invest'!$1:$1000,10,FALSE()),"")</f>
        <v>119626388.3</v>
      </c>
      <c r="K508" s="10" t="n">
        <f aca="false">IFERROR(VLOOKUP(A508,'Dados-Status-Invest'!$1:$1000,3,FALSE())/100,"")</f>
        <v>0</v>
      </c>
      <c r="L508" s="11" t="n">
        <f aca="false">IFERROR(VLOOKUP(A508,'Dados-Status-Invest'!$1:$1000,MATCH(L$1,'Dados-Status-Invest'!$2:$2,0),FALSE())/100,"")</f>
        <v>0.0143</v>
      </c>
      <c r="M508" s="10" t="n">
        <f aca="false">IFERROR(VLOOKUP(A508,'Dados-Status-Invest'!$1:$1000,MATCH(M$1,'Dados-Status-Invest'!$2:$2,0),FALSE())/100,"")</f>
        <v>0.007</v>
      </c>
      <c r="N508" s="10" t="n">
        <f aca="false">IFERROR(VLOOKUP(A508,'Dados-Status-Invest'!$1:$1000,MATCH(N$1,'Dados-Status-Invest'!$2:$2,0),FALSE())/100,"")</f>
        <v>0.0389</v>
      </c>
      <c r="O508" s="10" t="n">
        <f aca="false">IFERROR(VLOOKUP(A508,'Dados-Status-Invest'!$1:$1000,MATCH(O$1,'Dados-Status-Invest'!$2:$2,0),FALSE())/100,"")</f>
        <v>0.2796</v>
      </c>
      <c r="P508" s="10" t="n">
        <f aca="false">IFERROR(VLOOKUP(A508,'Dados-Status-Invest'!$1:$1000,MATCH(P$1,'Dados-Status-Invest'!$2:$2,0),FALSE())/100,"")</f>
        <v>0.117</v>
      </c>
      <c r="Q508" s="10" t="n">
        <f aca="false">IFERROR(VLOOKUP(A508,'Dados-Status-Invest'!$1:$1000,MATCH(Q$1,'Dados-Status-Invest'!$2:$2,0),FALSE())/100,"")</f>
        <v>0.0298</v>
      </c>
      <c r="R508" s="12" t="n">
        <f aca="false">IFERROR(VLOOKUP(A508,'Dados-Status-Invest'!$1:$1000,MATCH(R$1,'Dados-Status-Invest'!$2:$2,0),FALSE()),"")</f>
        <v>255.17</v>
      </c>
      <c r="S508" s="12" t="n">
        <f aca="false">IFERROR(VLOOKUP(A508,'Dados-Status-Invest'!$1:$1000,MATCH(S$1,'Dados-Status-Invest'!$2:$2,0),FALSE()),"")</f>
        <v>3.64</v>
      </c>
      <c r="T508" s="12" t="n">
        <f aca="false">IFERROR(VLOOKUP(A508,'Dados-Status-Invest'!$1:$1000,MATCH(T$1,'Dados-Status-Invest'!$2:$2,0),FALSE()),"")</f>
        <v>59.63</v>
      </c>
      <c r="U508" s="12" t="n">
        <f aca="false">IFERROR(VLOOKUP(A508,'Dados-Status-Invest'!$1:$1000,MATCH(U$1,'Dados-Status-Invest'!$2:$2,0),FALSE()),"")</f>
        <v>2.83</v>
      </c>
      <c r="V508" s="12" t="n">
        <f aca="false">IFERROR(VLOOKUP(A508,'Dados-Status-Invest'!$1:$1000,MATCH(V$1,'Dados-Status-Invest'!$2:$2,0),FALSE()),"")</f>
        <v>-5.47</v>
      </c>
      <c r="W508" s="10" t="n">
        <f aca="false">IFERROR(VLOOKUP(A508,'Dados-Status-Invest'!$1:$1000,MATCH(W$1,'Dados-Status-Invest'!$2:$2,0),FALSE())/100,"")</f>
        <v>-0.0073</v>
      </c>
      <c r="X508" s="10" t="n">
        <f aca="false">IFERROR(VLOOKUP(A508,'Dados-Status-Invest'!$1:$1000,MATCH(X$1,'Dados-Status-Invest'!$2:$2,0),FALSE())/100,"")</f>
        <v>0</v>
      </c>
    </row>
    <row r="509" customFormat="false" ht="15.75" hidden="false" customHeight="false" outlineLevel="0" collapsed="false">
      <c r="A509" s="6" t="s">
        <v>542</v>
      </c>
      <c r="B509" s="7" t="str">
        <f aca="false">IFERROR(VLOOKUP(LEFT(A509,4),Setor!A:D,2,FALSE()),"")</f>
        <v>Utilidade Pública</v>
      </c>
      <c r="C509" s="8" t="n">
        <f aca="false">IFERROR(__xludf.dummyfunction("IFERROR(IFERROR(GOOGLEFINANCE(A515,""price""),VLOOKUP(A515,'Dados-Status-Invest'!A:B,2,FALSE)),"""")"),0)</f>
        <v>0</v>
      </c>
      <c r="D509" s="8" t="n">
        <f aca="false">IFERROR(VLOOKUP(A509,'Dados-Status-Invest'!$1:$1000,MATCH(D$1,'Dados-Status-Invest'!$2:$2,0),FALSE()),"")</f>
        <v>0</v>
      </c>
      <c r="E509" s="8" t="str">
        <f aca="false">IF(D509+H509&gt;0,D509+H509,"")</f>
        <v/>
      </c>
      <c r="F509" s="8" t="str">
        <f aca="false">IFERROR(D509/VLOOKUP(A509,'Dados-Status-Invest'!$1:$1000,5,FALSE()),"")</f>
        <v/>
      </c>
      <c r="G509" s="8" t="str">
        <f aca="false">IFERROR(D509/VLOOKUP(A509,'Dados-Status-Invest'!$1:$1000,6,FALSE()),"")</f>
        <v/>
      </c>
      <c r="H509" s="8" t="n">
        <f aca="false">IFERROR(VLOOKUP(A509,'Dados-Status-Invest'!$1:$1000,12,FALSE())*J509,"")</f>
        <v>0</v>
      </c>
      <c r="I509" s="8" t="str">
        <f aca="false">IFERROR(D509/VLOOKUP(A509,'Dados-Status-Invest'!$1:$1000,14,FALSE()),"")</f>
        <v/>
      </c>
      <c r="J509" s="9" t="str">
        <f aca="false">IFERROR(D509/VLOOKUP(A509,'Dados-Status-Invest'!$1:$1000,10,FALSE()),"")</f>
        <v/>
      </c>
      <c r="K509" s="10" t="n">
        <f aca="false">IFERROR(VLOOKUP(A509,'Dados-Status-Invest'!$1:$1000,3,FALSE())/100,"")</f>
        <v>0</v>
      </c>
      <c r="L509" s="11" t="n">
        <f aca="false">IFERROR(VLOOKUP(A509,'Dados-Status-Invest'!$1:$1000,MATCH(L$1,'Dados-Status-Invest'!$2:$2,0),FALSE())/100,"")</f>
        <v>0.0419</v>
      </c>
      <c r="M509" s="10" t="n">
        <f aca="false">IFERROR(VLOOKUP(A509,'Dados-Status-Invest'!$1:$1000,MATCH(M$1,'Dados-Status-Invest'!$2:$2,0),FALSE())/100,"")</f>
        <v>0.0253</v>
      </c>
      <c r="N509" s="10" t="n">
        <f aca="false">IFERROR(VLOOKUP(A509,'Dados-Status-Invest'!$1:$1000,MATCH(N$1,'Dados-Status-Invest'!$2:$2,0),FALSE())/100,"")</f>
        <v>0.0539</v>
      </c>
      <c r="O509" s="10" t="n">
        <f aca="false">IFERROR(VLOOKUP(A509,'Dados-Status-Invest'!$1:$1000,MATCH(O$1,'Dados-Status-Invest'!$2:$2,0),FALSE())/100,"")</f>
        <v>0.5017</v>
      </c>
      <c r="P509" s="10" t="n">
        <f aca="false">IFERROR(VLOOKUP(A509,'Dados-Status-Invest'!$1:$1000,MATCH(P$1,'Dados-Status-Invest'!$2:$2,0),FALSE())/100,"")</f>
        <v>0.2843</v>
      </c>
      <c r="Q509" s="10" t="n">
        <f aca="false">IFERROR(VLOOKUP(A509,'Dados-Status-Invest'!$1:$1000,MATCH(Q$1,'Dados-Status-Invest'!$2:$2,0),FALSE())/100,"")</f>
        <v>0.136</v>
      </c>
      <c r="R509" s="12" t="n">
        <f aca="false">IFERROR(VLOOKUP(A509,'Dados-Status-Invest'!$1:$1000,MATCH(R$1,'Dados-Status-Invest'!$2:$2,0),FALSE()),"")</f>
        <v>0</v>
      </c>
      <c r="S509" s="12" t="n">
        <f aca="false">IFERROR(VLOOKUP(A509,'Dados-Status-Invest'!$1:$1000,MATCH(S$1,'Dados-Status-Invest'!$2:$2,0),FALSE()),"")</f>
        <v>0</v>
      </c>
      <c r="T509" s="12" t="n">
        <f aca="false">IFERROR(VLOOKUP(A509,'Dados-Status-Invest'!$1:$1000,MATCH(T$1,'Dados-Status-Invest'!$2:$2,0),FALSE()),"")</f>
        <v>2.01</v>
      </c>
      <c r="U509" s="12" t="n">
        <f aca="false">IFERROR(VLOOKUP(A509,'Dados-Status-Invest'!$1:$1000,MATCH(U$1,'Dados-Status-Invest'!$2:$2,0),FALSE()),"")</f>
        <v>1.47</v>
      </c>
      <c r="V509" s="12" t="n">
        <f aca="false">IFERROR(VLOOKUP(A509,'Dados-Status-Invest'!$1:$1000,MATCH(V$1,'Dados-Status-Invest'!$2:$2,0),FALSE()),"")</f>
        <v>2.01</v>
      </c>
      <c r="W509" s="10" t="n">
        <f aca="false">IFERROR(VLOOKUP(A509,'Dados-Status-Invest'!$1:$1000,MATCH(W$1,'Dados-Status-Invest'!$2:$2,0),FALSE())/100,"")</f>
        <v>0.145</v>
      </c>
      <c r="X509" s="10" t="n">
        <f aca="false">IFERROR(VLOOKUP(A509,'Dados-Status-Invest'!$1:$1000,MATCH(X$1,'Dados-Status-Invest'!$2:$2,0),FALSE())/100,"")</f>
        <v>0</v>
      </c>
    </row>
    <row r="510" customFormat="false" ht="15.75" hidden="false" customHeight="false" outlineLevel="0" collapsed="false">
      <c r="A510" s="6" t="s">
        <v>543</v>
      </c>
      <c r="B510" s="7" t="str">
        <f aca="false">IFERROR(VLOOKUP(LEFT(A510,4),Setor!A:D,2,FALSE()),"")</f>
        <v>Bens Industriais</v>
      </c>
      <c r="C510" s="8" t="n">
        <f aca="false">IFERROR(__xludf.dummyfunction("IFERROR(IFERROR(GOOGLEFINANCE(A516,""price""),VLOOKUP(A516,'Dados-Status-Invest'!A:B,2,FALSE)),"""")"),0)</f>
        <v>0</v>
      </c>
      <c r="D510" s="8" t="n">
        <f aca="false">IFERROR(VLOOKUP(A510,'Dados-Status-Invest'!$1:$1000,MATCH(D$1,'Dados-Status-Invest'!$2:$2,0),FALSE()),"")</f>
        <v>0</v>
      </c>
      <c r="E510" s="8" t="str">
        <f aca="false">IF(D510+H510&gt;0,D510+H510,"")</f>
        <v/>
      </c>
      <c r="F510" s="8" t="str">
        <f aca="false">IFERROR(D510/VLOOKUP(A510,'Dados-Status-Invest'!$1:$1000,5,FALSE()),"")</f>
        <v/>
      </c>
      <c r="G510" s="8" t="str">
        <f aca="false">IFERROR(D510/VLOOKUP(A510,'Dados-Status-Invest'!$1:$1000,6,FALSE()),"")</f>
        <v/>
      </c>
      <c r="H510" s="8" t="n">
        <f aca="false">IFERROR(VLOOKUP(A510,'Dados-Status-Invest'!$1:$1000,12,FALSE())*J510,"")</f>
        <v>0</v>
      </c>
      <c r="I510" s="8" t="str">
        <f aca="false">IFERROR(D510/VLOOKUP(A510,'Dados-Status-Invest'!$1:$1000,14,FALSE()),"")</f>
        <v/>
      </c>
      <c r="J510" s="9" t="str">
        <f aca="false">IFERROR(D510/VLOOKUP(A510,'Dados-Status-Invest'!$1:$1000,10,FALSE()),"")</f>
        <v/>
      </c>
      <c r="K510" s="10" t="n">
        <f aca="false">IFERROR(VLOOKUP(A510,'Dados-Status-Invest'!$1:$1000,3,FALSE())/100,"")</f>
        <v>0</v>
      </c>
      <c r="L510" s="11" t="n">
        <f aca="false">IFERROR(VLOOKUP(A510,'Dados-Status-Invest'!$1:$1000,MATCH(L$1,'Dados-Status-Invest'!$2:$2,0),FALSE())/100,"")</f>
        <v>0.2386</v>
      </c>
      <c r="M510" s="10" t="n">
        <f aca="false">IFERROR(VLOOKUP(A510,'Dados-Status-Invest'!$1:$1000,MATCH(M$1,'Dados-Status-Invest'!$2:$2,0),FALSE())/100,"")</f>
        <v>0.1303</v>
      </c>
      <c r="N510" s="10" t="n">
        <f aca="false">IFERROR(VLOOKUP(A510,'Dados-Status-Invest'!$1:$1000,MATCH(N$1,'Dados-Status-Invest'!$2:$2,0),FALSE())/100,"")</f>
        <v>0.178</v>
      </c>
      <c r="O510" s="10" t="n">
        <f aca="false">IFERROR(VLOOKUP(A510,'Dados-Status-Invest'!$1:$1000,MATCH(O$1,'Dados-Status-Invest'!$2:$2,0),FALSE())/100,"")</f>
        <v>0.3007</v>
      </c>
      <c r="P510" s="10" t="n">
        <f aca="false">IFERROR(VLOOKUP(A510,'Dados-Status-Invest'!$1:$1000,MATCH(P$1,'Dados-Status-Invest'!$2:$2,0),FALSE())/100,"")</f>
        <v>0.1292</v>
      </c>
      <c r="Q510" s="10" t="n">
        <f aca="false">IFERROR(VLOOKUP(A510,'Dados-Status-Invest'!$1:$1000,MATCH(Q$1,'Dados-Status-Invest'!$2:$2,0),FALSE())/100,"")</f>
        <v>0.111</v>
      </c>
      <c r="R510" s="12" t="n">
        <f aca="false">IFERROR(VLOOKUP(A510,'Dados-Status-Invest'!$1:$1000,MATCH(R$1,'Dados-Status-Invest'!$2:$2,0),FALSE()),"")</f>
        <v>0</v>
      </c>
      <c r="S510" s="12" t="n">
        <f aca="false">IFERROR(VLOOKUP(A510,'Dados-Status-Invest'!$1:$1000,MATCH(S$1,'Dados-Status-Invest'!$2:$2,0),FALSE()),"")</f>
        <v>0</v>
      </c>
      <c r="T510" s="12" t="n">
        <f aca="false">IFERROR(VLOOKUP(A510,'Dados-Status-Invest'!$1:$1000,MATCH(T$1,'Dados-Status-Invest'!$2:$2,0),FALSE()),"")</f>
        <v>-0.45</v>
      </c>
      <c r="U510" s="12" t="n">
        <f aca="false">IFERROR(VLOOKUP(A510,'Dados-Status-Invest'!$1:$1000,MATCH(U$1,'Dados-Status-Invest'!$2:$2,0),FALSE()),"")</f>
        <v>2.81</v>
      </c>
      <c r="V510" s="12" t="n">
        <f aca="false">IFERROR(VLOOKUP(A510,'Dados-Status-Invest'!$1:$1000,MATCH(V$1,'Dados-Status-Invest'!$2:$2,0),FALSE()),"")</f>
        <v>-0.45</v>
      </c>
      <c r="W510" s="10" t="n">
        <f aca="false">IFERROR(VLOOKUP(A510,'Dados-Status-Invest'!$1:$1000,MATCH(W$1,'Dados-Status-Invest'!$2:$2,0),FALSE())/100,"")</f>
        <v>0.2202</v>
      </c>
      <c r="X510" s="10" t="n">
        <f aca="false">IFERROR(VLOOKUP(A510,'Dados-Status-Invest'!$1:$1000,MATCH(X$1,'Dados-Status-Invest'!$2:$2,0),FALSE())/100,"")</f>
        <v>0</v>
      </c>
    </row>
    <row r="511" customFormat="false" ht="15.75" hidden="false" customHeight="false" outlineLevel="0" collapsed="false">
      <c r="A511" s="6" t="s">
        <v>544</v>
      </c>
      <c r="B511" s="7" t="str">
        <f aca="false">IFERROR(VLOOKUP(LEFT(A511,4),Setor!A:D,2,FALSE()),"")</f>
        <v>Financeiro</v>
      </c>
      <c r="C511" s="8" t="n">
        <f aca="false">IFERROR(__xludf.dummyfunction("IFERROR(IFERROR(GOOGLEFINANCE(A517,""price""),VLOOKUP(A517,'Dados-Status-Invest'!A:B,2,FALSE)),"""")"),24.67)</f>
        <v>24.67</v>
      </c>
      <c r="D511" s="8" t="n">
        <f aca="false">IFERROR(VLOOKUP(A511,'Dados-Status-Invest'!$1:$1000,MATCH(D$1,'Dados-Status-Invest'!$2:$2,0),FALSE()),"")</f>
        <v>14823650642</v>
      </c>
      <c r="E511" s="8" t="str">
        <f aca="false">IF(D511+H511&gt;0,D511+H511,"")</f>
        <v/>
      </c>
      <c r="F511" s="8" t="n">
        <f aca="false">IFERROR(D511/VLOOKUP(A511,'Dados-Status-Invest'!$1:$1000,5,FALSE()),"")</f>
        <v>8012784131</v>
      </c>
      <c r="G511" s="8" t="n">
        <f aca="false">IFERROR(D511/VLOOKUP(A511,'Dados-Status-Invest'!$1:$1000,6,FALSE()),"")</f>
        <v>27451204893</v>
      </c>
      <c r="H511" s="8" t="n">
        <f aca="false">IFERROR(VLOOKUP(A511,'Dados-Status-Invest'!$1:$1000,12,FALSE())*J511,"")</f>
        <v>-15029249125</v>
      </c>
      <c r="I511" s="8" t="n">
        <f aca="false">IFERROR(D511/VLOOKUP(A511,'Dados-Status-Invest'!$1:$1000,14,FALSE()),"")</f>
        <v>18529563303</v>
      </c>
      <c r="J511" s="9" t="n">
        <f aca="false">IFERROR(D511/VLOOKUP(A511,'Dados-Status-Invest'!$1:$1000,10,FALSE()),"")</f>
        <v>1027992416</v>
      </c>
      <c r="K511" s="10" t="n">
        <f aca="false">IFERROR(VLOOKUP(A511,'Dados-Status-Invest'!$1:$1000,3,FALSE())/100,"")</f>
        <v>0.0459</v>
      </c>
      <c r="L511" s="11" t="n">
        <f aca="false">IFERROR(VLOOKUP(A511,'Dados-Status-Invest'!$1:$1000,MATCH(L$1,'Dados-Status-Invest'!$2:$2,0),FALSE())/100,"")</f>
        <v>0.2887</v>
      </c>
      <c r="M511" s="10" t="n">
        <f aca="false">IFERROR(VLOOKUP(A511,'Dados-Status-Invest'!$1:$1000,MATCH(M$1,'Dados-Status-Invest'!$2:$2,0),FALSE())/100,"")</f>
        <v>0.0837</v>
      </c>
      <c r="N511" s="10" t="n">
        <f aca="false">IFERROR(VLOOKUP(A511,'Dados-Status-Invest'!$1:$1000,MATCH(N$1,'Dados-Status-Invest'!$2:$2,0),FALSE())/100,"")</f>
        <v>0.0659</v>
      </c>
      <c r="O511" s="10" t="n">
        <f aca="false">IFERROR(VLOOKUP(A511,'Dados-Status-Invest'!$1:$1000,MATCH(O$1,'Dados-Status-Invest'!$2:$2,0),FALSE())/100,"")</f>
        <v>0.1388</v>
      </c>
      <c r="P511" s="10" t="n">
        <f aca="false">IFERROR(VLOOKUP(A511,'Dados-Status-Invest'!$1:$1000,MATCH(P$1,'Dados-Status-Invest'!$2:$2,0),FALSE())/100,"")</f>
        <v>0.0552</v>
      </c>
      <c r="Q511" s="10" t="n">
        <f aca="false">IFERROR(VLOOKUP(A511,'Dados-Status-Invest'!$1:$1000,MATCH(Q$1,'Dados-Status-Invest'!$2:$2,0),FALSE())/100,"")</f>
        <v>0.1246</v>
      </c>
      <c r="R511" s="12" t="n">
        <f aca="false">IFERROR(VLOOKUP(A511,'Dados-Status-Invest'!$1:$1000,MATCH(R$1,'Dados-Status-Invest'!$2:$2,0),FALSE()),"")</f>
        <v>6.39</v>
      </c>
      <c r="S511" s="12" t="n">
        <f aca="false">IFERROR(VLOOKUP(A511,'Dados-Status-Invest'!$1:$1000,MATCH(S$1,'Dados-Status-Invest'!$2:$2,0),FALSE()),"")</f>
        <v>1.85</v>
      </c>
      <c r="T511" s="12" t="n">
        <f aca="false">IFERROR(VLOOKUP(A511,'Dados-Status-Invest'!$1:$1000,MATCH(T$1,'Dados-Status-Invest'!$2:$2,0),FALSE()),"")</f>
        <v>-0.22</v>
      </c>
      <c r="U511" s="12" t="n">
        <f aca="false">IFERROR(VLOOKUP(A511,'Dados-Status-Invest'!$1:$1000,MATCH(U$1,'Dados-Status-Invest'!$2:$2,0),FALSE()),"")</f>
        <v>2.39</v>
      </c>
      <c r="V511" s="12" t="n">
        <f aca="false">IFERROR(VLOOKUP(A511,'Dados-Status-Invest'!$1:$1000,MATCH(V$1,'Dados-Status-Invest'!$2:$2,0),FALSE()),"")</f>
        <v>-14.62</v>
      </c>
      <c r="W511" s="10" t="n">
        <f aca="false">IFERROR(VLOOKUP(A511,'Dados-Status-Invest'!$1:$1000,MATCH(W$1,'Dados-Status-Invest'!$2:$2,0),FALSE())/100,"")</f>
        <v>0.0499</v>
      </c>
      <c r="X511" s="10" t="n">
        <f aca="false">IFERROR(VLOOKUP(A511,'Dados-Status-Invest'!$1:$1000,MATCH(X$1,'Dados-Status-Invest'!$2:$2,0),FALSE())/100,"")</f>
        <v>0.2605</v>
      </c>
    </row>
    <row r="512" customFormat="false" ht="15.75" hidden="false" customHeight="false" outlineLevel="0" collapsed="false">
      <c r="A512" s="6" t="s">
        <v>545</v>
      </c>
      <c r="B512" s="7" t="str">
        <f aca="false">IFERROR(VLOOKUP(LEFT(A512,4),Setor!A:D,2,FALSE()),"")</f>
        <v>Financeiro</v>
      </c>
      <c r="C512" s="8" t="n">
        <f aca="false">IFERROR(__xludf.dummyfunction("IFERROR(IFERROR(GOOGLEFINANCE(A518,""price""),VLOOKUP(A518,'Dados-Status-Invest'!A:B,2,FALSE)),"""")"),8.5)</f>
        <v>8.5</v>
      </c>
      <c r="D512" s="8" t="n">
        <f aca="false">IFERROR(VLOOKUP(A512,'Dados-Status-Invest'!$1:$1000,MATCH(D$1,'Dados-Status-Invest'!$2:$2,0),FALSE()),"")</f>
        <v>14823650642</v>
      </c>
      <c r="E512" s="8" t="n">
        <f aca="false">IF(D512+H512&gt;0,D512+H512,"")</f>
        <v>1312318199</v>
      </c>
      <c r="F512" s="8" t="n">
        <f aca="false">IFERROR(D512/VLOOKUP(A512,'Dados-Status-Invest'!$1:$1000,5,FALSE()),"")</f>
        <v>7231049094</v>
      </c>
      <c r="G512" s="8" t="n">
        <f aca="false">IFERROR(D512/VLOOKUP(A512,'Dados-Status-Invest'!$1:$1000,6,FALSE()),"")</f>
        <v>25124831597</v>
      </c>
      <c r="H512" s="8" t="n">
        <f aca="false">IFERROR(VLOOKUP(A512,'Dados-Status-Invest'!$1:$1000,12,FALSE())*J512,"")</f>
        <v>-13511332443</v>
      </c>
      <c r="I512" s="8" t="n">
        <f aca="false">IFERROR(D512/VLOOKUP(A512,'Dados-Status-Invest'!$1:$1000,14,FALSE()),"")</f>
        <v>16655787238</v>
      </c>
      <c r="J512" s="9" t="n">
        <f aca="false">IFERROR(D512/VLOOKUP(A512,'Dados-Status-Invest'!$1:$1000,10,FALSE()),"")</f>
        <v>924167745.8</v>
      </c>
      <c r="K512" s="10" t="n">
        <f aca="false">IFERROR(VLOOKUP(A512,'Dados-Status-Invest'!$1:$1000,3,FALSE())/100,"")</f>
        <v>0.0413</v>
      </c>
      <c r="L512" s="11" t="n">
        <f aca="false">IFERROR(VLOOKUP(A512,'Dados-Status-Invest'!$1:$1000,MATCH(L$1,'Dados-Status-Invest'!$2:$2,0),FALSE())/100,"")</f>
        <v>0.2887</v>
      </c>
      <c r="M512" s="10" t="n">
        <f aca="false">IFERROR(VLOOKUP(A512,'Dados-Status-Invest'!$1:$1000,MATCH(M$1,'Dados-Status-Invest'!$2:$2,0),FALSE())/100,"")</f>
        <v>0.0837</v>
      </c>
      <c r="N512" s="10" t="n">
        <f aca="false">IFERROR(VLOOKUP(A512,'Dados-Status-Invest'!$1:$1000,MATCH(N$1,'Dados-Status-Invest'!$2:$2,0),FALSE())/100,"")</f>
        <v>0.0659</v>
      </c>
      <c r="O512" s="10" t="n">
        <f aca="false">IFERROR(VLOOKUP(A512,'Dados-Status-Invest'!$1:$1000,MATCH(O$1,'Dados-Status-Invest'!$2:$2,0),FALSE())/100,"")</f>
        <v>0.1388</v>
      </c>
      <c r="P512" s="10" t="n">
        <f aca="false">IFERROR(VLOOKUP(A512,'Dados-Status-Invest'!$1:$1000,MATCH(P$1,'Dados-Status-Invest'!$2:$2,0),FALSE())/100,"")</f>
        <v>0.0552</v>
      </c>
      <c r="Q512" s="10" t="n">
        <f aca="false">IFERROR(VLOOKUP(A512,'Dados-Status-Invest'!$1:$1000,MATCH(Q$1,'Dados-Status-Invest'!$2:$2,0),FALSE())/100,"")</f>
        <v>0.1246</v>
      </c>
      <c r="R512" s="12" t="n">
        <f aca="false">IFERROR(VLOOKUP(A512,'Dados-Status-Invest'!$1:$1000,MATCH(R$1,'Dados-Status-Invest'!$2:$2,0),FALSE()),"")</f>
        <v>7.11</v>
      </c>
      <c r="S512" s="12" t="n">
        <f aca="false">IFERROR(VLOOKUP(A512,'Dados-Status-Invest'!$1:$1000,MATCH(S$1,'Dados-Status-Invest'!$2:$2,0),FALSE()),"")</f>
        <v>2.05</v>
      </c>
      <c r="T512" s="12" t="n">
        <f aca="false">IFERROR(VLOOKUP(A512,'Dados-Status-Invest'!$1:$1000,MATCH(T$1,'Dados-Status-Invest'!$2:$2,0),FALSE()),"")</f>
        <v>-0.22</v>
      </c>
      <c r="U512" s="12" t="n">
        <f aca="false">IFERROR(VLOOKUP(A512,'Dados-Status-Invest'!$1:$1000,MATCH(U$1,'Dados-Status-Invest'!$2:$2,0),FALSE()),"")</f>
        <v>2.39</v>
      </c>
      <c r="V512" s="12" t="n">
        <f aca="false">IFERROR(VLOOKUP(A512,'Dados-Status-Invest'!$1:$1000,MATCH(V$1,'Dados-Status-Invest'!$2:$2,0),FALSE()),"")</f>
        <v>-14.62</v>
      </c>
      <c r="W512" s="10" t="n">
        <f aca="false">IFERROR(VLOOKUP(A512,'Dados-Status-Invest'!$1:$1000,MATCH(W$1,'Dados-Status-Invest'!$2:$2,0),FALSE())/100,"")</f>
        <v>0.0499</v>
      </c>
      <c r="X512" s="10" t="n">
        <f aca="false">IFERROR(VLOOKUP(A512,'Dados-Status-Invest'!$1:$1000,MATCH(X$1,'Dados-Status-Invest'!$2:$2,0),FALSE())/100,"")</f>
        <v>0.2605</v>
      </c>
    </row>
    <row r="513" customFormat="false" ht="15.75" hidden="false" customHeight="false" outlineLevel="0" collapsed="false">
      <c r="A513" s="6" t="s">
        <v>546</v>
      </c>
      <c r="B513" s="7" t="str">
        <f aca="false">IFERROR(VLOOKUP(LEFT(A513,4),Setor!A:D,2,FALSE()),"")</f>
        <v>Financeiro</v>
      </c>
      <c r="C513" s="8" t="n">
        <f aca="false">IFERROR(__xludf.dummyfunction("IFERROR(IFERROR(GOOGLEFINANCE(A519,""price""),VLOOKUP(A519,'Dados-Status-Invest'!A:B,2,FALSE)),"""")"),7.99)</f>
        <v>7.99</v>
      </c>
      <c r="D513" s="8" t="n">
        <f aca="false">IFERROR(VLOOKUP(A513,'Dados-Status-Invest'!$1:$1000,MATCH(D$1,'Dados-Status-Invest'!$2:$2,0),FALSE()),"")</f>
        <v>14823650642</v>
      </c>
      <c r="E513" s="8" t="str">
        <f aca="false">IF(D513+H513&gt;0,D513+H513,"")</f>
        <v/>
      </c>
      <c r="F513" s="8" t="n">
        <f aca="false">IFERROR(D513/VLOOKUP(A513,'Dados-Status-Invest'!$1:$1000,5,FALSE()),"")</f>
        <v>8470657510</v>
      </c>
      <c r="G513" s="8" t="n">
        <f aca="false">IFERROR(D513/VLOOKUP(A513,'Dados-Status-Invest'!$1:$1000,6,FALSE()),"")</f>
        <v>29065981651</v>
      </c>
      <c r="H513" s="8" t="n">
        <f aca="false">IFERROR(VLOOKUP(A513,'Dados-Status-Invest'!$1:$1000,12,FALSE())*J513,"")</f>
        <v>-15888692990</v>
      </c>
      <c r="I513" s="8" t="n">
        <f aca="false">IFERROR(D513/VLOOKUP(A513,'Dados-Status-Invest'!$1:$1000,14,FALSE()),"")</f>
        <v>19764867523</v>
      </c>
      <c r="J513" s="9" t="n">
        <f aca="false">IFERROR(D513/VLOOKUP(A513,'Dados-Status-Invest'!$1:$1000,10,FALSE()),"")</f>
        <v>1086777906</v>
      </c>
      <c r="K513" s="10" t="n">
        <f aca="false">IFERROR(VLOOKUP(A513,'Dados-Status-Invest'!$1:$1000,3,FALSE())/100,"")</f>
        <v>0.0486</v>
      </c>
      <c r="L513" s="11" t="n">
        <f aca="false">IFERROR(VLOOKUP(A513,'Dados-Status-Invest'!$1:$1000,MATCH(L$1,'Dados-Status-Invest'!$2:$2,0),FALSE())/100,"")</f>
        <v>0.2887</v>
      </c>
      <c r="M513" s="10" t="n">
        <f aca="false">IFERROR(VLOOKUP(A513,'Dados-Status-Invest'!$1:$1000,MATCH(M$1,'Dados-Status-Invest'!$2:$2,0),FALSE())/100,"")</f>
        <v>0.0837</v>
      </c>
      <c r="N513" s="10" t="n">
        <f aca="false">IFERROR(VLOOKUP(A513,'Dados-Status-Invest'!$1:$1000,MATCH(N$1,'Dados-Status-Invest'!$2:$2,0),FALSE())/100,"")</f>
        <v>0.0659</v>
      </c>
      <c r="O513" s="10" t="n">
        <f aca="false">IFERROR(VLOOKUP(A513,'Dados-Status-Invest'!$1:$1000,MATCH(O$1,'Dados-Status-Invest'!$2:$2,0),FALSE())/100,"")</f>
        <v>0.1388</v>
      </c>
      <c r="P513" s="10" t="n">
        <f aca="false">IFERROR(VLOOKUP(A513,'Dados-Status-Invest'!$1:$1000,MATCH(P$1,'Dados-Status-Invest'!$2:$2,0),FALSE())/100,"")</f>
        <v>0.0552</v>
      </c>
      <c r="Q513" s="10" t="n">
        <f aca="false">IFERROR(VLOOKUP(A513,'Dados-Status-Invest'!$1:$1000,MATCH(Q$1,'Dados-Status-Invest'!$2:$2,0),FALSE())/100,"")</f>
        <v>0.1246</v>
      </c>
      <c r="R513" s="12" t="n">
        <f aca="false">IFERROR(VLOOKUP(A513,'Dados-Status-Invest'!$1:$1000,MATCH(R$1,'Dados-Status-Invest'!$2:$2,0),FALSE()),"")</f>
        <v>6.05</v>
      </c>
      <c r="S513" s="12" t="n">
        <f aca="false">IFERROR(VLOOKUP(A513,'Dados-Status-Invest'!$1:$1000,MATCH(S$1,'Dados-Status-Invest'!$2:$2,0),FALSE()),"")</f>
        <v>1.75</v>
      </c>
      <c r="T513" s="12" t="n">
        <f aca="false">IFERROR(VLOOKUP(A513,'Dados-Status-Invest'!$1:$1000,MATCH(T$1,'Dados-Status-Invest'!$2:$2,0),FALSE()),"")</f>
        <v>-0.22</v>
      </c>
      <c r="U513" s="12" t="n">
        <f aca="false">IFERROR(VLOOKUP(A513,'Dados-Status-Invest'!$1:$1000,MATCH(U$1,'Dados-Status-Invest'!$2:$2,0),FALSE()),"")</f>
        <v>2.39</v>
      </c>
      <c r="V513" s="12" t="n">
        <f aca="false">IFERROR(VLOOKUP(A513,'Dados-Status-Invest'!$1:$1000,MATCH(V$1,'Dados-Status-Invest'!$2:$2,0),FALSE()),"")</f>
        <v>-14.62</v>
      </c>
      <c r="W513" s="10" t="n">
        <f aca="false">IFERROR(VLOOKUP(A513,'Dados-Status-Invest'!$1:$1000,MATCH(W$1,'Dados-Status-Invest'!$2:$2,0),FALSE())/100,"")</f>
        <v>0.0499</v>
      </c>
      <c r="X513" s="10" t="n">
        <f aca="false">IFERROR(VLOOKUP(A513,'Dados-Status-Invest'!$1:$1000,MATCH(X$1,'Dados-Status-Invest'!$2:$2,0),FALSE())/100,"")</f>
        <v>0.2605</v>
      </c>
    </row>
    <row r="514" customFormat="false" ht="15.75" hidden="false" customHeight="false" outlineLevel="0" collapsed="false">
      <c r="A514" s="6" t="s">
        <v>547</v>
      </c>
      <c r="B514" s="7" t="str">
        <f aca="false">IFERROR(VLOOKUP(LEFT(A514,4),Setor!A:D,2,FALSE()),"")</f>
        <v>Materiais Básicos</v>
      </c>
      <c r="C514" s="8" t="n">
        <f aca="false">IFERROR(__xludf.dummyfunction("IFERROR(IFERROR(GOOGLEFINANCE(A520,""price""),VLOOKUP(A520,'Dados-Status-Invest'!A:B,2,FALSE)),"""")"),51.78)</f>
        <v>51.78</v>
      </c>
      <c r="D514" s="8" t="n">
        <f aca="false">IFERROR(VLOOKUP(A514,'Dados-Status-Invest'!$1:$1000,MATCH(D$1,'Dados-Status-Invest'!$2:$2,0),FALSE()),"")</f>
        <v>82288383653</v>
      </c>
      <c r="E514" s="8" t="n">
        <f aca="false">IF(D514+H514&gt;0,D514+H514,"")</f>
        <v>149194755721</v>
      </c>
      <c r="F514" s="8" t="n">
        <f aca="false">IFERROR(D514/VLOOKUP(A514,'Dados-Status-Invest'!$1:$1000,5,FALSE()),"")</f>
        <v>4477061135</v>
      </c>
      <c r="G514" s="8" t="n">
        <f aca="false">IFERROR(D514/VLOOKUP(A514,'Dados-Status-Invest'!$1:$1000,6,FALSE()),"")</f>
        <v>105497927760</v>
      </c>
      <c r="H514" s="8" t="n">
        <f aca="false">IFERROR(VLOOKUP(A514,'Dados-Status-Invest'!$1:$1000,12,FALSE())*J514,"")</f>
        <v>66906372068</v>
      </c>
      <c r="I514" s="8" t="n">
        <f aca="false">IFERROR(D514/VLOOKUP(A514,'Dados-Status-Invest'!$1:$1000,14,FALSE()),"")</f>
        <v>32525052827</v>
      </c>
      <c r="J514" s="9" t="n">
        <f aca="false">IFERROR(D514/VLOOKUP(A514,'Dados-Status-Invest'!$1:$1000,10,FALSE()),"")</f>
        <v>10756651458</v>
      </c>
      <c r="K514" s="10" t="n">
        <f aca="false">IFERROR(VLOOKUP(A514,'Dados-Status-Invest'!$1:$1000,3,FALSE())/100,"")</f>
        <v>0</v>
      </c>
      <c r="L514" s="11" t="n">
        <f aca="false">IFERROR(VLOOKUP(A514,'Dados-Status-Invest'!$1:$1000,MATCH(L$1,'Dados-Status-Invest'!$2:$2,0),FALSE())/100,"")</f>
        <v>-0.0134</v>
      </c>
      <c r="M514" s="10" t="n">
        <f aca="false">IFERROR(VLOOKUP(A514,'Dados-Status-Invest'!$1:$1000,MATCH(M$1,'Dados-Status-Invest'!$2:$2,0),FALSE())/100,"")</f>
        <v>-0.0006</v>
      </c>
      <c r="N514" s="10" t="n">
        <f aca="false">IFERROR(VLOOKUP(A514,'Dados-Status-Invest'!$1:$1000,MATCH(N$1,'Dados-Status-Invest'!$2:$2,0),FALSE())/100,"")</f>
        <v>0.1136</v>
      </c>
      <c r="O514" s="10" t="n">
        <f aca="false">IFERROR(VLOOKUP(A514,'Dados-Status-Invest'!$1:$1000,MATCH(O$1,'Dados-Status-Invest'!$2:$2,0),FALSE())/100,"")</f>
        <v>0.4133</v>
      </c>
      <c r="P514" s="10" t="n">
        <f aca="false">IFERROR(VLOOKUP(A514,'Dados-Status-Invest'!$1:$1000,MATCH(P$1,'Dados-Status-Invest'!$2:$2,0),FALSE())/100,"")</f>
        <v>0.3306</v>
      </c>
      <c r="Q514" s="10" t="n">
        <f aca="false">IFERROR(VLOOKUP(A514,'Dados-Status-Invest'!$1:$1000,MATCH(Q$1,'Dados-Status-Invest'!$2:$2,0),FALSE())/100,"")</f>
        <v>-0.0018</v>
      </c>
      <c r="R514" s="12" t="n">
        <f aca="false">IFERROR(VLOOKUP(A514,'Dados-Status-Invest'!$1:$1000,MATCH(R$1,'Dados-Status-Invest'!$2:$2,0),FALSE()),"")</f>
        <v>-1375.85</v>
      </c>
      <c r="S514" s="12" t="n">
        <f aca="false">IFERROR(VLOOKUP(A514,'Dados-Status-Invest'!$1:$1000,MATCH(S$1,'Dados-Status-Invest'!$2:$2,0),FALSE()),"")</f>
        <v>18.38</v>
      </c>
      <c r="T514" s="12" t="n">
        <f aca="false">IFERROR(VLOOKUP(A514,'Dados-Status-Invest'!$1:$1000,MATCH(T$1,'Dados-Status-Invest'!$2:$2,0),FALSE()),"")</f>
        <v>13.91</v>
      </c>
      <c r="U514" s="12" t="n">
        <f aca="false">IFERROR(VLOOKUP(A514,'Dados-Status-Invest'!$1:$1000,MATCH(U$1,'Dados-Status-Invest'!$2:$2,0),FALSE()),"")</f>
        <v>2.08</v>
      </c>
      <c r="V514" s="12" t="n">
        <f aca="false">IFERROR(VLOOKUP(A514,'Dados-Status-Invest'!$1:$1000,MATCH(V$1,'Dados-Status-Invest'!$2:$2,0),FALSE()),"")</f>
        <v>6.22</v>
      </c>
      <c r="W514" s="10" t="n">
        <f aca="false">IFERROR(VLOOKUP(A514,'Dados-Status-Invest'!$1:$1000,MATCH(W$1,'Dados-Status-Invest'!$2:$2,0),FALSE())/100,"")</f>
        <v>0.244</v>
      </c>
      <c r="X514" s="10" t="n">
        <f aca="false">IFERROR(VLOOKUP(A514,'Dados-Status-Invest'!$1:$1000,MATCH(X$1,'Dados-Status-Invest'!$2:$2,0),FALSE())/100,"")</f>
        <v>0</v>
      </c>
    </row>
    <row r="515" customFormat="false" ht="15.75" hidden="false" customHeight="false" outlineLevel="0" collapsed="false">
      <c r="A515" s="6" t="s">
        <v>548</v>
      </c>
      <c r="B515" s="7" t="str">
        <f aca="false">IFERROR(VLOOKUP(LEFT(A515,4),Setor!A:D,2,FALSE()),"")</f>
        <v>Utilidade Pública</v>
      </c>
      <c r="C515" s="8" t="n">
        <f aca="false">IFERROR(__xludf.dummyfunction("IFERROR(IFERROR(GOOGLEFINANCE(A521,""price""),VLOOKUP(A521,'Dados-Status-Invest'!A:B,2,FALSE)),"""")"),41.71)</f>
        <v>41.71</v>
      </c>
      <c r="D515" s="8" t="n">
        <f aca="false">IFERROR(VLOOKUP(A515,'Dados-Status-Invest'!$1:$1000,MATCH(D$1,'Dados-Status-Invest'!$2:$2,0),FALSE()),"")</f>
        <v>12846364242</v>
      </c>
      <c r="E515" s="8" t="n">
        <f aca="false">IF(D515+H515&gt;0,D515+H515,"")</f>
        <v>18277347499</v>
      </c>
      <c r="F515" s="8" t="n">
        <f aca="false">IFERROR(D515/VLOOKUP(A515,'Dados-Status-Invest'!$1:$1000,5,FALSE()),"")</f>
        <v>6587879098</v>
      </c>
      <c r="G515" s="8" t="n">
        <f aca="false">IFERROR(D515/VLOOKUP(A515,'Dados-Status-Invest'!$1:$1000,6,FALSE()),"")</f>
        <v>14937632840</v>
      </c>
      <c r="H515" s="8" t="n">
        <f aca="false">IFERROR(VLOOKUP(A515,'Dados-Status-Invest'!$1:$1000,12,FALSE())*J515,"")</f>
        <v>5430983257</v>
      </c>
      <c r="I515" s="8" t="n">
        <f aca="false">IFERROR(D515/VLOOKUP(A515,'Dados-Status-Invest'!$1:$1000,14,FALSE()),"")</f>
        <v>3778342424</v>
      </c>
      <c r="J515" s="9" t="n">
        <f aca="false">IFERROR(D515/VLOOKUP(A515,'Dados-Status-Invest'!$1:$1000,10,FALSE()),"")</f>
        <v>3481399524</v>
      </c>
      <c r="K515" s="10" t="n">
        <f aca="false">IFERROR(VLOOKUP(A515,'Dados-Status-Invest'!$1:$1000,3,FALSE())/100,"")</f>
        <v>0.1424</v>
      </c>
      <c r="L515" s="11" t="n">
        <f aca="false">IFERROR(VLOOKUP(A515,'Dados-Status-Invest'!$1:$1000,MATCH(L$1,'Dados-Status-Invest'!$2:$2,0),FALSE())/100,"")</f>
        <v>0.372</v>
      </c>
      <c r="M515" s="10" t="n">
        <f aca="false">IFERROR(VLOOKUP(A515,'Dados-Status-Invest'!$1:$1000,MATCH(M$1,'Dados-Status-Invest'!$2:$2,0),FALSE())/100,"")</f>
        <v>0.1634</v>
      </c>
      <c r="N515" s="10" t="n">
        <f aca="false">IFERROR(VLOOKUP(A515,'Dados-Status-Invest'!$1:$1000,MATCH(N$1,'Dados-Status-Invest'!$2:$2,0),FALSE())/100,"")</f>
        <v>0.2282</v>
      </c>
      <c r="O515" s="10" t="n">
        <f aca="false">IFERROR(VLOOKUP(A515,'Dados-Status-Invest'!$1:$1000,MATCH(O$1,'Dados-Status-Invest'!$2:$2,0),FALSE())/100,"")</f>
        <v>0.7286</v>
      </c>
      <c r="P515" s="10" t="n">
        <f aca="false">IFERROR(VLOOKUP(A515,'Dados-Status-Invest'!$1:$1000,MATCH(P$1,'Dados-Status-Invest'!$2:$2,0),FALSE())/100,"")</f>
        <v>0.9232</v>
      </c>
      <c r="Q515" s="10" t="n">
        <f aca="false">IFERROR(VLOOKUP(A515,'Dados-Status-Invest'!$1:$1000,MATCH(Q$1,'Dados-Status-Invest'!$2:$2,0),FALSE())/100,"")</f>
        <v>0.6495</v>
      </c>
      <c r="R515" s="12" t="n">
        <f aca="false">IFERROR(VLOOKUP(A515,'Dados-Status-Invest'!$1:$1000,MATCH(R$1,'Dados-Status-Invest'!$2:$2,0),FALSE()),"")</f>
        <v>5.24</v>
      </c>
      <c r="S515" s="12" t="n">
        <f aca="false">IFERROR(VLOOKUP(A515,'Dados-Status-Invest'!$1:$1000,MATCH(S$1,'Dados-Status-Invest'!$2:$2,0),FALSE()),"")</f>
        <v>1.95</v>
      </c>
      <c r="T515" s="12" t="n">
        <f aca="false">IFERROR(VLOOKUP(A515,'Dados-Status-Invest'!$1:$1000,MATCH(T$1,'Dados-Status-Invest'!$2:$2,0),FALSE()),"")</f>
        <v>5.24</v>
      </c>
      <c r="U515" s="12" t="n">
        <f aca="false">IFERROR(VLOOKUP(A515,'Dados-Status-Invest'!$1:$1000,MATCH(U$1,'Dados-Status-Invest'!$2:$2,0),FALSE()),"")</f>
        <v>2.93</v>
      </c>
      <c r="V515" s="12" t="n">
        <f aca="false">IFERROR(VLOOKUP(A515,'Dados-Status-Invest'!$1:$1000,MATCH(V$1,'Dados-Status-Invest'!$2:$2,0),FALSE()),"")</f>
        <v>1.56</v>
      </c>
      <c r="W515" s="10" t="n">
        <f aca="false">IFERROR(VLOOKUP(A515,'Dados-Status-Invest'!$1:$1000,MATCH(W$1,'Dados-Status-Invest'!$2:$2,0),FALSE())/100,"")</f>
        <v>0.1822</v>
      </c>
      <c r="X515" s="10" t="n">
        <f aca="false">IFERROR(VLOOKUP(A515,'Dados-Status-Invest'!$1:$1000,MATCH(X$1,'Dados-Status-Invest'!$2:$2,0),FALSE())/100,"")</f>
        <v>0.2</v>
      </c>
    </row>
    <row r="516" customFormat="false" ht="15.75" hidden="false" customHeight="false" outlineLevel="0" collapsed="false">
      <c r="A516" s="6" t="s">
        <v>549</v>
      </c>
      <c r="B516" s="7" t="str">
        <f aca="false">IFERROR(VLOOKUP(LEFT(A516,4),Setor!A:D,2,FALSE()),"")</f>
        <v>Utilidade Pública</v>
      </c>
      <c r="C516" s="8" t="n">
        <f aca="false">IFERROR(__xludf.dummyfunction("IFERROR(IFERROR(GOOGLEFINANCE(A522,""price""),VLOOKUP(A522,'Dados-Status-Invest'!A:B,2,FALSE)),"""")"),13.94)</f>
        <v>13.94</v>
      </c>
      <c r="D516" s="8" t="n">
        <f aca="false">IFERROR(VLOOKUP(A516,'Dados-Status-Invest'!$1:$1000,MATCH(D$1,'Dados-Status-Invest'!$2:$2,0),FALSE()),"")</f>
        <v>12846364242</v>
      </c>
      <c r="E516" s="8" t="n">
        <f aca="false">IF(D516+H516&gt;0,D516+H516,"")</f>
        <v>18277347499</v>
      </c>
      <c r="F516" s="8" t="n">
        <f aca="false">IFERROR(D516/VLOOKUP(A516,'Dados-Status-Invest'!$1:$1000,5,FALSE()),"")</f>
        <v>6587879098</v>
      </c>
      <c r="G516" s="8" t="n">
        <f aca="false">IFERROR(D516/VLOOKUP(A516,'Dados-Status-Invest'!$1:$1000,6,FALSE()),"")</f>
        <v>14937632840</v>
      </c>
      <c r="H516" s="8" t="n">
        <f aca="false">IFERROR(VLOOKUP(A516,'Dados-Status-Invest'!$1:$1000,12,FALSE())*J516,"")</f>
        <v>5430983257</v>
      </c>
      <c r="I516" s="8" t="n">
        <f aca="false">IFERROR(D516/VLOOKUP(A516,'Dados-Status-Invest'!$1:$1000,14,FALSE()),"")</f>
        <v>3767262241</v>
      </c>
      <c r="J516" s="9" t="n">
        <f aca="false">IFERROR(D516/VLOOKUP(A516,'Dados-Status-Invest'!$1:$1000,10,FALSE()),"")</f>
        <v>3481399524</v>
      </c>
      <c r="K516" s="10" t="n">
        <f aca="false">IFERROR(VLOOKUP(A516,'Dados-Status-Invest'!$1:$1000,3,FALSE())/100,"")</f>
        <v>0.1422</v>
      </c>
      <c r="L516" s="11" t="n">
        <f aca="false">IFERROR(VLOOKUP(A516,'Dados-Status-Invest'!$1:$1000,MATCH(L$1,'Dados-Status-Invest'!$2:$2,0),FALSE())/100,"")</f>
        <v>0.372</v>
      </c>
      <c r="M516" s="10" t="n">
        <f aca="false">IFERROR(VLOOKUP(A516,'Dados-Status-Invest'!$1:$1000,MATCH(M$1,'Dados-Status-Invest'!$2:$2,0),FALSE())/100,"")</f>
        <v>0.1634</v>
      </c>
      <c r="N516" s="10" t="n">
        <f aca="false">IFERROR(VLOOKUP(A516,'Dados-Status-Invest'!$1:$1000,MATCH(N$1,'Dados-Status-Invest'!$2:$2,0),FALSE())/100,"")</f>
        <v>0.2282</v>
      </c>
      <c r="O516" s="10" t="n">
        <f aca="false">IFERROR(VLOOKUP(A516,'Dados-Status-Invest'!$1:$1000,MATCH(O$1,'Dados-Status-Invest'!$2:$2,0),FALSE())/100,"")</f>
        <v>0.7286</v>
      </c>
      <c r="P516" s="10" t="n">
        <f aca="false">IFERROR(VLOOKUP(A516,'Dados-Status-Invest'!$1:$1000,MATCH(P$1,'Dados-Status-Invest'!$2:$2,0),FALSE())/100,"")</f>
        <v>0.9232</v>
      </c>
      <c r="Q516" s="10" t="n">
        <f aca="false">IFERROR(VLOOKUP(A516,'Dados-Status-Invest'!$1:$1000,MATCH(Q$1,'Dados-Status-Invest'!$2:$2,0),FALSE())/100,"")</f>
        <v>0.6495</v>
      </c>
      <c r="R516" s="12" t="n">
        <f aca="false">IFERROR(VLOOKUP(A516,'Dados-Status-Invest'!$1:$1000,MATCH(R$1,'Dados-Status-Invest'!$2:$2,0),FALSE()),"")</f>
        <v>5.25</v>
      </c>
      <c r="S516" s="12" t="n">
        <f aca="false">IFERROR(VLOOKUP(A516,'Dados-Status-Invest'!$1:$1000,MATCH(S$1,'Dados-Status-Invest'!$2:$2,0),FALSE()),"")</f>
        <v>1.95</v>
      </c>
      <c r="T516" s="12" t="n">
        <f aca="false">IFERROR(VLOOKUP(A516,'Dados-Status-Invest'!$1:$1000,MATCH(T$1,'Dados-Status-Invest'!$2:$2,0),FALSE()),"")</f>
        <v>5.24</v>
      </c>
      <c r="U516" s="12" t="n">
        <f aca="false">IFERROR(VLOOKUP(A516,'Dados-Status-Invest'!$1:$1000,MATCH(U$1,'Dados-Status-Invest'!$2:$2,0),FALSE()),"")</f>
        <v>2.93</v>
      </c>
      <c r="V516" s="12" t="n">
        <f aca="false">IFERROR(VLOOKUP(A516,'Dados-Status-Invest'!$1:$1000,MATCH(V$1,'Dados-Status-Invest'!$2:$2,0),FALSE()),"")</f>
        <v>1.56</v>
      </c>
      <c r="W516" s="10" t="n">
        <f aca="false">IFERROR(VLOOKUP(A516,'Dados-Status-Invest'!$1:$1000,MATCH(W$1,'Dados-Status-Invest'!$2:$2,0),FALSE())/100,"")</f>
        <v>0.1822</v>
      </c>
      <c r="X516" s="10" t="n">
        <f aca="false">IFERROR(VLOOKUP(A516,'Dados-Status-Invest'!$1:$1000,MATCH(X$1,'Dados-Status-Invest'!$2:$2,0),FALSE())/100,"")</f>
        <v>0.2</v>
      </c>
    </row>
    <row r="517" customFormat="false" ht="15.75" hidden="false" customHeight="false" outlineLevel="0" collapsed="false">
      <c r="A517" s="6" t="s">
        <v>550</v>
      </c>
      <c r="B517" s="7" t="str">
        <f aca="false">IFERROR(VLOOKUP(LEFT(A517,4),Setor!A:D,2,FALSE()),"")</f>
        <v>Utilidade Pública</v>
      </c>
      <c r="C517" s="8" t="n">
        <f aca="false">IFERROR(__xludf.dummyfunction("IFERROR(IFERROR(GOOGLEFINANCE(A523,""price""),VLOOKUP(A523,'Dados-Status-Invest'!A:B,2,FALSE)),"""")"),13.89)</f>
        <v>13.89</v>
      </c>
      <c r="D517" s="8" t="n">
        <f aca="false">IFERROR(VLOOKUP(A517,'Dados-Status-Invest'!$1:$1000,MATCH(D$1,'Dados-Status-Invest'!$2:$2,0),FALSE()),"")</f>
        <v>12846364242</v>
      </c>
      <c r="E517" s="8" t="n">
        <f aca="false">IF(D517+H517&gt;0,D517+H517,"")</f>
        <v>18248069961</v>
      </c>
      <c r="F517" s="8" t="n">
        <f aca="false">IFERROR(D517/VLOOKUP(A517,'Dados-Status-Invest'!$1:$1000,5,FALSE()),"")</f>
        <v>6554267470</v>
      </c>
      <c r="G517" s="8" t="n">
        <f aca="false">IFERROR(D517/VLOOKUP(A517,'Dados-Status-Invest'!$1:$1000,6,FALSE()),"")</f>
        <v>14937632840</v>
      </c>
      <c r="H517" s="8" t="n">
        <f aca="false">IFERROR(VLOOKUP(A517,'Dados-Status-Invest'!$1:$1000,12,FALSE())*J517,"")</f>
        <v>5401705719</v>
      </c>
      <c r="I517" s="8" t="n">
        <f aca="false">IFERROR(D517/VLOOKUP(A517,'Dados-Status-Invest'!$1:$1000,14,FALSE()),"")</f>
        <v>3756246854</v>
      </c>
      <c r="J517" s="9" t="n">
        <f aca="false">IFERROR(D517/VLOOKUP(A517,'Dados-Status-Invest'!$1:$1000,10,FALSE()),"")</f>
        <v>3462631871</v>
      </c>
      <c r="K517" s="10" t="n">
        <f aca="false">IFERROR(VLOOKUP(A517,'Dados-Status-Invest'!$1:$1000,3,FALSE())/100,"")</f>
        <v>0.1416</v>
      </c>
      <c r="L517" s="11" t="n">
        <f aca="false">IFERROR(VLOOKUP(A517,'Dados-Status-Invest'!$1:$1000,MATCH(L$1,'Dados-Status-Invest'!$2:$2,0),FALSE())/100,"")</f>
        <v>0.372</v>
      </c>
      <c r="M517" s="10" t="n">
        <f aca="false">IFERROR(VLOOKUP(A517,'Dados-Status-Invest'!$1:$1000,MATCH(M$1,'Dados-Status-Invest'!$2:$2,0),FALSE())/100,"")</f>
        <v>0.1634</v>
      </c>
      <c r="N517" s="10" t="n">
        <f aca="false">IFERROR(VLOOKUP(A517,'Dados-Status-Invest'!$1:$1000,MATCH(N$1,'Dados-Status-Invest'!$2:$2,0),FALSE())/100,"")</f>
        <v>0.2282</v>
      </c>
      <c r="O517" s="10" t="n">
        <f aca="false">IFERROR(VLOOKUP(A517,'Dados-Status-Invest'!$1:$1000,MATCH(O$1,'Dados-Status-Invest'!$2:$2,0),FALSE())/100,"")</f>
        <v>0.7286</v>
      </c>
      <c r="P517" s="10" t="n">
        <f aca="false">IFERROR(VLOOKUP(A517,'Dados-Status-Invest'!$1:$1000,MATCH(P$1,'Dados-Status-Invest'!$2:$2,0),FALSE())/100,"")</f>
        <v>0.9232</v>
      </c>
      <c r="Q517" s="10" t="n">
        <f aca="false">IFERROR(VLOOKUP(A517,'Dados-Status-Invest'!$1:$1000,MATCH(Q$1,'Dados-Status-Invest'!$2:$2,0),FALSE())/100,"")</f>
        <v>0.6495</v>
      </c>
      <c r="R517" s="12" t="n">
        <f aca="false">IFERROR(VLOOKUP(A517,'Dados-Status-Invest'!$1:$1000,MATCH(R$1,'Dados-Status-Invest'!$2:$2,0),FALSE()),"")</f>
        <v>5.27</v>
      </c>
      <c r="S517" s="12" t="n">
        <f aca="false">IFERROR(VLOOKUP(A517,'Dados-Status-Invest'!$1:$1000,MATCH(S$1,'Dados-Status-Invest'!$2:$2,0),FALSE()),"")</f>
        <v>1.96</v>
      </c>
      <c r="T517" s="12" t="n">
        <f aca="false">IFERROR(VLOOKUP(A517,'Dados-Status-Invest'!$1:$1000,MATCH(T$1,'Dados-Status-Invest'!$2:$2,0),FALSE()),"")</f>
        <v>5.24</v>
      </c>
      <c r="U517" s="12" t="n">
        <f aca="false">IFERROR(VLOOKUP(A517,'Dados-Status-Invest'!$1:$1000,MATCH(U$1,'Dados-Status-Invest'!$2:$2,0),FALSE()),"")</f>
        <v>2.93</v>
      </c>
      <c r="V517" s="12" t="n">
        <f aca="false">IFERROR(VLOOKUP(A517,'Dados-Status-Invest'!$1:$1000,MATCH(V$1,'Dados-Status-Invest'!$2:$2,0),FALSE()),"")</f>
        <v>1.56</v>
      </c>
      <c r="W517" s="10" t="n">
        <f aca="false">IFERROR(VLOOKUP(A517,'Dados-Status-Invest'!$1:$1000,MATCH(W$1,'Dados-Status-Invest'!$2:$2,0),FALSE())/100,"")</f>
        <v>0.1822</v>
      </c>
      <c r="X517" s="10" t="n">
        <f aca="false">IFERROR(VLOOKUP(A517,'Dados-Status-Invest'!$1:$1000,MATCH(X$1,'Dados-Status-Invest'!$2:$2,0),FALSE())/100,"")</f>
        <v>0.2</v>
      </c>
    </row>
    <row r="518" customFormat="false" ht="15.75" hidden="false" customHeight="false" outlineLevel="0" collapsed="false">
      <c r="A518" s="6" t="s">
        <v>551</v>
      </c>
      <c r="B518" s="7" t="str">
        <f aca="false">IFERROR(VLOOKUP(LEFT(A518,4),Setor!A:D,2,FALSE()),"")</f>
        <v>Bens Industriais</v>
      </c>
      <c r="C518" s="8" t="n">
        <f aca="false">IFERROR(__xludf.dummyfunction("IFERROR(IFERROR(GOOGLEFINANCE(A524,""price""),VLOOKUP(A524,'Dados-Status-Invest'!A:B,2,FALSE)),"""")"),20.29)</f>
        <v>20.29</v>
      </c>
      <c r="D518" s="8" t="n">
        <f aca="false">IFERROR(VLOOKUP(A518,'Dados-Status-Invest'!$1:$1000,MATCH(D$1,'Dados-Status-Invest'!$2:$2,0),FALSE()),"")</f>
        <v>2280544107</v>
      </c>
      <c r="E518" s="8" t="n">
        <f aca="false">IF(D518+H518&gt;0,D518+H518,"")</f>
        <v>2839390311.5</v>
      </c>
      <c r="F518" s="8" t="n">
        <f aca="false">IFERROR(D518/VLOOKUP(A518,'Dados-Status-Invest'!$1:$1000,5,FALSE()),"")</f>
        <v>153779103.7</v>
      </c>
      <c r="G518" s="8" t="n">
        <f aca="false">IFERROR(D518/VLOOKUP(A518,'Dados-Status-Invest'!$1:$1000,6,FALSE()),"")</f>
        <v>1701898587</v>
      </c>
      <c r="H518" s="8" t="n">
        <f aca="false">IFERROR(VLOOKUP(A518,'Dados-Status-Invest'!$1:$1000,12,FALSE())*J518,"")</f>
        <v>558846204.5</v>
      </c>
      <c r="I518" s="8" t="n">
        <f aca="false">IFERROR(D518/VLOOKUP(A518,'Dados-Status-Invest'!$1:$1000,14,FALSE()),"")</f>
        <v>2036200096</v>
      </c>
      <c r="J518" s="9" t="n">
        <f aca="false">IFERROR(D518/VLOOKUP(A518,'Dados-Status-Invest'!$1:$1000,10,FALSE()),"")</f>
        <v>564491115.6</v>
      </c>
      <c r="K518" s="10" t="n">
        <f aca="false">IFERROR(VLOOKUP(A518,'Dados-Status-Invest'!$1:$1000,3,FALSE())/100,"")</f>
        <v>0</v>
      </c>
      <c r="L518" s="11" t="n">
        <f aca="false">IFERROR(VLOOKUP(A518,'Dados-Status-Invest'!$1:$1000,MATCH(L$1,'Dados-Status-Invest'!$2:$2,0),FALSE())/100,"")</f>
        <v>3.1875</v>
      </c>
      <c r="M518" s="10" t="n">
        <f aca="false">IFERROR(VLOOKUP(A518,'Dados-Status-Invest'!$1:$1000,MATCH(M$1,'Dados-Status-Invest'!$2:$2,0),FALSE())/100,"")</f>
        <v>0.2879</v>
      </c>
      <c r="N518" s="10" t="n">
        <f aca="false">IFERROR(VLOOKUP(A518,'Dados-Status-Invest'!$1:$1000,MATCH(N$1,'Dados-Status-Invest'!$2:$2,0),FALSE())/100,"")</f>
        <v>0.5286</v>
      </c>
      <c r="O518" s="10" t="n">
        <f aca="false">IFERROR(VLOOKUP(A518,'Dados-Status-Invest'!$1:$1000,MATCH(O$1,'Dados-Status-Invest'!$2:$2,0),FALSE())/100,"")</f>
        <v>0.4474</v>
      </c>
      <c r="P518" s="10" t="n">
        <f aca="false">IFERROR(VLOOKUP(A518,'Dados-Status-Invest'!$1:$1000,MATCH(P$1,'Dados-Status-Invest'!$2:$2,0),FALSE())/100,"")</f>
        <v>0.278</v>
      </c>
      <c r="Q518" s="10" t="n">
        <f aca="false">IFERROR(VLOOKUP(A518,'Dados-Status-Invest'!$1:$1000,MATCH(Q$1,'Dados-Status-Invest'!$2:$2,0),FALSE())/100,"")</f>
        <v>0.2413</v>
      </c>
      <c r="R518" s="12" t="n">
        <f aca="false">IFERROR(VLOOKUP(A518,'Dados-Status-Invest'!$1:$1000,MATCH(R$1,'Dados-Status-Invest'!$2:$2,0),FALSE()),"")</f>
        <v>4.65</v>
      </c>
      <c r="S518" s="12" t="n">
        <f aca="false">IFERROR(VLOOKUP(A518,'Dados-Status-Invest'!$1:$1000,MATCH(S$1,'Dados-Status-Invest'!$2:$2,0),FALSE()),"")</f>
        <v>14.83</v>
      </c>
      <c r="T518" s="12" t="n">
        <f aca="false">IFERROR(VLOOKUP(A518,'Dados-Status-Invest'!$1:$1000,MATCH(T$1,'Dados-Status-Invest'!$2:$2,0),FALSE()),"")</f>
        <v>5.04</v>
      </c>
      <c r="U518" s="12" t="n">
        <f aca="false">IFERROR(VLOOKUP(A518,'Dados-Status-Invest'!$1:$1000,MATCH(U$1,'Dados-Status-Invest'!$2:$2,0),FALSE()),"")</f>
        <v>1.59</v>
      </c>
      <c r="V518" s="12" t="n">
        <f aca="false">IFERROR(VLOOKUP(A518,'Dados-Status-Invest'!$1:$1000,MATCH(V$1,'Dados-Status-Invest'!$2:$2,0),FALSE()),"")</f>
        <v>0.99</v>
      </c>
      <c r="W518" s="10" t="n">
        <f aca="false">IFERROR(VLOOKUP(A518,'Dados-Status-Invest'!$1:$1000,MATCH(W$1,'Dados-Status-Invest'!$2:$2,0),FALSE())/100,"")</f>
        <v>0.1657</v>
      </c>
      <c r="X518" s="10" t="n">
        <f aca="false">IFERROR(VLOOKUP(A518,'Dados-Status-Invest'!$1:$1000,MATCH(X$1,'Dados-Status-Invest'!$2:$2,0),FALSE())/100,"")</f>
        <v>0</v>
      </c>
    </row>
    <row r="519" customFormat="false" ht="15.75" hidden="false" customHeight="false" outlineLevel="0" collapsed="false">
      <c r="A519" s="6" t="s">
        <v>552</v>
      </c>
      <c r="B519" s="7" t="str">
        <f aca="false">IFERROR(VLOOKUP(LEFT(A519,4),Setor!A:D,2,FALSE()),"")</f>
        <v>Bens Industriais</v>
      </c>
      <c r="C519" s="8" t="n">
        <f aca="false">IFERROR(__xludf.dummyfunction("IFERROR(IFERROR(GOOGLEFINANCE(A525,""price""),VLOOKUP(A525,'Dados-Status-Invest'!A:B,2,FALSE)),"""")"),20.29)</f>
        <v>20.29</v>
      </c>
      <c r="D519" s="8" t="n">
        <f aca="false">IFERROR(VLOOKUP(A519,'Dados-Status-Invest'!$1:$1000,MATCH(D$1,'Dados-Status-Invest'!$2:$2,0),FALSE()),"")</f>
        <v>2280544107</v>
      </c>
      <c r="E519" s="8" t="n">
        <f aca="false">IF(D519+H519&gt;0,D519+H519,"")</f>
        <v>2842170640.9</v>
      </c>
      <c r="F519" s="8" t="n">
        <f aca="false">IFERROR(D519/VLOOKUP(A519,'Dados-Status-Invest'!$1:$1000,5,FALSE()),"")</f>
        <v>154613159.8</v>
      </c>
      <c r="G519" s="8" t="n">
        <f aca="false">IFERROR(D519/VLOOKUP(A519,'Dados-Status-Invest'!$1:$1000,6,FALSE()),"")</f>
        <v>1714694817</v>
      </c>
      <c r="H519" s="8" t="n">
        <f aca="false">IFERROR(VLOOKUP(A519,'Dados-Status-Invest'!$1:$1000,12,FALSE())*J519,"")</f>
        <v>561626533.9</v>
      </c>
      <c r="I519" s="8" t="n">
        <f aca="false">IFERROR(D519/VLOOKUP(A519,'Dados-Status-Invest'!$1:$1000,14,FALSE()),"")</f>
        <v>2036200096</v>
      </c>
      <c r="J519" s="9" t="n">
        <f aca="false">IFERROR(D519/VLOOKUP(A519,'Dados-Status-Invest'!$1:$1000,10,FALSE()),"")</f>
        <v>567299529.2</v>
      </c>
      <c r="K519" s="10" t="n">
        <f aca="false">IFERROR(VLOOKUP(A519,'Dados-Status-Invest'!$1:$1000,3,FALSE())/100,"")</f>
        <v>0</v>
      </c>
      <c r="L519" s="11" t="n">
        <f aca="false">IFERROR(VLOOKUP(A519,'Dados-Status-Invest'!$1:$1000,MATCH(L$1,'Dados-Status-Invest'!$2:$2,0),FALSE())/100,"")</f>
        <v>3.1875</v>
      </c>
      <c r="M519" s="10" t="n">
        <f aca="false">IFERROR(VLOOKUP(A519,'Dados-Status-Invest'!$1:$1000,MATCH(M$1,'Dados-Status-Invest'!$2:$2,0),FALSE())/100,"")</f>
        <v>0.2879</v>
      </c>
      <c r="N519" s="10" t="n">
        <f aca="false">IFERROR(VLOOKUP(A519,'Dados-Status-Invest'!$1:$1000,MATCH(N$1,'Dados-Status-Invest'!$2:$2,0),FALSE())/100,"")</f>
        <v>0.5286</v>
      </c>
      <c r="O519" s="10" t="n">
        <f aca="false">IFERROR(VLOOKUP(A519,'Dados-Status-Invest'!$1:$1000,MATCH(O$1,'Dados-Status-Invest'!$2:$2,0),FALSE())/100,"")</f>
        <v>0.4474</v>
      </c>
      <c r="P519" s="10" t="n">
        <f aca="false">IFERROR(VLOOKUP(A519,'Dados-Status-Invest'!$1:$1000,MATCH(P$1,'Dados-Status-Invest'!$2:$2,0),FALSE())/100,"")</f>
        <v>0.278</v>
      </c>
      <c r="Q519" s="10" t="n">
        <f aca="false">IFERROR(VLOOKUP(A519,'Dados-Status-Invest'!$1:$1000,MATCH(Q$1,'Dados-Status-Invest'!$2:$2,0),FALSE())/100,"")</f>
        <v>0.2413</v>
      </c>
      <c r="R519" s="12" t="n">
        <f aca="false">IFERROR(VLOOKUP(A519,'Dados-Status-Invest'!$1:$1000,MATCH(R$1,'Dados-Status-Invest'!$2:$2,0),FALSE()),"")</f>
        <v>4.63</v>
      </c>
      <c r="S519" s="12" t="n">
        <f aca="false">IFERROR(VLOOKUP(A519,'Dados-Status-Invest'!$1:$1000,MATCH(S$1,'Dados-Status-Invest'!$2:$2,0),FALSE()),"")</f>
        <v>14.75</v>
      </c>
      <c r="T519" s="12" t="n">
        <f aca="false">IFERROR(VLOOKUP(A519,'Dados-Status-Invest'!$1:$1000,MATCH(T$1,'Dados-Status-Invest'!$2:$2,0),FALSE()),"")</f>
        <v>5.04</v>
      </c>
      <c r="U519" s="12" t="n">
        <f aca="false">IFERROR(VLOOKUP(A519,'Dados-Status-Invest'!$1:$1000,MATCH(U$1,'Dados-Status-Invest'!$2:$2,0),FALSE()),"")</f>
        <v>1.59</v>
      </c>
      <c r="V519" s="12" t="n">
        <f aca="false">IFERROR(VLOOKUP(A519,'Dados-Status-Invest'!$1:$1000,MATCH(V$1,'Dados-Status-Invest'!$2:$2,0),FALSE()),"")</f>
        <v>0.99</v>
      </c>
      <c r="W519" s="10" t="n">
        <f aca="false">IFERROR(VLOOKUP(A519,'Dados-Status-Invest'!$1:$1000,MATCH(W$1,'Dados-Status-Invest'!$2:$2,0),FALSE())/100,"")</f>
        <v>0.1657</v>
      </c>
      <c r="X519" s="10" t="n">
        <f aca="false">IFERROR(VLOOKUP(A519,'Dados-Status-Invest'!$1:$1000,MATCH(X$1,'Dados-Status-Invest'!$2:$2,0),FALSE())/100,"")</f>
        <v>0</v>
      </c>
    </row>
    <row r="520" customFormat="false" ht="15.75" hidden="false" customHeight="false" outlineLevel="0" collapsed="false">
      <c r="A520" s="6" t="s">
        <v>553</v>
      </c>
      <c r="B520" s="7" t="str">
        <f aca="false">IFERROR(VLOOKUP(LEFT(A520,4),Setor!A:D,2,FALSE()),"")</f>
        <v>Bens Industriais</v>
      </c>
      <c r="C520" s="8" t="n">
        <f aca="false">IFERROR(__xludf.dummyfunction("IFERROR(IFERROR(GOOGLEFINANCE(A526,""price""),VLOOKUP(A526,'Dados-Status-Invest'!A:B,2,FALSE)),"""")"),1.56)</f>
        <v>1.56</v>
      </c>
      <c r="D520" s="8" t="n">
        <f aca="false">IFERROR(VLOOKUP(A520,'Dados-Status-Invest'!$1:$1000,MATCH(D$1,'Dados-Status-Invest'!$2:$2,0),FALSE()),"")</f>
        <v>33077949.92</v>
      </c>
      <c r="E520" s="8" t="n">
        <f aca="false">IF(D520+H520&gt;0,D520+H520,"")</f>
        <v>63488879</v>
      </c>
      <c r="F520" s="8" t="n">
        <f aca="false">IFERROR(D520/VLOOKUP(A520,'Dados-Status-Invest'!$1:$1000,5,FALSE()),"")</f>
        <v>99746.54701</v>
      </c>
      <c r="G520" s="8" t="n">
        <f aca="false">IFERROR(D520/VLOOKUP(A520,'Dados-Status-Invest'!$1:$1000,6,FALSE()),"")</f>
        <v>206737187</v>
      </c>
      <c r="H520" s="8" t="n">
        <f aca="false">IFERROR(VLOOKUP(A520,'Dados-Status-Invest'!$1:$1000,12,FALSE())*J520,"")</f>
        <v>30410929.08</v>
      </c>
      <c r="I520" s="8" t="str">
        <f aca="false">IFERROR(D520/VLOOKUP(A520,'Dados-Status-Invest'!$1:$1000,14,FALSE()),"")</f>
        <v/>
      </c>
      <c r="J520" s="9" t="n">
        <f aca="false">IFERROR(D520/VLOOKUP(A520,'Dados-Status-Invest'!$1:$1000,10,FALSE()),"")</f>
        <v>-137830.5343</v>
      </c>
      <c r="K520" s="10" t="n">
        <f aca="false">IFERROR(VLOOKUP(A520,'Dados-Status-Invest'!$1:$1000,3,FALSE())/100,"")</f>
        <v>0</v>
      </c>
      <c r="L520" s="11" t="n">
        <f aca="false">IFERROR(VLOOKUP(A520,'Dados-Status-Invest'!$1:$1000,MATCH(L$1,'Dados-Status-Invest'!$2:$2,0),FALSE())/100,"")</f>
        <v>-1.3818</v>
      </c>
      <c r="M520" s="10" t="n">
        <f aca="false">IFERROR(VLOOKUP(A520,'Dados-Status-Invest'!$1:$1000,MATCH(M$1,'Dados-Status-Invest'!$2:$2,0),FALSE())/100,"")</f>
        <v>-0.0006</v>
      </c>
      <c r="N520" s="10" t="n">
        <f aca="false">IFERROR(VLOOKUP(A520,'Dados-Status-Invest'!$1:$1000,MATCH(N$1,'Dados-Status-Invest'!$2:$2,0),FALSE())/100,"")</f>
        <v>-0.0045</v>
      </c>
      <c r="O520" s="10" t="n">
        <f aca="false">IFERROR(VLOOKUP(A520,'Dados-Status-Invest'!$1:$1000,MATCH(O$1,'Dados-Status-Invest'!$2:$2,0),FALSE())/100,"")</f>
        <v>0</v>
      </c>
      <c r="P520" s="10" t="n">
        <f aca="false">IFERROR(VLOOKUP(A520,'Dados-Status-Invest'!$1:$1000,MATCH(P$1,'Dados-Status-Invest'!$2:$2,0),FALSE())/100,"")</f>
        <v>0</v>
      </c>
      <c r="Q520" s="10" t="n">
        <f aca="false">IFERROR(VLOOKUP(A520,'Dados-Status-Invest'!$1:$1000,MATCH(Q$1,'Dados-Status-Invest'!$2:$2,0),FALSE())/100,"")</f>
        <v>0</v>
      </c>
      <c r="R520" s="12" t="n">
        <f aca="false">IFERROR(VLOOKUP(A520,'Dados-Status-Invest'!$1:$1000,MATCH(R$1,'Dados-Status-Invest'!$2:$2,0),FALSE()),"")</f>
        <v>-239.99</v>
      </c>
      <c r="S520" s="12" t="n">
        <f aca="false">IFERROR(VLOOKUP(A520,'Dados-Status-Invest'!$1:$1000,MATCH(S$1,'Dados-Status-Invest'!$2:$2,0),FALSE()),"")</f>
        <v>331.62</v>
      </c>
      <c r="T520" s="12" t="n">
        <f aca="false">IFERROR(VLOOKUP(A520,'Dados-Status-Invest'!$1:$1000,MATCH(T$1,'Dados-Status-Invest'!$2:$2,0),FALSE()),"")</f>
        <v>-438.26</v>
      </c>
      <c r="U520" s="12" t="n">
        <f aca="false">IFERROR(VLOOKUP(A520,'Dados-Status-Invest'!$1:$1000,MATCH(U$1,'Dados-Status-Invest'!$2:$2,0),FALSE()),"")</f>
        <v>0.29</v>
      </c>
      <c r="V520" s="12" t="n">
        <f aca="false">IFERROR(VLOOKUP(A520,'Dados-Status-Invest'!$1:$1000,MATCH(V$1,'Dados-Status-Invest'!$2:$2,0),FALSE()),"")</f>
        <v>-220.64</v>
      </c>
      <c r="W520" s="10" t="n">
        <f aca="false">IFERROR(VLOOKUP(A520,'Dados-Status-Invest'!$1:$1000,MATCH(W$1,'Dados-Status-Invest'!$2:$2,0),FALSE())/100,"")</f>
        <v>0</v>
      </c>
      <c r="X520" s="10" t="n">
        <f aca="false">IFERROR(VLOOKUP(A520,'Dados-Status-Invest'!$1:$1000,MATCH(X$1,'Dados-Status-Invest'!$2:$2,0),FALSE())/100,"")</f>
        <v>0</v>
      </c>
    </row>
    <row r="521" customFormat="false" ht="15.75" hidden="false" customHeight="false" outlineLevel="0" collapsed="false">
      <c r="A521" s="6" t="s">
        <v>554</v>
      </c>
      <c r="B521" s="7" t="str">
        <f aca="false">IFERROR(VLOOKUP(LEFT(A521,4),Setor!A:D,2,FALSE()),"")</f>
        <v>Bens Industriais</v>
      </c>
      <c r="C521" s="8" t="n">
        <f aca="false">IFERROR(__xludf.dummyfunction("IFERROR(IFERROR(GOOGLEFINANCE(A527,""price""),VLOOKUP(A527,'Dados-Status-Invest'!A:B,2,FALSE)),"""")"),1.17)</f>
        <v>1.17</v>
      </c>
      <c r="D521" s="8" t="n">
        <f aca="false">IFERROR(VLOOKUP(A521,'Dados-Status-Invest'!$1:$1000,MATCH(D$1,'Dados-Status-Invest'!$2:$2,0),FALSE()),"")</f>
        <v>33077949.92</v>
      </c>
      <c r="E521" s="8" t="n">
        <f aca="false">IF(D521+H521&gt;0,D521+H521,"")</f>
        <v>69505795.54</v>
      </c>
      <c r="F521" s="8" t="n">
        <f aca="false">IFERROR(D521/VLOOKUP(A521,'Dados-Status-Invest'!$1:$1000,5,FALSE()),"")</f>
        <v>119479.6818</v>
      </c>
      <c r="G521" s="8" t="n">
        <f aca="false">IFERROR(D521/VLOOKUP(A521,'Dados-Status-Invest'!$1:$1000,6,FALSE()),"")</f>
        <v>254445768.6</v>
      </c>
      <c r="H521" s="8" t="n">
        <f aca="false">IFERROR(VLOOKUP(A521,'Dados-Status-Invest'!$1:$1000,12,FALSE())*J521,"")</f>
        <v>36427845.62</v>
      </c>
      <c r="I521" s="8" t="str">
        <f aca="false">IFERROR(D521/VLOOKUP(A521,'Dados-Status-Invest'!$1:$1000,14,FALSE()),"")</f>
        <v/>
      </c>
      <c r="J521" s="9" t="n">
        <f aca="false">IFERROR(D521/VLOOKUP(A521,'Dados-Status-Invest'!$1:$1000,10,FALSE()),"")</f>
        <v>-165100.8232</v>
      </c>
      <c r="K521" s="10" t="n">
        <f aca="false">IFERROR(VLOOKUP(A521,'Dados-Status-Invest'!$1:$1000,3,FALSE())/100,"")</f>
        <v>0</v>
      </c>
      <c r="L521" s="11" t="n">
        <f aca="false">IFERROR(VLOOKUP(A521,'Dados-Status-Invest'!$1:$1000,MATCH(L$1,'Dados-Status-Invest'!$2:$2,0),FALSE())/100,"")</f>
        <v>-1.3818</v>
      </c>
      <c r="M521" s="10" t="n">
        <f aca="false">IFERROR(VLOOKUP(A521,'Dados-Status-Invest'!$1:$1000,MATCH(M$1,'Dados-Status-Invest'!$2:$2,0),FALSE())/100,"")</f>
        <v>-0.0006</v>
      </c>
      <c r="N521" s="10" t="n">
        <f aca="false">IFERROR(VLOOKUP(A521,'Dados-Status-Invest'!$1:$1000,MATCH(N$1,'Dados-Status-Invest'!$2:$2,0),FALSE())/100,"")</f>
        <v>-0.0045</v>
      </c>
      <c r="O521" s="10" t="n">
        <f aca="false">IFERROR(VLOOKUP(A521,'Dados-Status-Invest'!$1:$1000,MATCH(O$1,'Dados-Status-Invest'!$2:$2,0),FALSE())/100,"")</f>
        <v>0</v>
      </c>
      <c r="P521" s="10" t="n">
        <f aca="false">IFERROR(VLOOKUP(A521,'Dados-Status-Invest'!$1:$1000,MATCH(P$1,'Dados-Status-Invest'!$2:$2,0),FALSE())/100,"")</f>
        <v>0</v>
      </c>
      <c r="Q521" s="10" t="n">
        <f aca="false">IFERROR(VLOOKUP(A521,'Dados-Status-Invest'!$1:$1000,MATCH(Q$1,'Dados-Status-Invest'!$2:$2,0),FALSE())/100,"")</f>
        <v>0</v>
      </c>
      <c r="R521" s="12" t="n">
        <f aca="false">IFERROR(VLOOKUP(A521,'Dados-Status-Invest'!$1:$1000,MATCH(R$1,'Dados-Status-Invest'!$2:$2,0),FALSE()),"")</f>
        <v>-200.35</v>
      </c>
      <c r="S521" s="12" t="n">
        <f aca="false">IFERROR(VLOOKUP(A521,'Dados-Status-Invest'!$1:$1000,MATCH(S$1,'Dados-Status-Invest'!$2:$2,0),FALSE()),"")</f>
        <v>276.85</v>
      </c>
      <c r="T521" s="12" t="n">
        <f aca="false">IFERROR(VLOOKUP(A521,'Dados-Status-Invest'!$1:$1000,MATCH(T$1,'Dados-Status-Invest'!$2:$2,0),FALSE()),"")</f>
        <v>-438.26</v>
      </c>
      <c r="U521" s="12" t="n">
        <f aca="false">IFERROR(VLOOKUP(A521,'Dados-Status-Invest'!$1:$1000,MATCH(U$1,'Dados-Status-Invest'!$2:$2,0),FALSE()),"")</f>
        <v>0.29</v>
      </c>
      <c r="V521" s="12" t="n">
        <f aca="false">IFERROR(VLOOKUP(A521,'Dados-Status-Invest'!$1:$1000,MATCH(V$1,'Dados-Status-Invest'!$2:$2,0),FALSE()),"")</f>
        <v>-220.64</v>
      </c>
      <c r="W521" s="10" t="n">
        <f aca="false">IFERROR(VLOOKUP(A521,'Dados-Status-Invest'!$1:$1000,MATCH(W$1,'Dados-Status-Invest'!$2:$2,0),FALSE())/100,"")</f>
        <v>0</v>
      </c>
      <c r="X521" s="10" t="n">
        <f aca="false">IFERROR(VLOOKUP(A521,'Dados-Status-Invest'!$1:$1000,MATCH(X$1,'Dados-Status-Invest'!$2:$2,0),FALSE())/100,"")</f>
        <v>0</v>
      </c>
    </row>
    <row r="522" customFormat="false" ht="15.75" hidden="false" customHeight="false" outlineLevel="0" collapsed="false">
      <c r="A522" s="6" t="s">
        <v>555</v>
      </c>
      <c r="B522" s="7" t="str">
        <f aca="false">IFERROR(VLOOKUP(LEFT(A522,4),Setor!A:D,2,FALSE()),"")</f>
        <v>Consumo Cíclico</v>
      </c>
      <c r="C522" s="8" t="n">
        <f aca="false">IFERROR(__xludf.dummyfunction("IFERROR(IFERROR(GOOGLEFINANCE(A528,""price""),VLOOKUP(A528,'Dados-Status-Invest'!A:B,2,FALSE)),"""")"),2.58)</f>
        <v>2.58</v>
      </c>
      <c r="D522" s="8" t="n">
        <f aca="false">IFERROR(VLOOKUP(A522,'Dados-Status-Invest'!$1:$1000,MATCH(D$1,'Dados-Status-Invest'!$2:$2,0),FALSE()),"")</f>
        <v>618401532</v>
      </c>
      <c r="E522" s="8" t="n">
        <f aca="false">IF(D522+H522&gt;0,D522+H522,"")</f>
        <v>903737809.3</v>
      </c>
      <c r="F522" s="8" t="n">
        <f aca="false">IFERROR(D522/VLOOKUP(A522,'Dados-Status-Invest'!$1:$1000,5,FALSE()),"")</f>
        <v>745062086.7</v>
      </c>
      <c r="G522" s="8" t="n">
        <f aca="false">IFERROR(D522/VLOOKUP(A522,'Dados-Status-Invest'!$1:$1000,6,FALSE()),"")</f>
        <v>1766861520</v>
      </c>
      <c r="H522" s="8" t="n">
        <f aca="false">IFERROR(VLOOKUP(A522,'Dados-Status-Invest'!$1:$1000,12,FALSE())*J522,"")</f>
        <v>285336277.3</v>
      </c>
      <c r="I522" s="8" t="n">
        <f aca="false">IFERROR(D522/VLOOKUP(A522,'Dados-Status-Invest'!$1:$1000,14,FALSE()),"")</f>
        <v>168501779.8</v>
      </c>
      <c r="J522" s="9" t="n">
        <f aca="false">IFERROR(D522/VLOOKUP(A522,'Dados-Status-Invest'!$1:$1000,10,FALSE()),"")</f>
        <v>-103758646.3</v>
      </c>
      <c r="K522" s="10" t="n">
        <f aca="false">IFERROR(VLOOKUP(A522,'Dados-Status-Invest'!$1:$1000,3,FALSE())/100,"")</f>
        <v>0</v>
      </c>
      <c r="L522" s="11" t="n">
        <f aca="false">IFERROR(VLOOKUP(A522,'Dados-Status-Invest'!$1:$1000,MATCH(L$1,'Dados-Status-Invest'!$2:$2,0),FALSE())/100,"")</f>
        <v>-0.1772</v>
      </c>
      <c r="M522" s="10" t="n">
        <f aca="false">IFERROR(VLOOKUP(A522,'Dados-Status-Invest'!$1:$1000,MATCH(M$1,'Dados-Status-Invest'!$2:$2,0),FALSE())/100,"")</f>
        <v>-0.0752</v>
      </c>
      <c r="N522" s="10" t="n">
        <f aca="false">IFERROR(VLOOKUP(A522,'Dados-Status-Invest'!$1:$1000,MATCH(N$1,'Dados-Status-Invest'!$2:$2,0),FALSE())/100,"")</f>
        <v>-0.082</v>
      </c>
      <c r="O522" s="10" t="n">
        <f aca="false">IFERROR(VLOOKUP(A522,'Dados-Status-Invest'!$1:$1000,MATCH(O$1,'Dados-Status-Invest'!$2:$2,0),FALSE())/100,"")</f>
        <v>-0.0211</v>
      </c>
      <c r="P522" s="10" t="n">
        <f aca="false">IFERROR(VLOOKUP(A522,'Dados-Status-Invest'!$1:$1000,MATCH(P$1,'Dados-Status-Invest'!$2:$2,0),FALSE())/100,"")</f>
        <v>-0.6148</v>
      </c>
      <c r="Q522" s="10" t="n">
        <f aca="false">IFERROR(VLOOKUP(A522,'Dados-Status-Invest'!$1:$1000,MATCH(Q$1,'Dados-Status-Invest'!$2:$2,0),FALSE())/100,"")</f>
        <v>-0.7846</v>
      </c>
      <c r="R522" s="12" t="n">
        <f aca="false">IFERROR(VLOOKUP(A522,'Dados-Status-Invest'!$1:$1000,MATCH(R$1,'Dados-Status-Invest'!$2:$2,0),FALSE()),"")</f>
        <v>-4.67</v>
      </c>
      <c r="S522" s="12" t="n">
        <f aca="false">IFERROR(VLOOKUP(A522,'Dados-Status-Invest'!$1:$1000,MATCH(S$1,'Dados-Status-Invest'!$2:$2,0),FALSE()),"")</f>
        <v>0.83</v>
      </c>
      <c r="T522" s="12" t="n">
        <f aca="false">IFERROR(VLOOKUP(A522,'Dados-Status-Invest'!$1:$1000,MATCH(T$1,'Dados-Status-Invest'!$2:$2,0),FALSE()),"")</f>
        <v>-8.69</v>
      </c>
      <c r="U522" s="12" t="n">
        <f aca="false">IFERROR(VLOOKUP(A522,'Dados-Status-Invest'!$1:$1000,MATCH(U$1,'Dados-Status-Invest'!$2:$2,0),FALSE()),"")</f>
        <v>2.14</v>
      </c>
      <c r="V522" s="12" t="n">
        <f aca="false">IFERROR(VLOOKUP(A522,'Dados-Status-Invest'!$1:$1000,MATCH(V$1,'Dados-Status-Invest'!$2:$2,0),FALSE()),"")</f>
        <v>-2.75</v>
      </c>
      <c r="W522" s="10" t="n">
        <f aca="false">IFERROR(VLOOKUP(A522,'Dados-Status-Invest'!$1:$1000,MATCH(W$1,'Dados-Status-Invest'!$2:$2,0),FALSE())/100,"")</f>
        <v>-0.3232</v>
      </c>
      <c r="X522" s="10" t="n">
        <f aca="false">IFERROR(VLOOKUP(A522,'Dados-Status-Invest'!$1:$1000,MATCH(X$1,'Dados-Status-Invest'!$2:$2,0),FALSE())/100,"")</f>
        <v>0</v>
      </c>
    </row>
    <row r="523" customFormat="false" ht="15.75" hidden="false" customHeight="false" outlineLevel="0" collapsed="false">
      <c r="A523" s="6" t="s">
        <v>556</v>
      </c>
      <c r="B523" s="7" t="str">
        <f aca="false">IFERROR(VLOOKUP(LEFT(A523,4),Setor!A:D,2,FALSE()),"")</f>
        <v>Consumo Cíclico</v>
      </c>
      <c r="C523" s="8" t="n">
        <f aca="false">IFERROR(__xludf.dummyfunction("IFERROR(IFERROR(GOOGLEFINANCE(A529,""price""),VLOOKUP(A529,'Dados-Status-Invest'!A:B,2,FALSE)),"""")"),2.4)</f>
        <v>2.4</v>
      </c>
      <c r="D523" s="8" t="n">
        <f aca="false">IFERROR(VLOOKUP(A523,'Dados-Status-Invest'!$1:$1000,MATCH(D$1,'Dados-Status-Invest'!$2:$2,0),FALSE()),"")</f>
        <v>259070509.5</v>
      </c>
      <c r="E523" s="8" t="n">
        <f aca="false">IF(D523+H523&gt;0,D523+H523,"")</f>
        <v>290666043.57</v>
      </c>
      <c r="F523" s="8" t="n">
        <f aca="false">IFERROR(D523/VLOOKUP(A523,'Dados-Status-Invest'!$1:$1000,5,FALSE()),"")</f>
        <v>312133144</v>
      </c>
      <c r="G523" s="8" t="n">
        <f aca="false">IFERROR(D523/VLOOKUP(A523,'Dados-Status-Invest'!$1:$1000,6,FALSE()),"")</f>
        <v>602489557</v>
      </c>
      <c r="H523" s="8" t="n">
        <f aca="false">IFERROR(VLOOKUP(A523,'Dados-Status-Invest'!$1:$1000,12,FALSE())*J523,"")</f>
        <v>31595534.07</v>
      </c>
      <c r="I523" s="8" t="n">
        <f aca="false">IFERROR(D523/VLOOKUP(A523,'Dados-Status-Invest'!$1:$1000,14,FALSE()),"")</f>
        <v>244406141</v>
      </c>
      <c r="J523" s="9" t="n">
        <f aca="false">IFERROR(D523/VLOOKUP(A523,'Dados-Status-Invest'!$1:$1000,10,FALSE()),"")</f>
        <v>3217467.828</v>
      </c>
      <c r="K523" s="10" t="n">
        <f aca="false">IFERROR(VLOOKUP(A523,'Dados-Status-Invest'!$1:$1000,3,FALSE())/100,"")</f>
        <v>0</v>
      </c>
      <c r="L523" s="11" t="n">
        <f aca="false">IFERROR(VLOOKUP(A523,'Dados-Status-Invest'!$1:$1000,MATCH(L$1,'Dados-Status-Invest'!$2:$2,0),FALSE())/100,"")</f>
        <v>-0.0471</v>
      </c>
      <c r="M523" s="10" t="n">
        <f aca="false">IFERROR(VLOOKUP(A523,'Dados-Status-Invest'!$1:$1000,MATCH(M$1,'Dados-Status-Invest'!$2:$2,0),FALSE())/100,"")</f>
        <v>-0.0244</v>
      </c>
      <c r="N523" s="10" t="n">
        <f aca="false">IFERROR(VLOOKUP(A523,'Dados-Status-Invest'!$1:$1000,MATCH(N$1,'Dados-Status-Invest'!$2:$2,0),FALSE())/100,"")</f>
        <v>0.0042</v>
      </c>
      <c r="O523" s="10" t="n">
        <f aca="false">IFERROR(VLOOKUP(A523,'Dados-Status-Invest'!$1:$1000,MATCH(O$1,'Dados-Status-Invest'!$2:$2,0),FALSE())/100,"")</f>
        <v>0.4732</v>
      </c>
      <c r="P523" s="10" t="n">
        <f aca="false">IFERROR(VLOOKUP(A523,'Dados-Status-Invest'!$1:$1000,MATCH(P$1,'Dados-Status-Invest'!$2:$2,0),FALSE())/100,"")</f>
        <v>0.0132</v>
      </c>
      <c r="Q523" s="10" t="n">
        <f aca="false">IFERROR(VLOOKUP(A523,'Dados-Status-Invest'!$1:$1000,MATCH(Q$1,'Dados-Status-Invest'!$2:$2,0),FALSE())/100,"")</f>
        <v>-0.0599</v>
      </c>
      <c r="R523" s="12" t="n">
        <f aca="false">IFERROR(VLOOKUP(A523,'Dados-Status-Invest'!$1:$1000,MATCH(R$1,'Dados-Status-Invest'!$2:$2,0),FALSE()),"")</f>
        <v>-17.68</v>
      </c>
      <c r="S523" s="12" t="n">
        <f aca="false">IFERROR(VLOOKUP(A523,'Dados-Status-Invest'!$1:$1000,MATCH(S$1,'Dados-Status-Invest'!$2:$2,0),FALSE()),"")</f>
        <v>0.83</v>
      </c>
      <c r="T523" s="12" t="n">
        <f aca="false">IFERROR(VLOOKUP(A523,'Dados-Status-Invest'!$1:$1000,MATCH(T$1,'Dados-Status-Invest'!$2:$2,0),FALSE()),"")</f>
        <v>89.85</v>
      </c>
      <c r="U523" s="12" t="n">
        <f aca="false">IFERROR(VLOOKUP(A523,'Dados-Status-Invest'!$1:$1000,MATCH(U$1,'Dados-Status-Invest'!$2:$2,0),FALSE()),"")</f>
        <v>4.36</v>
      </c>
      <c r="V523" s="12" t="n">
        <f aca="false">IFERROR(VLOOKUP(A523,'Dados-Status-Invest'!$1:$1000,MATCH(V$1,'Dados-Status-Invest'!$2:$2,0),FALSE()),"")</f>
        <v>9.82</v>
      </c>
      <c r="W523" s="10" t="n">
        <f aca="false">IFERROR(VLOOKUP(A523,'Dados-Status-Invest'!$1:$1000,MATCH(W$1,'Dados-Status-Invest'!$2:$2,0),FALSE())/100,"")</f>
        <v>-0.0924</v>
      </c>
      <c r="X523" s="10" t="n">
        <f aca="false">IFERROR(VLOOKUP(A523,'Dados-Status-Invest'!$1:$1000,MATCH(X$1,'Dados-Status-Invest'!$2:$2,0),FALSE())/100,"")</f>
        <v>0</v>
      </c>
    </row>
    <row r="524" customFormat="false" ht="15.75" hidden="false" customHeight="false" outlineLevel="0" collapsed="false">
      <c r="A524" s="6" t="s">
        <v>557</v>
      </c>
      <c r="B524" s="7" t="str">
        <f aca="false">IFERROR(VLOOKUP(LEFT(A524,4),Setor!A:D,2,FALSE()),"")</f>
        <v>Consumo Cíclico</v>
      </c>
      <c r="C524" s="8" t="n">
        <f aca="false">IFERROR(__xludf.dummyfunction("IFERROR(IFERROR(GOOGLEFINANCE(A530,""price""),VLOOKUP(A530,'Dados-Status-Invest'!A:B,2,FALSE)),"""")"),26.1)</f>
        <v>26.1</v>
      </c>
      <c r="D524" s="8" t="n">
        <f aca="false">IFERROR(VLOOKUP(A524,'Dados-Status-Invest'!$1:$1000,MATCH(D$1,'Dados-Status-Invest'!$2:$2,0),FALSE()),"")</f>
        <v>13132503.6</v>
      </c>
      <c r="E524" s="8" t="n">
        <f aca="false">IF(D524+H524&gt;0,D524+H524,"")</f>
        <v>379408595.4</v>
      </c>
      <c r="F524" s="8" t="n">
        <f aca="false">IFERROR(D524/VLOOKUP(A524,'Dados-Status-Invest'!$1:$1000,5,FALSE()),"")</f>
        <v>-1313250360</v>
      </c>
      <c r="G524" s="8" t="n">
        <f aca="false">IFERROR(D524/VLOOKUP(A524,'Dados-Status-Invest'!$1:$1000,6,FALSE()),"")</f>
        <v>656625180</v>
      </c>
      <c r="H524" s="8" t="n">
        <f aca="false">IFERROR(VLOOKUP(A524,'Dados-Status-Invest'!$1:$1000,12,FALSE())*J524,"")</f>
        <v>366276091.8</v>
      </c>
      <c r="I524" s="8" t="n">
        <f aca="false">IFERROR(D524/VLOOKUP(A524,'Dados-Status-Invest'!$1:$1000,14,FALSE()),"")</f>
        <v>101019258.5</v>
      </c>
      <c r="J524" s="9" t="n">
        <f aca="false">IFERROR(D524/VLOOKUP(A524,'Dados-Status-Invest'!$1:$1000,10,FALSE()),"")</f>
        <v>2515805.287</v>
      </c>
      <c r="K524" s="10" t="n">
        <f aca="false">IFERROR(VLOOKUP(A524,'Dados-Status-Invest'!$1:$1000,3,FALSE())/100,"")</f>
        <v>0</v>
      </c>
      <c r="L524" s="11" t="n">
        <f aca="false">IFERROR(VLOOKUP(A524,'Dados-Status-Invest'!$1:$1000,MATCH(L$1,'Dados-Status-Invest'!$2:$2,0),FALSE())/100,"")</f>
        <v>-0.0671</v>
      </c>
      <c r="M524" s="10" t="n">
        <f aca="false">IFERROR(VLOOKUP(A524,'Dados-Status-Invest'!$1:$1000,MATCH(M$1,'Dados-Status-Invest'!$2:$2,0),FALSE())/100,"")</f>
        <v>-0.1132</v>
      </c>
      <c r="N524" s="10" t="n">
        <f aca="false">IFERROR(VLOOKUP(A524,'Dados-Status-Invest'!$1:$1000,MATCH(N$1,'Dados-Status-Invest'!$2:$2,0),FALSE())/100,"")</f>
        <v>0.0019</v>
      </c>
      <c r="O524" s="10" t="n">
        <f aca="false">IFERROR(VLOOKUP(A524,'Dados-Status-Invest'!$1:$1000,MATCH(O$1,'Dados-Status-Invest'!$2:$2,0),FALSE())/100,"")</f>
        <v>0.1769</v>
      </c>
      <c r="P524" s="10" t="n">
        <f aca="false">IFERROR(VLOOKUP(A524,'Dados-Status-Invest'!$1:$1000,MATCH(P$1,'Dados-Status-Invest'!$2:$2,0),FALSE())/100,"")</f>
        <v>0.0248</v>
      </c>
      <c r="Q524" s="10" t="n">
        <f aca="false">IFERROR(VLOOKUP(A524,'Dados-Status-Invest'!$1:$1000,MATCH(Q$1,'Dados-Status-Invest'!$2:$2,0),FALSE())/100,"")</f>
        <v>-0.7774</v>
      </c>
      <c r="R524" s="12" t="n">
        <f aca="false">IFERROR(VLOOKUP(A524,'Dados-Status-Invest'!$1:$1000,MATCH(R$1,'Dados-Status-Invest'!$2:$2,0),FALSE()),"")</f>
        <v>-0.17</v>
      </c>
      <c r="S524" s="12" t="n">
        <f aca="false">IFERROR(VLOOKUP(A524,'Dados-Status-Invest'!$1:$1000,MATCH(S$1,'Dados-Status-Invest'!$2:$2,0),FALSE()),"")</f>
        <v>-0.01</v>
      </c>
      <c r="T524" s="12" t="n">
        <f aca="false">IFERROR(VLOOKUP(A524,'Dados-Status-Invest'!$1:$1000,MATCH(T$1,'Dados-Status-Invest'!$2:$2,0),FALSE()),"")</f>
        <v>149.18</v>
      </c>
      <c r="U524" s="12" t="n">
        <f aca="false">IFERROR(VLOOKUP(A524,'Dados-Status-Invest'!$1:$1000,MATCH(U$1,'Dados-Status-Invest'!$2:$2,0),FALSE()),"")</f>
        <v>0.03</v>
      </c>
      <c r="V524" s="12" t="n">
        <f aca="false">IFERROR(VLOOKUP(A524,'Dados-Status-Invest'!$1:$1000,MATCH(V$1,'Dados-Status-Invest'!$2:$2,0),FALSE()),"")</f>
        <v>145.59</v>
      </c>
      <c r="W524" s="10" t="n">
        <f aca="false">IFERROR(VLOOKUP(A524,'Dados-Status-Invest'!$1:$1000,MATCH(W$1,'Dados-Status-Invest'!$2:$2,0),FALSE())/100,"")</f>
        <v>-0.0138</v>
      </c>
      <c r="X524" s="10" t="n">
        <f aca="false">IFERROR(VLOOKUP(A524,'Dados-Status-Invest'!$1:$1000,MATCH(X$1,'Dados-Status-Invest'!$2:$2,0),FALSE())/100,"")</f>
        <v>0</v>
      </c>
    </row>
    <row r="525" customFormat="false" ht="15.75" hidden="false" customHeight="false" outlineLevel="0" collapsed="false">
      <c r="A525" s="6" t="s">
        <v>558</v>
      </c>
      <c r="B525" s="7" t="str">
        <f aca="false">IFERROR(VLOOKUP(LEFT(A525,4),Setor!A:D,2,FALSE()),"")</f>
        <v>Consumo Cíclico</v>
      </c>
      <c r="C525" s="8" t="n">
        <f aca="false">IFERROR(__xludf.dummyfunction("IFERROR(IFERROR(GOOGLEFINANCE(A531,""price""),VLOOKUP(A531,'Dados-Status-Invest'!A:B,2,FALSE)),"""")"),11.84)</f>
        <v>11.84</v>
      </c>
      <c r="D525" s="8" t="n">
        <f aca="false">IFERROR(VLOOKUP(A525,'Dados-Status-Invest'!$1:$1000,MATCH(D$1,'Dados-Status-Invest'!$2:$2,0),FALSE()),"")</f>
        <v>13132503.6</v>
      </c>
      <c r="E525" s="8" t="n">
        <f aca="false">IF(D525+H525&gt;0,D525+H525,"")</f>
        <v>703371203.6</v>
      </c>
      <c r="F525" s="8" t="n">
        <f aca="false">IFERROR(D525/VLOOKUP(A525,'Dados-Status-Invest'!$1:$1000,5,FALSE()),"")</f>
        <v>-1313250360</v>
      </c>
      <c r="G525" s="8" t="n">
        <f aca="false">IFERROR(D525/VLOOKUP(A525,'Dados-Status-Invest'!$1:$1000,6,FALSE()),"")</f>
        <v>1313250360</v>
      </c>
      <c r="H525" s="8" t="n">
        <f aca="false">IFERROR(VLOOKUP(A525,'Dados-Status-Invest'!$1:$1000,12,FALSE())*J525,"")</f>
        <v>690238700</v>
      </c>
      <c r="I525" s="8" t="n">
        <f aca="false">IFERROR(D525/VLOOKUP(A525,'Dados-Status-Invest'!$1:$1000,14,FALSE()),"")</f>
        <v>187607194.3</v>
      </c>
      <c r="J525" s="9" t="n">
        <f aca="false">IFERROR(D525/VLOOKUP(A525,'Dados-Status-Invest'!$1:$1000,10,FALSE()),"")</f>
        <v>4740976.029</v>
      </c>
      <c r="K525" s="10" t="n">
        <f aca="false">IFERROR(VLOOKUP(A525,'Dados-Status-Invest'!$1:$1000,3,FALSE())/100,"")</f>
        <v>0</v>
      </c>
      <c r="L525" s="11" t="n">
        <f aca="false">IFERROR(VLOOKUP(A525,'Dados-Status-Invest'!$1:$1000,MATCH(L$1,'Dados-Status-Invest'!$2:$2,0),FALSE())/100,"")</f>
        <v>-0.0671</v>
      </c>
      <c r="M525" s="10" t="n">
        <f aca="false">IFERROR(VLOOKUP(A525,'Dados-Status-Invest'!$1:$1000,MATCH(M$1,'Dados-Status-Invest'!$2:$2,0),FALSE())/100,"")</f>
        <v>-0.1132</v>
      </c>
      <c r="N525" s="10" t="n">
        <f aca="false">IFERROR(VLOOKUP(A525,'Dados-Status-Invest'!$1:$1000,MATCH(N$1,'Dados-Status-Invest'!$2:$2,0),FALSE())/100,"")</f>
        <v>0.0019</v>
      </c>
      <c r="O525" s="10" t="n">
        <f aca="false">IFERROR(VLOOKUP(A525,'Dados-Status-Invest'!$1:$1000,MATCH(O$1,'Dados-Status-Invest'!$2:$2,0),FALSE())/100,"")</f>
        <v>0.1769</v>
      </c>
      <c r="P525" s="10" t="n">
        <f aca="false">IFERROR(VLOOKUP(A525,'Dados-Status-Invest'!$1:$1000,MATCH(P$1,'Dados-Status-Invest'!$2:$2,0),FALSE())/100,"")</f>
        <v>0.0248</v>
      </c>
      <c r="Q525" s="10" t="n">
        <f aca="false">IFERROR(VLOOKUP(A525,'Dados-Status-Invest'!$1:$1000,MATCH(Q$1,'Dados-Status-Invest'!$2:$2,0),FALSE())/100,"")</f>
        <v>-0.7774</v>
      </c>
      <c r="R525" s="12" t="n">
        <f aca="false">IFERROR(VLOOKUP(A525,'Dados-Status-Invest'!$1:$1000,MATCH(R$1,'Dados-Status-Invest'!$2:$2,0),FALSE()),"")</f>
        <v>-0.09</v>
      </c>
      <c r="S525" s="12" t="n">
        <f aca="false">IFERROR(VLOOKUP(A525,'Dados-Status-Invest'!$1:$1000,MATCH(S$1,'Dados-Status-Invest'!$2:$2,0),FALSE()),"")</f>
        <v>-0.01</v>
      </c>
      <c r="T525" s="12" t="n">
        <f aca="false">IFERROR(VLOOKUP(A525,'Dados-Status-Invest'!$1:$1000,MATCH(T$1,'Dados-Status-Invest'!$2:$2,0),FALSE()),"")</f>
        <v>149.18</v>
      </c>
      <c r="U525" s="12" t="n">
        <f aca="false">IFERROR(VLOOKUP(A525,'Dados-Status-Invest'!$1:$1000,MATCH(U$1,'Dados-Status-Invest'!$2:$2,0),FALSE()),"")</f>
        <v>0.03</v>
      </c>
      <c r="V525" s="12" t="n">
        <f aca="false">IFERROR(VLOOKUP(A525,'Dados-Status-Invest'!$1:$1000,MATCH(V$1,'Dados-Status-Invest'!$2:$2,0),FALSE()),"")</f>
        <v>145.59</v>
      </c>
      <c r="W525" s="10" t="n">
        <f aca="false">IFERROR(VLOOKUP(A525,'Dados-Status-Invest'!$1:$1000,MATCH(W$1,'Dados-Status-Invest'!$2:$2,0),FALSE())/100,"")</f>
        <v>-0.0138</v>
      </c>
      <c r="X525" s="10" t="n">
        <f aca="false">IFERROR(VLOOKUP(A525,'Dados-Status-Invest'!$1:$1000,MATCH(X$1,'Dados-Status-Invest'!$2:$2,0),FALSE())/100,"")</f>
        <v>0</v>
      </c>
    </row>
    <row r="526" customFormat="false" ht="15.75" hidden="false" customHeight="false" outlineLevel="0" collapsed="false">
      <c r="A526" s="6" t="s">
        <v>559</v>
      </c>
      <c r="B526" s="7" t="str">
        <f aca="false">IFERROR(VLOOKUP(LEFT(A526,4),Setor!A:D,2,FALSE()),"")</f>
        <v>Comunicações</v>
      </c>
      <c r="C526" s="8" t="n">
        <f aca="false">IFERROR(__xludf.dummyfunction("IFERROR(IFERROR(GOOGLEFINANCE(A532,""price""),VLOOKUP(A532,'Dados-Status-Invest'!A:B,2,FALSE)),"""")"),34)</f>
        <v>34</v>
      </c>
      <c r="D526" s="8" t="n">
        <f aca="false">IFERROR(VLOOKUP(A526,'Dados-Status-Invest'!$1:$1000,MATCH(D$1,'Dados-Status-Invest'!$2:$2,0),FALSE()),"")</f>
        <v>4156900419</v>
      </c>
      <c r="E526" s="8" t="n">
        <f aca="false">IF(D526+H526&gt;0,D526+H526,"")</f>
        <v>3576887379.6</v>
      </c>
      <c r="F526" s="8" t="n">
        <f aca="false">IFERROR(D526/VLOOKUP(A526,'Dados-Status-Invest'!$1:$1000,5,FALSE()),"")</f>
        <v>1275122828</v>
      </c>
      <c r="G526" s="8" t="n">
        <f aca="false">IFERROR(D526/VLOOKUP(A526,'Dados-Status-Invest'!$1:$1000,6,FALSE()),"")</f>
        <v>3552906341</v>
      </c>
      <c r="H526" s="8" t="n">
        <f aca="false">IFERROR(VLOOKUP(A526,'Dados-Status-Invest'!$1:$1000,12,FALSE())*J526,"")</f>
        <v>-580013039.4</v>
      </c>
      <c r="I526" s="8" t="n">
        <f aca="false">IFERROR(D526/VLOOKUP(A526,'Dados-Status-Invest'!$1:$1000,14,FALSE()),"")</f>
        <v>230554654.4</v>
      </c>
      <c r="J526" s="9" t="n">
        <f aca="false">IFERROR(D526/VLOOKUP(A526,'Dados-Status-Invest'!$1:$1000,10,FALSE()),"")</f>
        <v>-84181863.48</v>
      </c>
      <c r="K526" s="10" t="n">
        <f aca="false">IFERROR(VLOOKUP(A526,'Dados-Status-Invest'!$1:$1000,3,FALSE())/100,"")</f>
        <v>0</v>
      </c>
      <c r="L526" s="11" t="n">
        <f aca="false">IFERROR(VLOOKUP(A526,'Dados-Status-Invest'!$1:$1000,MATCH(L$1,'Dados-Status-Invest'!$2:$2,0),FALSE())/100,"")</f>
        <v>-0.0906</v>
      </c>
      <c r="M526" s="10" t="n">
        <f aca="false">IFERROR(VLOOKUP(A526,'Dados-Status-Invest'!$1:$1000,MATCH(M$1,'Dados-Status-Invest'!$2:$2,0),FALSE())/100,"")</f>
        <v>-0.0326</v>
      </c>
      <c r="N526" s="10" t="n">
        <f aca="false">IFERROR(VLOOKUP(A526,'Dados-Status-Invest'!$1:$1000,MATCH(N$1,'Dados-Status-Invest'!$2:$2,0),FALSE())/100,"")</f>
        <v>-0.0564</v>
      </c>
      <c r="O526" s="10" t="n">
        <f aca="false">IFERROR(VLOOKUP(A526,'Dados-Status-Invest'!$1:$1000,MATCH(O$1,'Dados-Status-Invest'!$2:$2,0),FALSE())/100,"")</f>
        <v>-0.7628</v>
      </c>
      <c r="P526" s="10" t="n">
        <f aca="false">IFERROR(VLOOKUP(A526,'Dados-Status-Invest'!$1:$1000,MATCH(P$1,'Dados-Status-Invest'!$2:$2,0),FALSE())/100,"")</f>
        <v>-0.3652</v>
      </c>
      <c r="Q526" s="10" t="n">
        <f aca="false">IFERROR(VLOOKUP(A526,'Dados-Status-Invest'!$1:$1000,MATCH(Q$1,'Dados-Status-Invest'!$2:$2,0),FALSE())/100,"")</f>
        <v>-0.5018</v>
      </c>
      <c r="R526" s="12" t="n">
        <f aca="false">IFERROR(VLOOKUP(A526,'Dados-Status-Invest'!$1:$1000,MATCH(R$1,'Dados-Status-Invest'!$2:$2,0),FALSE()),"")</f>
        <v>-35.93</v>
      </c>
      <c r="S526" s="12" t="n">
        <f aca="false">IFERROR(VLOOKUP(A526,'Dados-Status-Invest'!$1:$1000,MATCH(S$1,'Dados-Status-Invest'!$2:$2,0),FALSE()),"")</f>
        <v>3.26</v>
      </c>
      <c r="T526" s="12" t="n">
        <f aca="false">IFERROR(VLOOKUP(A526,'Dados-Status-Invest'!$1:$1000,MATCH(T$1,'Dados-Status-Invest'!$2:$2,0),FALSE()),"")</f>
        <v>-35.11</v>
      </c>
      <c r="U526" s="12" t="n">
        <f aca="false">IFERROR(VLOOKUP(A526,'Dados-Status-Invest'!$1:$1000,MATCH(U$1,'Dados-Status-Invest'!$2:$2,0),FALSE()),"")</f>
        <v>4.42</v>
      </c>
      <c r="V526" s="12" t="n">
        <f aca="false">IFERROR(VLOOKUP(A526,'Dados-Status-Invest'!$1:$1000,MATCH(V$1,'Dados-Status-Invest'!$2:$2,0),FALSE()),"")</f>
        <v>6.89</v>
      </c>
      <c r="W526" s="10" t="n">
        <f aca="false">IFERROR(VLOOKUP(A526,'Dados-Status-Invest'!$1:$1000,MATCH(W$1,'Dados-Status-Invest'!$2:$2,0),FALSE())/100,"")</f>
        <v>0.427</v>
      </c>
      <c r="X526" s="10" t="n">
        <f aca="false">IFERROR(VLOOKUP(A526,'Dados-Status-Invest'!$1:$1000,MATCH(X$1,'Dados-Status-Invest'!$2:$2,0),FALSE())/100,"")</f>
        <v>0</v>
      </c>
    </row>
    <row r="527" customFormat="false" ht="15.75" hidden="false" customHeight="false" outlineLevel="0" collapsed="false">
      <c r="A527" s="6" t="s">
        <v>560</v>
      </c>
      <c r="B527" s="7" t="str">
        <f aca="false">IFERROR(VLOOKUP(LEFT(A527,4),Setor!A:D,2,FALSE()),"")</f>
        <v>Comunicações</v>
      </c>
      <c r="C527" s="8" t="n">
        <f aca="false">IFERROR(__xludf.dummyfunction("IFERROR(IFERROR(GOOGLEFINANCE(A533,""price""),VLOOKUP(A533,'Dados-Status-Invest'!A:B,2,FALSE)),"""")"),14.48)</f>
        <v>14.48</v>
      </c>
      <c r="D527" s="8" t="n">
        <f aca="false">IFERROR(VLOOKUP(A527,'Dados-Status-Invest'!$1:$1000,MATCH(D$1,'Dados-Status-Invest'!$2:$2,0),FALSE()),"")</f>
        <v>4156900419</v>
      </c>
      <c r="E527" s="8" t="n">
        <f aca="false">IF(D527+H527&gt;0,D527+H527,"")</f>
        <v>2865599973</v>
      </c>
      <c r="F527" s="8" t="n">
        <f aca="false">IFERROR(D527/VLOOKUP(A527,'Dados-Status-Invest'!$1:$1000,5,FALSE()),"")</f>
        <v>2847192068</v>
      </c>
      <c r="G527" s="8" t="n">
        <f aca="false">IFERROR(D527/VLOOKUP(A527,'Dados-Status-Invest'!$1:$1000,6,FALSE()),"")</f>
        <v>7843208337</v>
      </c>
      <c r="H527" s="8" t="n">
        <f aca="false">IFERROR(VLOOKUP(A527,'Dados-Status-Invest'!$1:$1000,12,FALSE())*J527,"")</f>
        <v>-1291300446</v>
      </c>
      <c r="I527" s="8" t="n">
        <f aca="false">IFERROR(D527/VLOOKUP(A527,'Dados-Status-Invest'!$1:$1000,14,FALSE()),"")</f>
        <v>513197582.5</v>
      </c>
      <c r="J527" s="9" t="n">
        <f aca="false">IFERROR(D527/VLOOKUP(A527,'Dados-Status-Invest'!$1:$1000,10,FALSE()),"")</f>
        <v>-187416610.4</v>
      </c>
      <c r="K527" s="10" t="n">
        <f aca="false">IFERROR(VLOOKUP(A527,'Dados-Status-Invest'!$1:$1000,3,FALSE())/100,"")</f>
        <v>0</v>
      </c>
      <c r="L527" s="11" t="n">
        <f aca="false">IFERROR(VLOOKUP(A527,'Dados-Status-Invest'!$1:$1000,MATCH(L$1,'Dados-Status-Invest'!$2:$2,0),FALSE())/100,"")</f>
        <v>-0.0906</v>
      </c>
      <c r="M527" s="10" t="n">
        <f aca="false">IFERROR(VLOOKUP(A527,'Dados-Status-Invest'!$1:$1000,MATCH(M$1,'Dados-Status-Invest'!$2:$2,0),FALSE())/100,"")</f>
        <v>-0.0326</v>
      </c>
      <c r="N527" s="10" t="n">
        <f aca="false">IFERROR(VLOOKUP(A527,'Dados-Status-Invest'!$1:$1000,MATCH(N$1,'Dados-Status-Invest'!$2:$2,0),FALSE())/100,"")</f>
        <v>-0.0564</v>
      </c>
      <c r="O527" s="10" t="n">
        <f aca="false">IFERROR(VLOOKUP(A527,'Dados-Status-Invest'!$1:$1000,MATCH(O$1,'Dados-Status-Invest'!$2:$2,0),FALSE())/100,"")</f>
        <v>-0.7628</v>
      </c>
      <c r="P527" s="10" t="n">
        <f aca="false">IFERROR(VLOOKUP(A527,'Dados-Status-Invest'!$1:$1000,MATCH(P$1,'Dados-Status-Invest'!$2:$2,0),FALSE())/100,"")</f>
        <v>-0.3652</v>
      </c>
      <c r="Q527" s="10" t="n">
        <f aca="false">IFERROR(VLOOKUP(A527,'Dados-Status-Invest'!$1:$1000,MATCH(Q$1,'Dados-Status-Invest'!$2:$2,0),FALSE())/100,"")</f>
        <v>-0.5018</v>
      </c>
      <c r="R527" s="12" t="n">
        <f aca="false">IFERROR(VLOOKUP(A527,'Dados-Status-Invest'!$1:$1000,MATCH(R$1,'Dados-Status-Invest'!$2:$2,0),FALSE()),"")</f>
        <v>-16.14</v>
      </c>
      <c r="S527" s="12" t="n">
        <f aca="false">IFERROR(VLOOKUP(A527,'Dados-Status-Invest'!$1:$1000,MATCH(S$1,'Dados-Status-Invest'!$2:$2,0),FALSE()),"")</f>
        <v>1.46</v>
      </c>
      <c r="T527" s="12" t="n">
        <f aca="false">IFERROR(VLOOKUP(A527,'Dados-Status-Invest'!$1:$1000,MATCH(T$1,'Dados-Status-Invest'!$2:$2,0),FALSE()),"")</f>
        <v>-35.11</v>
      </c>
      <c r="U527" s="12" t="n">
        <f aca="false">IFERROR(VLOOKUP(A527,'Dados-Status-Invest'!$1:$1000,MATCH(U$1,'Dados-Status-Invest'!$2:$2,0),FALSE()),"")</f>
        <v>4.42</v>
      </c>
      <c r="V527" s="12" t="n">
        <f aca="false">IFERROR(VLOOKUP(A527,'Dados-Status-Invest'!$1:$1000,MATCH(V$1,'Dados-Status-Invest'!$2:$2,0),FALSE()),"")</f>
        <v>6.89</v>
      </c>
      <c r="W527" s="10" t="n">
        <f aca="false">IFERROR(VLOOKUP(A527,'Dados-Status-Invest'!$1:$1000,MATCH(W$1,'Dados-Status-Invest'!$2:$2,0),FALSE())/100,"")</f>
        <v>0.427</v>
      </c>
      <c r="X527" s="10" t="n">
        <f aca="false">IFERROR(VLOOKUP(A527,'Dados-Status-Invest'!$1:$1000,MATCH(X$1,'Dados-Status-Invest'!$2:$2,0),FALSE())/100,"")</f>
        <v>0</v>
      </c>
    </row>
    <row r="528" customFormat="false" ht="15.75" hidden="false" customHeight="false" outlineLevel="0" collapsed="false">
      <c r="A528" s="6" t="s">
        <v>561</v>
      </c>
      <c r="B528" s="7" t="str">
        <f aca="false">IFERROR(VLOOKUP(LEFT(A528,4),Setor!A:D,2,FALSE()),"")</f>
        <v>Consumo Cíclico</v>
      </c>
      <c r="C528" s="8" t="n">
        <f aca="false">IFERROR(__xludf.dummyfunction("IFERROR(IFERROR(GOOGLEFINANCE(A534,""price""),VLOOKUP(A534,'Dados-Status-Invest'!A:B,2,FALSE)),"""")"),4.98)</f>
        <v>4.98</v>
      </c>
      <c r="D528" s="8" t="n">
        <f aca="false">IFERROR(VLOOKUP(A528,'Dados-Status-Invest'!$1:$1000,MATCH(D$1,'Dados-Status-Invest'!$2:$2,0),FALSE()),"")</f>
        <v>2624257787</v>
      </c>
      <c r="E528" s="8" t="n">
        <f aca="false">IF(D528+H528&gt;0,D528+H528,"")</f>
        <v>2662503696.45</v>
      </c>
      <c r="F528" s="8" t="n">
        <f aca="false">IFERROR(D528/VLOOKUP(A528,'Dados-Status-Invest'!$1:$1000,5,FALSE()),"")</f>
        <v>1474302127</v>
      </c>
      <c r="G528" s="8" t="n">
        <f aca="false">IFERROR(D528/VLOOKUP(A528,'Dados-Status-Invest'!$1:$1000,6,FALSE()),"")</f>
        <v>4165488551</v>
      </c>
      <c r="H528" s="8" t="n">
        <f aca="false">IFERROR(VLOOKUP(A528,'Dados-Status-Invest'!$1:$1000,12,FALSE())*J528,"")</f>
        <v>38245909.45</v>
      </c>
      <c r="I528" s="8" t="n">
        <f aca="false">IFERROR(D528/VLOOKUP(A528,'Dados-Status-Invest'!$1:$1000,14,FALSE()),"")</f>
        <v>2475714893</v>
      </c>
      <c r="J528" s="9" t="n">
        <f aca="false">IFERROR(D528/VLOOKUP(A528,'Dados-Status-Invest'!$1:$1000,10,FALSE()),"")</f>
        <v>294199303.5</v>
      </c>
      <c r="K528" s="10" t="n">
        <f aca="false">IFERROR(VLOOKUP(A528,'Dados-Status-Invest'!$1:$1000,3,FALSE())/100,"")</f>
        <v>0.0267</v>
      </c>
      <c r="L528" s="11" t="n">
        <f aca="false">IFERROR(VLOOKUP(A528,'Dados-Status-Invest'!$1:$1000,MATCH(L$1,'Dados-Status-Invest'!$2:$2,0),FALSE())/100,"")</f>
        <v>0.1495</v>
      </c>
      <c r="M528" s="10" t="n">
        <f aca="false">IFERROR(VLOOKUP(A528,'Dados-Status-Invest'!$1:$1000,MATCH(M$1,'Dados-Status-Invest'!$2:$2,0),FALSE())/100,"")</f>
        <v>0.0527</v>
      </c>
      <c r="N528" s="10" t="n">
        <f aca="false">IFERROR(VLOOKUP(A528,'Dados-Status-Invest'!$1:$1000,MATCH(N$1,'Dados-Status-Invest'!$2:$2,0),FALSE())/100,"")</f>
        <v>0.0986</v>
      </c>
      <c r="O528" s="10" t="n">
        <f aca="false">IFERROR(VLOOKUP(A528,'Dados-Status-Invest'!$1:$1000,MATCH(O$1,'Dados-Status-Invest'!$2:$2,0),FALSE())/100,"")</f>
        <v>0.3083</v>
      </c>
      <c r="P528" s="10" t="n">
        <f aca="false">IFERROR(VLOOKUP(A528,'Dados-Status-Invest'!$1:$1000,MATCH(P$1,'Dados-Status-Invest'!$2:$2,0),FALSE())/100,"")</f>
        <v>0.1189</v>
      </c>
      <c r="Q528" s="10" t="n">
        <f aca="false">IFERROR(VLOOKUP(A528,'Dados-Status-Invest'!$1:$1000,MATCH(Q$1,'Dados-Status-Invest'!$2:$2,0),FALSE())/100,"")</f>
        <v>0.0889</v>
      </c>
      <c r="R528" s="12" t="n">
        <f aca="false">IFERROR(VLOOKUP(A528,'Dados-Status-Invest'!$1:$1000,MATCH(R$1,'Dados-Status-Invest'!$2:$2,0),FALSE()),"")</f>
        <v>11.94</v>
      </c>
      <c r="S528" s="12" t="n">
        <f aca="false">IFERROR(VLOOKUP(A528,'Dados-Status-Invest'!$1:$1000,MATCH(S$1,'Dados-Status-Invest'!$2:$2,0),FALSE()),"")</f>
        <v>1.78</v>
      </c>
      <c r="T528" s="12" t="n">
        <f aca="false">IFERROR(VLOOKUP(A528,'Dados-Status-Invest'!$1:$1000,MATCH(T$1,'Dados-Status-Invest'!$2:$2,0),FALSE()),"")</f>
        <v>9.06</v>
      </c>
      <c r="U528" s="12" t="n">
        <f aca="false">IFERROR(VLOOKUP(A528,'Dados-Status-Invest'!$1:$1000,MATCH(U$1,'Dados-Status-Invest'!$2:$2,0),FALSE()),"")</f>
        <v>2.88</v>
      </c>
      <c r="V528" s="12" t="n">
        <f aca="false">IFERROR(VLOOKUP(A528,'Dados-Status-Invest'!$1:$1000,MATCH(V$1,'Dados-Status-Invest'!$2:$2,0),FALSE()),"")</f>
        <v>0.13</v>
      </c>
      <c r="W528" s="10" t="n">
        <f aca="false">IFERROR(VLOOKUP(A528,'Dados-Status-Invest'!$1:$1000,MATCH(W$1,'Dados-Status-Invest'!$2:$2,0),FALSE())/100,"")</f>
        <v>0.2181</v>
      </c>
      <c r="X528" s="10" t="n">
        <f aca="false">IFERROR(VLOOKUP(A528,'Dados-Status-Invest'!$1:$1000,MATCH(X$1,'Dados-Status-Invest'!$2:$2,0),FALSE())/100,"")</f>
        <v>0.464</v>
      </c>
    </row>
    <row r="529" customFormat="false" ht="15.75" hidden="false" customHeight="false" outlineLevel="0" collapsed="false">
      <c r="A529" s="6" t="s">
        <v>562</v>
      </c>
      <c r="B529" s="7" t="str">
        <f aca="false">IFERROR(VLOOKUP(LEFT(A529,4),Setor!A:D,2,FALSE()),"")</f>
        <v>Consumo não Cíclico</v>
      </c>
      <c r="C529" s="8" t="n">
        <f aca="false">IFERROR(__xludf.dummyfunction("IFERROR(IFERROR(GOOGLEFINANCE(A535,""price""),VLOOKUP(A535,'Dados-Status-Invest'!A:B,2,FALSE)),"""")"),46.46)</f>
        <v>46.46</v>
      </c>
      <c r="D529" s="8" t="n">
        <f aca="false">IFERROR(VLOOKUP(A529,'Dados-Status-Invest'!$1:$1000,MATCH(D$1,'Dados-Status-Invest'!$2:$2,0),FALSE()),"")</f>
        <v>1343083929</v>
      </c>
      <c r="E529" s="8" t="n">
        <f aca="false">IF(D529+H529&gt;0,D529+H529,"")</f>
        <v>2412534460</v>
      </c>
      <c r="F529" s="8" t="n">
        <f aca="false">IFERROR(D529/VLOOKUP(A529,'Dados-Status-Invest'!$1:$1000,5,FALSE()),"")</f>
        <v>688760989.5</v>
      </c>
      <c r="G529" s="8" t="n">
        <f aca="false">IFERROR(D529/VLOOKUP(A529,'Dados-Status-Invest'!$1:$1000,6,FALSE()),"")</f>
        <v>2740987611</v>
      </c>
      <c r="H529" s="8" t="n">
        <f aca="false">IFERROR(VLOOKUP(A529,'Dados-Status-Invest'!$1:$1000,12,FALSE())*J529,"")</f>
        <v>1069450531</v>
      </c>
      <c r="I529" s="8" t="n">
        <f aca="false">IFERROR(D529/VLOOKUP(A529,'Dados-Status-Invest'!$1:$1000,14,FALSE()),"")</f>
        <v>1343083929</v>
      </c>
      <c r="J529" s="9" t="n">
        <f aca="false">IFERROR(D529/VLOOKUP(A529,'Dados-Status-Invest'!$1:$1000,10,FALSE()),"")</f>
        <v>228027831.8</v>
      </c>
      <c r="K529" s="10" t="n">
        <f aca="false">IFERROR(VLOOKUP(A529,'Dados-Status-Invest'!$1:$1000,3,FALSE())/100,"")</f>
        <v>0</v>
      </c>
      <c r="L529" s="11" t="n">
        <f aca="false">IFERROR(VLOOKUP(A529,'Dados-Status-Invest'!$1:$1000,MATCH(L$1,'Dados-Status-Invest'!$2:$2,0),FALSE())/100,"")</f>
        <v>-0.1552</v>
      </c>
      <c r="M529" s="10" t="n">
        <f aca="false">IFERROR(VLOOKUP(A529,'Dados-Status-Invest'!$1:$1000,MATCH(M$1,'Dados-Status-Invest'!$2:$2,0),FALSE())/100,"")</f>
        <v>-0.0391</v>
      </c>
      <c r="N529" s="10" t="n">
        <f aca="false">IFERROR(VLOOKUP(A529,'Dados-Status-Invest'!$1:$1000,MATCH(N$1,'Dados-Status-Invest'!$2:$2,0),FALSE())/100,"")</f>
        <v>0.1205</v>
      </c>
      <c r="O529" s="10" t="n">
        <f aca="false">IFERROR(VLOOKUP(A529,'Dados-Status-Invest'!$1:$1000,MATCH(O$1,'Dados-Status-Invest'!$2:$2,0),FALSE())/100,"")</f>
        <v>0.1909</v>
      </c>
      <c r="P529" s="10" t="n">
        <f aca="false">IFERROR(VLOOKUP(A529,'Dados-Status-Invest'!$1:$1000,MATCH(P$1,'Dados-Status-Invest'!$2:$2,0),FALSE())/100,"")</f>
        <v>0.1693</v>
      </c>
      <c r="Q529" s="10" t="n">
        <f aca="false">IFERROR(VLOOKUP(A529,'Dados-Status-Invest'!$1:$1000,MATCH(Q$1,'Dados-Status-Invest'!$2:$2,0),FALSE())/100,"")</f>
        <v>-0.0793</v>
      </c>
      <c r="R529" s="12" t="n">
        <f aca="false">IFERROR(VLOOKUP(A529,'Dados-Status-Invest'!$1:$1000,MATCH(R$1,'Dados-Status-Invest'!$2:$2,0),FALSE()),"")</f>
        <v>-12.58</v>
      </c>
      <c r="S529" s="12" t="n">
        <f aca="false">IFERROR(VLOOKUP(A529,'Dados-Status-Invest'!$1:$1000,MATCH(S$1,'Dados-Status-Invest'!$2:$2,0),FALSE()),"")</f>
        <v>1.95</v>
      </c>
      <c r="T529" s="12" t="n">
        <f aca="false">IFERROR(VLOOKUP(A529,'Dados-Status-Invest'!$1:$1000,MATCH(T$1,'Dados-Status-Invest'!$2:$2,0),FALSE()),"")</f>
        <v>10.58</v>
      </c>
      <c r="U529" s="12" t="n">
        <f aca="false">IFERROR(VLOOKUP(A529,'Dados-Status-Invest'!$1:$1000,MATCH(U$1,'Dados-Status-Invest'!$2:$2,0),FALSE()),"")</f>
        <v>0.5</v>
      </c>
      <c r="V529" s="12" t="n">
        <f aca="false">IFERROR(VLOOKUP(A529,'Dados-Status-Invest'!$1:$1000,MATCH(V$1,'Dados-Status-Invest'!$2:$2,0),FALSE()),"")</f>
        <v>4.69</v>
      </c>
      <c r="W529" s="10" t="n">
        <f aca="false">IFERROR(VLOOKUP(A529,'Dados-Status-Invest'!$1:$1000,MATCH(W$1,'Dados-Status-Invest'!$2:$2,0),FALSE())/100,"")</f>
        <v>0.0732</v>
      </c>
      <c r="X529" s="10" t="n">
        <f aca="false">IFERROR(VLOOKUP(A529,'Dados-Status-Invest'!$1:$1000,MATCH(X$1,'Dados-Status-Invest'!$2:$2,0),FALSE())/100,"")</f>
        <v>0</v>
      </c>
    </row>
    <row r="530" customFormat="false" ht="15.75" hidden="false" customHeight="false" outlineLevel="0" collapsed="false">
      <c r="A530" s="6" t="s">
        <v>563</v>
      </c>
      <c r="B530" s="7" t="s">
        <v>38</v>
      </c>
      <c r="C530" s="8" t="n">
        <f aca="false">IFERROR(__xludf.dummyfunction("IFERROR(IFERROR(GOOGLEFINANCE(A536,""price""),VLOOKUP(A536,'Dados-Status-Invest'!A:B,2,FALSE)),"""")"),10.09)</f>
        <v>10.09</v>
      </c>
      <c r="D530" s="8" t="n">
        <f aca="false">IFERROR(VLOOKUP(A530,'Dados-Status-Invest'!$1:$1000,MATCH(D$1,'Dados-Status-Invest'!$2:$2,0),FALSE()),"")</f>
        <v>14485467087</v>
      </c>
      <c r="E530" s="8" t="n">
        <f aca="false">IF(D530+H530&gt;0,D530+H530,"")</f>
        <v>14471944084.63</v>
      </c>
      <c r="F530" s="8" t="n">
        <f aca="false">IFERROR(D530/VLOOKUP(A530,'Dados-Status-Invest'!$1:$1000,5,FALSE()),"")</f>
        <v>204452605.3</v>
      </c>
      <c r="G530" s="8" t="n">
        <f aca="false">IFERROR(D530/VLOOKUP(A530,'Dados-Status-Invest'!$1:$1000,6,FALSE()),"")</f>
        <v>361413849.5</v>
      </c>
      <c r="H530" s="8" t="n">
        <f aca="false">IFERROR(VLOOKUP(A530,'Dados-Status-Invest'!$1:$1000,12,FALSE())*J530,"")</f>
        <v>-13523002.37</v>
      </c>
      <c r="I530" s="8" t="n">
        <f aca="false">IFERROR(D530/VLOOKUP(A530,'Dados-Status-Invest'!$1:$1000,14,FALSE()),"")</f>
        <v>269096546.3</v>
      </c>
      <c r="J530" s="9" t="n">
        <f aca="false">IFERROR(D530/VLOOKUP(A530,'Dados-Status-Invest'!$1:$1000,10,FALSE()),"")</f>
        <v>46631042.64</v>
      </c>
      <c r="K530" s="10" t="n">
        <f aca="false">IFERROR(VLOOKUP(A530,'Dados-Status-Invest'!$1:$1000,3,FALSE())/100,"")</f>
        <v>0.0025</v>
      </c>
      <c r="L530" s="11" t="n">
        <f aca="false">IFERROR(VLOOKUP(A530,'Dados-Status-Invest'!$1:$1000,MATCH(L$1,'Dados-Status-Invest'!$2:$2,0),FALSE())/100,"")</f>
        <v>0.161</v>
      </c>
      <c r="M530" s="10" t="n">
        <f aca="false">IFERROR(VLOOKUP(A530,'Dados-Status-Invest'!$1:$1000,MATCH(M$1,'Dados-Status-Invest'!$2:$2,0),FALSE())/100,"")</f>
        <v>0.0911</v>
      </c>
      <c r="N530" s="10" t="n">
        <f aca="false">IFERROR(VLOOKUP(A530,'Dados-Status-Invest'!$1:$1000,MATCH(N$1,'Dados-Status-Invest'!$2:$2,0),FALSE())/100,"")</f>
        <v>0.1337</v>
      </c>
      <c r="O530" s="10" t="n">
        <f aca="false">IFERROR(VLOOKUP(A530,'Dados-Status-Invest'!$1:$1000,MATCH(O$1,'Dados-Status-Invest'!$2:$2,0),FALSE())/100,"")</f>
        <v>0.6082</v>
      </c>
      <c r="P530" s="10" t="n">
        <f aca="false">IFERROR(VLOOKUP(A530,'Dados-Status-Invest'!$1:$1000,MATCH(P$1,'Dados-Status-Invest'!$2:$2,0),FALSE())/100,"")</f>
        <v>0.1733</v>
      </c>
      <c r="Q530" s="10" t="n">
        <f aca="false">IFERROR(VLOOKUP(A530,'Dados-Status-Invest'!$1:$1000,MATCH(Q$1,'Dados-Status-Invest'!$2:$2,0),FALSE())/100,"")</f>
        <v>0.1223</v>
      </c>
      <c r="R530" s="12" t="n">
        <f aca="false">IFERROR(VLOOKUP(A530,'Dados-Status-Invest'!$1:$1000,MATCH(R$1,'Dados-Status-Invest'!$2:$2,0),FALSE()),"")</f>
        <v>440.12</v>
      </c>
      <c r="S530" s="12" t="n">
        <f aca="false">IFERROR(VLOOKUP(A530,'Dados-Status-Invest'!$1:$1000,MATCH(S$1,'Dados-Status-Invest'!$2:$2,0),FALSE()),"")</f>
        <v>70.85</v>
      </c>
      <c r="T530" s="12" t="n">
        <f aca="false">IFERROR(VLOOKUP(A530,'Dados-Status-Invest'!$1:$1000,MATCH(T$1,'Dados-Status-Invest'!$2:$2,0),FALSE()),"")</f>
        <v>303.77</v>
      </c>
      <c r="U530" s="12" t="n">
        <f aca="false">IFERROR(VLOOKUP(A530,'Dados-Status-Invest'!$1:$1000,MATCH(U$1,'Dados-Status-Invest'!$2:$2,0),FALSE()),"")</f>
        <v>3.23</v>
      </c>
      <c r="V530" s="12" t="n">
        <f aca="false">IFERROR(VLOOKUP(A530,'Dados-Status-Invest'!$1:$1000,MATCH(V$1,'Dados-Status-Invest'!$2:$2,0),FALSE()),"")</f>
        <v>-0.29</v>
      </c>
      <c r="W530" s="10" t="n">
        <f aca="false">IFERROR(VLOOKUP(A530,'Dados-Status-Invest'!$1:$1000,MATCH(W$1,'Dados-Status-Invest'!$2:$2,0),FALSE())/100,"")</f>
        <v>0</v>
      </c>
      <c r="X530" s="10" t="n">
        <f aca="false">IFERROR(VLOOKUP(A530,'Dados-Status-Invest'!$1:$1000,MATCH(X$1,'Dados-Status-Invest'!$2:$2,0),FALSE())/100,"")</f>
        <v>0</v>
      </c>
    </row>
    <row r="531" customFormat="false" ht="15.75" hidden="false" customHeight="false" outlineLevel="0" collapsed="false">
      <c r="A531" s="6" t="s">
        <v>564</v>
      </c>
      <c r="B531" s="7" t="str">
        <f aca="false">IFERROR(VLOOKUP(LEFT(A531,4),Setor!A:D,2,FALSE()),"")</f>
        <v>Bens Industriais</v>
      </c>
      <c r="C531" s="8" t="n">
        <f aca="false">IFERROR(__xludf.dummyfunction("IFERROR(IFERROR(GOOGLEFINANCE(A537,""price""),VLOOKUP(A537,'Dados-Status-Invest'!A:B,2,FALSE)),"""")"),14.91)</f>
        <v>14.91</v>
      </c>
      <c r="D531" s="8" t="n">
        <f aca="false">IFERROR(VLOOKUP(A531,'Dados-Status-Invest'!$1:$1000,MATCH(D$1,'Dados-Status-Invest'!$2:$2,0),FALSE()),"")</f>
        <v>1590010222</v>
      </c>
      <c r="E531" s="8" t="n">
        <f aca="false">IF(D531+H531&gt;0,D531+H531,"")</f>
        <v>1569346614.46</v>
      </c>
      <c r="F531" s="8" t="n">
        <f aca="false">IFERROR(D531/VLOOKUP(A531,'Dados-Status-Invest'!$1:$1000,5,FALSE()),"")</f>
        <v>643728835</v>
      </c>
      <c r="G531" s="8" t="n">
        <f aca="false">IFERROR(D531/VLOOKUP(A531,'Dados-Status-Invest'!$1:$1000,6,FALSE()),"")</f>
        <v>1052986902</v>
      </c>
      <c r="H531" s="8" t="n">
        <f aca="false">IFERROR(VLOOKUP(A531,'Dados-Status-Invest'!$1:$1000,12,FALSE())*J531,"")</f>
        <v>-20663607.54</v>
      </c>
      <c r="I531" s="8" t="n">
        <f aca="false">IFERROR(D531/VLOOKUP(A531,'Dados-Status-Invest'!$1:$1000,14,FALSE()),"")</f>
        <v>963642559</v>
      </c>
      <c r="J531" s="9" t="n">
        <f aca="false">IFERROR(D531/VLOOKUP(A531,'Dados-Status-Invest'!$1:$1000,10,FALSE()),"")</f>
        <v>108755829.2</v>
      </c>
      <c r="K531" s="10" t="n">
        <f aca="false">IFERROR(VLOOKUP(A531,'Dados-Status-Invest'!$1:$1000,3,FALSE())/100,"")</f>
        <v>0.022</v>
      </c>
      <c r="L531" s="11" t="n">
        <f aca="false">IFERROR(VLOOKUP(A531,'Dados-Status-Invest'!$1:$1000,MATCH(L$1,'Dados-Status-Invest'!$2:$2,0),FALSE())/100,"")</f>
        <v>0.1157</v>
      </c>
      <c r="M531" s="10" t="n">
        <f aca="false">IFERROR(VLOOKUP(A531,'Dados-Status-Invest'!$1:$1000,MATCH(M$1,'Dados-Status-Invest'!$2:$2,0),FALSE())/100,"")</f>
        <v>0.0704</v>
      </c>
      <c r="N531" s="10" t="n">
        <f aca="false">IFERROR(VLOOKUP(A531,'Dados-Status-Invest'!$1:$1000,MATCH(N$1,'Dados-Status-Invest'!$2:$2,0),FALSE())/100,"")</f>
        <v>0.0908</v>
      </c>
      <c r="O531" s="10" t="n">
        <f aca="false">IFERROR(VLOOKUP(A531,'Dados-Status-Invest'!$1:$1000,MATCH(O$1,'Dados-Status-Invest'!$2:$2,0),FALSE())/100,"")</f>
        <v>0.1903</v>
      </c>
      <c r="P531" s="10" t="n">
        <f aca="false">IFERROR(VLOOKUP(A531,'Dados-Status-Invest'!$1:$1000,MATCH(P$1,'Dados-Status-Invest'!$2:$2,0),FALSE())/100,"")</f>
        <v>0.1129</v>
      </c>
      <c r="Q531" s="10" t="n">
        <f aca="false">IFERROR(VLOOKUP(A531,'Dados-Status-Invest'!$1:$1000,MATCH(Q$1,'Dados-Status-Invest'!$2:$2,0),FALSE())/100,"")</f>
        <v>0.0772</v>
      </c>
      <c r="R531" s="12" t="n">
        <f aca="false">IFERROR(VLOOKUP(A531,'Dados-Status-Invest'!$1:$1000,MATCH(R$1,'Dados-Status-Invest'!$2:$2,0),FALSE()),"")</f>
        <v>21.38</v>
      </c>
      <c r="S531" s="12" t="n">
        <f aca="false">IFERROR(VLOOKUP(A531,'Dados-Status-Invest'!$1:$1000,MATCH(S$1,'Dados-Status-Invest'!$2:$2,0),FALSE()),"")</f>
        <v>2.47</v>
      </c>
      <c r="T531" s="12" t="n">
        <f aca="false">IFERROR(VLOOKUP(A531,'Dados-Status-Invest'!$1:$1000,MATCH(T$1,'Dados-Status-Invest'!$2:$2,0),FALSE()),"")</f>
        <v>14.38</v>
      </c>
      <c r="U531" s="12" t="n">
        <f aca="false">IFERROR(VLOOKUP(A531,'Dados-Status-Invest'!$1:$1000,MATCH(U$1,'Dados-Status-Invest'!$2:$2,0),FALSE()),"")</f>
        <v>2.58</v>
      </c>
      <c r="V531" s="12" t="n">
        <f aca="false">IFERROR(VLOOKUP(A531,'Dados-Status-Invest'!$1:$1000,MATCH(V$1,'Dados-Status-Invest'!$2:$2,0),FALSE()),"")</f>
        <v>-0.19</v>
      </c>
      <c r="W531" s="10" t="n">
        <f aca="false">IFERROR(VLOOKUP(A531,'Dados-Status-Invest'!$1:$1000,MATCH(W$1,'Dados-Status-Invest'!$2:$2,0),FALSE())/100,"")</f>
        <v>-0.0205</v>
      </c>
      <c r="X531" s="10" t="n">
        <f aca="false">IFERROR(VLOOKUP(A531,'Dados-Status-Invest'!$1:$1000,MATCH(X$1,'Dados-Status-Invest'!$2:$2,0),FALSE())/100,"")</f>
        <v>0.4924</v>
      </c>
    </row>
    <row r="532" customFormat="false" ht="15.75" hidden="false" customHeight="false" outlineLevel="0" collapsed="false">
      <c r="A532" s="6" t="s">
        <v>565</v>
      </c>
      <c r="B532" s="7" t="str">
        <f aca="false">IFERROR(VLOOKUP(LEFT(A532,4),Setor!A:D,2,FALSE()),"")</f>
        <v>Utilidade Pública</v>
      </c>
      <c r="C532" s="8" t="n">
        <f aca="false">IFERROR(__xludf.dummyfunction("IFERROR(IFERROR(GOOGLEFINANCE(A538,""price""),VLOOKUP(A538,'Dados-Status-Invest'!A:B,2,FALSE)),"""")"),12.54)</f>
        <v>12.54</v>
      </c>
      <c r="D532" s="8" t="n">
        <f aca="false">IFERROR(VLOOKUP(A532,'Dados-Status-Invest'!$1:$1000,MATCH(D$1,'Dados-Status-Invest'!$2:$2,0),FALSE()),"")</f>
        <v>5004795801</v>
      </c>
      <c r="E532" s="8" t="n">
        <f aca="false">IF(D532+H532&gt;0,D532+H532,"")</f>
        <v>9537110879</v>
      </c>
      <c r="F532" s="8" t="n">
        <f aca="false">IFERROR(D532/VLOOKUP(A532,'Dados-Status-Invest'!$1:$1000,5,FALSE()),"")</f>
        <v>1874455356</v>
      </c>
      <c r="G532" s="8" t="n">
        <f aca="false">IFERROR(D532/VLOOKUP(A532,'Dados-Status-Invest'!$1:$1000,6,FALSE()),"")</f>
        <v>9624607309</v>
      </c>
      <c r="H532" s="8" t="n">
        <f aca="false">IFERROR(VLOOKUP(A532,'Dados-Status-Invest'!$1:$1000,12,FALSE())*J532,"")</f>
        <v>4532315078</v>
      </c>
      <c r="I532" s="8" t="n">
        <f aca="false">IFERROR(D532/VLOOKUP(A532,'Dados-Status-Invest'!$1:$1000,14,FALSE()),"")</f>
        <v>2076678756</v>
      </c>
      <c r="J532" s="9" t="n">
        <f aca="false">IFERROR(D532/VLOOKUP(A532,'Dados-Status-Invest'!$1:$1000,10,FALSE()),"")</f>
        <v>1749928602</v>
      </c>
      <c r="K532" s="10" t="n">
        <f aca="false">IFERROR(VLOOKUP(A532,'Dados-Status-Invest'!$1:$1000,3,FALSE())/100,"")</f>
        <v>0.0678</v>
      </c>
      <c r="L532" s="11" t="n">
        <f aca="false">IFERROR(VLOOKUP(A532,'Dados-Status-Invest'!$1:$1000,MATCH(L$1,'Dados-Status-Invest'!$2:$2,0),FALSE())/100,"")</f>
        <v>0.4622</v>
      </c>
      <c r="M532" s="10" t="n">
        <f aca="false">IFERROR(VLOOKUP(A532,'Dados-Status-Invest'!$1:$1000,MATCH(M$1,'Dados-Status-Invest'!$2:$2,0),FALSE())/100,"")</f>
        <v>0.09</v>
      </c>
      <c r="N532" s="10" t="n">
        <f aca="false">IFERROR(VLOOKUP(A532,'Dados-Status-Invest'!$1:$1000,MATCH(N$1,'Dados-Status-Invest'!$2:$2,0),FALSE())/100,"")</f>
        <v>0.1717</v>
      </c>
      <c r="O532" s="10" t="n">
        <f aca="false">IFERROR(VLOOKUP(A532,'Dados-Status-Invest'!$1:$1000,MATCH(O$1,'Dados-Status-Invest'!$2:$2,0),FALSE())/100,"")</f>
        <v>0.9399</v>
      </c>
      <c r="P532" s="10" t="n">
        <f aca="false">IFERROR(VLOOKUP(A532,'Dados-Status-Invest'!$1:$1000,MATCH(P$1,'Dados-Status-Invest'!$2:$2,0),FALSE())/100,"")</f>
        <v>0.8449</v>
      </c>
      <c r="Q532" s="10" t="n">
        <f aca="false">IFERROR(VLOOKUP(A532,'Dados-Status-Invest'!$1:$1000,MATCH(Q$1,'Dados-Status-Invest'!$2:$2,0),FALSE())/100,"")</f>
        <v>0.4175</v>
      </c>
      <c r="R532" s="12" t="n">
        <f aca="false">IFERROR(VLOOKUP(A532,'Dados-Status-Invest'!$1:$1000,MATCH(R$1,'Dados-Status-Invest'!$2:$2,0),FALSE()),"")</f>
        <v>5.78</v>
      </c>
      <c r="S532" s="12" t="n">
        <f aca="false">IFERROR(VLOOKUP(A532,'Dados-Status-Invest'!$1:$1000,MATCH(S$1,'Dados-Status-Invest'!$2:$2,0),FALSE()),"")</f>
        <v>2.67</v>
      </c>
      <c r="T532" s="12" t="n">
        <f aca="false">IFERROR(VLOOKUP(A532,'Dados-Status-Invest'!$1:$1000,MATCH(T$1,'Dados-Status-Invest'!$2:$2,0),FALSE()),"")</f>
        <v>5.44</v>
      </c>
      <c r="U532" s="12" t="n">
        <f aca="false">IFERROR(VLOOKUP(A532,'Dados-Status-Invest'!$1:$1000,MATCH(U$1,'Dados-Status-Invest'!$2:$2,0),FALSE()),"")</f>
        <v>1.34</v>
      </c>
      <c r="V532" s="12" t="n">
        <f aca="false">IFERROR(VLOOKUP(A532,'Dados-Status-Invest'!$1:$1000,MATCH(V$1,'Dados-Status-Invest'!$2:$2,0),FALSE()),"")</f>
        <v>2.59</v>
      </c>
      <c r="W532" s="10" t="n">
        <f aca="false">IFERROR(VLOOKUP(A532,'Dados-Status-Invest'!$1:$1000,MATCH(W$1,'Dados-Status-Invest'!$2:$2,0),FALSE())/100,"")</f>
        <v>-0.0519</v>
      </c>
      <c r="X532" s="10" t="n">
        <f aca="false">IFERROR(VLOOKUP(A532,'Dados-Status-Invest'!$1:$1000,MATCH(X$1,'Dados-Status-Invest'!$2:$2,0),FALSE())/100,"")</f>
        <v>0.0109</v>
      </c>
    </row>
    <row r="533" customFormat="false" ht="15.75" hidden="false" customHeight="false" outlineLevel="0" collapsed="false">
      <c r="A533" s="6" t="s">
        <v>566</v>
      </c>
      <c r="B533" s="7" t="str">
        <f aca="false">IFERROR(VLOOKUP(LEFT(A533,4),Setor!A:D,2,FALSE()),"")</f>
        <v>Utilidade Pública</v>
      </c>
      <c r="C533" s="8" t="n">
        <f aca="false">IFERROR(__xludf.dummyfunction("IFERROR(IFERROR(GOOGLEFINANCE(A539,""price""),VLOOKUP(A539,'Dados-Status-Invest'!A:B,2,FALSE)),"""")"),3.49)</f>
        <v>3.49</v>
      </c>
      <c r="D533" s="8" t="n">
        <f aca="false">IFERROR(VLOOKUP(A533,'Dados-Status-Invest'!$1:$1000,MATCH(D$1,'Dados-Status-Invest'!$2:$2,0),FALSE()),"")</f>
        <v>5004795801</v>
      </c>
      <c r="E533" s="8" t="n">
        <f aca="false">IF(D533+H533&gt;0,D533+H533,"")</f>
        <v>8261685531</v>
      </c>
      <c r="F533" s="8" t="n">
        <f aca="false">IFERROR(D533/VLOOKUP(A533,'Dados-Status-Invest'!$1:$1000,5,FALSE()),"")</f>
        <v>1345375215</v>
      </c>
      <c r="G533" s="8" t="n">
        <f aca="false">IFERROR(D533/VLOOKUP(A533,'Dados-Status-Invest'!$1:$1000,6,FALSE()),"")</f>
        <v>6951105279</v>
      </c>
      <c r="H533" s="8" t="n">
        <f aca="false">IFERROR(VLOOKUP(A533,'Dados-Status-Invest'!$1:$1000,12,FALSE())*J533,"")</f>
        <v>3256889730</v>
      </c>
      <c r="I533" s="8" t="n">
        <f aca="false">IFERROR(D533/VLOOKUP(A533,'Dados-Status-Invest'!$1:$1000,14,FALSE()),"")</f>
        <v>1489522560</v>
      </c>
      <c r="J533" s="9" t="n">
        <f aca="false">IFERROR(D533/VLOOKUP(A533,'Dados-Status-Invest'!$1:$1000,10,FALSE()),"")</f>
        <v>1257486382</v>
      </c>
      <c r="K533" s="10" t="n">
        <f aca="false">IFERROR(VLOOKUP(A533,'Dados-Status-Invest'!$1:$1000,3,FALSE())/100,"")</f>
        <v>0.0487</v>
      </c>
      <c r="L533" s="11" t="n">
        <f aca="false">IFERROR(VLOOKUP(A533,'Dados-Status-Invest'!$1:$1000,MATCH(L$1,'Dados-Status-Invest'!$2:$2,0),FALSE())/100,"")</f>
        <v>0.4622</v>
      </c>
      <c r="M533" s="10" t="n">
        <f aca="false">IFERROR(VLOOKUP(A533,'Dados-Status-Invest'!$1:$1000,MATCH(M$1,'Dados-Status-Invest'!$2:$2,0),FALSE())/100,"")</f>
        <v>0.09</v>
      </c>
      <c r="N533" s="10" t="n">
        <f aca="false">IFERROR(VLOOKUP(A533,'Dados-Status-Invest'!$1:$1000,MATCH(N$1,'Dados-Status-Invest'!$2:$2,0),FALSE())/100,"")</f>
        <v>0.1717</v>
      </c>
      <c r="O533" s="10" t="n">
        <f aca="false">IFERROR(VLOOKUP(A533,'Dados-Status-Invest'!$1:$1000,MATCH(O$1,'Dados-Status-Invest'!$2:$2,0),FALSE())/100,"")</f>
        <v>0.9399</v>
      </c>
      <c r="P533" s="10" t="n">
        <f aca="false">IFERROR(VLOOKUP(A533,'Dados-Status-Invest'!$1:$1000,MATCH(P$1,'Dados-Status-Invest'!$2:$2,0),FALSE())/100,"")</f>
        <v>0.8449</v>
      </c>
      <c r="Q533" s="10" t="n">
        <f aca="false">IFERROR(VLOOKUP(A533,'Dados-Status-Invest'!$1:$1000,MATCH(Q$1,'Dados-Status-Invest'!$2:$2,0),FALSE())/100,"")</f>
        <v>0.4175</v>
      </c>
      <c r="R533" s="12" t="n">
        <f aca="false">IFERROR(VLOOKUP(A533,'Dados-Status-Invest'!$1:$1000,MATCH(R$1,'Dados-Status-Invest'!$2:$2,0),FALSE()),"")</f>
        <v>8.05</v>
      </c>
      <c r="S533" s="12" t="n">
        <f aca="false">IFERROR(VLOOKUP(A533,'Dados-Status-Invest'!$1:$1000,MATCH(S$1,'Dados-Status-Invest'!$2:$2,0),FALSE()),"")</f>
        <v>3.72</v>
      </c>
      <c r="T533" s="12" t="n">
        <f aca="false">IFERROR(VLOOKUP(A533,'Dados-Status-Invest'!$1:$1000,MATCH(T$1,'Dados-Status-Invest'!$2:$2,0),FALSE()),"")</f>
        <v>5.44</v>
      </c>
      <c r="U533" s="12" t="n">
        <f aca="false">IFERROR(VLOOKUP(A533,'Dados-Status-Invest'!$1:$1000,MATCH(U$1,'Dados-Status-Invest'!$2:$2,0),FALSE()),"")</f>
        <v>1.34</v>
      </c>
      <c r="V533" s="12" t="n">
        <f aca="false">IFERROR(VLOOKUP(A533,'Dados-Status-Invest'!$1:$1000,MATCH(V$1,'Dados-Status-Invest'!$2:$2,0),FALSE()),"")</f>
        <v>2.59</v>
      </c>
      <c r="W533" s="10" t="n">
        <f aca="false">IFERROR(VLOOKUP(A533,'Dados-Status-Invest'!$1:$1000,MATCH(W$1,'Dados-Status-Invest'!$2:$2,0),FALSE())/100,"")</f>
        <v>-0.0519</v>
      </c>
      <c r="X533" s="10" t="n">
        <f aca="false">IFERROR(VLOOKUP(A533,'Dados-Status-Invest'!$1:$1000,MATCH(X$1,'Dados-Status-Invest'!$2:$2,0),FALSE())/100,"")</f>
        <v>0.0109</v>
      </c>
    </row>
    <row r="534" customFormat="false" ht="15.75" hidden="false" customHeight="false" outlineLevel="0" collapsed="false">
      <c r="A534" s="6" t="s">
        <v>567</v>
      </c>
      <c r="B534" s="7" t="str">
        <f aca="false">IFERROR(VLOOKUP(LEFT(A534,4),Setor!A:D,2,FALSE()),"")</f>
        <v>Utilidade Pública</v>
      </c>
      <c r="C534" s="8" t="n">
        <f aca="false">IFERROR(__xludf.dummyfunction("IFERROR(IFERROR(GOOGLEFINANCE(A540,""price""),VLOOKUP(A540,'Dados-Status-Invest'!A:B,2,FALSE)),"""")"),3.51)</f>
        <v>3.51</v>
      </c>
      <c r="D534" s="8" t="n">
        <f aca="false">IFERROR(VLOOKUP(A534,'Dados-Status-Invest'!$1:$1000,MATCH(D$1,'Dados-Status-Invest'!$2:$2,0),FALSE()),"")</f>
        <v>5004795801</v>
      </c>
      <c r="E534" s="8" t="n">
        <f aca="false">IF(D534+H534&gt;0,D534+H534,"")</f>
        <v>8245401082</v>
      </c>
      <c r="F534" s="8" t="n">
        <f aca="false">IFERROR(D534/VLOOKUP(A534,'Dados-Status-Invest'!$1:$1000,5,FALSE()),"")</f>
        <v>1338180695</v>
      </c>
      <c r="G534" s="8" t="n">
        <f aca="false">IFERROR(D534/VLOOKUP(A534,'Dados-Status-Invest'!$1:$1000,6,FALSE()),"")</f>
        <v>6855884659</v>
      </c>
      <c r="H534" s="8" t="n">
        <f aca="false">IFERROR(VLOOKUP(A534,'Dados-Status-Invest'!$1:$1000,12,FALSE())*J534,"")</f>
        <v>3240605281</v>
      </c>
      <c r="I534" s="8" t="n">
        <f aca="false">IFERROR(D534/VLOOKUP(A534,'Dados-Status-Invest'!$1:$1000,14,FALSE()),"")</f>
        <v>1480708817</v>
      </c>
      <c r="J534" s="9" t="n">
        <f aca="false">IFERROR(D534/VLOOKUP(A534,'Dados-Status-Invest'!$1:$1000,10,FALSE()),"")</f>
        <v>1251198950</v>
      </c>
      <c r="K534" s="10" t="n">
        <f aca="false">IFERROR(VLOOKUP(A534,'Dados-Status-Invest'!$1:$1000,3,FALSE())/100,"")</f>
        <v>0.0484</v>
      </c>
      <c r="L534" s="11" t="n">
        <f aca="false">IFERROR(VLOOKUP(A534,'Dados-Status-Invest'!$1:$1000,MATCH(L$1,'Dados-Status-Invest'!$2:$2,0),FALSE())/100,"")</f>
        <v>0.4622</v>
      </c>
      <c r="M534" s="10" t="n">
        <f aca="false">IFERROR(VLOOKUP(A534,'Dados-Status-Invest'!$1:$1000,MATCH(M$1,'Dados-Status-Invest'!$2:$2,0),FALSE())/100,"")</f>
        <v>0.09</v>
      </c>
      <c r="N534" s="10" t="n">
        <f aca="false">IFERROR(VLOOKUP(A534,'Dados-Status-Invest'!$1:$1000,MATCH(N$1,'Dados-Status-Invest'!$2:$2,0),FALSE())/100,"")</f>
        <v>0.1717</v>
      </c>
      <c r="O534" s="10" t="n">
        <f aca="false">IFERROR(VLOOKUP(A534,'Dados-Status-Invest'!$1:$1000,MATCH(O$1,'Dados-Status-Invest'!$2:$2,0),FALSE())/100,"")</f>
        <v>0.9399</v>
      </c>
      <c r="P534" s="10" t="n">
        <f aca="false">IFERROR(VLOOKUP(A534,'Dados-Status-Invest'!$1:$1000,MATCH(P$1,'Dados-Status-Invest'!$2:$2,0),FALSE())/100,"")</f>
        <v>0.8449</v>
      </c>
      <c r="Q534" s="10" t="n">
        <f aca="false">IFERROR(VLOOKUP(A534,'Dados-Status-Invest'!$1:$1000,MATCH(Q$1,'Dados-Status-Invest'!$2:$2,0),FALSE())/100,"")</f>
        <v>0.4175</v>
      </c>
      <c r="R534" s="12" t="n">
        <f aca="false">IFERROR(VLOOKUP(A534,'Dados-Status-Invest'!$1:$1000,MATCH(R$1,'Dados-Status-Invest'!$2:$2,0),FALSE()),"")</f>
        <v>8.09</v>
      </c>
      <c r="S534" s="12" t="n">
        <f aca="false">IFERROR(VLOOKUP(A534,'Dados-Status-Invest'!$1:$1000,MATCH(S$1,'Dados-Status-Invest'!$2:$2,0),FALSE()),"")</f>
        <v>3.74</v>
      </c>
      <c r="T534" s="12" t="n">
        <f aca="false">IFERROR(VLOOKUP(A534,'Dados-Status-Invest'!$1:$1000,MATCH(T$1,'Dados-Status-Invest'!$2:$2,0),FALSE()),"")</f>
        <v>5.44</v>
      </c>
      <c r="U534" s="12" t="n">
        <f aca="false">IFERROR(VLOOKUP(A534,'Dados-Status-Invest'!$1:$1000,MATCH(U$1,'Dados-Status-Invest'!$2:$2,0),FALSE()),"")</f>
        <v>1.34</v>
      </c>
      <c r="V534" s="12" t="n">
        <f aca="false">IFERROR(VLOOKUP(A534,'Dados-Status-Invest'!$1:$1000,MATCH(V$1,'Dados-Status-Invest'!$2:$2,0),FALSE()),"")</f>
        <v>2.59</v>
      </c>
      <c r="W534" s="10" t="n">
        <f aca="false">IFERROR(VLOOKUP(A534,'Dados-Status-Invest'!$1:$1000,MATCH(W$1,'Dados-Status-Invest'!$2:$2,0),FALSE())/100,"")</f>
        <v>-0.0519</v>
      </c>
      <c r="X534" s="10" t="n">
        <f aca="false">IFERROR(VLOOKUP(A534,'Dados-Status-Invest'!$1:$1000,MATCH(X$1,'Dados-Status-Invest'!$2:$2,0),FALSE())/100,"")</f>
        <v>0.0109</v>
      </c>
    </row>
    <row r="535" customFormat="false" ht="15.75" hidden="false" customHeight="false" outlineLevel="0" collapsed="false">
      <c r="A535" s="6" t="s">
        <v>568</v>
      </c>
      <c r="B535" s="7" t="str">
        <f aca="false">IFERROR(VLOOKUP(LEFT(A535,4),Setor!A:D,2,FALSE()),"")</f>
        <v>Comunicações</v>
      </c>
      <c r="C535" s="8" t="n">
        <f aca="false">IFERROR(__xludf.dummyfunction("IFERROR(IFERROR(GOOGLEFINANCE(A541,""price""),VLOOKUP(A541,'Dados-Status-Invest'!A:B,2,FALSE)),"""")"),13.83)</f>
        <v>13.83</v>
      </c>
      <c r="D535" s="8" t="n">
        <f aca="false">IFERROR(VLOOKUP(A535,'Dados-Status-Invest'!$1:$1000,MATCH(D$1,'Dados-Status-Invest'!$2:$2,0),FALSE()),"")</f>
        <v>28008706885</v>
      </c>
      <c r="E535" s="8" t="n">
        <f aca="false">IF(D535+H535&gt;0,D535+H535,"")</f>
        <v>33766695181</v>
      </c>
      <c r="F535" s="8" t="n">
        <f aca="false">IFERROR(D535/VLOOKUP(A535,'Dados-Status-Invest'!$1:$1000,5,FALSE()),"")</f>
        <v>23536728475</v>
      </c>
      <c r="G535" s="8" t="n">
        <f aca="false">IFERROR(D535/VLOOKUP(A535,'Dados-Status-Invest'!$1:$1000,6,FALSE()),"")</f>
        <v>41189274831</v>
      </c>
      <c r="H535" s="8" t="n">
        <f aca="false">IFERROR(VLOOKUP(A535,'Dados-Status-Invest'!$1:$1000,12,FALSE())*J535,"")</f>
        <v>5757988296</v>
      </c>
      <c r="I535" s="8" t="n">
        <f aca="false">IFERROR(D535/VLOOKUP(A535,'Dados-Status-Invest'!$1:$1000,14,FALSE()),"")</f>
        <v>17396712351</v>
      </c>
      <c r="J535" s="9" t="n">
        <f aca="false">IFERROR(D535/VLOOKUP(A535,'Dados-Status-Invest'!$1:$1000,10,FALSE()),"")</f>
        <v>2893461455</v>
      </c>
      <c r="K535" s="10" t="n">
        <f aca="false">IFERROR(VLOOKUP(A535,'Dados-Status-Invest'!$1:$1000,3,FALSE())/100,"")</f>
        <v>0.0512</v>
      </c>
      <c r="L535" s="11" t="n">
        <f aca="false">IFERROR(VLOOKUP(A535,'Dados-Status-Invest'!$1:$1000,MATCH(L$1,'Dados-Status-Invest'!$2:$2,0),FALSE())/100,"")</f>
        <v>0.0835</v>
      </c>
      <c r="M535" s="10" t="n">
        <f aca="false">IFERROR(VLOOKUP(A535,'Dados-Status-Invest'!$1:$1000,MATCH(M$1,'Dados-Status-Invest'!$2:$2,0),FALSE())/100,"")</f>
        <v>0.0476</v>
      </c>
      <c r="N535" s="10" t="n">
        <f aca="false">IFERROR(VLOOKUP(A535,'Dados-Status-Invest'!$1:$1000,MATCH(N$1,'Dados-Status-Invest'!$2:$2,0),FALSE())/100,"")</f>
        <v>0.0816</v>
      </c>
      <c r="O535" s="10" t="n">
        <f aca="false">IFERROR(VLOOKUP(A535,'Dados-Status-Invest'!$1:$1000,MATCH(O$1,'Dados-Status-Invest'!$2:$2,0),FALSE())/100,"")</f>
        <v>0.5327</v>
      </c>
      <c r="P535" s="10" t="n">
        <f aca="false">IFERROR(VLOOKUP(A535,'Dados-Status-Invest'!$1:$1000,MATCH(P$1,'Dados-Status-Invest'!$2:$2,0),FALSE())/100,"")</f>
        <v>0.1663</v>
      </c>
      <c r="Q535" s="10" t="n">
        <f aca="false">IFERROR(VLOOKUP(A535,'Dados-Status-Invest'!$1:$1000,MATCH(Q$1,'Dados-Status-Invest'!$2:$2,0),FALSE())/100,"")</f>
        <v>0.1126</v>
      </c>
      <c r="R535" s="12" t="n">
        <f aca="false">IFERROR(VLOOKUP(A535,'Dados-Status-Invest'!$1:$1000,MATCH(R$1,'Dados-Status-Invest'!$2:$2,0),FALSE()),"")</f>
        <v>14.3</v>
      </c>
      <c r="S535" s="12" t="n">
        <f aca="false">IFERROR(VLOOKUP(A535,'Dados-Status-Invest'!$1:$1000,MATCH(S$1,'Dados-Status-Invest'!$2:$2,0),FALSE()),"")</f>
        <v>1.19</v>
      </c>
      <c r="T535" s="12" t="n">
        <f aca="false">IFERROR(VLOOKUP(A535,'Dados-Status-Invest'!$1:$1000,MATCH(T$1,'Dados-Status-Invest'!$2:$2,0),FALSE()),"")</f>
        <v>11.67</v>
      </c>
      <c r="U535" s="12" t="n">
        <f aca="false">IFERROR(VLOOKUP(A535,'Dados-Status-Invest'!$1:$1000,MATCH(U$1,'Dados-Status-Invest'!$2:$2,0),FALSE()),"")</f>
        <v>1.27</v>
      </c>
      <c r="V535" s="12" t="n">
        <f aca="false">IFERROR(VLOOKUP(A535,'Dados-Status-Invest'!$1:$1000,MATCH(V$1,'Dados-Status-Invest'!$2:$2,0),FALSE()),"")</f>
        <v>1.99</v>
      </c>
      <c r="W535" s="10" t="n">
        <f aca="false">IFERROR(VLOOKUP(A535,'Dados-Status-Invest'!$1:$1000,MATCH(W$1,'Dados-Status-Invest'!$2:$2,0),FALSE())/100,"")</f>
        <v>0.0015</v>
      </c>
      <c r="X535" s="10" t="n">
        <f aca="false">IFERROR(VLOOKUP(A535,'Dados-Status-Invest'!$1:$1000,MATCH(X$1,'Dados-Status-Invest'!$2:$2,0),FALSE())/100,"")</f>
        <v>-0.0243</v>
      </c>
    </row>
    <row r="536" customFormat="false" ht="15.75" hidden="false" customHeight="false" outlineLevel="0" collapsed="false">
      <c r="A536" s="6" t="s">
        <v>569</v>
      </c>
      <c r="B536" s="7" t="str">
        <f aca="false">IFERROR(VLOOKUP(LEFT(A536,4),Setor!A:D,2,FALSE()),"")</f>
        <v>Materiais Básicos</v>
      </c>
      <c r="C536" s="8" t="n">
        <f aca="false">IFERROR(__xludf.dummyfunction("IFERROR(IFERROR(GOOGLEFINANCE(A542,""price""),VLOOKUP(A542,'Dados-Status-Invest'!A:B,2,FALSE)),"""")"),0)</f>
        <v>0</v>
      </c>
      <c r="D536" s="8" t="n">
        <f aca="false">IFERROR(VLOOKUP(A536,'Dados-Status-Invest'!$1:$1000,MATCH(D$1,'Dados-Status-Invest'!$2:$2,0),FALSE()),"")</f>
        <v>184695697.3</v>
      </c>
      <c r="E536" s="8" t="n">
        <f aca="false">IF(D536+H536&gt;0,D536+H536,"")</f>
        <v>162488883.25</v>
      </c>
      <c r="F536" s="8" t="n">
        <f aca="false">IFERROR(D536/VLOOKUP(A536,'Dados-Status-Invest'!$1:$1000,5,FALSE()),"")</f>
        <v>179316211</v>
      </c>
      <c r="G536" s="8" t="n">
        <f aca="false">IFERROR(D536/VLOOKUP(A536,'Dados-Status-Invest'!$1:$1000,6,FALSE()),"")</f>
        <v>243020654.4</v>
      </c>
      <c r="H536" s="8" t="n">
        <f aca="false">IFERROR(VLOOKUP(A536,'Dados-Status-Invest'!$1:$1000,12,FALSE())*J536,"")</f>
        <v>-22206814.05</v>
      </c>
      <c r="I536" s="8" t="n">
        <f aca="false">IFERROR(D536/VLOOKUP(A536,'Dados-Status-Invest'!$1:$1000,14,FALSE()),"")</f>
        <v>179316211</v>
      </c>
      <c r="J536" s="9" t="n">
        <f aca="false">IFERROR(D536/VLOOKUP(A536,'Dados-Status-Invest'!$1:$1000,10,FALSE()),"")</f>
        <v>27081480.54</v>
      </c>
      <c r="K536" s="10" t="n">
        <f aca="false">IFERROR(VLOOKUP(A536,'Dados-Status-Invest'!$1:$1000,3,FALSE())/100,"")</f>
        <v>0.0318</v>
      </c>
      <c r="L536" s="11" t="n">
        <f aca="false">IFERROR(VLOOKUP(A536,'Dados-Status-Invest'!$1:$1000,MATCH(L$1,'Dados-Status-Invest'!$2:$2,0),FALSE())/100,"")</f>
        <v>0.1094</v>
      </c>
      <c r="M536" s="10" t="n">
        <f aca="false">IFERROR(VLOOKUP(A536,'Dados-Status-Invest'!$1:$1000,MATCH(M$1,'Dados-Status-Invest'!$2:$2,0),FALSE())/100,"")</f>
        <v>0.0803</v>
      </c>
      <c r="N536" s="10" t="n">
        <f aca="false">IFERROR(VLOOKUP(A536,'Dados-Status-Invest'!$1:$1000,MATCH(N$1,'Dados-Status-Invest'!$2:$2,0),FALSE())/100,"")</f>
        <v>0.1039</v>
      </c>
      <c r="O536" s="10" t="n">
        <f aca="false">IFERROR(VLOOKUP(A536,'Dados-Status-Invest'!$1:$1000,MATCH(O$1,'Dados-Status-Invest'!$2:$2,0),FALSE())/100,"")</f>
        <v>0.2633</v>
      </c>
      <c r="P536" s="10" t="n">
        <f aca="false">IFERROR(VLOOKUP(A536,'Dados-Status-Invest'!$1:$1000,MATCH(P$1,'Dados-Status-Invest'!$2:$2,0),FALSE())/100,"")</f>
        <v>0.1514</v>
      </c>
      <c r="Q536" s="10" t="n">
        <f aca="false">IFERROR(VLOOKUP(A536,'Dados-Status-Invest'!$1:$1000,MATCH(Q$1,'Dados-Status-Invest'!$2:$2,0),FALSE())/100,"")</f>
        <v>0.1097</v>
      </c>
      <c r="R536" s="12" t="n">
        <f aca="false">IFERROR(VLOOKUP(A536,'Dados-Status-Invest'!$1:$1000,MATCH(R$1,'Dados-Status-Invest'!$2:$2,0),FALSE()),"")</f>
        <v>9.41</v>
      </c>
      <c r="S536" s="12" t="n">
        <f aca="false">IFERROR(VLOOKUP(A536,'Dados-Status-Invest'!$1:$1000,MATCH(S$1,'Dados-Status-Invest'!$2:$2,0),FALSE()),"")</f>
        <v>1.03</v>
      </c>
      <c r="T536" s="12" t="n">
        <f aca="false">IFERROR(VLOOKUP(A536,'Dados-Status-Invest'!$1:$1000,MATCH(T$1,'Dados-Status-Invest'!$2:$2,0),FALSE()),"")</f>
        <v>5.31</v>
      </c>
      <c r="U536" s="12" t="n">
        <f aca="false">IFERROR(VLOOKUP(A536,'Dados-Status-Invest'!$1:$1000,MATCH(U$1,'Dados-Status-Invest'!$2:$2,0),FALSE()),"")</f>
        <v>2.74</v>
      </c>
      <c r="V536" s="12" t="n">
        <f aca="false">IFERROR(VLOOKUP(A536,'Dados-Status-Invest'!$1:$1000,MATCH(V$1,'Dados-Status-Invest'!$2:$2,0),FALSE()),"")</f>
        <v>-0.82</v>
      </c>
      <c r="W536" s="10" t="n">
        <f aca="false">IFERROR(VLOOKUP(A536,'Dados-Status-Invest'!$1:$1000,MATCH(W$1,'Dados-Status-Invest'!$2:$2,0),FALSE())/100,"")</f>
        <v>0.0849</v>
      </c>
      <c r="X536" s="10" t="n">
        <f aca="false">IFERROR(VLOOKUP(A536,'Dados-Status-Invest'!$1:$1000,MATCH(X$1,'Dados-Status-Invest'!$2:$2,0),FALSE())/100,"")</f>
        <v>0</v>
      </c>
    </row>
    <row r="537" customFormat="false" ht="15.75" hidden="false" customHeight="false" outlineLevel="0" collapsed="false">
      <c r="A537" s="6" t="s">
        <v>570</v>
      </c>
      <c r="B537" s="7" t="str">
        <f aca="false">IFERROR(VLOOKUP(LEFT(A537,4),Setor!A:D,2,FALSE()),"")</f>
        <v>Materiais Básicos</v>
      </c>
      <c r="C537" s="8" t="n">
        <f aca="false">IFERROR(__xludf.dummyfunction("IFERROR(IFERROR(GOOGLEFINANCE(A543,""price""),VLOOKUP(A543,'Dados-Status-Invest'!A:B,2,FALSE)),"""")"),79.93)</f>
        <v>79.93</v>
      </c>
      <c r="D537" s="8" t="n">
        <f aca="false">IFERROR(VLOOKUP(A537,'Dados-Status-Invest'!$1:$1000,MATCH(D$1,'Dados-Status-Invest'!$2:$2,0),FALSE()),"")</f>
        <v>184695697.3</v>
      </c>
      <c r="E537" s="8" t="n">
        <f aca="false">IF(D537+H537&gt;0,D537+H537,"")</f>
        <v>156334185.73</v>
      </c>
      <c r="F537" s="8" t="n">
        <f aca="false">IFERROR(D537/VLOOKUP(A537,'Dados-Status-Invest'!$1:$1000,5,FALSE()),"")</f>
        <v>228019379.4</v>
      </c>
      <c r="G537" s="8" t="n">
        <f aca="false">IFERROR(D537/VLOOKUP(A537,'Dados-Status-Invest'!$1:$1000,6,FALSE()),"")</f>
        <v>313043554.8</v>
      </c>
      <c r="H537" s="8" t="n">
        <f aca="false">IFERROR(VLOOKUP(A537,'Dados-Status-Invest'!$1:$1000,12,FALSE())*J537,"")</f>
        <v>-28361511.57</v>
      </c>
      <c r="I537" s="8" t="n">
        <f aca="false">IFERROR(D537/VLOOKUP(A537,'Dados-Status-Invest'!$1:$1000,14,FALSE()),"")</f>
        <v>228019379.4</v>
      </c>
      <c r="J537" s="9" t="n">
        <f aca="false">IFERROR(D537/VLOOKUP(A537,'Dados-Status-Invest'!$1:$1000,10,FALSE()),"")</f>
        <v>34587209.23</v>
      </c>
      <c r="K537" s="10" t="n">
        <f aca="false">IFERROR(VLOOKUP(A537,'Dados-Status-Invest'!$1:$1000,3,FALSE())/100,"")</f>
        <v>0.0448</v>
      </c>
      <c r="L537" s="11" t="n">
        <f aca="false">IFERROR(VLOOKUP(A537,'Dados-Status-Invest'!$1:$1000,MATCH(L$1,'Dados-Status-Invest'!$2:$2,0),FALSE())/100,"")</f>
        <v>0.1094</v>
      </c>
      <c r="M537" s="10" t="n">
        <f aca="false">IFERROR(VLOOKUP(A537,'Dados-Status-Invest'!$1:$1000,MATCH(M$1,'Dados-Status-Invest'!$2:$2,0),FALSE())/100,"")</f>
        <v>0.0803</v>
      </c>
      <c r="N537" s="10" t="n">
        <f aca="false">IFERROR(VLOOKUP(A537,'Dados-Status-Invest'!$1:$1000,MATCH(N$1,'Dados-Status-Invest'!$2:$2,0),FALSE())/100,"")</f>
        <v>0.1039</v>
      </c>
      <c r="O537" s="10" t="n">
        <f aca="false">IFERROR(VLOOKUP(A537,'Dados-Status-Invest'!$1:$1000,MATCH(O$1,'Dados-Status-Invest'!$2:$2,0),FALSE())/100,"")</f>
        <v>0.2633</v>
      </c>
      <c r="P537" s="10" t="n">
        <f aca="false">IFERROR(VLOOKUP(A537,'Dados-Status-Invest'!$1:$1000,MATCH(P$1,'Dados-Status-Invest'!$2:$2,0),FALSE())/100,"")</f>
        <v>0.1514</v>
      </c>
      <c r="Q537" s="10" t="n">
        <f aca="false">IFERROR(VLOOKUP(A537,'Dados-Status-Invest'!$1:$1000,MATCH(Q$1,'Dados-Status-Invest'!$2:$2,0),FALSE())/100,"")</f>
        <v>0.1097</v>
      </c>
      <c r="R537" s="12" t="n">
        <f aca="false">IFERROR(VLOOKUP(A537,'Dados-Status-Invest'!$1:$1000,MATCH(R$1,'Dados-Status-Invest'!$2:$2,0),FALSE()),"")</f>
        <v>7.37</v>
      </c>
      <c r="S537" s="12" t="n">
        <f aca="false">IFERROR(VLOOKUP(A537,'Dados-Status-Invest'!$1:$1000,MATCH(S$1,'Dados-Status-Invest'!$2:$2,0),FALSE()),"")</f>
        <v>0.81</v>
      </c>
      <c r="T537" s="12" t="n">
        <f aca="false">IFERROR(VLOOKUP(A537,'Dados-Status-Invest'!$1:$1000,MATCH(T$1,'Dados-Status-Invest'!$2:$2,0),FALSE()),"")</f>
        <v>5.31</v>
      </c>
      <c r="U537" s="12" t="n">
        <f aca="false">IFERROR(VLOOKUP(A537,'Dados-Status-Invest'!$1:$1000,MATCH(U$1,'Dados-Status-Invest'!$2:$2,0),FALSE()),"")</f>
        <v>2.74</v>
      </c>
      <c r="V537" s="12" t="n">
        <f aca="false">IFERROR(VLOOKUP(A537,'Dados-Status-Invest'!$1:$1000,MATCH(V$1,'Dados-Status-Invest'!$2:$2,0),FALSE()),"")</f>
        <v>-0.82</v>
      </c>
      <c r="W537" s="10" t="n">
        <f aca="false">IFERROR(VLOOKUP(A537,'Dados-Status-Invest'!$1:$1000,MATCH(W$1,'Dados-Status-Invest'!$2:$2,0),FALSE())/100,"")</f>
        <v>0.0849</v>
      </c>
      <c r="X537" s="10" t="n">
        <f aca="false">IFERROR(VLOOKUP(A537,'Dados-Status-Invest'!$1:$1000,MATCH(X$1,'Dados-Status-Invest'!$2:$2,0),FALSE())/100,"")</f>
        <v>0</v>
      </c>
    </row>
    <row r="538" customFormat="false" ht="15.75" hidden="false" customHeight="false" outlineLevel="0" collapsed="false">
      <c r="A538" s="6" t="s">
        <v>571</v>
      </c>
      <c r="B538" s="7" t="str">
        <f aca="false">IFERROR(VLOOKUP(LEFT(A538,4),Setor!A:D,2,FALSE()),"")</f>
        <v>Tecnologia da Informação</v>
      </c>
      <c r="C538" s="8" t="n">
        <f aca="false">IFERROR(__xludf.dummyfunction("IFERROR(IFERROR(GOOGLEFINANCE(A544,""price""),VLOOKUP(A544,'Dados-Status-Invest'!A:B,2,FALSE)),"""")"),26.24)</f>
        <v>26.24</v>
      </c>
      <c r="D538" s="8" t="n">
        <f aca="false">IFERROR(VLOOKUP(A538,'Dados-Status-Invest'!$1:$1000,MATCH(D$1,'Dados-Status-Invest'!$2:$2,0),FALSE()),"")</f>
        <v>21405904224</v>
      </c>
      <c r="E538" s="8" t="n">
        <f aca="false">IF(D538+H538&gt;0,D538+H538,"")</f>
        <v>20587052289.9</v>
      </c>
      <c r="F538" s="8" t="n">
        <f aca="false">IFERROR(D538/VLOOKUP(A538,'Dados-Status-Invest'!$1:$1000,5,FALSE()),"")</f>
        <v>2672397531</v>
      </c>
      <c r="G538" s="8" t="n">
        <f aca="false">IFERROR(D538/VLOOKUP(A538,'Dados-Status-Invest'!$1:$1000,6,FALSE()),"")</f>
        <v>5364888277</v>
      </c>
      <c r="H538" s="8" t="n">
        <f aca="false">IFERROR(VLOOKUP(A538,'Dados-Status-Invest'!$1:$1000,12,FALSE())*J538,"")</f>
        <v>-818851934.1</v>
      </c>
      <c r="I538" s="8" t="n">
        <f aca="false">IFERROR(D538/VLOOKUP(A538,'Dados-Status-Invest'!$1:$1000,14,FALSE()),"")</f>
        <v>2682444138</v>
      </c>
      <c r="J538" s="9" t="n">
        <f aca="false">IFERROR(D538/VLOOKUP(A538,'Dados-Status-Invest'!$1:$1000,10,FALSE()),"")</f>
        <v>428718290.1</v>
      </c>
      <c r="K538" s="10" t="n">
        <f aca="false">IFERROR(VLOOKUP(A538,'Dados-Status-Invest'!$1:$1000,3,FALSE())/100,"")</f>
        <v>0.0069</v>
      </c>
      <c r="L538" s="11" t="n">
        <f aca="false">IFERROR(VLOOKUP(A538,'Dados-Status-Invest'!$1:$1000,MATCH(L$1,'Dados-Status-Invest'!$2:$2,0),FALSE())/100,"")</f>
        <v>0.1162</v>
      </c>
      <c r="M538" s="10" t="n">
        <f aca="false">IFERROR(VLOOKUP(A538,'Dados-Status-Invest'!$1:$1000,MATCH(M$1,'Dados-Status-Invest'!$2:$2,0),FALSE())/100,"")</f>
        <v>0.0578</v>
      </c>
      <c r="N538" s="10" t="n">
        <f aca="false">IFERROR(VLOOKUP(A538,'Dados-Status-Invest'!$1:$1000,MATCH(N$1,'Dados-Status-Invest'!$2:$2,0),FALSE())/100,"")</f>
        <v>0.1108</v>
      </c>
      <c r="O538" s="10" t="n">
        <f aca="false">IFERROR(VLOOKUP(A538,'Dados-Status-Invest'!$1:$1000,MATCH(O$1,'Dados-Status-Invest'!$2:$2,0),FALSE())/100,"")</f>
        <v>0.7054</v>
      </c>
      <c r="P538" s="10" t="n">
        <f aca="false">IFERROR(VLOOKUP(A538,'Dados-Status-Invest'!$1:$1000,MATCH(P$1,'Dados-Status-Invest'!$2:$2,0),FALSE())/100,"")</f>
        <v>0.1598</v>
      </c>
      <c r="Q538" s="10" t="n">
        <f aca="false">IFERROR(VLOOKUP(A538,'Dados-Status-Invest'!$1:$1000,MATCH(Q$1,'Dados-Status-Invest'!$2:$2,0),FALSE())/100,"")</f>
        <v>0.1157</v>
      </c>
      <c r="R538" s="12" t="n">
        <f aca="false">IFERROR(VLOOKUP(A538,'Dados-Status-Invest'!$1:$1000,MATCH(R$1,'Dados-Status-Invest'!$2:$2,0),FALSE()),"")</f>
        <v>68.96</v>
      </c>
      <c r="S538" s="12" t="n">
        <f aca="false">IFERROR(VLOOKUP(A538,'Dados-Status-Invest'!$1:$1000,MATCH(S$1,'Dados-Status-Invest'!$2:$2,0),FALSE()),"")</f>
        <v>8.01</v>
      </c>
      <c r="T538" s="12" t="n">
        <f aca="false">IFERROR(VLOOKUP(A538,'Dados-Status-Invest'!$1:$1000,MATCH(T$1,'Dados-Status-Invest'!$2:$2,0),FALSE()),"")</f>
        <v>47.43</v>
      </c>
      <c r="U538" s="12" t="n">
        <f aca="false">IFERROR(VLOOKUP(A538,'Dados-Status-Invest'!$1:$1000,MATCH(U$1,'Dados-Status-Invest'!$2:$2,0),FALSE()),"")</f>
        <v>1.41</v>
      </c>
      <c r="V538" s="12" t="n">
        <f aca="false">IFERROR(VLOOKUP(A538,'Dados-Status-Invest'!$1:$1000,MATCH(V$1,'Dados-Status-Invest'!$2:$2,0),FALSE()),"")</f>
        <v>-1.91</v>
      </c>
      <c r="W538" s="10" t="n">
        <f aca="false">IFERROR(VLOOKUP(A538,'Dados-Status-Invest'!$1:$1000,MATCH(W$1,'Dados-Status-Invest'!$2:$2,0),FALSE())/100,"")</f>
        <v>0.0634</v>
      </c>
      <c r="X538" s="10" t="n">
        <f aca="false">IFERROR(VLOOKUP(A538,'Dados-Status-Invest'!$1:$1000,MATCH(X$1,'Dados-Status-Invest'!$2:$2,0),FALSE())/100,"")</f>
        <v>0.0863</v>
      </c>
    </row>
    <row r="539" customFormat="false" ht="15.75" hidden="false" customHeight="false" outlineLevel="0" collapsed="false">
      <c r="A539" s="6" t="s">
        <v>572</v>
      </c>
      <c r="B539" s="7" t="s">
        <v>38</v>
      </c>
      <c r="C539" s="8" t="n">
        <f aca="false">IFERROR(__xludf.dummyfunction("IFERROR(IFERROR(GOOGLEFINANCE(A545,""price""),VLOOKUP(A545,'Dados-Status-Invest'!A:B,2,FALSE)),"""")"),2.29)</f>
        <v>2.29</v>
      </c>
      <c r="D539" s="8" t="n">
        <f aca="false">IFERROR(VLOOKUP(A539,'Dados-Status-Invest'!$1:$1000,MATCH(D$1,'Dados-Status-Invest'!$2:$2,0),FALSE()),"")</f>
        <v>71890222.22</v>
      </c>
      <c r="E539" s="8" t="n">
        <f aca="false">IF(D539+H539&gt;0,D539+H539,"")</f>
        <v>72896685.331</v>
      </c>
      <c r="F539" s="8" t="n">
        <f aca="false">IFERROR(D539/VLOOKUP(A539,'Dados-Status-Invest'!$1:$1000,5,FALSE()),"")</f>
        <v>-14464833.44</v>
      </c>
      <c r="G539" s="8" t="n">
        <f aca="false">IFERROR(D539/VLOOKUP(A539,'Dados-Status-Invest'!$1:$1000,6,FALSE()),"")</f>
        <v>17838764.82</v>
      </c>
      <c r="H539" s="8" t="n">
        <f aca="false">IFERROR(VLOOKUP(A539,'Dados-Status-Invest'!$1:$1000,12,FALSE())*J539,"")</f>
        <v>1006463.111</v>
      </c>
      <c r="I539" s="8" t="n">
        <f aca="false">IFERROR(D539/VLOOKUP(A539,'Dados-Status-Invest'!$1:$1000,14,FALSE()),"")</f>
        <v>14945992.15</v>
      </c>
      <c r="J539" s="9" t="n">
        <f aca="false">IFERROR(D539/VLOOKUP(A539,'Dados-Status-Invest'!$1:$1000,10,FALSE()),"")</f>
        <v>-1597560.494</v>
      </c>
      <c r="K539" s="10" t="n">
        <f aca="false">IFERROR(VLOOKUP(A539,'Dados-Status-Invest'!$1:$1000,3,FALSE())/100,"")</f>
        <v>0</v>
      </c>
      <c r="L539" s="11" t="n">
        <f aca="false">IFERROR(VLOOKUP(A539,'Dados-Status-Invest'!$1:$1000,MATCH(L$1,'Dados-Status-Invest'!$2:$2,0),FALSE())/100,"")</f>
        <v>-0.1131</v>
      </c>
      <c r="M539" s="10" t="n">
        <f aca="false">IFERROR(VLOOKUP(A539,'Dados-Status-Invest'!$1:$1000,MATCH(M$1,'Dados-Status-Invest'!$2:$2,0),FALSE())/100,"")</f>
        <v>-0.0918</v>
      </c>
      <c r="N539" s="10" t="n">
        <f aca="false">IFERROR(VLOOKUP(A539,'Dados-Status-Invest'!$1:$1000,MATCH(N$1,'Dados-Status-Invest'!$2:$2,0),FALSE())/100,"")</f>
        <v>0.1193</v>
      </c>
      <c r="O539" s="10" t="n">
        <f aca="false">IFERROR(VLOOKUP(A539,'Dados-Status-Invest'!$1:$1000,MATCH(O$1,'Dados-Status-Invest'!$2:$2,0),FALSE())/100,"")</f>
        <v>0.2406</v>
      </c>
      <c r="P539" s="10" t="n">
        <f aca="false">IFERROR(VLOOKUP(A539,'Dados-Status-Invest'!$1:$1000,MATCH(P$1,'Dados-Status-Invest'!$2:$2,0),FALSE())/100,"")</f>
        <v>-0.107</v>
      </c>
      <c r="Q539" s="10" t="n">
        <f aca="false">IFERROR(VLOOKUP(A539,'Dados-Status-Invest'!$1:$1000,MATCH(Q$1,'Dados-Status-Invest'!$2:$2,0),FALSE())/100,"")</f>
        <v>-0.1096</v>
      </c>
      <c r="R539" s="12" t="n">
        <f aca="false">IFERROR(VLOOKUP(A539,'Dados-Status-Invest'!$1:$1000,MATCH(R$1,'Dados-Status-Invest'!$2:$2,0),FALSE()),"")</f>
        <v>-43.94</v>
      </c>
      <c r="S539" s="12" t="n">
        <f aca="false">IFERROR(VLOOKUP(A539,'Dados-Status-Invest'!$1:$1000,MATCH(S$1,'Dados-Status-Invest'!$2:$2,0),FALSE()),"")</f>
        <v>-4.97</v>
      </c>
      <c r="T539" s="12" t="n">
        <f aca="false">IFERROR(VLOOKUP(A539,'Dados-Status-Invest'!$1:$1000,MATCH(T$1,'Dados-Status-Invest'!$2:$2,0),FALSE()),"")</f>
        <v>-47.62</v>
      </c>
      <c r="U539" s="12" t="n">
        <f aca="false">IFERROR(VLOOKUP(A539,'Dados-Status-Invest'!$1:$1000,MATCH(U$1,'Dados-Status-Invest'!$2:$2,0),FALSE()),"")</f>
        <v>0.49</v>
      </c>
      <c r="V539" s="12" t="n">
        <f aca="false">IFERROR(VLOOKUP(A539,'Dados-Status-Invest'!$1:$1000,MATCH(V$1,'Dados-Status-Invest'!$2:$2,0),FALSE()),"")</f>
        <v>-0.63</v>
      </c>
      <c r="W539" s="10" t="n">
        <f aca="false">IFERROR(VLOOKUP(A539,'Dados-Status-Invest'!$1:$1000,MATCH(W$1,'Dados-Status-Invest'!$2:$2,0),FALSE())/100,"")</f>
        <v>-0.3311</v>
      </c>
      <c r="X539" s="10" t="n">
        <f aca="false">IFERROR(VLOOKUP(A539,'Dados-Status-Invest'!$1:$1000,MATCH(X$1,'Dados-Status-Invest'!$2:$2,0),FALSE())/100,"")</f>
        <v>0</v>
      </c>
    </row>
    <row r="540" customFormat="false" ht="15.75" hidden="false" customHeight="false" outlineLevel="0" collapsed="false">
      <c r="A540" s="6" t="s">
        <v>573</v>
      </c>
      <c r="B540" s="7" t="s">
        <v>38</v>
      </c>
      <c r="C540" s="8" t="n">
        <f aca="false">IFERROR(__xludf.dummyfunction("IFERROR(IFERROR(GOOGLEFINANCE(A546,""price""),VLOOKUP(A546,'Dados-Status-Invest'!A:B,2,FALSE)),"""")"),2.5)</f>
        <v>2.5</v>
      </c>
      <c r="D540" s="8" t="n">
        <f aca="false">IFERROR(VLOOKUP(A540,'Dados-Status-Invest'!$1:$1000,MATCH(D$1,'Dados-Status-Invest'!$2:$2,0),FALSE()),"")</f>
        <v>71890222.22</v>
      </c>
      <c r="E540" s="8" t="n">
        <f aca="false">IF(D540+H540&gt;0,D540+H540,"")</f>
        <v>72812267.0082</v>
      </c>
      <c r="F540" s="8" t="n">
        <f aca="false">IFERROR(D540/VLOOKUP(A540,'Dados-Status-Invest'!$1:$1000,5,FALSE()),"")</f>
        <v>-13239451.61</v>
      </c>
      <c r="G540" s="8" t="n">
        <f aca="false">IFERROR(D540/VLOOKUP(A540,'Dados-Status-Invest'!$1:$1000,6,FALSE()),"")</f>
        <v>16338686.87</v>
      </c>
      <c r="H540" s="8" t="n">
        <f aca="false">IFERROR(VLOOKUP(A540,'Dados-Status-Invest'!$1:$1000,12,FALSE())*J540,"")</f>
        <v>922044.7882</v>
      </c>
      <c r="I540" s="8" t="n">
        <f aca="false">IFERROR(D540/VLOOKUP(A540,'Dados-Status-Invest'!$1:$1000,14,FALSE()),"")</f>
        <v>13667342.63</v>
      </c>
      <c r="J540" s="9" t="n">
        <f aca="false">IFERROR(D540/VLOOKUP(A540,'Dados-Status-Invest'!$1:$1000,10,FALSE()),"")</f>
        <v>-1463563.156</v>
      </c>
      <c r="K540" s="10" t="n">
        <f aca="false">IFERROR(VLOOKUP(A540,'Dados-Status-Invest'!$1:$1000,3,FALSE())/100,"")</f>
        <v>0</v>
      </c>
      <c r="L540" s="11" t="n">
        <f aca="false">IFERROR(VLOOKUP(A540,'Dados-Status-Invest'!$1:$1000,MATCH(L$1,'Dados-Status-Invest'!$2:$2,0),FALSE())/100,"")</f>
        <v>-0.1131</v>
      </c>
      <c r="M540" s="10" t="n">
        <f aca="false">IFERROR(VLOOKUP(A540,'Dados-Status-Invest'!$1:$1000,MATCH(M$1,'Dados-Status-Invest'!$2:$2,0),FALSE())/100,"")</f>
        <v>-0.0918</v>
      </c>
      <c r="N540" s="10" t="n">
        <f aca="false">IFERROR(VLOOKUP(A540,'Dados-Status-Invest'!$1:$1000,MATCH(N$1,'Dados-Status-Invest'!$2:$2,0),FALSE())/100,"")</f>
        <v>0.1193</v>
      </c>
      <c r="O540" s="10" t="n">
        <f aca="false">IFERROR(VLOOKUP(A540,'Dados-Status-Invest'!$1:$1000,MATCH(O$1,'Dados-Status-Invest'!$2:$2,0),FALSE())/100,"")</f>
        <v>0.2406</v>
      </c>
      <c r="P540" s="10" t="n">
        <f aca="false">IFERROR(VLOOKUP(A540,'Dados-Status-Invest'!$1:$1000,MATCH(P$1,'Dados-Status-Invest'!$2:$2,0),FALSE())/100,"")</f>
        <v>-0.107</v>
      </c>
      <c r="Q540" s="10" t="n">
        <f aca="false">IFERROR(VLOOKUP(A540,'Dados-Status-Invest'!$1:$1000,MATCH(Q$1,'Dados-Status-Invest'!$2:$2,0),FALSE())/100,"")</f>
        <v>-0.1096</v>
      </c>
      <c r="R540" s="12" t="n">
        <f aca="false">IFERROR(VLOOKUP(A540,'Dados-Status-Invest'!$1:$1000,MATCH(R$1,'Dados-Status-Invest'!$2:$2,0),FALSE()),"")</f>
        <v>-47.96</v>
      </c>
      <c r="S540" s="12" t="n">
        <f aca="false">IFERROR(VLOOKUP(A540,'Dados-Status-Invest'!$1:$1000,MATCH(S$1,'Dados-Status-Invest'!$2:$2,0),FALSE()),"")</f>
        <v>-5.43</v>
      </c>
      <c r="T540" s="12" t="n">
        <f aca="false">IFERROR(VLOOKUP(A540,'Dados-Status-Invest'!$1:$1000,MATCH(T$1,'Dados-Status-Invest'!$2:$2,0),FALSE()),"")</f>
        <v>-47.62</v>
      </c>
      <c r="U540" s="12" t="n">
        <f aca="false">IFERROR(VLOOKUP(A540,'Dados-Status-Invest'!$1:$1000,MATCH(U$1,'Dados-Status-Invest'!$2:$2,0),FALSE()),"")</f>
        <v>0.49</v>
      </c>
      <c r="V540" s="12" t="n">
        <f aca="false">IFERROR(VLOOKUP(A540,'Dados-Status-Invest'!$1:$1000,MATCH(V$1,'Dados-Status-Invest'!$2:$2,0),FALSE()),"")</f>
        <v>-0.63</v>
      </c>
      <c r="W540" s="10" t="n">
        <f aca="false">IFERROR(VLOOKUP(A540,'Dados-Status-Invest'!$1:$1000,MATCH(W$1,'Dados-Status-Invest'!$2:$2,0),FALSE())/100,"")</f>
        <v>-0.3311</v>
      </c>
      <c r="X540" s="10" t="n">
        <f aca="false">IFERROR(VLOOKUP(A540,'Dados-Status-Invest'!$1:$1000,MATCH(X$1,'Dados-Status-Invest'!$2:$2,0),FALSE())/100,"")</f>
        <v>0</v>
      </c>
    </row>
    <row r="541" customFormat="false" ht="15.75" hidden="false" customHeight="false" outlineLevel="0" collapsed="false">
      <c r="A541" s="6" t="s">
        <v>574</v>
      </c>
      <c r="B541" s="7" t="str">
        <f aca="false">IFERROR(VLOOKUP(LEFT(A541,4),Setor!A:D,2,FALSE()),"")</f>
        <v>Bens Industriais</v>
      </c>
      <c r="C541" s="8" t="n">
        <f aca="false">IFERROR(__xludf.dummyfunction("IFERROR(IFERROR(GOOGLEFINANCE(A547,""price""),VLOOKUP(A547,'Dados-Status-Invest'!A:B,2,FALSE)),"""")"),1.45)</f>
        <v>1.45</v>
      </c>
      <c r="D541" s="8" t="n">
        <f aca="false">IFERROR(VLOOKUP(A541,'Dados-Status-Invest'!$1:$1000,MATCH(D$1,'Dados-Status-Invest'!$2:$2,0),FALSE()),"")</f>
        <v>594880000</v>
      </c>
      <c r="E541" s="8" t="n">
        <f aca="false">IF(D541+H541&gt;0,D541+H541,"")</f>
        <v>2329139283</v>
      </c>
      <c r="F541" s="8" t="n">
        <f aca="false">IFERROR(D541/VLOOKUP(A541,'Dados-Status-Invest'!$1:$1000,5,FALSE()),"")</f>
        <v>862144927.5</v>
      </c>
      <c r="G541" s="8" t="n">
        <f aca="false">IFERROR(D541/VLOOKUP(A541,'Dados-Status-Invest'!$1:$1000,6,FALSE()),"")</f>
        <v>3304888889</v>
      </c>
      <c r="H541" s="8" t="n">
        <f aca="false">IFERROR(VLOOKUP(A541,'Dados-Status-Invest'!$1:$1000,12,FALSE())*J541,"")</f>
        <v>1734259283</v>
      </c>
      <c r="I541" s="8" t="n">
        <f aca="false">IFERROR(D541/VLOOKUP(A541,'Dados-Status-Invest'!$1:$1000,14,FALSE()),"")</f>
        <v>975213114.8</v>
      </c>
      <c r="J541" s="9" t="n">
        <f aca="false">IFERROR(D541/VLOOKUP(A541,'Dados-Status-Invest'!$1:$1000,10,FALSE()),"")</f>
        <v>193771987</v>
      </c>
      <c r="K541" s="10" t="n">
        <f aca="false">IFERROR(VLOOKUP(A541,'Dados-Status-Invest'!$1:$1000,3,FALSE())/100,"")</f>
        <v>0.0123</v>
      </c>
      <c r="L541" s="11" t="n">
        <f aca="false">IFERROR(VLOOKUP(A541,'Dados-Status-Invest'!$1:$1000,MATCH(L$1,'Dados-Status-Invest'!$2:$2,0),FALSE())/100,"")</f>
        <v>0.183</v>
      </c>
      <c r="M541" s="10" t="n">
        <f aca="false">IFERROR(VLOOKUP(A541,'Dados-Status-Invest'!$1:$1000,MATCH(M$1,'Dados-Status-Invest'!$2:$2,0),FALSE())/100,"")</f>
        <v>0.0472</v>
      </c>
      <c r="N541" s="10" t="n">
        <f aca="false">IFERROR(VLOOKUP(A541,'Dados-Status-Invest'!$1:$1000,MATCH(N$1,'Dados-Status-Invest'!$2:$2,0),FALSE())/100,"")</f>
        <v>0.0617</v>
      </c>
      <c r="O541" s="10" t="n">
        <f aca="false">IFERROR(VLOOKUP(A541,'Dados-Status-Invest'!$1:$1000,MATCH(O$1,'Dados-Status-Invest'!$2:$2,0),FALSE())/100,"")</f>
        <v>0.0488</v>
      </c>
      <c r="P541" s="10" t="n">
        <f aca="false">IFERROR(VLOOKUP(A541,'Dados-Status-Invest'!$1:$1000,MATCH(P$1,'Dados-Status-Invest'!$2:$2,0),FALSE())/100,"")</f>
        <v>0.2006</v>
      </c>
      <c r="Q541" s="10" t="n">
        <f aca="false">IFERROR(VLOOKUP(A541,'Dados-Status-Invest'!$1:$1000,MATCH(Q$1,'Dados-Status-Invest'!$2:$2,0),FALSE())/100,"")</f>
        <v>0.1619</v>
      </c>
      <c r="R541" s="12" t="n">
        <f aca="false">IFERROR(VLOOKUP(A541,'Dados-Status-Invest'!$1:$1000,MATCH(R$1,'Dados-Status-Invest'!$2:$2,0),FALSE()),"")</f>
        <v>3.8</v>
      </c>
      <c r="S541" s="12" t="n">
        <f aca="false">IFERROR(VLOOKUP(A541,'Dados-Status-Invest'!$1:$1000,MATCH(S$1,'Dados-Status-Invest'!$2:$2,0),FALSE()),"")</f>
        <v>0.69</v>
      </c>
      <c r="T541" s="12" t="n">
        <f aca="false">IFERROR(VLOOKUP(A541,'Dados-Status-Invest'!$1:$1000,MATCH(T$1,'Dados-Status-Invest'!$2:$2,0),FALSE()),"")</f>
        <v>12.04</v>
      </c>
      <c r="U541" s="12" t="n">
        <f aca="false">IFERROR(VLOOKUP(A541,'Dados-Status-Invest'!$1:$1000,MATCH(U$1,'Dados-Status-Invest'!$2:$2,0),FALSE()),"")</f>
        <v>0.23</v>
      </c>
      <c r="V541" s="12" t="n">
        <f aca="false">IFERROR(VLOOKUP(A541,'Dados-Status-Invest'!$1:$1000,MATCH(V$1,'Dados-Status-Invest'!$2:$2,0),FALSE()),"")</f>
        <v>8.95</v>
      </c>
      <c r="W541" s="10" t="n">
        <f aca="false">IFERROR(VLOOKUP(A541,'Dados-Status-Invest'!$1:$1000,MATCH(W$1,'Dados-Status-Invest'!$2:$2,0),FALSE())/100,"")</f>
        <v>-0.1695</v>
      </c>
      <c r="X541" s="10" t="n">
        <f aca="false">IFERROR(VLOOKUP(A541,'Dados-Status-Invest'!$1:$1000,MATCH(X$1,'Dados-Status-Invest'!$2:$2,0),FALSE())/100,"")</f>
        <v>0.0645</v>
      </c>
    </row>
    <row r="542" customFormat="false" ht="15.75" hidden="false" customHeight="false" outlineLevel="0" collapsed="false">
      <c r="A542" s="6" t="s">
        <v>575</v>
      </c>
      <c r="B542" s="7" t="str">
        <f aca="false">IFERROR(VLOOKUP(LEFT(A542,4),Setor!A:D,2,FALSE()),"")</f>
        <v>Consumo Cíclico</v>
      </c>
      <c r="C542" s="8" t="n">
        <f aca="false">IFERROR(__xludf.dummyfunction("IFERROR(IFERROR(GOOGLEFINANCE(A548,""price""),VLOOKUP(A548,'Dados-Status-Invest'!A:B,2,FALSE)),"""")"),4.11)</f>
        <v>4.11</v>
      </c>
      <c r="D542" s="8" t="n">
        <f aca="false">IFERROR(VLOOKUP(A542,'Dados-Status-Invest'!$1:$1000,MATCH(D$1,'Dados-Status-Invest'!$2:$2,0),FALSE()),"")</f>
        <v>1836316574</v>
      </c>
      <c r="E542" s="8" t="n">
        <f aca="false">IF(D542+H542&gt;0,D542+H542,"")</f>
        <v>1919975643.43</v>
      </c>
      <c r="F542" s="8" t="n">
        <f aca="false">IFERROR(D542/VLOOKUP(A542,'Dados-Status-Invest'!$1:$1000,5,FALSE()),"")</f>
        <v>1192413360</v>
      </c>
      <c r="G542" s="8" t="n">
        <f aca="false">IFERROR(D542/VLOOKUP(A542,'Dados-Status-Invest'!$1:$1000,6,FALSE()),"")</f>
        <v>2160372440</v>
      </c>
      <c r="H542" s="8" t="n">
        <f aca="false">IFERROR(VLOOKUP(A542,'Dados-Status-Invest'!$1:$1000,12,FALSE())*J542,"")</f>
        <v>83659069.43</v>
      </c>
      <c r="I542" s="8" t="n">
        <f aca="false">IFERROR(D542/VLOOKUP(A542,'Dados-Status-Invest'!$1:$1000,14,FALSE()),"")</f>
        <v>909067610.9</v>
      </c>
      <c r="J542" s="9" t="n">
        <f aca="false">IFERROR(D542/VLOOKUP(A542,'Dados-Status-Invest'!$1:$1000,10,FALSE()),"")</f>
        <v>209147673.6</v>
      </c>
      <c r="K542" s="10" t="n">
        <f aca="false">IFERROR(VLOOKUP(A542,'Dados-Status-Invest'!$1:$1000,3,FALSE())/100,"")</f>
        <v>0.0246</v>
      </c>
      <c r="L542" s="11" t="n">
        <f aca="false">IFERROR(VLOOKUP(A542,'Dados-Status-Invest'!$1:$1000,MATCH(L$1,'Dados-Status-Invest'!$2:$2,0),FALSE())/100,"")</f>
        <v>0.1456</v>
      </c>
      <c r="M542" s="10" t="n">
        <f aca="false">IFERROR(VLOOKUP(A542,'Dados-Status-Invest'!$1:$1000,MATCH(M$1,'Dados-Status-Invest'!$2:$2,0),FALSE())/100,"")</f>
        <v>0.0803</v>
      </c>
      <c r="N542" s="10" t="n">
        <f aca="false">IFERROR(VLOOKUP(A542,'Dados-Status-Invest'!$1:$1000,MATCH(N$1,'Dados-Status-Invest'!$2:$2,0),FALSE())/100,"")</f>
        <v>0.1103</v>
      </c>
      <c r="O542" s="10" t="n">
        <f aca="false">IFERROR(VLOOKUP(A542,'Dados-Status-Invest'!$1:$1000,MATCH(O$1,'Dados-Status-Invest'!$2:$2,0),FALSE())/100,"")</f>
        <v>0.3569</v>
      </c>
      <c r="P542" s="10" t="n">
        <f aca="false">IFERROR(VLOOKUP(A542,'Dados-Status-Invest'!$1:$1000,MATCH(P$1,'Dados-Status-Invest'!$2:$2,0),FALSE())/100,"")</f>
        <v>0.2301</v>
      </c>
      <c r="Q542" s="10" t="n">
        <f aca="false">IFERROR(VLOOKUP(A542,'Dados-Status-Invest'!$1:$1000,MATCH(Q$1,'Dados-Status-Invest'!$2:$2,0),FALSE())/100,"")</f>
        <v>0.1914</v>
      </c>
      <c r="R542" s="12" t="n">
        <f aca="false">IFERROR(VLOOKUP(A542,'Dados-Status-Invest'!$1:$1000,MATCH(R$1,'Dados-Status-Invest'!$2:$2,0),FALSE()),"")</f>
        <v>10.56</v>
      </c>
      <c r="S542" s="12" t="n">
        <f aca="false">IFERROR(VLOOKUP(A542,'Dados-Status-Invest'!$1:$1000,MATCH(S$1,'Dados-Status-Invest'!$2:$2,0),FALSE()),"")</f>
        <v>1.54</v>
      </c>
      <c r="T542" s="12" t="n">
        <f aca="false">IFERROR(VLOOKUP(A542,'Dados-Status-Invest'!$1:$1000,MATCH(T$1,'Dados-Status-Invest'!$2:$2,0),FALSE()),"")</f>
        <v>9.17</v>
      </c>
      <c r="U542" s="12" t="n">
        <f aca="false">IFERROR(VLOOKUP(A542,'Dados-Status-Invest'!$1:$1000,MATCH(U$1,'Dados-Status-Invest'!$2:$2,0),FALSE()),"")</f>
        <v>3.5</v>
      </c>
      <c r="V542" s="12" t="n">
        <f aca="false">IFERROR(VLOOKUP(A542,'Dados-Status-Invest'!$1:$1000,MATCH(V$1,'Dados-Status-Invest'!$2:$2,0),FALSE()),"")</f>
        <v>0.4</v>
      </c>
      <c r="W542" s="10" t="n">
        <f aca="false">IFERROR(VLOOKUP(A542,'Dados-Status-Invest'!$1:$1000,MATCH(W$1,'Dados-Status-Invest'!$2:$2,0),FALSE())/100,"")</f>
        <v>0.1829</v>
      </c>
      <c r="X542" s="10" t="n">
        <f aca="false">IFERROR(VLOOKUP(A542,'Dados-Status-Invest'!$1:$1000,MATCH(X$1,'Dados-Status-Invest'!$2:$2,0),FALSE())/100,"")</f>
        <v>0.4927</v>
      </c>
    </row>
    <row r="543" customFormat="false" ht="15.75" hidden="false" customHeight="false" outlineLevel="0" collapsed="false">
      <c r="A543" s="6" t="s">
        <v>576</v>
      </c>
      <c r="B543" s="7" t="str">
        <f aca="false">IFERROR(VLOOKUP(LEFT(A543,4),Setor!A:D,2,FALSE()),"")</f>
        <v>Utilidade Pública</v>
      </c>
      <c r="C543" s="8" t="n">
        <f aca="false">IFERROR(__xludf.dummyfunction("IFERROR(IFERROR(GOOGLEFINANCE(A549,""price""),VLOOKUP(A549,'Dados-Status-Invest'!A:B,2,FALSE)),"""")"),32.25)</f>
        <v>32.25</v>
      </c>
      <c r="D543" s="8" t="n">
        <f aca="false">IFERROR(VLOOKUP(A543,'Dados-Status-Invest'!$1:$1000,MATCH(D$1,'Dados-Status-Invest'!$2:$2,0),FALSE()),"")</f>
        <v>18035387492</v>
      </c>
      <c r="E543" s="8" t="n">
        <f aca="false">IF(D543+H543&gt;0,D543+H543,"")</f>
        <v>21852178799</v>
      </c>
      <c r="F543" s="8" t="n">
        <f aca="false">IFERROR(D543/VLOOKUP(A543,'Dados-Status-Invest'!$1:$1000,5,FALSE()),"")</f>
        <v>11865386508</v>
      </c>
      <c r="G543" s="8" t="n">
        <f aca="false">IFERROR(D543/VLOOKUP(A543,'Dados-Status-Invest'!$1:$1000,6,FALSE()),"")</f>
        <v>23730773016</v>
      </c>
      <c r="H543" s="8" t="n">
        <f aca="false">IFERROR(VLOOKUP(A543,'Dados-Status-Invest'!$1:$1000,12,FALSE())*J543,"")</f>
        <v>3816791307</v>
      </c>
      <c r="I543" s="8" t="n">
        <f aca="false">IFERROR(D543/VLOOKUP(A543,'Dados-Status-Invest'!$1:$1000,14,FALSE()),"")</f>
        <v>3550273128</v>
      </c>
      <c r="J543" s="9" t="n">
        <f aca="false">IFERROR(D543/VLOOKUP(A543,'Dados-Status-Invest'!$1:$1000,10,FALSE()),"")</f>
        <v>4194276161</v>
      </c>
      <c r="K543" s="10" t="n">
        <f aca="false">IFERROR(VLOOKUP(A543,'Dados-Status-Invest'!$1:$1000,3,FALSE())/100,"")</f>
        <v>0.1015</v>
      </c>
      <c r="L543" s="11" t="n">
        <f aca="false">IFERROR(VLOOKUP(A543,'Dados-Status-Invest'!$1:$1000,MATCH(L$1,'Dados-Status-Invest'!$2:$2,0),FALSE())/100,"")</f>
        <v>0.2669</v>
      </c>
      <c r="M543" s="10" t="n">
        <f aca="false">IFERROR(VLOOKUP(A543,'Dados-Status-Invest'!$1:$1000,MATCH(M$1,'Dados-Status-Invest'!$2:$2,0),FALSE())/100,"")</f>
        <v>0.134</v>
      </c>
      <c r="N543" s="10" t="n">
        <f aca="false">IFERROR(VLOOKUP(A543,'Dados-Status-Invest'!$1:$1000,MATCH(N$1,'Dados-Status-Invest'!$2:$2,0),FALSE())/100,"")</f>
        <v>0.199</v>
      </c>
      <c r="O543" s="10" t="n">
        <f aca="false">IFERROR(VLOOKUP(A543,'Dados-Status-Invest'!$1:$1000,MATCH(O$1,'Dados-Status-Invest'!$2:$2,0),FALSE())/100,"")</f>
        <v>0.7021</v>
      </c>
      <c r="P543" s="10" t="n">
        <f aca="false">IFERROR(VLOOKUP(A543,'Dados-Status-Invest'!$1:$1000,MATCH(P$1,'Dados-Status-Invest'!$2:$2,0),FALSE())/100,"")</f>
        <v>1.181</v>
      </c>
      <c r="Q543" s="10" t="n">
        <f aca="false">IFERROR(VLOOKUP(A543,'Dados-Status-Invest'!$1:$1000,MATCH(Q$1,'Dados-Status-Invest'!$2:$2,0),FALSE())/100,"")</f>
        <v>0.8926</v>
      </c>
      <c r="R543" s="12" t="n">
        <f aca="false">IFERROR(VLOOKUP(A543,'Dados-Status-Invest'!$1:$1000,MATCH(R$1,'Dados-Status-Invest'!$2:$2,0),FALSE()),"")</f>
        <v>5.69</v>
      </c>
      <c r="S543" s="12" t="n">
        <f aca="false">IFERROR(VLOOKUP(A543,'Dados-Status-Invest'!$1:$1000,MATCH(S$1,'Dados-Status-Invest'!$2:$2,0),FALSE()),"")</f>
        <v>1.52</v>
      </c>
      <c r="T543" s="12" t="n">
        <f aca="false">IFERROR(VLOOKUP(A543,'Dados-Status-Invest'!$1:$1000,MATCH(T$1,'Dados-Status-Invest'!$2:$2,0),FALSE()),"")</f>
        <v>4.75</v>
      </c>
      <c r="U543" s="12" t="n">
        <f aca="false">IFERROR(VLOOKUP(A543,'Dados-Status-Invest'!$1:$1000,MATCH(U$1,'Dados-Status-Invest'!$2:$2,0),FALSE()),"")</f>
        <v>2.02</v>
      </c>
      <c r="V543" s="12" t="n">
        <f aca="false">IFERROR(VLOOKUP(A543,'Dados-Status-Invest'!$1:$1000,MATCH(V$1,'Dados-Status-Invest'!$2:$2,0),FALSE()),"")</f>
        <v>0.91</v>
      </c>
      <c r="W543" s="10" t="n">
        <f aca="false">IFERROR(VLOOKUP(A543,'Dados-Status-Invest'!$1:$1000,MATCH(W$1,'Dados-Status-Invest'!$2:$2,0),FALSE())/100,"")</f>
        <v>0.2349</v>
      </c>
      <c r="X543" s="10" t="n">
        <f aca="false">IFERROR(VLOOKUP(A543,'Dados-Status-Invest'!$1:$1000,MATCH(X$1,'Dados-Status-Invest'!$2:$2,0),FALSE())/100,"")</f>
        <v>0.4559</v>
      </c>
    </row>
    <row r="544" customFormat="false" ht="15.75" hidden="false" customHeight="false" outlineLevel="0" collapsed="false">
      <c r="A544" s="6" t="s">
        <v>577</v>
      </c>
      <c r="B544" s="7" t="str">
        <f aca="false">IFERROR(VLOOKUP(LEFT(A544,4),Setor!A:D,2,FALSE()),"")</f>
        <v>Utilidade Pública</v>
      </c>
      <c r="C544" s="8" t="n">
        <f aca="false">IFERROR(__xludf.dummyfunction("IFERROR(IFERROR(GOOGLEFINANCE(A550,""price""),VLOOKUP(A550,'Dados-Status-Invest'!A:B,2,FALSE)),"""")"),25.47)</f>
        <v>25.47</v>
      </c>
      <c r="D544" s="8" t="n">
        <f aca="false">IFERROR(VLOOKUP(A544,'Dados-Status-Invest'!$1:$1000,MATCH(D$1,'Dados-Status-Invest'!$2:$2,0),FALSE()),"")</f>
        <v>18035387492</v>
      </c>
      <c r="E544" s="8" t="n">
        <f aca="false">IF(D544+H544&gt;0,D544+H544,"")</f>
        <v>22671602921</v>
      </c>
      <c r="F544" s="8" t="n">
        <f aca="false">IFERROR(D544/VLOOKUP(A544,'Dados-Status-Invest'!$1:$1000,5,FALSE()),"")</f>
        <v>14428309994</v>
      </c>
      <c r="G544" s="8" t="n">
        <f aca="false">IFERROR(D544/VLOOKUP(A544,'Dados-Status-Invest'!$1:$1000,6,FALSE()),"")</f>
        <v>28627599194</v>
      </c>
      <c r="H544" s="8" t="n">
        <f aca="false">IFERROR(VLOOKUP(A544,'Dados-Status-Invest'!$1:$1000,12,FALSE())*J544,"")</f>
        <v>4636215429</v>
      </c>
      <c r="I544" s="8" t="n">
        <f aca="false">IFERROR(D544/VLOOKUP(A544,'Dados-Status-Invest'!$1:$1000,14,FALSE()),"")</f>
        <v>4314686003</v>
      </c>
      <c r="J544" s="9" t="n">
        <f aca="false">IFERROR(D544/VLOOKUP(A544,'Dados-Status-Invest'!$1:$1000,10,FALSE()),"")</f>
        <v>5094742229</v>
      </c>
      <c r="K544" s="10" t="n">
        <f aca="false">IFERROR(VLOOKUP(A544,'Dados-Status-Invest'!$1:$1000,3,FALSE())/100,"")</f>
        <v>0.1232</v>
      </c>
      <c r="L544" s="11" t="n">
        <f aca="false">IFERROR(VLOOKUP(A544,'Dados-Status-Invest'!$1:$1000,MATCH(L$1,'Dados-Status-Invest'!$2:$2,0),FALSE())/100,"")</f>
        <v>0.2669</v>
      </c>
      <c r="M544" s="10" t="n">
        <f aca="false">IFERROR(VLOOKUP(A544,'Dados-Status-Invest'!$1:$1000,MATCH(M$1,'Dados-Status-Invest'!$2:$2,0),FALSE())/100,"")</f>
        <v>0.134</v>
      </c>
      <c r="N544" s="10" t="n">
        <f aca="false">IFERROR(VLOOKUP(A544,'Dados-Status-Invest'!$1:$1000,MATCH(N$1,'Dados-Status-Invest'!$2:$2,0),FALSE())/100,"")</f>
        <v>0.199</v>
      </c>
      <c r="O544" s="10" t="n">
        <f aca="false">IFERROR(VLOOKUP(A544,'Dados-Status-Invest'!$1:$1000,MATCH(O$1,'Dados-Status-Invest'!$2:$2,0),FALSE())/100,"")</f>
        <v>0.7021</v>
      </c>
      <c r="P544" s="10" t="n">
        <f aca="false">IFERROR(VLOOKUP(A544,'Dados-Status-Invest'!$1:$1000,MATCH(P$1,'Dados-Status-Invest'!$2:$2,0),FALSE())/100,"")</f>
        <v>1.181</v>
      </c>
      <c r="Q544" s="10" t="n">
        <f aca="false">IFERROR(VLOOKUP(A544,'Dados-Status-Invest'!$1:$1000,MATCH(Q$1,'Dados-Status-Invest'!$2:$2,0),FALSE())/100,"")</f>
        <v>0.8926</v>
      </c>
      <c r="R544" s="12" t="n">
        <f aca="false">IFERROR(VLOOKUP(A544,'Dados-Status-Invest'!$1:$1000,MATCH(R$1,'Dados-Status-Invest'!$2:$2,0),FALSE()),"")</f>
        <v>4.69</v>
      </c>
      <c r="S544" s="12" t="n">
        <f aca="false">IFERROR(VLOOKUP(A544,'Dados-Status-Invest'!$1:$1000,MATCH(S$1,'Dados-Status-Invest'!$2:$2,0),FALSE()),"")</f>
        <v>1.25</v>
      </c>
      <c r="T544" s="12" t="n">
        <f aca="false">IFERROR(VLOOKUP(A544,'Dados-Status-Invest'!$1:$1000,MATCH(T$1,'Dados-Status-Invest'!$2:$2,0),FALSE()),"")</f>
        <v>4.75</v>
      </c>
      <c r="U544" s="12" t="n">
        <f aca="false">IFERROR(VLOOKUP(A544,'Dados-Status-Invest'!$1:$1000,MATCH(U$1,'Dados-Status-Invest'!$2:$2,0),FALSE()),"")</f>
        <v>2.02</v>
      </c>
      <c r="V544" s="12" t="n">
        <f aca="false">IFERROR(VLOOKUP(A544,'Dados-Status-Invest'!$1:$1000,MATCH(V$1,'Dados-Status-Invest'!$2:$2,0),FALSE()),"")</f>
        <v>0.91</v>
      </c>
      <c r="W544" s="10" t="n">
        <f aca="false">IFERROR(VLOOKUP(A544,'Dados-Status-Invest'!$1:$1000,MATCH(W$1,'Dados-Status-Invest'!$2:$2,0),FALSE())/100,"")</f>
        <v>0.2349</v>
      </c>
      <c r="X544" s="10" t="n">
        <f aca="false">IFERROR(VLOOKUP(A544,'Dados-Status-Invest'!$1:$1000,MATCH(X$1,'Dados-Status-Invest'!$2:$2,0),FALSE())/100,"")</f>
        <v>0.4559</v>
      </c>
    </row>
    <row r="545" customFormat="false" ht="15.75" hidden="false" customHeight="false" outlineLevel="0" collapsed="false">
      <c r="A545" s="6" t="s">
        <v>578</v>
      </c>
      <c r="B545" s="7" t="str">
        <f aca="false">IFERROR(VLOOKUP(LEFT(A545,4),Setor!A:D,2,FALSE()),"")</f>
        <v>Bens Industriais</v>
      </c>
      <c r="C545" s="8" t="n">
        <f aca="false">IFERROR(__xludf.dummyfunction("IFERROR(IFERROR(GOOGLEFINANCE(A551,""price""),VLOOKUP(A551,'Dados-Status-Invest'!A:B,2,FALSE)),"""")"),21.74)</f>
        <v>21.74</v>
      </c>
      <c r="D545" s="8" t="n">
        <f aca="false">IFERROR(VLOOKUP(A545,'Dados-Status-Invest'!$1:$1000,MATCH(D$1,'Dados-Status-Invest'!$2:$2,0),FALSE()),"")</f>
        <v>3448725800</v>
      </c>
      <c r="E545" s="8" t="n">
        <f aca="false">IF(D545+H545&gt;0,D545+H545,"")</f>
        <v>4352217334.9</v>
      </c>
      <c r="F545" s="8" t="n">
        <f aca="false">IFERROR(D545/VLOOKUP(A545,'Dados-Status-Invest'!$1:$1000,5,FALSE()),"")</f>
        <v>2632615115</v>
      </c>
      <c r="G545" s="8" t="n">
        <f aca="false">IFERROR(D545/VLOOKUP(A545,'Dados-Status-Invest'!$1:$1000,6,FALSE()),"")</f>
        <v>6507029811</v>
      </c>
      <c r="H545" s="8" t="n">
        <f aca="false">IFERROR(VLOOKUP(A545,'Dados-Status-Invest'!$1:$1000,12,FALSE())*J545,"")</f>
        <v>903491534.9</v>
      </c>
      <c r="I545" s="8" t="n">
        <f aca="false">IFERROR(D545/VLOOKUP(A545,'Dados-Status-Invest'!$1:$1000,14,FALSE()),"")</f>
        <v>4724281918</v>
      </c>
      <c r="J545" s="9" t="n">
        <f aca="false">IFERROR(D545/VLOOKUP(A545,'Dados-Status-Invest'!$1:$1000,10,FALSE()),"")</f>
        <v>266516677</v>
      </c>
      <c r="K545" s="10" t="n">
        <f aca="false">IFERROR(VLOOKUP(A545,'Dados-Status-Invest'!$1:$1000,3,FALSE())/100,"")</f>
        <v>0</v>
      </c>
      <c r="L545" s="11" t="n">
        <f aca="false">IFERROR(VLOOKUP(A545,'Dados-Status-Invest'!$1:$1000,MATCH(L$1,'Dados-Status-Invest'!$2:$2,0),FALSE())/100,"")</f>
        <v>0.0444</v>
      </c>
      <c r="M545" s="10" t="n">
        <f aca="false">IFERROR(VLOOKUP(A545,'Dados-Status-Invest'!$1:$1000,MATCH(M$1,'Dados-Status-Invest'!$2:$2,0),FALSE())/100,"")</f>
        <v>0.018</v>
      </c>
      <c r="N545" s="10" t="n">
        <f aca="false">IFERROR(VLOOKUP(A545,'Dados-Status-Invest'!$1:$1000,MATCH(N$1,'Dados-Status-Invest'!$2:$2,0),FALSE())/100,"")</f>
        <v>0.0478</v>
      </c>
      <c r="O545" s="10" t="n">
        <f aca="false">IFERROR(VLOOKUP(A545,'Dados-Status-Invest'!$1:$1000,MATCH(O$1,'Dados-Status-Invest'!$2:$2,0),FALSE())/100,"")</f>
        <v>0.1555</v>
      </c>
      <c r="P545" s="10" t="n">
        <f aca="false">IFERROR(VLOOKUP(A545,'Dados-Status-Invest'!$1:$1000,MATCH(P$1,'Dados-Status-Invest'!$2:$2,0),FALSE())/100,"")</f>
        <v>0.0565</v>
      </c>
      <c r="Q545" s="10" t="n">
        <f aca="false">IFERROR(VLOOKUP(A545,'Dados-Status-Invest'!$1:$1000,MATCH(Q$1,'Dados-Status-Invest'!$2:$2,0),FALSE())/100,"")</f>
        <v>0.0247</v>
      </c>
      <c r="R545" s="12" t="n">
        <f aca="false">IFERROR(VLOOKUP(A545,'Dados-Status-Invest'!$1:$1000,MATCH(R$1,'Dados-Status-Invest'!$2:$2,0),FALSE()),"")</f>
        <v>29.58</v>
      </c>
      <c r="S545" s="12" t="n">
        <f aca="false">IFERROR(VLOOKUP(A545,'Dados-Status-Invest'!$1:$1000,MATCH(S$1,'Dados-Status-Invest'!$2:$2,0),FALSE()),"")</f>
        <v>1.31</v>
      </c>
      <c r="T545" s="12" t="n">
        <f aca="false">IFERROR(VLOOKUP(A545,'Dados-Status-Invest'!$1:$1000,MATCH(T$1,'Dados-Status-Invest'!$2:$2,0),FALSE()),"")</f>
        <v>16.35</v>
      </c>
      <c r="U545" s="12" t="n">
        <f aca="false">IFERROR(VLOOKUP(A545,'Dados-Status-Invest'!$1:$1000,MATCH(U$1,'Dados-Status-Invest'!$2:$2,0),FALSE()),"")</f>
        <v>2.4</v>
      </c>
      <c r="V545" s="12" t="n">
        <f aca="false">IFERROR(VLOOKUP(A545,'Dados-Status-Invest'!$1:$1000,MATCH(V$1,'Dados-Status-Invest'!$2:$2,0),FALSE()),"")</f>
        <v>3.39</v>
      </c>
      <c r="W545" s="10" t="n">
        <f aca="false">IFERROR(VLOOKUP(A545,'Dados-Status-Invest'!$1:$1000,MATCH(W$1,'Dados-Status-Invest'!$2:$2,0),FALSE())/100,"")</f>
        <v>0.0444</v>
      </c>
      <c r="X545" s="10" t="n">
        <f aca="false">IFERROR(VLOOKUP(A545,'Dados-Status-Invest'!$1:$1000,MATCH(X$1,'Dados-Status-Invest'!$2:$2,0),FALSE())/100,"")</f>
        <v>0</v>
      </c>
    </row>
    <row r="546" customFormat="false" ht="15.75" hidden="false" customHeight="false" outlineLevel="0" collapsed="false">
      <c r="A546" s="6" t="s">
        <v>579</v>
      </c>
      <c r="B546" s="7" t="str">
        <f aca="false">IFERROR(VLOOKUP(LEFT(A546,4),Setor!A:D,2,FALSE()),"")</f>
        <v>Consumo Cíclico</v>
      </c>
      <c r="C546" s="8" t="n">
        <f aca="false">IFERROR(__xludf.dummyfunction("IFERROR(IFERROR(GOOGLEFINANCE(A552,""price""),VLOOKUP(A552,'Dados-Status-Invest'!A:B,2,FALSE)),"""")"),27.29)</f>
        <v>27.29</v>
      </c>
      <c r="D546" s="8" t="n">
        <f aca="false">IFERROR(VLOOKUP(A546,'Dados-Status-Invest'!$1:$1000,MATCH(D$1,'Dados-Status-Invest'!$2:$2,0),FALSE()),"")</f>
        <v>76976180.37</v>
      </c>
      <c r="E546" s="8" t="n">
        <f aca="false">IF(D546+H546&gt;0,D546+H546,"")</f>
        <v>204802397.47</v>
      </c>
      <c r="F546" s="8" t="n">
        <f aca="false">IFERROR(D546/VLOOKUP(A546,'Dados-Status-Invest'!$1:$1000,5,FALSE()),"")</f>
        <v>-167339522.5</v>
      </c>
      <c r="G546" s="8" t="n">
        <f aca="false">IFERROR(D546/VLOOKUP(A546,'Dados-Status-Invest'!$1:$1000,6,FALSE()),"")</f>
        <v>105446822.4</v>
      </c>
      <c r="H546" s="8" t="n">
        <f aca="false">IFERROR(VLOOKUP(A546,'Dados-Status-Invest'!$1:$1000,12,FALSE())*J546,"")</f>
        <v>127826217.1</v>
      </c>
      <c r="I546" s="8" t="n">
        <f aca="false">IFERROR(D546/VLOOKUP(A546,'Dados-Status-Invest'!$1:$1000,14,FALSE()),"")</f>
        <v>52010932.68</v>
      </c>
      <c r="J546" s="9" t="n">
        <f aca="false">IFERROR(D546/VLOOKUP(A546,'Dados-Status-Invest'!$1:$1000,10,FALSE()),"")</f>
        <v>7380266.574</v>
      </c>
      <c r="K546" s="10" t="n">
        <f aca="false">IFERROR(VLOOKUP(A546,'Dados-Status-Invest'!$1:$1000,3,FALSE())/100,"")</f>
        <v>0</v>
      </c>
      <c r="L546" s="11" t="n">
        <f aca="false">IFERROR(VLOOKUP(A546,'Dados-Status-Invest'!$1:$1000,MATCH(L$1,'Dados-Status-Invest'!$2:$2,0),FALSE())/100,"")</f>
        <v>-0.0434</v>
      </c>
      <c r="M546" s="10" t="n">
        <f aca="false">IFERROR(VLOOKUP(A546,'Dados-Status-Invest'!$1:$1000,MATCH(M$1,'Dados-Status-Invest'!$2:$2,0),FALSE())/100,"")</f>
        <v>-0.0681</v>
      </c>
      <c r="N546" s="10" t="n">
        <f aca="false">IFERROR(VLOOKUP(A546,'Dados-Status-Invest'!$1:$1000,MATCH(N$1,'Dados-Status-Invest'!$2:$2,0),FALSE())/100,"")</f>
        <v>-0.194</v>
      </c>
      <c r="O546" s="10" t="n">
        <f aca="false">IFERROR(VLOOKUP(A546,'Dados-Status-Invest'!$1:$1000,MATCH(O$1,'Dados-Status-Invest'!$2:$2,0),FALSE())/100,"")</f>
        <v>0.3403</v>
      </c>
      <c r="P546" s="10" t="n">
        <f aca="false">IFERROR(VLOOKUP(A546,'Dados-Status-Invest'!$1:$1000,MATCH(P$1,'Dados-Status-Invest'!$2:$2,0),FALSE())/100,"")</f>
        <v>0.1419</v>
      </c>
      <c r="Q546" s="10" t="n">
        <f aca="false">IFERROR(VLOOKUP(A546,'Dados-Status-Invest'!$1:$1000,MATCH(Q$1,'Dados-Status-Invest'!$2:$2,0),FALSE())/100,"")</f>
        <v>-0.1383</v>
      </c>
      <c r="R546" s="12" t="n">
        <f aca="false">IFERROR(VLOOKUP(A546,'Dados-Status-Invest'!$1:$1000,MATCH(R$1,'Dados-Status-Invest'!$2:$2,0),FALSE()),"")</f>
        <v>-10.69</v>
      </c>
      <c r="S546" s="12" t="n">
        <f aca="false">IFERROR(VLOOKUP(A546,'Dados-Status-Invest'!$1:$1000,MATCH(S$1,'Dados-Status-Invest'!$2:$2,0),FALSE()),"")</f>
        <v>-0.46</v>
      </c>
      <c r="T546" s="12" t="n">
        <f aca="false">IFERROR(VLOOKUP(A546,'Dados-Status-Invest'!$1:$1000,MATCH(T$1,'Dados-Status-Invest'!$2:$2,0),FALSE()),"")</f>
        <v>22.86</v>
      </c>
      <c r="U546" s="12" t="n">
        <f aca="false">IFERROR(VLOOKUP(A546,'Dados-Status-Invest'!$1:$1000,MATCH(U$1,'Dados-Status-Invest'!$2:$2,0),FALSE()),"")</f>
        <v>0.23</v>
      </c>
      <c r="V546" s="12" t="n">
        <f aca="false">IFERROR(VLOOKUP(A546,'Dados-Status-Invest'!$1:$1000,MATCH(V$1,'Dados-Status-Invest'!$2:$2,0),FALSE()),"")</f>
        <v>17.32</v>
      </c>
      <c r="W546" s="10" t="n">
        <f aca="false">IFERROR(VLOOKUP(A546,'Dados-Status-Invest'!$1:$1000,MATCH(W$1,'Dados-Status-Invest'!$2:$2,0),FALSE())/100,"")</f>
        <v>0.0183</v>
      </c>
      <c r="X546" s="10" t="n">
        <f aca="false">IFERROR(VLOOKUP(A546,'Dados-Status-Invest'!$1:$1000,MATCH(X$1,'Dados-Status-Invest'!$2:$2,0),FALSE())/100,"")</f>
        <v>0</v>
      </c>
    </row>
    <row r="547" customFormat="false" ht="15.75" hidden="false" customHeight="false" outlineLevel="0" collapsed="false">
      <c r="A547" s="6" t="s">
        <v>580</v>
      </c>
      <c r="B547" s="7" t="str">
        <f aca="false">IFERROR(VLOOKUP(LEFT(A547,4),Setor!A:D,2,FALSE()),"")</f>
        <v>Consumo Cíclico</v>
      </c>
      <c r="C547" s="8" t="n">
        <f aca="false">IFERROR(__xludf.dummyfunction("IFERROR(IFERROR(GOOGLEFINANCE(A553,""price""),VLOOKUP(A553,'Dados-Status-Invest'!A:B,2,FALSE)),"""")"),5.73)</f>
        <v>5.73</v>
      </c>
      <c r="D547" s="8" t="n">
        <f aca="false">IFERROR(VLOOKUP(A547,'Dados-Status-Invest'!$1:$1000,MATCH(D$1,'Dados-Status-Invest'!$2:$2,0),FALSE()),"")</f>
        <v>76976180.37</v>
      </c>
      <c r="E547" s="8" t="n">
        <f aca="false">IF(D547+H547&gt;0,D547+H547,"")</f>
        <v>519908886.07</v>
      </c>
      <c r="F547" s="8" t="n">
        <f aca="false">IFERROR(D547/VLOOKUP(A547,'Dados-Status-Invest'!$1:$1000,5,FALSE()),"")</f>
        <v>-592124464.4</v>
      </c>
      <c r="G547" s="8" t="n">
        <f aca="false">IFERROR(D547/VLOOKUP(A547,'Dados-Status-Invest'!$1:$1000,6,FALSE()),"")</f>
        <v>366553239.9</v>
      </c>
      <c r="H547" s="8" t="n">
        <f aca="false">IFERROR(VLOOKUP(A547,'Dados-Status-Invest'!$1:$1000,12,FALSE())*J547,"")</f>
        <v>442932705.7</v>
      </c>
      <c r="I547" s="8" t="n">
        <f aca="false">IFERROR(D547/VLOOKUP(A547,'Dados-Status-Invest'!$1:$1000,14,FALSE()),"")</f>
        <v>179014373</v>
      </c>
      <c r="J547" s="9" t="n">
        <f aca="false">IFERROR(D547/VLOOKUP(A547,'Dados-Status-Invest'!$1:$1000,10,FALSE()),"")</f>
        <v>25573481.85</v>
      </c>
      <c r="K547" s="10" t="n">
        <f aca="false">IFERROR(VLOOKUP(A547,'Dados-Status-Invest'!$1:$1000,3,FALSE())/100,"")</f>
        <v>0</v>
      </c>
      <c r="L547" s="11" t="n">
        <f aca="false">IFERROR(VLOOKUP(A547,'Dados-Status-Invest'!$1:$1000,MATCH(L$1,'Dados-Status-Invest'!$2:$2,0),FALSE())/100,"")</f>
        <v>-0.0434</v>
      </c>
      <c r="M547" s="10" t="n">
        <f aca="false">IFERROR(VLOOKUP(A547,'Dados-Status-Invest'!$1:$1000,MATCH(M$1,'Dados-Status-Invest'!$2:$2,0),FALSE())/100,"")</f>
        <v>-0.0681</v>
      </c>
      <c r="N547" s="10" t="n">
        <f aca="false">IFERROR(VLOOKUP(A547,'Dados-Status-Invest'!$1:$1000,MATCH(N$1,'Dados-Status-Invest'!$2:$2,0),FALSE())/100,"")</f>
        <v>-0.194</v>
      </c>
      <c r="O547" s="10" t="n">
        <f aca="false">IFERROR(VLOOKUP(A547,'Dados-Status-Invest'!$1:$1000,MATCH(O$1,'Dados-Status-Invest'!$2:$2,0),FALSE())/100,"")</f>
        <v>0.3403</v>
      </c>
      <c r="P547" s="10" t="n">
        <f aca="false">IFERROR(VLOOKUP(A547,'Dados-Status-Invest'!$1:$1000,MATCH(P$1,'Dados-Status-Invest'!$2:$2,0),FALSE())/100,"")</f>
        <v>0.1419</v>
      </c>
      <c r="Q547" s="10" t="n">
        <f aca="false">IFERROR(VLOOKUP(A547,'Dados-Status-Invest'!$1:$1000,MATCH(Q$1,'Dados-Status-Invest'!$2:$2,0),FALSE())/100,"")</f>
        <v>-0.1383</v>
      </c>
      <c r="R547" s="12" t="n">
        <f aca="false">IFERROR(VLOOKUP(A547,'Dados-Status-Invest'!$1:$1000,MATCH(R$1,'Dados-Status-Invest'!$2:$2,0),FALSE()),"")</f>
        <v>-3.08</v>
      </c>
      <c r="S547" s="12" t="n">
        <f aca="false">IFERROR(VLOOKUP(A547,'Dados-Status-Invest'!$1:$1000,MATCH(S$1,'Dados-Status-Invest'!$2:$2,0),FALSE()),"")</f>
        <v>-0.13</v>
      </c>
      <c r="T547" s="12" t="n">
        <f aca="false">IFERROR(VLOOKUP(A547,'Dados-Status-Invest'!$1:$1000,MATCH(T$1,'Dados-Status-Invest'!$2:$2,0),FALSE()),"")</f>
        <v>22.86</v>
      </c>
      <c r="U547" s="12" t="n">
        <f aca="false">IFERROR(VLOOKUP(A547,'Dados-Status-Invest'!$1:$1000,MATCH(U$1,'Dados-Status-Invest'!$2:$2,0),FALSE()),"")</f>
        <v>0.23</v>
      </c>
      <c r="V547" s="12" t="n">
        <f aca="false">IFERROR(VLOOKUP(A547,'Dados-Status-Invest'!$1:$1000,MATCH(V$1,'Dados-Status-Invest'!$2:$2,0),FALSE()),"")</f>
        <v>17.32</v>
      </c>
      <c r="W547" s="10" t="n">
        <f aca="false">IFERROR(VLOOKUP(A547,'Dados-Status-Invest'!$1:$1000,MATCH(W$1,'Dados-Status-Invest'!$2:$2,0),FALSE())/100,"")</f>
        <v>0.0183</v>
      </c>
      <c r="X547" s="10" t="n">
        <f aca="false">IFERROR(VLOOKUP(A547,'Dados-Status-Invest'!$1:$1000,MATCH(X$1,'Dados-Status-Invest'!$2:$2,0),FALSE())/100,"")</f>
        <v>0</v>
      </c>
    </row>
    <row r="548" customFormat="false" ht="15.75" hidden="false" customHeight="false" outlineLevel="0" collapsed="false">
      <c r="A548" s="6" t="s">
        <v>581</v>
      </c>
      <c r="B548" s="7" t="str">
        <f aca="false">IFERROR(VLOOKUP(LEFT(A548,4),Setor!A:D,2,FALSE()),"")</f>
        <v>Consumo Cíclico</v>
      </c>
      <c r="C548" s="8" t="n">
        <f aca="false">IFERROR(__xludf.dummyfunction("IFERROR(IFERROR(GOOGLEFINANCE(A554,""price""),VLOOKUP(A554,'Dados-Status-Invest'!A:B,2,FALSE)),"""")"),3.21)</f>
        <v>3.21</v>
      </c>
      <c r="D548" s="8" t="n">
        <f aca="false">IFERROR(VLOOKUP(A548,'Dados-Status-Invest'!$1:$1000,MATCH(D$1,'Dados-Status-Invest'!$2:$2,0),FALSE()),"")</f>
        <v>335718729.1</v>
      </c>
      <c r="E548" s="8" t="n">
        <f aca="false">IF(D548+H548&gt;0,D548+H548,"")</f>
        <v>270880347.94</v>
      </c>
      <c r="F548" s="8" t="n">
        <f aca="false">IFERROR(D548/VLOOKUP(A548,'Dados-Status-Invest'!$1:$1000,5,FALSE()),"")</f>
        <v>159866061.5</v>
      </c>
      <c r="G548" s="8" t="n">
        <f aca="false">IFERROR(D548/VLOOKUP(A548,'Dados-Status-Invest'!$1:$1000,6,FALSE()),"")</f>
        <v>256273839</v>
      </c>
      <c r="H548" s="8" t="n">
        <f aca="false">IFERROR(VLOOKUP(A548,'Dados-Status-Invest'!$1:$1000,12,FALSE())*J548,"")</f>
        <v>-64838381.16</v>
      </c>
      <c r="I548" s="8" t="n">
        <f aca="false">IFERROR(D548/VLOOKUP(A548,'Dados-Status-Invest'!$1:$1000,14,FALSE()),"")</f>
        <v>165378684.3</v>
      </c>
      <c r="J548" s="9" t="n">
        <f aca="false">IFERROR(D548/VLOOKUP(A548,'Dados-Status-Invest'!$1:$1000,10,FALSE()),"")</f>
        <v>24014215.24</v>
      </c>
      <c r="K548" s="10" t="n">
        <f aca="false">IFERROR(VLOOKUP(A548,'Dados-Status-Invest'!$1:$1000,3,FALSE())/100,"")</f>
        <v>0.078</v>
      </c>
      <c r="L548" s="11" t="n">
        <f aca="false">IFERROR(VLOOKUP(A548,'Dados-Status-Invest'!$1:$1000,MATCH(L$1,'Dados-Status-Invest'!$2:$2,0),FALSE())/100,"")</f>
        <v>0.1169</v>
      </c>
      <c r="M548" s="10" t="n">
        <f aca="false">IFERROR(VLOOKUP(A548,'Dados-Status-Invest'!$1:$1000,MATCH(M$1,'Dados-Status-Invest'!$2:$2,0),FALSE())/100,"")</f>
        <v>0.0731</v>
      </c>
      <c r="N548" s="10" t="n">
        <f aca="false">IFERROR(VLOOKUP(A548,'Dados-Status-Invest'!$1:$1000,MATCH(N$1,'Dados-Status-Invest'!$2:$2,0),FALSE())/100,"")</f>
        <v>0.093</v>
      </c>
      <c r="O548" s="10" t="n">
        <f aca="false">IFERROR(VLOOKUP(A548,'Dados-Status-Invest'!$1:$1000,MATCH(O$1,'Dados-Status-Invest'!$2:$2,0),FALSE())/100,"")</f>
        <v>0.3871</v>
      </c>
      <c r="P548" s="10" t="n">
        <f aca="false">IFERROR(VLOOKUP(A548,'Dados-Status-Invest'!$1:$1000,MATCH(P$1,'Dados-Status-Invest'!$2:$2,0),FALSE())/100,"")</f>
        <v>0.1451</v>
      </c>
      <c r="Q548" s="10" t="n">
        <f aca="false">IFERROR(VLOOKUP(A548,'Dados-Status-Invest'!$1:$1000,MATCH(Q$1,'Dados-Status-Invest'!$2:$2,0),FALSE())/100,"")</f>
        <v>0.1129</v>
      </c>
      <c r="R548" s="12" t="n">
        <f aca="false">IFERROR(VLOOKUP(A548,'Dados-Status-Invest'!$1:$1000,MATCH(R$1,'Dados-Status-Invest'!$2:$2,0),FALSE()),"")</f>
        <v>17.97</v>
      </c>
      <c r="S548" s="12" t="n">
        <f aca="false">IFERROR(VLOOKUP(A548,'Dados-Status-Invest'!$1:$1000,MATCH(S$1,'Dados-Status-Invest'!$2:$2,0),FALSE()),"")</f>
        <v>2.1</v>
      </c>
      <c r="T548" s="12" t="n">
        <f aca="false">IFERROR(VLOOKUP(A548,'Dados-Status-Invest'!$1:$1000,MATCH(T$1,'Dados-Status-Invest'!$2:$2,0),FALSE()),"")</f>
        <v>11.29</v>
      </c>
      <c r="U548" s="12" t="n">
        <f aca="false">IFERROR(VLOOKUP(A548,'Dados-Status-Invest'!$1:$1000,MATCH(U$1,'Dados-Status-Invest'!$2:$2,0),FALSE()),"")</f>
        <v>1.96</v>
      </c>
      <c r="V548" s="12" t="n">
        <f aca="false">IFERROR(VLOOKUP(A548,'Dados-Status-Invest'!$1:$1000,MATCH(V$1,'Dados-Status-Invest'!$2:$2,0),FALSE()),"")</f>
        <v>-2.7</v>
      </c>
      <c r="W548" s="10" t="n">
        <f aca="false">IFERROR(VLOOKUP(A548,'Dados-Status-Invest'!$1:$1000,MATCH(W$1,'Dados-Status-Invest'!$2:$2,0),FALSE())/100,"")</f>
        <v>-0.0754</v>
      </c>
      <c r="X548" s="10" t="n">
        <f aca="false">IFERROR(VLOOKUP(A548,'Dados-Status-Invest'!$1:$1000,MATCH(X$1,'Dados-Status-Invest'!$2:$2,0),FALSE())/100,"")</f>
        <v>0.0251</v>
      </c>
    </row>
    <row r="549" customFormat="false" ht="15.75" hidden="false" customHeight="false" outlineLevel="0" collapsed="false">
      <c r="A549" s="6" t="s">
        <v>582</v>
      </c>
      <c r="B549" s="7" t="str">
        <f aca="false">IFERROR(VLOOKUP(LEFT(A549,4),Setor!A:D,2,FALSE()),"")</f>
        <v>Petróleo, Gás e Biocombustíveis</v>
      </c>
      <c r="C549" s="8" t="n">
        <f aca="false">IFERROR(__xludf.dummyfunction("IFERROR(IFERROR(GOOGLEFINANCE(A555,""price""),VLOOKUP(A555,'Dados-Status-Invest'!A:B,2,FALSE)),"""")"),13.47)</f>
        <v>13.47</v>
      </c>
      <c r="D549" s="8" t="n">
        <f aca="false">IFERROR(VLOOKUP(A549,'Dados-Status-Invest'!$1:$1000,MATCH(D$1,'Dados-Status-Invest'!$2:$2,0),FALSE()),"")</f>
        <v>20818481074</v>
      </c>
      <c r="E549" s="8" t="n">
        <f aca="false">IF(D549+H549&gt;0,D549+H549,"")</f>
        <v>33739009238</v>
      </c>
      <c r="F549" s="8" t="n">
        <f aca="false">IFERROR(D549/VLOOKUP(A549,'Dados-Status-Invest'!$1:$1000,5,FALSE()),"")</f>
        <v>9593770080</v>
      </c>
      <c r="G549" s="8" t="n">
        <f aca="false">IFERROR(D549/VLOOKUP(A549,'Dados-Status-Invest'!$1:$1000,6,FALSE()),"")</f>
        <v>37175859061</v>
      </c>
      <c r="H549" s="8" t="n">
        <f aca="false">IFERROR(VLOOKUP(A549,'Dados-Status-Invest'!$1:$1000,12,FALSE())*J549,"")</f>
        <v>12920528164</v>
      </c>
      <c r="I549" s="8" t="n">
        <f aca="false">IFERROR(D549/VLOOKUP(A549,'Dados-Status-Invest'!$1:$1000,14,FALSE()),"")</f>
        <v>83273924297</v>
      </c>
      <c r="J549" s="9" t="n">
        <f aca="false">IFERROR(D549/VLOOKUP(A549,'Dados-Status-Invest'!$1:$1000,10,FALSE()),"")</f>
        <v>1867128347</v>
      </c>
      <c r="K549" s="10" t="n">
        <f aca="false">IFERROR(VLOOKUP(A549,'Dados-Status-Invest'!$1:$1000,3,FALSE())/100,"")</f>
        <v>0.0236</v>
      </c>
      <c r="L549" s="11" t="n">
        <f aca="false">IFERROR(VLOOKUP(A549,'Dados-Status-Invest'!$1:$1000,MATCH(L$1,'Dados-Status-Invest'!$2:$2,0),FALSE())/100,"")</f>
        <v>0.0902</v>
      </c>
      <c r="M549" s="10" t="n">
        <f aca="false">IFERROR(VLOOKUP(A549,'Dados-Status-Invest'!$1:$1000,MATCH(M$1,'Dados-Status-Invest'!$2:$2,0),FALSE())/100,"")</f>
        <v>0.0231</v>
      </c>
      <c r="N549" s="10" t="n">
        <f aca="false">IFERROR(VLOOKUP(A549,'Dados-Status-Invest'!$1:$1000,MATCH(N$1,'Dados-Status-Invest'!$2:$2,0),FALSE())/100,"")</f>
        <v>0.0439</v>
      </c>
      <c r="O549" s="10" t="n">
        <f aca="false">IFERROR(VLOOKUP(A549,'Dados-Status-Invest'!$1:$1000,MATCH(O$1,'Dados-Status-Invest'!$2:$2,0),FALSE())/100,"")</f>
        <v>0.0706</v>
      </c>
      <c r="P549" s="10" t="n">
        <f aca="false">IFERROR(VLOOKUP(A549,'Dados-Status-Invest'!$1:$1000,MATCH(P$1,'Dados-Status-Invest'!$2:$2,0),FALSE())/100,"")</f>
        <v>0.0223</v>
      </c>
      <c r="Q549" s="10" t="n">
        <f aca="false">IFERROR(VLOOKUP(A549,'Dados-Status-Invest'!$1:$1000,MATCH(Q$1,'Dados-Status-Invest'!$2:$2,0),FALSE())/100,"")</f>
        <v>0.0103</v>
      </c>
      <c r="R549" s="12" t="n">
        <f aca="false">IFERROR(VLOOKUP(A549,'Dados-Status-Invest'!$1:$1000,MATCH(R$1,'Dados-Status-Invest'!$2:$2,0),FALSE()),"")</f>
        <v>24.06</v>
      </c>
      <c r="S549" s="12" t="n">
        <f aca="false">IFERROR(VLOOKUP(A549,'Dados-Status-Invest'!$1:$1000,MATCH(S$1,'Dados-Status-Invest'!$2:$2,0),FALSE()),"")</f>
        <v>2.17</v>
      </c>
      <c r="T549" s="12" t="n">
        <f aca="false">IFERROR(VLOOKUP(A549,'Dados-Status-Invest'!$1:$1000,MATCH(T$1,'Dados-Status-Invest'!$2:$2,0),FALSE()),"")</f>
        <v>18.07</v>
      </c>
      <c r="U549" s="12" t="n">
        <f aca="false">IFERROR(VLOOKUP(A549,'Dados-Status-Invest'!$1:$1000,MATCH(U$1,'Dados-Status-Invest'!$2:$2,0),FALSE()),"")</f>
        <v>2</v>
      </c>
      <c r="V549" s="12" t="n">
        <f aca="false">IFERROR(VLOOKUP(A549,'Dados-Status-Invest'!$1:$1000,MATCH(V$1,'Dados-Status-Invest'!$2:$2,0),FALSE()),"")</f>
        <v>6.92</v>
      </c>
      <c r="W549" s="10" t="n">
        <f aca="false">IFERROR(VLOOKUP(A549,'Dados-Status-Invest'!$1:$1000,MATCH(W$1,'Dados-Status-Invest'!$2:$2,0),FALSE())/100,"")</f>
        <v>0.0143</v>
      </c>
      <c r="X549" s="10" t="n">
        <f aca="false">IFERROR(VLOOKUP(A549,'Dados-Status-Invest'!$1:$1000,MATCH(X$1,'Dados-Status-Invest'!$2:$2,0),FALSE())/100,"")</f>
        <v>-0.0932</v>
      </c>
    </row>
    <row r="550" customFormat="false" ht="15.75" hidden="false" customHeight="false" outlineLevel="0" collapsed="false">
      <c r="A550" s="6" t="s">
        <v>583</v>
      </c>
      <c r="B550" s="7" t="str">
        <f aca="false">IFERROR(VLOOKUP(LEFT(A550,4),Setor!A:D,2,FALSE()),"")</f>
        <v>Materiais Básicos</v>
      </c>
      <c r="C550" s="8" t="n">
        <f aca="false">IFERROR(__xludf.dummyfunction("IFERROR(IFERROR(GOOGLEFINANCE(A556,""price""),VLOOKUP(A556,'Dados-Status-Invest'!A:B,2,FALSE)),"""")"),95.42)</f>
        <v>95.42</v>
      </c>
      <c r="D550" s="8" t="n">
        <f aca="false">IFERROR(VLOOKUP(A550,'Dados-Status-Invest'!$1:$1000,MATCH(D$1,'Dados-Status-Invest'!$2:$2,0),FALSE()),"")</f>
        <v>9236427762</v>
      </c>
      <c r="E550" s="8" t="n">
        <f aca="false">IF(D550+H550&gt;0,D550+H550,"")</f>
        <v>8765781761.4</v>
      </c>
      <c r="F550" s="8" t="n">
        <f aca="false">IFERROR(D550/VLOOKUP(A550,'Dados-Status-Invest'!$1:$1000,5,FALSE()),"")</f>
        <v>1994908804</v>
      </c>
      <c r="G550" s="8" t="n">
        <f aca="false">IFERROR(D550/VLOOKUP(A550,'Dados-Status-Invest'!$1:$1000,6,FALSE()),"")</f>
        <v>4664862506</v>
      </c>
      <c r="H550" s="8" t="n">
        <f aca="false">IFERROR(VLOOKUP(A550,'Dados-Status-Invest'!$1:$1000,12,FALSE())*J550,"")</f>
        <v>-470646000.6</v>
      </c>
      <c r="I550" s="8" t="n">
        <f aca="false">IFERROR(D550/VLOOKUP(A550,'Dados-Status-Invest'!$1:$1000,14,FALSE()),"")</f>
        <v>4217546923</v>
      </c>
      <c r="J550" s="9" t="n">
        <f aca="false">IFERROR(D550/VLOOKUP(A550,'Dados-Status-Invest'!$1:$1000,10,FALSE()),"")</f>
        <v>1176615001</v>
      </c>
      <c r="K550" s="10" t="n">
        <f aca="false">IFERROR(VLOOKUP(A550,'Dados-Status-Invest'!$1:$1000,3,FALSE())/100,"")</f>
        <v>0.0425</v>
      </c>
      <c r="L550" s="11" t="n">
        <f aca="false">IFERROR(VLOOKUP(A550,'Dados-Status-Invest'!$1:$1000,MATCH(L$1,'Dados-Status-Invest'!$2:$2,0),FALSE())/100,"")</f>
        <v>0.3555</v>
      </c>
      <c r="M550" s="10" t="n">
        <f aca="false">IFERROR(VLOOKUP(A550,'Dados-Status-Invest'!$1:$1000,MATCH(M$1,'Dados-Status-Invest'!$2:$2,0),FALSE())/100,"")</f>
        <v>0.1523</v>
      </c>
      <c r="N550" s="10" t="n">
        <f aca="false">IFERROR(VLOOKUP(A550,'Dados-Status-Invest'!$1:$1000,MATCH(N$1,'Dados-Status-Invest'!$2:$2,0),FALSE())/100,"")</f>
        <v>0.331</v>
      </c>
      <c r="O550" s="10" t="n">
        <f aca="false">IFERROR(VLOOKUP(A550,'Dados-Status-Invest'!$1:$1000,MATCH(O$1,'Dados-Status-Invest'!$2:$2,0),FALSE())/100,"")</f>
        <v>0.4021</v>
      </c>
      <c r="P550" s="10" t="n">
        <f aca="false">IFERROR(VLOOKUP(A550,'Dados-Status-Invest'!$1:$1000,MATCH(P$1,'Dados-Status-Invest'!$2:$2,0),FALSE())/100,"")</f>
        <v>0.2788</v>
      </c>
      <c r="Q550" s="10" t="n">
        <f aca="false">IFERROR(VLOOKUP(A550,'Dados-Status-Invest'!$1:$1000,MATCH(Q$1,'Dados-Status-Invest'!$2:$2,0),FALSE())/100,"")</f>
        <v>0.1682</v>
      </c>
      <c r="R550" s="12" t="n">
        <f aca="false">IFERROR(VLOOKUP(A550,'Dados-Status-Invest'!$1:$1000,MATCH(R$1,'Dados-Status-Invest'!$2:$2,0),FALSE()),"")</f>
        <v>13.01</v>
      </c>
      <c r="S550" s="12" t="n">
        <f aca="false">IFERROR(VLOOKUP(A550,'Dados-Status-Invest'!$1:$1000,MATCH(S$1,'Dados-Status-Invest'!$2:$2,0),FALSE()),"")</f>
        <v>4.63</v>
      </c>
      <c r="T550" s="12" t="n">
        <f aca="false">IFERROR(VLOOKUP(A550,'Dados-Status-Invest'!$1:$1000,MATCH(T$1,'Dados-Status-Invest'!$2:$2,0),FALSE()),"")</f>
        <v>7.16</v>
      </c>
      <c r="U550" s="12" t="n">
        <f aca="false">IFERROR(VLOOKUP(A550,'Dados-Status-Invest'!$1:$1000,MATCH(U$1,'Dados-Status-Invest'!$2:$2,0),FALSE()),"")</f>
        <v>1.89</v>
      </c>
      <c r="V550" s="12" t="n">
        <f aca="false">IFERROR(VLOOKUP(A550,'Dados-Status-Invest'!$1:$1000,MATCH(V$1,'Dados-Status-Invest'!$2:$2,0),FALSE()),"")</f>
        <v>-0.4</v>
      </c>
      <c r="W550" s="10" t="n">
        <f aca="false">IFERROR(VLOOKUP(A550,'Dados-Status-Invest'!$1:$1000,MATCH(W$1,'Dados-Status-Invest'!$2:$2,0),FALSE())/100,"")</f>
        <v>0.3512</v>
      </c>
      <c r="X550" s="10" t="n">
        <f aca="false">IFERROR(VLOOKUP(A550,'Dados-Status-Invest'!$1:$1000,MATCH(X$1,'Dados-Status-Invest'!$2:$2,0),FALSE())/100,"")</f>
        <v>0.3334</v>
      </c>
    </row>
    <row r="551" customFormat="false" ht="15.75" hidden="false" customHeight="false" outlineLevel="0" collapsed="false">
      <c r="A551" s="6" t="s">
        <v>584</v>
      </c>
      <c r="B551" s="7" t="str">
        <f aca="false">IFERROR(VLOOKUP(LEFT(A551,4),Setor!A:D,2,FALSE()),"")</f>
        <v>Materiais Básicos</v>
      </c>
      <c r="C551" s="8" t="n">
        <f aca="false">IFERROR(__xludf.dummyfunction("IFERROR(IFERROR(GOOGLEFINANCE(A557,""price""),VLOOKUP(A557,'Dados-Status-Invest'!A:B,2,FALSE)),"""")"),99.01)</f>
        <v>99.01</v>
      </c>
      <c r="D551" s="8" t="n">
        <f aca="false">IFERROR(VLOOKUP(A551,'Dados-Status-Invest'!$1:$1000,MATCH(D$1,'Dados-Status-Invest'!$2:$2,0),FALSE()),"")</f>
        <v>9236427762</v>
      </c>
      <c r="E551" s="8" t="n">
        <f aca="false">IF(D551+H551&gt;0,D551+H551,"")</f>
        <v>8727533670.4</v>
      </c>
      <c r="F551" s="8" t="n">
        <f aca="false">IFERROR(D551/VLOOKUP(A551,'Dados-Status-Invest'!$1:$1000,5,FALSE()),"")</f>
        <v>2158043870</v>
      </c>
      <c r="G551" s="8" t="n">
        <f aca="false">IFERROR(D551/VLOOKUP(A551,'Dados-Status-Invest'!$1:$1000,6,FALSE()),"")</f>
        <v>5047228285</v>
      </c>
      <c r="H551" s="8" t="n">
        <f aca="false">IFERROR(VLOOKUP(A551,'Dados-Status-Invest'!$1:$1000,12,FALSE())*J551,"")</f>
        <v>-508894091.6</v>
      </c>
      <c r="I551" s="8" t="n">
        <f aca="false">IFERROR(D551/VLOOKUP(A551,'Dados-Status-Invest'!$1:$1000,14,FALSE()),"")</f>
        <v>4549964415</v>
      </c>
      <c r="J551" s="9" t="n">
        <f aca="false">IFERROR(D551/VLOOKUP(A551,'Dados-Status-Invest'!$1:$1000,10,FALSE()),"")</f>
        <v>1272235229</v>
      </c>
      <c r="K551" s="10" t="n">
        <f aca="false">IFERROR(VLOOKUP(A551,'Dados-Status-Invest'!$1:$1000,3,FALSE())/100,"")</f>
        <v>0.0505</v>
      </c>
      <c r="L551" s="11" t="n">
        <f aca="false">IFERROR(VLOOKUP(A551,'Dados-Status-Invest'!$1:$1000,MATCH(L$1,'Dados-Status-Invest'!$2:$2,0),FALSE())/100,"")</f>
        <v>0.3555</v>
      </c>
      <c r="M551" s="10" t="n">
        <f aca="false">IFERROR(VLOOKUP(A551,'Dados-Status-Invest'!$1:$1000,MATCH(M$1,'Dados-Status-Invest'!$2:$2,0),FALSE())/100,"")</f>
        <v>0.1523</v>
      </c>
      <c r="N551" s="10" t="n">
        <f aca="false">IFERROR(VLOOKUP(A551,'Dados-Status-Invest'!$1:$1000,MATCH(N$1,'Dados-Status-Invest'!$2:$2,0),FALSE())/100,"")</f>
        <v>0.331</v>
      </c>
      <c r="O551" s="10" t="n">
        <f aca="false">IFERROR(VLOOKUP(A551,'Dados-Status-Invest'!$1:$1000,MATCH(O$1,'Dados-Status-Invest'!$2:$2,0),FALSE())/100,"")</f>
        <v>0.4021</v>
      </c>
      <c r="P551" s="10" t="n">
        <f aca="false">IFERROR(VLOOKUP(A551,'Dados-Status-Invest'!$1:$1000,MATCH(P$1,'Dados-Status-Invest'!$2:$2,0),FALSE())/100,"")</f>
        <v>0.2788</v>
      </c>
      <c r="Q551" s="10" t="n">
        <f aca="false">IFERROR(VLOOKUP(A551,'Dados-Status-Invest'!$1:$1000,MATCH(Q$1,'Dados-Status-Invest'!$2:$2,0),FALSE())/100,"")</f>
        <v>0.1682</v>
      </c>
      <c r="R551" s="12" t="n">
        <f aca="false">IFERROR(VLOOKUP(A551,'Dados-Status-Invest'!$1:$1000,MATCH(R$1,'Dados-Status-Invest'!$2:$2,0),FALSE()),"")</f>
        <v>12.04</v>
      </c>
      <c r="S551" s="12" t="n">
        <f aca="false">IFERROR(VLOOKUP(A551,'Dados-Status-Invest'!$1:$1000,MATCH(S$1,'Dados-Status-Invest'!$2:$2,0),FALSE()),"")</f>
        <v>4.28</v>
      </c>
      <c r="T551" s="12" t="n">
        <f aca="false">IFERROR(VLOOKUP(A551,'Dados-Status-Invest'!$1:$1000,MATCH(T$1,'Dados-Status-Invest'!$2:$2,0),FALSE()),"")</f>
        <v>7.16</v>
      </c>
      <c r="U551" s="12" t="n">
        <f aca="false">IFERROR(VLOOKUP(A551,'Dados-Status-Invest'!$1:$1000,MATCH(U$1,'Dados-Status-Invest'!$2:$2,0),FALSE()),"")</f>
        <v>1.89</v>
      </c>
      <c r="V551" s="12" t="n">
        <f aca="false">IFERROR(VLOOKUP(A551,'Dados-Status-Invest'!$1:$1000,MATCH(V$1,'Dados-Status-Invest'!$2:$2,0),FALSE()),"")</f>
        <v>-0.4</v>
      </c>
      <c r="W551" s="10" t="n">
        <f aca="false">IFERROR(VLOOKUP(A551,'Dados-Status-Invest'!$1:$1000,MATCH(W$1,'Dados-Status-Invest'!$2:$2,0),FALSE())/100,"")</f>
        <v>0.3512</v>
      </c>
      <c r="X551" s="10" t="n">
        <f aca="false">IFERROR(VLOOKUP(A551,'Dados-Status-Invest'!$1:$1000,MATCH(X$1,'Dados-Status-Invest'!$2:$2,0),FALSE())/100,"")</f>
        <v>0.3334</v>
      </c>
    </row>
    <row r="552" customFormat="false" ht="15.75" hidden="false" customHeight="false" outlineLevel="0" collapsed="false">
      <c r="A552" s="6" t="s">
        <v>585</v>
      </c>
      <c r="B552" s="7" t="str">
        <f aca="false">IFERROR(VLOOKUP(LEFT(A552,4),Setor!A:D,2,FALSE()),"")</f>
        <v>Materiais Básicos</v>
      </c>
      <c r="C552" s="8" t="n">
        <f aca="false">IFERROR(__xludf.dummyfunction("IFERROR(IFERROR(GOOGLEFINANCE(A558,""price""),VLOOKUP(A558,'Dados-Status-Invest'!A:B,2,FALSE)),"""")"),101.14)</f>
        <v>101.14</v>
      </c>
      <c r="D552" s="8" t="n">
        <f aca="false">IFERROR(VLOOKUP(A552,'Dados-Status-Invest'!$1:$1000,MATCH(D$1,'Dados-Status-Invest'!$2:$2,0),FALSE()),"")</f>
        <v>9236427762</v>
      </c>
      <c r="E552" s="8" t="n">
        <f aca="false">IF(D552+H552&gt;0,D552+H552,"")</f>
        <v>8738507127.9</v>
      </c>
      <c r="F552" s="8" t="n">
        <f aca="false">IFERROR(D552/VLOOKUP(A552,'Dados-Status-Invest'!$1:$1000,5,FALSE()),"")</f>
        <v>2113599030</v>
      </c>
      <c r="G552" s="8" t="n">
        <f aca="false">IFERROR(D552/VLOOKUP(A552,'Dados-Status-Invest'!$1:$1000,6,FALSE()),"")</f>
        <v>4939266183</v>
      </c>
      <c r="H552" s="8" t="n">
        <f aca="false">IFERROR(VLOOKUP(A552,'Dados-Status-Invest'!$1:$1000,12,FALSE())*J552,"")</f>
        <v>-497920634.1</v>
      </c>
      <c r="I552" s="8" t="n">
        <f aca="false">IFERROR(D552/VLOOKUP(A552,'Dados-Status-Invest'!$1:$1000,14,FALSE()),"")</f>
        <v>4462042397</v>
      </c>
      <c r="J552" s="9" t="n">
        <f aca="false">IFERROR(D552/VLOOKUP(A552,'Dados-Status-Invest'!$1:$1000,10,FALSE()),"")</f>
        <v>1244801585</v>
      </c>
      <c r="K552" s="10" t="n">
        <f aca="false">IFERROR(VLOOKUP(A552,'Dados-Status-Invest'!$1:$1000,3,FALSE())/100,"")</f>
        <v>0.0494</v>
      </c>
      <c r="L552" s="11" t="n">
        <f aca="false">IFERROR(VLOOKUP(A552,'Dados-Status-Invest'!$1:$1000,MATCH(L$1,'Dados-Status-Invest'!$2:$2,0),FALSE())/100,"")</f>
        <v>0.3555</v>
      </c>
      <c r="M552" s="10" t="n">
        <f aca="false">IFERROR(VLOOKUP(A552,'Dados-Status-Invest'!$1:$1000,MATCH(M$1,'Dados-Status-Invest'!$2:$2,0),FALSE())/100,"")</f>
        <v>0.1523</v>
      </c>
      <c r="N552" s="10" t="n">
        <f aca="false">IFERROR(VLOOKUP(A552,'Dados-Status-Invest'!$1:$1000,MATCH(N$1,'Dados-Status-Invest'!$2:$2,0),FALSE())/100,"")</f>
        <v>0.331</v>
      </c>
      <c r="O552" s="10" t="n">
        <f aca="false">IFERROR(VLOOKUP(A552,'Dados-Status-Invest'!$1:$1000,MATCH(O$1,'Dados-Status-Invest'!$2:$2,0),FALSE())/100,"")</f>
        <v>0.4021</v>
      </c>
      <c r="P552" s="10" t="n">
        <f aca="false">IFERROR(VLOOKUP(A552,'Dados-Status-Invest'!$1:$1000,MATCH(P$1,'Dados-Status-Invest'!$2:$2,0),FALSE())/100,"")</f>
        <v>0.2788</v>
      </c>
      <c r="Q552" s="10" t="n">
        <f aca="false">IFERROR(VLOOKUP(A552,'Dados-Status-Invest'!$1:$1000,MATCH(Q$1,'Dados-Status-Invest'!$2:$2,0),FALSE())/100,"")</f>
        <v>0.1682</v>
      </c>
      <c r="R552" s="12" t="n">
        <f aca="false">IFERROR(VLOOKUP(A552,'Dados-Status-Invest'!$1:$1000,MATCH(R$1,'Dados-Status-Invest'!$2:$2,0),FALSE()),"")</f>
        <v>12.29</v>
      </c>
      <c r="S552" s="12" t="n">
        <f aca="false">IFERROR(VLOOKUP(A552,'Dados-Status-Invest'!$1:$1000,MATCH(S$1,'Dados-Status-Invest'!$2:$2,0),FALSE()),"")</f>
        <v>4.37</v>
      </c>
      <c r="T552" s="12" t="n">
        <f aca="false">IFERROR(VLOOKUP(A552,'Dados-Status-Invest'!$1:$1000,MATCH(T$1,'Dados-Status-Invest'!$2:$2,0),FALSE()),"")</f>
        <v>7.16</v>
      </c>
      <c r="U552" s="12" t="n">
        <f aca="false">IFERROR(VLOOKUP(A552,'Dados-Status-Invest'!$1:$1000,MATCH(U$1,'Dados-Status-Invest'!$2:$2,0),FALSE()),"")</f>
        <v>1.89</v>
      </c>
      <c r="V552" s="12" t="n">
        <f aca="false">IFERROR(VLOOKUP(A552,'Dados-Status-Invest'!$1:$1000,MATCH(V$1,'Dados-Status-Invest'!$2:$2,0),FALSE()),"")</f>
        <v>-0.4</v>
      </c>
      <c r="W552" s="10" t="n">
        <f aca="false">IFERROR(VLOOKUP(A552,'Dados-Status-Invest'!$1:$1000,MATCH(W$1,'Dados-Status-Invest'!$2:$2,0),FALSE())/100,"")</f>
        <v>0.3512</v>
      </c>
      <c r="X552" s="10" t="n">
        <f aca="false">IFERROR(VLOOKUP(A552,'Dados-Status-Invest'!$1:$1000,MATCH(X$1,'Dados-Status-Invest'!$2:$2,0),FALSE())/100,"")</f>
        <v>0.3334</v>
      </c>
    </row>
    <row r="553" customFormat="false" ht="15.75" hidden="false" customHeight="false" outlineLevel="0" collapsed="false">
      <c r="A553" s="6" t="s">
        <v>586</v>
      </c>
      <c r="B553" s="7" t="str">
        <f aca="false">IFERROR(VLOOKUP(LEFT(A553,4),Setor!A:D,2,FALSE()),"")</f>
        <v>Materiais Básicos</v>
      </c>
      <c r="C553" s="8" t="n">
        <f aca="false">IFERROR(__xludf.dummyfunction("IFERROR(IFERROR(GOOGLEFINANCE(A559,""price""),VLOOKUP(A559,'Dados-Status-Invest'!A:B,2,FALSE)),"""")"),10.95)</f>
        <v>10.95</v>
      </c>
      <c r="D553" s="8" t="n">
        <f aca="false">IFERROR(VLOOKUP(A553,'Dados-Status-Invest'!$1:$1000,MATCH(D$1,'Dados-Status-Invest'!$2:$2,0),FALSE()),"")</f>
        <v>24535482704</v>
      </c>
      <c r="E553" s="8" t="n">
        <f aca="false">IF(D553+H553&gt;0,D553+H553,"")</f>
        <v>26209443512</v>
      </c>
      <c r="F553" s="8" t="n">
        <f aca="false">IFERROR(D553/VLOOKUP(A553,'Dados-Status-Invest'!$1:$1000,5,FALSE()),"")</f>
        <v>15727873528</v>
      </c>
      <c r="G553" s="8" t="n">
        <f aca="false">IFERROR(D553/VLOOKUP(A553,'Dados-Status-Invest'!$1:$1000,6,FALSE()),"")</f>
        <v>31864263252</v>
      </c>
      <c r="H553" s="8" t="n">
        <f aca="false">IFERROR(VLOOKUP(A553,'Dados-Status-Invest'!$1:$1000,12,FALSE())*J553,"")</f>
        <v>1673960808</v>
      </c>
      <c r="I553" s="8" t="n">
        <f aca="false">IFERROR(D553/VLOOKUP(A553,'Dados-Status-Invest'!$1:$1000,14,FALSE()),"")</f>
        <v>19319277720</v>
      </c>
      <c r="J553" s="9" t="n">
        <f aca="false">IFERROR(D553/VLOOKUP(A553,'Dados-Status-Invest'!$1:$1000,10,FALSE()),"")</f>
        <v>4782745166</v>
      </c>
      <c r="K553" s="10" t="n">
        <f aca="false">IFERROR(VLOOKUP(A553,'Dados-Status-Invest'!$1:$1000,3,FALSE())/100,"")</f>
        <v>0.0063</v>
      </c>
      <c r="L553" s="11" t="n">
        <f aca="false">IFERROR(VLOOKUP(A553,'Dados-Status-Invest'!$1:$1000,MATCH(L$1,'Dados-Status-Invest'!$2:$2,0),FALSE())/100,"")</f>
        <v>0.132</v>
      </c>
      <c r="M553" s="10" t="n">
        <f aca="false">IFERROR(VLOOKUP(A553,'Dados-Status-Invest'!$1:$1000,MATCH(M$1,'Dados-Status-Invest'!$2:$2,0),FALSE())/100,"")</f>
        <v>0.0653</v>
      </c>
      <c r="N553" s="10" t="n">
        <f aca="false">IFERROR(VLOOKUP(A553,'Dados-Status-Invest'!$1:$1000,MATCH(N$1,'Dados-Status-Invest'!$2:$2,0),FALSE())/100,"")</f>
        <v>0.145</v>
      </c>
      <c r="O553" s="10" t="n">
        <f aca="false">IFERROR(VLOOKUP(A553,'Dados-Status-Invest'!$1:$1000,MATCH(O$1,'Dados-Status-Invest'!$2:$2,0),FALSE())/100,"")</f>
        <v>0.2692</v>
      </c>
      <c r="P553" s="10" t="n">
        <f aca="false">IFERROR(VLOOKUP(A553,'Dados-Status-Invest'!$1:$1000,MATCH(P$1,'Dados-Status-Invest'!$2:$2,0),FALSE())/100,"")</f>
        <v>0.2481</v>
      </c>
      <c r="Q553" s="10" t="n">
        <f aca="false">IFERROR(VLOOKUP(A553,'Dados-Status-Invest'!$1:$1000,MATCH(Q$1,'Dados-Status-Invest'!$2:$2,0),FALSE())/100,"")</f>
        <v>0.1076</v>
      </c>
      <c r="R553" s="12" t="n">
        <f aca="false">IFERROR(VLOOKUP(A553,'Dados-Status-Invest'!$1:$1000,MATCH(R$1,'Dados-Status-Invest'!$2:$2,0),FALSE()),"")</f>
        <v>11.83</v>
      </c>
      <c r="S553" s="12" t="n">
        <f aca="false">IFERROR(VLOOKUP(A553,'Dados-Status-Invest'!$1:$1000,MATCH(S$1,'Dados-Status-Invest'!$2:$2,0),FALSE()),"")</f>
        <v>1.56</v>
      </c>
      <c r="T553" s="12" t="n">
        <f aca="false">IFERROR(VLOOKUP(A553,'Dados-Status-Invest'!$1:$1000,MATCH(T$1,'Dados-Status-Invest'!$2:$2,0),FALSE()),"")</f>
        <v>5.46</v>
      </c>
      <c r="U553" s="12" t="n">
        <f aca="false">IFERROR(VLOOKUP(A553,'Dados-Status-Invest'!$1:$1000,MATCH(U$1,'Dados-Status-Invest'!$2:$2,0),FALSE()),"")</f>
        <v>3.03</v>
      </c>
      <c r="V553" s="12" t="n">
        <f aca="false">IFERROR(VLOOKUP(A553,'Dados-Status-Invest'!$1:$1000,MATCH(V$1,'Dados-Status-Invest'!$2:$2,0),FALSE()),"")</f>
        <v>0.35</v>
      </c>
      <c r="W553" s="10" t="n">
        <f aca="false">IFERROR(VLOOKUP(A553,'Dados-Status-Invest'!$1:$1000,MATCH(W$1,'Dados-Status-Invest'!$2:$2,0),FALSE())/100,"")</f>
        <v>0.0957</v>
      </c>
      <c r="X553" s="10" t="n">
        <f aca="false">IFERROR(VLOOKUP(A553,'Dados-Status-Invest'!$1:$1000,MATCH(X$1,'Dados-Status-Invest'!$2:$2,0),FALSE())/100,"")</f>
        <v>0</v>
      </c>
    </row>
    <row r="554" customFormat="false" ht="15.75" hidden="false" customHeight="false" outlineLevel="0" collapsed="false">
      <c r="A554" s="6" t="s">
        <v>587</v>
      </c>
      <c r="B554" s="7" t="str">
        <f aca="false">IFERROR(VLOOKUP(LEFT(A554,4),Setor!A:D,2,FALSE()),"")</f>
        <v>Materiais Básicos</v>
      </c>
      <c r="C554" s="8" t="n">
        <f aca="false">IFERROR(__xludf.dummyfunction("IFERROR(IFERROR(GOOGLEFINANCE(A560,""price""),VLOOKUP(A560,'Dados-Status-Invest'!A:B,2,FALSE)),"""")"),11.38)</f>
        <v>11.38</v>
      </c>
      <c r="D554" s="8" t="n">
        <f aca="false">IFERROR(VLOOKUP(A554,'Dados-Status-Invest'!$1:$1000,MATCH(D$1,'Dados-Status-Invest'!$2:$2,0),FALSE()),"")</f>
        <v>24535482704</v>
      </c>
      <c r="E554" s="8" t="n">
        <f aca="false">IF(D554+H554&gt;0,D554+H554,"")</f>
        <v>26242723051</v>
      </c>
      <c r="F554" s="8" t="n">
        <f aca="false">IFERROR(D554/VLOOKUP(A554,'Dados-Status-Invest'!$1:$1000,5,FALSE()),"")</f>
        <v>16036263205</v>
      </c>
      <c r="G554" s="8" t="n">
        <f aca="false">IFERROR(D554/VLOOKUP(A554,'Dados-Status-Invest'!$1:$1000,6,FALSE()),"")</f>
        <v>32283529873</v>
      </c>
      <c r="H554" s="8" t="n">
        <f aca="false">IFERROR(VLOOKUP(A554,'Dados-Status-Invest'!$1:$1000,12,FALSE())*J554,"")</f>
        <v>1707240347</v>
      </c>
      <c r="I554" s="8" t="n">
        <f aca="false">IFERROR(D554/VLOOKUP(A554,'Dados-Status-Invest'!$1:$1000,14,FALSE()),"")</f>
        <v>19628386163</v>
      </c>
      <c r="J554" s="9" t="n">
        <f aca="false">IFERROR(D554/VLOOKUP(A554,'Dados-Status-Invest'!$1:$1000,10,FALSE()),"")</f>
        <v>4877829563</v>
      </c>
      <c r="K554" s="10" t="n">
        <f aca="false">IFERROR(VLOOKUP(A554,'Dados-Status-Invest'!$1:$1000,3,FALSE())/100,"")</f>
        <v>0.0071</v>
      </c>
      <c r="L554" s="11" t="n">
        <f aca="false">IFERROR(VLOOKUP(A554,'Dados-Status-Invest'!$1:$1000,MATCH(L$1,'Dados-Status-Invest'!$2:$2,0),FALSE())/100,"")</f>
        <v>0.132</v>
      </c>
      <c r="M554" s="10" t="n">
        <f aca="false">IFERROR(VLOOKUP(A554,'Dados-Status-Invest'!$1:$1000,MATCH(M$1,'Dados-Status-Invest'!$2:$2,0),FALSE())/100,"")</f>
        <v>0.0653</v>
      </c>
      <c r="N554" s="10" t="n">
        <f aca="false">IFERROR(VLOOKUP(A554,'Dados-Status-Invest'!$1:$1000,MATCH(N$1,'Dados-Status-Invest'!$2:$2,0),FALSE())/100,"")</f>
        <v>0.145</v>
      </c>
      <c r="O554" s="10" t="n">
        <f aca="false">IFERROR(VLOOKUP(A554,'Dados-Status-Invest'!$1:$1000,MATCH(O$1,'Dados-Status-Invest'!$2:$2,0),FALSE())/100,"")</f>
        <v>0.2692</v>
      </c>
      <c r="P554" s="10" t="n">
        <f aca="false">IFERROR(VLOOKUP(A554,'Dados-Status-Invest'!$1:$1000,MATCH(P$1,'Dados-Status-Invest'!$2:$2,0),FALSE())/100,"")</f>
        <v>0.2481</v>
      </c>
      <c r="Q554" s="10" t="n">
        <f aca="false">IFERROR(VLOOKUP(A554,'Dados-Status-Invest'!$1:$1000,MATCH(Q$1,'Dados-Status-Invest'!$2:$2,0),FALSE())/100,"")</f>
        <v>0.1076</v>
      </c>
      <c r="R554" s="12" t="n">
        <f aca="false">IFERROR(VLOOKUP(A554,'Dados-Status-Invest'!$1:$1000,MATCH(R$1,'Dados-Status-Invest'!$2:$2,0),FALSE()),"")</f>
        <v>11.61</v>
      </c>
      <c r="S554" s="12" t="n">
        <f aca="false">IFERROR(VLOOKUP(A554,'Dados-Status-Invest'!$1:$1000,MATCH(S$1,'Dados-Status-Invest'!$2:$2,0),FALSE()),"")</f>
        <v>1.53</v>
      </c>
      <c r="T554" s="12" t="n">
        <f aca="false">IFERROR(VLOOKUP(A554,'Dados-Status-Invest'!$1:$1000,MATCH(T$1,'Dados-Status-Invest'!$2:$2,0),FALSE()),"")</f>
        <v>5.46</v>
      </c>
      <c r="U554" s="12" t="n">
        <f aca="false">IFERROR(VLOOKUP(A554,'Dados-Status-Invest'!$1:$1000,MATCH(U$1,'Dados-Status-Invest'!$2:$2,0),FALSE()),"")</f>
        <v>3.03</v>
      </c>
      <c r="V554" s="12" t="n">
        <f aca="false">IFERROR(VLOOKUP(A554,'Dados-Status-Invest'!$1:$1000,MATCH(V$1,'Dados-Status-Invest'!$2:$2,0),FALSE()),"")</f>
        <v>0.35</v>
      </c>
      <c r="W554" s="10" t="n">
        <f aca="false">IFERROR(VLOOKUP(A554,'Dados-Status-Invest'!$1:$1000,MATCH(W$1,'Dados-Status-Invest'!$2:$2,0),FALSE())/100,"")</f>
        <v>0.0957</v>
      </c>
      <c r="X554" s="10" t="n">
        <f aca="false">IFERROR(VLOOKUP(A554,'Dados-Status-Invest'!$1:$1000,MATCH(X$1,'Dados-Status-Invest'!$2:$2,0),FALSE())/100,"")</f>
        <v>0</v>
      </c>
    </row>
    <row r="555" customFormat="false" ht="15.75" hidden="false" customHeight="false" outlineLevel="0" collapsed="false">
      <c r="A555" s="6" t="s">
        <v>588</v>
      </c>
      <c r="B555" s="7" t="str">
        <f aca="false">IFERROR(VLOOKUP(LEFT(A555,4),Setor!A:D,2,FALSE()),"")</f>
        <v>Materiais Básicos</v>
      </c>
      <c r="C555" s="8" t="n">
        <f aca="false">IFERROR(__xludf.dummyfunction("IFERROR(IFERROR(GOOGLEFINANCE(A561,""price""),VLOOKUP(A561,'Dados-Status-Invest'!A:B,2,FALSE)),"""")"),14.5)</f>
        <v>14.5</v>
      </c>
      <c r="D555" s="8" t="n">
        <f aca="false">IFERROR(VLOOKUP(A555,'Dados-Status-Invest'!$1:$1000,MATCH(D$1,'Dados-Status-Invest'!$2:$2,0),FALSE()),"")</f>
        <v>24535482704</v>
      </c>
      <c r="E555" s="8" t="n">
        <f aca="false">IF(D555+H555&gt;0,D555+H555,"")</f>
        <v>26079982514</v>
      </c>
      <c r="F555" s="8" t="n">
        <f aca="false">IFERROR(D555/VLOOKUP(A555,'Dados-Status-Invest'!$1:$1000,5,FALSE()),"")</f>
        <v>14518037103</v>
      </c>
      <c r="G555" s="8" t="n">
        <f aca="false">IFERROR(D555/VLOOKUP(A555,'Dados-Status-Invest'!$1:$1000,6,FALSE()),"")</f>
        <v>29208907981</v>
      </c>
      <c r="H555" s="8" t="n">
        <f aca="false">IFERROR(VLOOKUP(A555,'Dados-Status-Invest'!$1:$1000,12,FALSE())*J555,"")</f>
        <v>1544499810</v>
      </c>
      <c r="I555" s="8" t="n">
        <f aca="false">IFERROR(D555/VLOOKUP(A555,'Dados-Status-Invest'!$1:$1000,14,FALSE()),"")</f>
        <v>17779335293</v>
      </c>
      <c r="J555" s="9" t="n">
        <f aca="false">IFERROR(D555/VLOOKUP(A555,'Dados-Status-Invest'!$1:$1000,10,FALSE()),"")</f>
        <v>4412856601</v>
      </c>
      <c r="K555" s="10" t="n">
        <f aca="false">IFERROR(VLOOKUP(A555,'Dados-Status-Invest'!$1:$1000,3,FALSE())/100,"")</f>
        <v>0.0064</v>
      </c>
      <c r="L555" s="11" t="n">
        <f aca="false">IFERROR(VLOOKUP(A555,'Dados-Status-Invest'!$1:$1000,MATCH(L$1,'Dados-Status-Invest'!$2:$2,0),FALSE())/100,"")</f>
        <v>0.132</v>
      </c>
      <c r="M555" s="10" t="n">
        <f aca="false">IFERROR(VLOOKUP(A555,'Dados-Status-Invest'!$1:$1000,MATCH(M$1,'Dados-Status-Invest'!$2:$2,0),FALSE())/100,"")</f>
        <v>0.0653</v>
      </c>
      <c r="N555" s="10" t="n">
        <f aca="false">IFERROR(VLOOKUP(A555,'Dados-Status-Invest'!$1:$1000,MATCH(N$1,'Dados-Status-Invest'!$2:$2,0),FALSE())/100,"")</f>
        <v>0.145</v>
      </c>
      <c r="O555" s="10" t="n">
        <f aca="false">IFERROR(VLOOKUP(A555,'Dados-Status-Invest'!$1:$1000,MATCH(O$1,'Dados-Status-Invest'!$2:$2,0),FALSE())/100,"")</f>
        <v>0.2692</v>
      </c>
      <c r="P555" s="10" t="n">
        <f aca="false">IFERROR(VLOOKUP(A555,'Dados-Status-Invest'!$1:$1000,MATCH(P$1,'Dados-Status-Invest'!$2:$2,0),FALSE())/100,"")</f>
        <v>0.2481</v>
      </c>
      <c r="Q555" s="10" t="n">
        <f aca="false">IFERROR(VLOOKUP(A555,'Dados-Status-Invest'!$1:$1000,MATCH(Q$1,'Dados-Status-Invest'!$2:$2,0),FALSE())/100,"")</f>
        <v>0.1076</v>
      </c>
      <c r="R555" s="12" t="n">
        <f aca="false">IFERROR(VLOOKUP(A555,'Dados-Status-Invest'!$1:$1000,MATCH(R$1,'Dados-Status-Invest'!$2:$2,0),FALSE()),"")</f>
        <v>12.82</v>
      </c>
      <c r="S555" s="12" t="n">
        <f aca="false">IFERROR(VLOOKUP(A555,'Dados-Status-Invest'!$1:$1000,MATCH(S$1,'Dados-Status-Invest'!$2:$2,0),FALSE()),"")</f>
        <v>1.69</v>
      </c>
      <c r="T555" s="12" t="n">
        <f aca="false">IFERROR(VLOOKUP(A555,'Dados-Status-Invest'!$1:$1000,MATCH(T$1,'Dados-Status-Invest'!$2:$2,0),FALSE()),"")</f>
        <v>5.46</v>
      </c>
      <c r="U555" s="12" t="n">
        <f aca="false">IFERROR(VLOOKUP(A555,'Dados-Status-Invest'!$1:$1000,MATCH(U$1,'Dados-Status-Invest'!$2:$2,0),FALSE()),"")</f>
        <v>3.03</v>
      </c>
      <c r="V555" s="12" t="n">
        <f aca="false">IFERROR(VLOOKUP(A555,'Dados-Status-Invest'!$1:$1000,MATCH(V$1,'Dados-Status-Invest'!$2:$2,0),FALSE()),"")</f>
        <v>0.35</v>
      </c>
      <c r="W555" s="10" t="n">
        <f aca="false">IFERROR(VLOOKUP(A555,'Dados-Status-Invest'!$1:$1000,MATCH(W$1,'Dados-Status-Invest'!$2:$2,0),FALSE())/100,"")</f>
        <v>0.0957</v>
      </c>
      <c r="X555" s="10" t="n">
        <f aca="false">IFERROR(VLOOKUP(A555,'Dados-Status-Invest'!$1:$1000,MATCH(X$1,'Dados-Status-Invest'!$2:$2,0),FALSE())/100,"")</f>
        <v>0</v>
      </c>
    </row>
    <row r="556" customFormat="false" ht="15.75" hidden="false" customHeight="false" outlineLevel="0" collapsed="false">
      <c r="A556" s="6" t="s">
        <v>589</v>
      </c>
      <c r="B556" s="7" t="str">
        <f aca="false">IFERROR(VLOOKUP(LEFT(A556,4),Setor!A:D,2,FALSE()),"")</f>
        <v>Materiais Básicos</v>
      </c>
      <c r="C556" s="8" t="n">
        <f aca="false">IFERROR(__xludf.dummyfunction("IFERROR(IFERROR(GOOGLEFINANCE(A562,""price""),VLOOKUP(A562,'Dados-Status-Invest'!A:B,2,FALSE)),"""")"),82.99)</f>
        <v>82.99</v>
      </c>
      <c r="D556" s="8" t="n">
        <f aca="false">IFERROR(VLOOKUP(A556,'Dados-Status-Invest'!$1:$1000,MATCH(D$1,'Dados-Status-Invest'!$2:$2,0),FALSE()),"")</f>
        <v>594767636714</v>
      </c>
      <c r="E556" s="8" t="n">
        <f aca="false">IF(D556+H556&gt;0,D556+H556,"")</f>
        <v>599829488941</v>
      </c>
      <c r="F556" s="8" t="n">
        <f aca="false">IFERROR(D556/VLOOKUP(A556,'Dados-Status-Invest'!$1:$1000,5,FALSE()),"")</f>
        <v>207960712138</v>
      </c>
      <c r="G556" s="8" t="n">
        <f aca="false">IFERROR(D556/VLOOKUP(A556,'Dados-Status-Invest'!$1:$1000,6,FALSE()),"")</f>
        <v>495639697262</v>
      </c>
      <c r="H556" s="8" t="n">
        <f aca="false">IFERROR(VLOOKUP(A556,'Dados-Status-Invest'!$1:$1000,12,FALSE())*J556,"")</f>
        <v>5061852227</v>
      </c>
      <c r="I556" s="8" t="n">
        <f aca="false">IFERROR(D556/VLOOKUP(A556,'Dados-Status-Invest'!$1:$1000,14,FALSE()),"")</f>
        <v>246791550504</v>
      </c>
      <c r="J556" s="9" t="n">
        <f aca="false">IFERROR(D556/VLOOKUP(A556,'Dados-Status-Invest'!$1:$1000,10,FALSE()),"")</f>
        <v>84364203789</v>
      </c>
      <c r="K556" s="10" t="n">
        <f aca="false">IFERROR(VLOOKUP(A556,'Dados-Status-Invest'!$1:$1000,3,FALSE())/100,"")</f>
        <v>0.0788</v>
      </c>
      <c r="L556" s="11" t="n">
        <f aca="false">IFERROR(VLOOKUP(A556,'Dados-Status-Invest'!$1:$1000,MATCH(L$1,'Dados-Status-Invest'!$2:$2,0),FALSE())/100,"")</f>
        <v>0.2713</v>
      </c>
      <c r="M556" s="10" t="n">
        <f aca="false">IFERROR(VLOOKUP(A556,'Dados-Status-Invest'!$1:$1000,MATCH(M$1,'Dados-Status-Invest'!$2:$2,0),FALSE())/100,"")</f>
        <v>0.1136</v>
      </c>
      <c r="N556" s="10" t="n">
        <f aca="false">IFERROR(VLOOKUP(A556,'Dados-Status-Invest'!$1:$1000,MATCH(N$1,'Dados-Status-Invest'!$2:$2,0),FALSE())/100,"")</f>
        <v>0.2434</v>
      </c>
      <c r="O556" s="10" t="n">
        <f aca="false">IFERROR(VLOOKUP(A556,'Dados-Status-Invest'!$1:$1000,MATCH(O$1,'Dados-Status-Invest'!$2:$2,0),FALSE())/100,"")</f>
        <v>0.5752</v>
      </c>
      <c r="P556" s="10" t="n">
        <f aca="false">IFERROR(VLOOKUP(A556,'Dados-Status-Invest'!$1:$1000,MATCH(P$1,'Dados-Status-Invest'!$2:$2,0),FALSE())/100,"")</f>
        <v>0.3421</v>
      </c>
      <c r="Q556" s="10" t="n">
        <f aca="false">IFERROR(VLOOKUP(A556,'Dados-Status-Invest'!$1:$1000,MATCH(Q$1,'Dados-Status-Invest'!$2:$2,0),FALSE())/100,"")</f>
        <v>0.2283</v>
      </c>
      <c r="R556" s="12" t="n">
        <f aca="false">IFERROR(VLOOKUP(A556,'Dados-Status-Invest'!$1:$1000,MATCH(R$1,'Dados-Status-Invest'!$2:$2,0),FALSE()),"")</f>
        <v>10.56</v>
      </c>
      <c r="S556" s="12" t="n">
        <f aca="false">IFERROR(VLOOKUP(A556,'Dados-Status-Invest'!$1:$1000,MATCH(S$1,'Dados-Status-Invest'!$2:$2,0),FALSE()),"")</f>
        <v>2.86</v>
      </c>
      <c r="T556" s="12" t="n">
        <f aca="false">IFERROR(VLOOKUP(A556,'Dados-Status-Invest'!$1:$1000,MATCH(T$1,'Dados-Status-Invest'!$2:$2,0),FALSE()),"")</f>
        <v>7.11</v>
      </c>
      <c r="U556" s="12" t="n">
        <f aca="false">IFERROR(VLOOKUP(A556,'Dados-Status-Invest'!$1:$1000,MATCH(U$1,'Dados-Status-Invest'!$2:$2,0),FALSE()),"")</f>
        <v>1.96</v>
      </c>
      <c r="V556" s="12" t="n">
        <f aca="false">IFERROR(VLOOKUP(A556,'Dados-Status-Invest'!$1:$1000,MATCH(V$1,'Dados-Status-Invest'!$2:$2,0),FALSE()),"")</f>
        <v>0.06</v>
      </c>
      <c r="W556" s="10" t="n">
        <f aca="false">IFERROR(VLOOKUP(A556,'Dados-Status-Invest'!$1:$1000,MATCH(W$1,'Dados-Status-Invest'!$2:$2,0),FALSE())/100,"")</f>
        <v>0.2172</v>
      </c>
      <c r="X556" s="10" t="n">
        <f aca="false">IFERROR(VLOOKUP(A556,'Dados-Status-Invest'!$1:$1000,MATCH(X$1,'Dados-Status-Invest'!$2:$2,0),FALSE())/100,"")</f>
        <v>0</v>
      </c>
    </row>
    <row r="557" customFormat="false" ht="15.75" hidden="false" customHeight="false" outlineLevel="0" collapsed="false">
      <c r="A557" s="6" t="s">
        <v>590</v>
      </c>
      <c r="B557" s="7" t="s">
        <v>29</v>
      </c>
      <c r="C557" s="8" t="n">
        <f aca="false">IFERROR(__xludf.dummyfunction("IFERROR(IFERROR(GOOGLEFINANCE(A563,""price""),VLOOKUP(A563,'Dados-Status-Invest'!A:B,2,FALSE)),"""")"),14.22)</f>
        <v>14.22</v>
      </c>
      <c r="D557" s="8" t="n">
        <f aca="false">IFERROR(VLOOKUP(A557,'Dados-Status-Invest'!$1:$1000,MATCH(D$1,'Dados-Status-Invest'!$2:$2,0),FALSE()),"")</f>
        <v>12714085242</v>
      </c>
      <c r="E557" s="8" t="n">
        <f aca="false">IF(D557+H557&gt;0,D557+H557,"")</f>
        <v>14344203620</v>
      </c>
      <c r="F557" s="8" t="n">
        <f aca="false">IFERROR(D557/VLOOKUP(A557,'Dados-Status-Invest'!$1:$1000,5,FALSE()),"")</f>
        <v>1422157186</v>
      </c>
      <c r="G557" s="8" t="n">
        <f aca="false">IFERROR(D557/VLOOKUP(A557,'Dados-Status-Invest'!$1:$1000,6,FALSE()),"")</f>
        <v>4691544370</v>
      </c>
      <c r="H557" s="8" t="n">
        <f aca="false">IFERROR(VLOOKUP(A557,'Dados-Status-Invest'!$1:$1000,12,FALSE())*J557,"")</f>
        <v>1630118378</v>
      </c>
      <c r="I557" s="8" t="n">
        <f aca="false">IFERROR(D557/VLOOKUP(A557,'Dados-Status-Invest'!$1:$1000,14,FALSE()),"")</f>
        <v>1729807516</v>
      </c>
      <c r="J557" s="9" t="n">
        <f aca="false">IFERROR(D557/VLOOKUP(A557,'Dados-Status-Invest'!$1:$1000,10,FALSE()),"")</f>
        <v>419053567.6</v>
      </c>
      <c r="K557" s="10" t="n">
        <f aca="false">IFERROR(VLOOKUP(A557,'Dados-Status-Invest'!$1:$1000,3,FALSE())/100,"")</f>
        <v>0</v>
      </c>
      <c r="L557" s="11" t="n">
        <f aca="false">IFERROR(VLOOKUP(A557,'Dados-Status-Invest'!$1:$1000,MATCH(L$1,'Dados-Status-Invest'!$2:$2,0),FALSE())/100,"")</f>
        <v>0.1511</v>
      </c>
      <c r="M557" s="10" t="n">
        <f aca="false">IFERROR(VLOOKUP(A557,'Dados-Status-Invest'!$1:$1000,MATCH(M$1,'Dados-Status-Invest'!$2:$2,0),FALSE())/100,"")</f>
        <v>0.0458</v>
      </c>
      <c r="N557" s="10" t="n">
        <f aca="false">IFERROR(VLOOKUP(A557,'Dados-Status-Invest'!$1:$1000,MATCH(N$1,'Dados-Status-Invest'!$2:$2,0),FALSE())/100,"")</f>
        <v>0.0838</v>
      </c>
      <c r="O557" s="10" t="n">
        <f aca="false">IFERROR(VLOOKUP(A557,'Dados-Status-Invest'!$1:$1000,MATCH(O$1,'Dados-Status-Invest'!$2:$2,0),FALSE())/100,"")</f>
        <v>0.3399</v>
      </c>
      <c r="P557" s="10" t="n">
        <f aca="false">IFERROR(VLOOKUP(A557,'Dados-Status-Invest'!$1:$1000,MATCH(P$1,'Dados-Status-Invest'!$2:$2,0),FALSE())/100,"")</f>
        <v>0.2423</v>
      </c>
      <c r="Q557" s="10" t="n">
        <f aca="false">IFERROR(VLOOKUP(A557,'Dados-Status-Invest'!$1:$1000,MATCH(Q$1,'Dados-Status-Invest'!$2:$2,0),FALSE())/100,"")</f>
        <v>0.1242</v>
      </c>
      <c r="R557" s="12" t="n">
        <f aca="false">IFERROR(VLOOKUP(A557,'Dados-Status-Invest'!$1:$1000,MATCH(R$1,'Dados-Status-Invest'!$2:$2,0),FALSE()),"")</f>
        <v>59.18</v>
      </c>
      <c r="S557" s="12" t="n">
        <f aca="false">IFERROR(VLOOKUP(A557,'Dados-Status-Invest'!$1:$1000,MATCH(S$1,'Dados-Status-Invest'!$2:$2,0),FALSE()),"")</f>
        <v>8.94</v>
      </c>
      <c r="T557" s="12" t="n">
        <f aca="false">IFERROR(VLOOKUP(A557,'Dados-Status-Invest'!$1:$1000,MATCH(T$1,'Dados-Status-Invest'!$2:$2,0),FALSE()),"")</f>
        <v>34.09</v>
      </c>
      <c r="U557" s="12" t="n">
        <f aca="false">IFERROR(VLOOKUP(A557,'Dados-Status-Invest'!$1:$1000,MATCH(U$1,'Dados-Status-Invest'!$2:$2,0),FALSE()),"")</f>
        <v>1.95</v>
      </c>
      <c r="V557" s="12" t="n">
        <f aca="false">IFERROR(VLOOKUP(A557,'Dados-Status-Invest'!$1:$1000,MATCH(V$1,'Dados-Status-Invest'!$2:$2,0),FALSE()),"")</f>
        <v>3.89</v>
      </c>
      <c r="W557" s="10" t="n">
        <f aca="false">IFERROR(VLOOKUP(A557,'Dados-Status-Invest'!$1:$1000,MATCH(W$1,'Dados-Status-Invest'!$2:$2,0),FALSE())/100,"")</f>
        <v>0</v>
      </c>
      <c r="X557" s="10" t="n">
        <f aca="false">IFERROR(VLOOKUP(A557,'Dados-Status-Invest'!$1:$1000,MATCH(X$1,'Dados-Status-Invest'!$2:$2,0),FALSE())/100,"")</f>
        <v>0</v>
      </c>
    </row>
    <row r="558" customFormat="false" ht="15.75" hidden="false" customHeight="false" outlineLevel="0" collapsed="false">
      <c r="A558" s="6" t="s">
        <v>591</v>
      </c>
      <c r="B558" s="7" t="str">
        <f aca="false">IFERROR(VLOOKUP(LEFT(A558,4),Setor!A:D,2,FALSE()),"")</f>
        <v>Consumo Cíclico</v>
      </c>
      <c r="C558" s="8" t="n">
        <f aca="false">IFERROR(__xludf.dummyfunction("IFERROR(IFERROR(GOOGLEFINANCE(A564,""price""),VLOOKUP(A564,'Dados-Status-Invest'!A:B,2,FALSE)),"""")"),24.02)</f>
        <v>24.02</v>
      </c>
      <c r="D558" s="8" t="n">
        <f aca="false">IFERROR(VLOOKUP(A558,'Dados-Status-Invest'!$1:$1000,MATCH(D$1,'Dados-Status-Invest'!$2:$2,0),FALSE()),"")</f>
        <v>7657531671</v>
      </c>
      <c r="E558" s="8" t="n">
        <f aca="false">IF(D558+H558&gt;0,D558+H558,"")</f>
        <v>7538982559.5</v>
      </c>
      <c r="F558" s="8" t="n">
        <f aca="false">IFERROR(D558/VLOOKUP(A558,'Dados-Status-Invest'!$1:$1000,5,FALSE()),"")</f>
        <v>1169088805</v>
      </c>
      <c r="G558" s="8" t="n">
        <f aca="false">IFERROR(D558/VLOOKUP(A558,'Dados-Status-Invest'!$1:$1000,6,FALSE()),"")</f>
        <v>1978690354</v>
      </c>
      <c r="H558" s="8" t="n">
        <f aca="false">IFERROR(VLOOKUP(A558,'Dados-Status-Invest'!$1:$1000,12,FALSE())*J558,"")</f>
        <v>-118549111.5</v>
      </c>
      <c r="I558" s="8" t="n">
        <f aca="false">IFERROR(D558/VLOOKUP(A558,'Dados-Status-Invest'!$1:$1000,14,FALSE()),"")</f>
        <v>1053305594</v>
      </c>
      <c r="J558" s="9" t="n">
        <f aca="false">IFERROR(D558/VLOOKUP(A558,'Dados-Status-Invest'!$1:$1000,10,FALSE()),"")</f>
        <v>185232986.7</v>
      </c>
      <c r="K558" s="10" t="n">
        <f aca="false">IFERROR(VLOOKUP(A558,'Dados-Status-Invest'!$1:$1000,3,FALSE())/100,"")</f>
        <v>0.0049</v>
      </c>
      <c r="L558" s="11" t="n">
        <f aca="false">IFERROR(VLOOKUP(A558,'Dados-Status-Invest'!$1:$1000,MATCH(L$1,'Dados-Status-Invest'!$2:$2,0),FALSE())/100,"")</f>
        <v>0.1119</v>
      </c>
      <c r="M558" s="10" t="n">
        <f aca="false">IFERROR(VLOOKUP(A558,'Dados-Status-Invest'!$1:$1000,MATCH(M$1,'Dados-Status-Invest'!$2:$2,0),FALSE())/100,"")</f>
        <v>0.0662</v>
      </c>
      <c r="N558" s="10" t="n">
        <f aca="false">IFERROR(VLOOKUP(A558,'Dados-Status-Invest'!$1:$1000,MATCH(N$1,'Dados-Status-Invest'!$2:$2,0),FALSE())/100,"")</f>
        <v>0.1143</v>
      </c>
      <c r="O558" s="10" t="n">
        <f aca="false">IFERROR(VLOOKUP(A558,'Dados-Status-Invest'!$1:$1000,MATCH(O$1,'Dados-Status-Invest'!$2:$2,0),FALSE())/100,"")</f>
        <v>0.6828</v>
      </c>
      <c r="P558" s="10" t="n">
        <f aca="false">IFERROR(VLOOKUP(A558,'Dados-Status-Invest'!$1:$1000,MATCH(P$1,'Dados-Status-Invest'!$2:$2,0),FALSE())/100,"")</f>
        <v>0.1758</v>
      </c>
      <c r="Q558" s="10" t="n">
        <f aca="false">IFERROR(VLOOKUP(A558,'Dados-Status-Invest'!$1:$1000,MATCH(Q$1,'Dados-Status-Invest'!$2:$2,0),FALSE())/100,"")</f>
        <v>0.1242</v>
      </c>
      <c r="R558" s="12" t="n">
        <f aca="false">IFERROR(VLOOKUP(A558,'Dados-Status-Invest'!$1:$1000,MATCH(R$1,'Dados-Status-Invest'!$2:$2,0),FALSE()),"")</f>
        <v>58.49</v>
      </c>
      <c r="S558" s="12" t="n">
        <f aca="false">IFERROR(VLOOKUP(A558,'Dados-Status-Invest'!$1:$1000,MATCH(S$1,'Dados-Status-Invest'!$2:$2,0),FALSE()),"")</f>
        <v>6.55</v>
      </c>
      <c r="T558" s="12" t="n">
        <f aca="false">IFERROR(VLOOKUP(A558,'Dados-Status-Invest'!$1:$1000,MATCH(T$1,'Dados-Status-Invest'!$2:$2,0),FALSE()),"")</f>
        <v>40.49</v>
      </c>
      <c r="U558" s="12" t="n">
        <f aca="false">IFERROR(VLOOKUP(A558,'Dados-Status-Invest'!$1:$1000,MATCH(U$1,'Dados-Status-Invest'!$2:$2,0),FALSE()),"")</f>
        <v>3.99</v>
      </c>
      <c r="V558" s="12" t="n">
        <f aca="false">IFERROR(VLOOKUP(A558,'Dados-Status-Invest'!$1:$1000,MATCH(V$1,'Dados-Status-Invest'!$2:$2,0),FALSE()),"")</f>
        <v>-0.64</v>
      </c>
      <c r="W558" s="10" t="n">
        <f aca="false">IFERROR(VLOOKUP(A558,'Dados-Status-Invest'!$1:$1000,MATCH(W$1,'Dados-Status-Invest'!$2:$2,0),FALSE())/100,"")</f>
        <v>0</v>
      </c>
      <c r="X558" s="10" t="n">
        <f aca="false">IFERROR(VLOOKUP(A558,'Dados-Status-Invest'!$1:$1000,MATCH(X$1,'Dados-Status-Invest'!$2:$2,0),FALSE())/100,"")</f>
        <v>0</v>
      </c>
    </row>
    <row r="559" customFormat="false" ht="15.75" hidden="false" customHeight="false" outlineLevel="0" collapsed="false">
      <c r="A559" s="6" t="s">
        <v>592</v>
      </c>
      <c r="B559" s="7" t="str">
        <f aca="false">IFERROR(VLOOKUP(LEFT(A559,4),Setor!A:D,2,FALSE()),"")</f>
        <v>Consumo Cíclico</v>
      </c>
      <c r="C559" s="8" t="n">
        <f aca="false">IFERROR(__xludf.dummyfunction("IFERROR(IFERROR(GOOGLEFINANCE(A565,""price""),VLOOKUP(A565,'Dados-Status-Invest'!A:B,2,FALSE)),"""")"),0.91)</f>
        <v>0.91</v>
      </c>
      <c r="D559" s="8" t="n">
        <f aca="false">IFERROR(VLOOKUP(A559,'Dados-Status-Invest'!$1:$1000,MATCH(D$1,'Dados-Status-Invest'!$2:$2,0),FALSE()),"")</f>
        <v>538927024</v>
      </c>
      <c r="E559" s="8" t="n">
        <f aca="false">IF(D559+H559&gt;0,D559+H559,"")</f>
        <v>720798178.5</v>
      </c>
      <c r="F559" s="8" t="n">
        <f aca="false">IFERROR(D559/VLOOKUP(A559,'Dados-Status-Invest'!$1:$1000,5,FALSE()),"")</f>
        <v>-221780668.3</v>
      </c>
      <c r="G559" s="8" t="n">
        <f aca="false">IFERROR(D559/VLOOKUP(A559,'Dados-Status-Invest'!$1:$1000,6,FALSE()),"")</f>
        <v>299403902.2</v>
      </c>
      <c r="H559" s="8" t="n">
        <f aca="false">IFERROR(VLOOKUP(A559,'Dados-Status-Invest'!$1:$1000,12,FALSE())*J559,"")</f>
        <v>181871154.5</v>
      </c>
      <c r="I559" s="8" t="n">
        <f aca="false">IFERROR(D559/VLOOKUP(A559,'Dados-Status-Invest'!$1:$1000,14,FALSE()),"")</f>
        <v>56908872.65</v>
      </c>
      <c r="J559" s="9" t="n">
        <f aca="false">IFERROR(D559/VLOOKUP(A559,'Dados-Status-Invest'!$1:$1000,10,FALSE()),"")</f>
        <v>-133728790.1</v>
      </c>
      <c r="K559" s="10" t="n">
        <f aca="false">IFERROR(VLOOKUP(A559,'Dados-Status-Invest'!$1:$1000,3,FALSE())/100,"")</f>
        <v>0</v>
      </c>
      <c r="L559" s="11" t="n">
        <f aca="false">IFERROR(VLOOKUP(A559,'Dados-Status-Invest'!$1:$1000,MATCH(L$1,'Dados-Status-Invest'!$2:$2,0),FALSE())/100,"")</f>
        <v>-0.7504</v>
      </c>
      <c r="M559" s="10" t="n">
        <f aca="false">IFERROR(VLOOKUP(A559,'Dados-Status-Invest'!$1:$1000,MATCH(M$1,'Dados-Status-Invest'!$2:$2,0),FALSE())/100,"")</f>
        <v>-0.5553</v>
      </c>
      <c r="N559" s="10" t="n">
        <f aca="false">IFERROR(VLOOKUP(A559,'Dados-Status-Invest'!$1:$1000,MATCH(N$1,'Dados-Status-Invest'!$2:$2,0),FALSE())/100,"")</f>
        <v>11.5435</v>
      </c>
      <c r="O559" s="10" t="n">
        <f aca="false">IFERROR(VLOOKUP(A559,'Dados-Status-Invest'!$1:$1000,MATCH(O$1,'Dados-Status-Invest'!$2:$2,0),FALSE())/100,"")</f>
        <v>-0.1343</v>
      </c>
      <c r="P559" s="10" t="n">
        <f aca="false">IFERROR(VLOOKUP(A559,'Dados-Status-Invest'!$1:$1000,MATCH(P$1,'Dados-Status-Invest'!$2:$2,0),FALSE())/100,"")</f>
        <v>-2.3487</v>
      </c>
      <c r="Q559" s="10" t="n">
        <f aca="false">IFERROR(VLOOKUP(A559,'Dados-Status-Invest'!$1:$1000,MATCH(Q$1,'Dados-Status-Invest'!$2:$2,0),FALSE())/100,"")</f>
        <v>-2.9248</v>
      </c>
      <c r="R559" s="12" t="n">
        <f aca="false">IFERROR(VLOOKUP(A559,'Dados-Status-Invest'!$1:$1000,MATCH(R$1,'Dados-Status-Invest'!$2:$2,0),FALSE()),"")</f>
        <v>-3.24</v>
      </c>
      <c r="S559" s="12" t="n">
        <f aca="false">IFERROR(VLOOKUP(A559,'Dados-Status-Invest'!$1:$1000,MATCH(S$1,'Dados-Status-Invest'!$2:$2,0),FALSE()),"")</f>
        <v>-2.43</v>
      </c>
      <c r="T559" s="12" t="n">
        <f aca="false">IFERROR(VLOOKUP(A559,'Dados-Status-Invest'!$1:$1000,MATCH(T$1,'Dados-Status-Invest'!$2:$2,0),FALSE()),"")</f>
        <v>-5.3</v>
      </c>
      <c r="U559" s="12" t="n">
        <f aca="false">IFERROR(VLOOKUP(A559,'Dados-Status-Invest'!$1:$1000,MATCH(U$1,'Dados-Status-Invest'!$2:$2,0),FALSE()),"")</f>
        <v>0.3</v>
      </c>
      <c r="V559" s="12" t="n">
        <f aca="false">IFERROR(VLOOKUP(A559,'Dados-Status-Invest'!$1:$1000,MATCH(V$1,'Dados-Status-Invest'!$2:$2,0),FALSE()),"")</f>
        <v>-1.36</v>
      </c>
      <c r="W559" s="10" t="n">
        <f aca="false">IFERROR(VLOOKUP(A559,'Dados-Status-Invest'!$1:$1000,MATCH(W$1,'Dados-Status-Invest'!$2:$2,0),FALSE())/100,"")</f>
        <v>-0.1704</v>
      </c>
      <c r="X559" s="10" t="n">
        <f aca="false">IFERROR(VLOOKUP(A559,'Dados-Status-Invest'!$1:$1000,MATCH(X$1,'Dados-Status-Invest'!$2:$2,0),FALSE())/100,"")</f>
        <v>0</v>
      </c>
    </row>
    <row r="560" customFormat="false" ht="15.75" hidden="false" customHeight="false" outlineLevel="0" collapsed="false">
      <c r="A560" s="6" t="s">
        <v>593</v>
      </c>
      <c r="B560" s="7" t="str">
        <f aca="false">IFERROR(VLOOKUP(LEFT(A560,4),Setor!A:D,2,FALSE()),"")</f>
        <v>Comunicações</v>
      </c>
      <c r="C560" s="8" t="n">
        <f aca="false">IFERROR(__xludf.dummyfunction("IFERROR(IFERROR(GOOGLEFINANCE(A566,""price""),VLOOKUP(A566,'Dados-Status-Invest'!A:B,2,FALSE)),"""")"),51.78)</f>
        <v>51.78</v>
      </c>
      <c r="D560" s="8" t="n">
        <f aca="false">IFERROR(VLOOKUP(A560,'Dados-Status-Invest'!$1:$1000,MATCH(D$1,'Dados-Status-Invest'!$2:$2,0),FALSE()),"")</f>
        <v>71139735711</v>
      </c>
      <c r="E560" s="8" t="n">
        <f aca="false">IF(D560+H560&gt;0,D560+H560,"")</f>
        <v>77041604954</v>
      </c>
      <c r="F560" s="8" t="n">
        <f aca="false">IFERROR(D560/VLOOKUP(A560,'Dados-Status-Invest'!$1:$1000,5,FALSE()),"")</f>
        <v>69744838932</v>
      </c>
      <c r="G560" s="8" t="n">
        <f aca="false">IFERROR(D560/VLOOKUP(A560,'Dados-Status-Invest'!$1:$1000,6,FALSE()),"")</f>
        <v>111155837048</v>
      </c>
      <c r="H560" s="8" t="n">
        <f aca="false">IFERROR(VLOOKUP(A560,'Dados-Status-Invest'!$1:$1000,12,FALSE())*J560,"")</f>
        <v>5901869243</v>
      </c>
      <c r="I560" s="8" t="n">
        <f aca="false">IFERROR(D560/VLOOKUP(A560,'Dados-Status-Invest'!$1:$1000,14,FALSE()),"")</f>
        <v>42855262476</v>
      </c>
      <c r="J560" s="9" t="n">
        <f aca="false">IFERROR(D560/VLOOKUP(A560,'Dados-Status-Invest'!$1:$1000,10,FALSE()),"")</f>
        <v>6346095960</v>
      </c>
      <c r="K560" s="10" t="n">
        <f aca="false">IFERROR(VLOOKUP(A560,'Dados-Status-Invest'!$1:$1000,3,FALSE())/100,"")</f>
        <v>0.0786</v>
      </c>
      <c r="L560" s="11" t="n">
        <f aca="false">IFERROR(VLOOKUP(A560,'Dados-Status-Invest'!$1:$1000,MATCH(L$1,'Dados-Status-Invest'!$2:$2,0),FALSE())/100,"")</f>
        <v>0.0651</v>
      </c>
      <c r="M560" s="10" t="n">
        <f aca="false">IFERROR(VLOOKUP(A560,'Dados-Status-Invest'!$1:$1000,MATCH(M$1,'Dados-Status-Invest'!$2:$2,0),FALSE())/100,"")</f>
        <v>0.041</v>
      </c>
      <c r="N560" s="10" t="n">
        <f aca="false">IFERROR(VLOOKUP(A560,'Dados-Status-Invest'!$1:$1000,MATCH(N$1,'Dados-Status-Invest'!$2:$2,0),FALSE())/100,"")</f>
        <v>0.0634</v>
      </c>
      <c r="O560" s="10" t="n">
        <f aca="false">IFERROR(VLOOKUP(A560,'Dados-Status-Invest'!$1:$1000,MATCH(O$1,'Dados-Status-Invest'!$2:$2,0),FALSE())/100,"")</f>
        <v>0.4641</v>
      </c>
      <c r="P560" s="10" t="n">
        <f aca="false">IFERROR(VLOOKUP(A560,'Dados-Status-Invest'!$1:$1000,MATCH(P$1,'Dados-Status-Invest'!$2:$2,0),FALSE())/100,"")</f>
        <v>0.1476</v>
      </c>
      <c r="Q560" s="10" t="n">
        <f aca="false">IFERROR(VLOOKUP(A560,'Dados-Status-Invest'!$1:$1000,MATCH(Q$1,'Dados-Status-Invest'!$2:$2,0),FALSE())/100,"")</f>
        <v>0.1057</v>
      </c>
      <c r="R560" s="12" t="n">
        <f aca="false">IFERROR(VLOOKUP(A560,'Dados-Status-Invest'!$1:$1000,MATCH(R$1,'Dados-Status-Invest'!$2:$2,0),FALSE()),"")</f>
        <v>15.67</v>
      </c>
      <c r="S560" s="12" t="n">
        <f aca="false">IFERROR(VLOOKUP(A560,'Dados-Status-Invest'!$1:$1000,MATCH(S$1,'Dados-Status-Invest'!$2:$2,0),FALSE()),"")</f>
        <v>1.02</v>
      </c>
      <c r="T560" s="12" t="n">
        <f aca="false">IFERROR(VLOOKUP(A560,'Dados-Status-Invest'!$1:$1000,MATCH(T$1,'Dados-Status-Invest'!$2:$2,0),FALSE()),"")</f>
        <v>12.1</v>
      </c>
      <c r="U560" s="12" t="n">
        <f aca="false">IFERROR(VLOOKUP(A560,'Dados-Status-Invest'!$1:$1000,MATCH(U$1,'Dados-Status-Invest'!$2:$2,0),FALSE()),"")</f>
        <v>1.07</v>
      </c>
      <c r="V560" s="12" t="n">
        <f aca="false">IFERROR(VLOOKUP(A560,'Dados-Status-Invest'!$1:$1000,MATCH(V$1,'Dados-Status-Invest'!$2:$2,0),FALSE()),"")</f>
        <v>0.93</v>
      </c>
      <c r="W560" s="10" t="n">
        <f aca="false">IFERROR(VLOOKUP(A560,'Dados-Status-Invest'!$1:$1000,MATCH(W$1,'Dados-Status-Invest'!$2:$2,0),FALSE())/100,"")</f>
        <v>0.0137</v>
      </c>
      <c r="X560" s="10" t="n">
        <f aca="false">IFERROR(VLOOKUP(A560,'Dados-Status-Invest'!$1:$1000,MATCH(X$1,'Dados-Status-Invest'!$2:$2,0),FALSE())/100,"")</f>
        <v>0.0688</v>
      </c>
    </row>
    <row r="561" customFormat="false" ht="15.75" hidden="false" customHeight="false" outlineLevel="0" collapsed="false">
      <c r="A561" s="6" t="s">
        <v>594</v>
      </c>
      <c r="B561" s="7" t="str">
        <f aca="false">IFERROR(VLOOKUP(LEFT(A561,4),Setor!A:D,2,FALSE()),"")</f>
        <v>Comunicações</v>
      </c>
      <c r="C561" s="8" t="n">
        <f aca="false">IFERROR(__xludf.dummyfunction("IFERROR(IFERROR(GOOGLEFINANCE(A567,""price""),VLOOKUP(A567,'Dados-Status-Invest'!A:B,2,FALSE)),"""")"),45.34)</f>
        <v>45.34</v>
      </c>
      <c r="D561" s="8" t="n">
        <f aca="false">IFERROR(VLOOKUP(A561,'Dados-Status-Invest'!$1:$1000,MATCH(D$1,'Dados-Status-Invest'!$2:$2,0),FALSE()),"")</f>
        <v>71139735711</v>
      </c>
      <c r="E561" s="8" t="n">
        <f aca="false">IF(D561+H561&gt;0,D561+H561,"")</f>
        <v>76639316277</v>
      </c>
      <c r="F561" s="8" t="n">
        <f aca="false">IFERROR(D561/VLOOKUP(A561,'Dados-Status-Invest'!$1:$1000,5,FALSE()),"")</f>
        <v>64672487010</v>
      </c>
      <c r="G561" s="8" t="n">
        <f aca="false">IFERROR(D561/VLOOKUP(A561,'Dados-Status-Invest'!$1:$1000,6,FALSE()),"")</f>
        <v>103101066247</v>
      </c>
      <c r="H561" s="8" t="n">
        <f aca="false">IFERROR(VLOOKUP(A561,'Dados-Status-Invest'!$1:$1000,12,FALSE())*J561,"")</f>
        <v>5499580566</v>
      </c>
      <c r="I561" s="8" t="n">
        <f aca="false">IFERROR(D561/VLOOKUP(A561,'Dados-Status-Invest'!$1:$1000,14,FALSE()),"")</f>
        <v>39966143658</v>
      </c>
      <c r="J561" s="9" t="n">
        <f aca="false">IFERROR(D561/VLOOKUP(A561,'Dados-Status-Invest'!$1:$1000,10,FALSE()),"")</f>
        <v>5913527490</v>
      </c>
      <c r="K561" s="10" t="n">
        <f aca="false">IFERROR(VLOOKUP(A561,'Dados-Status-Invest'!$1:$1000,3,FALSE())/100,"")</f>
        <v>0.0209</v>
      </c>
      <c r="L561" s="11" t="n">
        <f aca="false">IFERROR(VLOOKUP(A561,'Dados-Status-Invest'!$1:$1000,MATCH(L$1,'Dados-Status-Invest'!$2:$2,0),FALSE())/100,"")</f>
        <v>0.0651</v>
      </c>
      <c r="M561" s="10" t="n">
        <f aca="false">IFERROR(VLOOKUP(A561,'Dados-Status-Invest'!$1:$1000,MATCH(M$1,'Dados-Status-Invest'!$2:$2,0),FALSE())/100,"")</f>
        <v>0.041</v>
      </c>
      <c r="N561" s="10" t="n">
        <f aca="false">IFERROR(VLOOKUP(A561,'Dados-Status-Invest'!$1:$1000,MATCH(N$1,'Dados-Status-Invest'!$2:$2,0),FALSE())/100,"")</f>
        <v>0.0634</v>
      </c>
      <c r="O561" s="10" t="n">
        <f aca="false">IFERROR(VLOOKUP(A561,'Dados-Status-Invest'!$1:$1000,MATCH(O$1,'Dados-Status-Invest'!$2:$2,0),FALSE())/100,"")</f>
        <v>0.4641</v>
      </c>
      <c r="P561" s="10" t="n">
        <f aca="false">IFERROR(VLOOKUP(A561,'Dados-Status-Invest'!$1:$1000,MATCH(P$1,'Dados-Status-Invest'!$2:$2,0),FALSE())/100,"")</f>
        <v>0.1476</v>
      </c>
      <c r="Q561" s="10" t="n">
        <f aca="false">IFERROR(VLOOKUP(A561,'Dados-Status-Invest'!$1:$1000,MATCH(Q$1,'Dados-Status-Invest'!$2:$2,0),FALSE())/100,"")</f>
        <v>0.1057</v>
      </c>
      <c r="R561" s="12" t="n">
        <f aca="false">IFERROR(VLOOKUP(A561,'Dados-Status-Invest'!$1:$1000,MATCH(R$1,'Dados-Status-Invest'!$2:$2,0),FALSE()),"")</f>
        <v>16.82</v>
      </c>
      <c r="S561" s="12" t="n">
        <f aca="false">IFERROR(VLOOKUP(A561,'Dados-Status-Invest'!$1:$1000,MATCH(S$1,'Dados-Status-Invest'!$2:$2,0),FALSE()),"")</f>
        <v>1.1</v>
      </c>
      <c r="T561" s="12" t="n">
        <f aca="false">IFERROR(VLOOKUP(A561,'Dados-Status-Invest'!$1:$1000,MATCH(T$1,'Dados-Status-Invest'!$2:$2,0),FALSE()),"")</f>
        <v>12.1</v>
      </c>
      <c r="U561" s="12" t="n">
        <f aca="false">IFERROR(VLOOKUP(A561,'Dados-Status-Invest'!$1:$1000,MATCH(U$1,'Dados-Status-Invest'!$2:$2,0),FALSE()),"")</f>
        <v>1.07</v>
      </c>
      <c r="V561" s="12" t="n">
        <f aca="false">IFERROR(VLOOKUP(A561,'Dados-Status-Invest'!$1:$1000,MATCH(V$1,'Dados-Status-Invest'!$2:$2,0),FALSE()),"")</f>
        <v>0.93</v>
      </c>
      <c r="W561" s="10" t="n">
        <f aca="false">IFERROR(VLOOKUP(A561,'Dados-Status-Invest'!$1:$1000,MATCH(W$1,'Dados-Status-Invest'!$2:$2,0),FALSE())/100,"")</f>
        <v>0.0137</v>
      </c>
      <c r="X561" s="10" t="n">
        <f aca="false">IFERROR(VLOOKUP(A561,'Dados-Status-Invest'!$1:$1000,MATCH(X$1,'Dados-Status-Invest'!$2:$2,0),FALSE())/100,"")</f>
        <v>0.0688</v>
      </c>
    </row>
    <row r="562" customFormat="false" ht="15.75" hidden="false" customHeight="false" outlineLevel="0" collapsed="false">
      <c r="A562" s="6" t="s">
        <v>595</v>
      </c>
      <c r="B562" s="7" t="str">
        <f aca="false">IFERROR(VLOOKUP(LEFT(A562,4),Setor!A:D,2,FALSE()),"")</f>
        <v>Bens Industriais</v>
      </c>
      <c r="C562" s="8" t="n">
        <f aca="false">IFERROR(__xludf.dummyfunction("IFERROR(IFERROR(GOOGLEFINANCE(A568,""price""),VLOOKUP(A568,'Dados-Status-Invest'!A:B,2,FALSE)),"""")"),10.85)</f>
        <v>10.85</v>
      </c>
      <c r="D562" s="8" t="n">
        <f aca="false">IFERROR(VLOOKUP(A562,'Dados-Status-Invest'!$1:$1000,MATCH(D$1,'Dados-Status-Invest'!$2:$2,0),FALSE()),"")</f>
        <v>897029329.9</v>
      </c>
      <c r="E562" s="8" t="n">
        <f aca="false">IF(D562+H562&gt;0,D562+H562,"")</f>
        <v>1737085175.3</v>
      </c>
      <c r="F562" s="8" t="n">
        <f aca="false">IFERROR(D562/VLOOKUP(A562,'Dados-Status-Invest'!$1:$1000,5,FALSE()),"")</f>
        <v>1196039107</v>
      </c>
      <c r="G562" s="8" t="n">
        <f aca="false">IFERROR(D562/VLOOKUP(A562,'Dados-Status-Invest'!$1:$1000,6,FALSE()),"")</f>
        <v>3203676178</v>
      </c>
      <c r="H562" s="8" t="n">
        <f aca="false">IFERROR(VLOOKUP(A562,'Dados-Status-Invest'!$1:$1000,12,FALSE())*J562,"")</f>
        <v>840055845.4</v>
      </c>
      <c r="I562" s="8" t="n">
        <f aca="false">IFERROR(D562/VLOOKUP(A562,'Dados-Status-Invest'!$1:$1000,14,FALSE()),"")</f>
        <v>1950063761</v>
      </c>
      <c r="J562" s="9" t="n">
        <f aca="false">IFERROR(D562/VLOOKUP(A562,'Dados-Status-Invest'!$1:$1000,10,FALSE()),"")</f>
        <v>-121220179.7</v>
      </c>
      <c r="K562" s="10" t="n">
        <f aca="false">IFERROR(VLOOKUP(A562,'Dados-Status-Invest'!$1:$1000,3,FALSE())/100,"")</f>
        <v>0</v>
      </c>
      <c r="L562" s="11" t="n">
        <f aca="false">IFERROR(VLOOKUP(A562,'Dados-Status-Invest'!$1:$1000,MATCH(L$1,'Dados-Status-Invest'!$2:$2,0),FALSE())/100,"")</f>
        <v>-0.1734</v>
      </c>
      <c r="M562" s="10" t="n">
        <f aca="false">IFERROR(VLOOKUP(A562,'Dados-Status-Invest'!$1:$1000,MATCH(M$1,'Dados-Status-Invest'!$2:$2,0),FALSE())/100,"")</f>
        <v>-0.0661</v>
      </c>
      <c r="N562" s="10" t="n">
        <f aca="false">IFERROR(VLOOKUP(A562,'Dados-Status-Invest'!$1:$1000,MATCH(N$1,'Dados-Status-Invest'!$2:$2,0),FALSE())/100,"")</f>
        <v>-0.0463</v>
      </c>
      <c r="O562" s="10" t="n">
        <f aca="false">IFERROR(VLOOKUP(A562,'Dados-Status-Invest'!$1:$1000,MATCH(O$1,'Dados-Status-Invest'!$2:$2,0),FALSE())/100,"")</f>
        <v>0.18</v>
      </c>
      <c r="P562" s="10" t="n">
        <f aca="false">IFERROR(VLOOKUP(A562,'Dados-Status-Invest'!$1:$1000,MATCH(P$1,'Dados-Status-Invest'!$2:$2,0),FALSE())/100,"")</f>
        <v>-0.0619</v>
      </c>
      <c r="Q562" s="10" t="n">
        <f aca="false">IFERROR(VLOOKUP(A562,'Dados-Status-Invest'!$1:$1000,MATCH(Q$1,'Dados-Status-Invest'!$2:$2,0),FALSE())/100,"")</f>
        <v>-0.1066</v>
      </c>
      <c r="R562" s="12" t="n">
        <f aca="false">IFERROR(VLOOKUP(A562,'Dados-Status-Invest'!$1:$1000,MATCH(R$1,'Dados-Status-Invest'!$2:$2,0),FALSE()),"")</f>
        <v>-4.3</v>
      </c>
      <c r="S562" s="12" t="n">
        <f aca="false">IFERROR(VLOOKUP(A562,'Dados-Status-Invest'!$1:$1000,MATCH(S$1,'Dados-Status-Invest'!$2:$2,0),FALSE()),"")</f>
        <v>0.75</v>
      </c>
      <c r="T562" s="12" t="n">
        <f aca="false">IFERROR(VLOOKUP(A562,'Dados-Status-Invest'!$1:$1000,MATCH(T$1,'Dados-Status-Invest'!$2:$2,0),FALSE()),"")</f>
        <v>-14.3</v>
      </c>
      <c r="U562" s="12" t="n">
        <f aca="false">IFERROR(VLOOKUP(A562,'Dados-Status-Invest'!$1:$1000,MATCH(U$1,'Dados-Status-Invest'!$2:$2,0),FALSE()),"")</f>
        <v>1.31</v>
      </c>
      <c r="V562" s="12" t="n">
        <f aca="false">IFERROR(VLOOKUP(A562,'Dados-Status-Invest'!$1:$1000,MATCH(V$1,'Dados-Status-Invest'!$2:$2,0),FALSE()),"")</f>
        <v>-6.93</v>
      </c>
      <c r="W562" s="10" t="n">
        <f aca="false">IFERROR(VLOOKUP(A562,'Dados-Status-Invest'!$1:$1000,MATCH(W$1,'Dados-Status-Invest'!$2:$2,0),FALSE())/100,"")</f>
        <v>0.0344</v>
      </c>
      <c r="X562" s="10" t="n">
        <f aca="false">IFERROR(VLOOKUP(A562,'Dados-Status-Invest'!$1:$1000,MATCH(X$1,'Dados-Status-Invest'!$2:$2,0),FALSE())/100,"")</f>
        <v>0</v>
      </c>
    </row>
    <row r="563" customFormat="false" ht="15.75" hidden="false" customHeight="false" outlineLevel="0" collapsed="false">
      <c r="A563" s="6" t="s">
        <v>596</v>
      </c>
      <c r="B563" s="7" t="str">
        <f aca="false">IFERROR(VLOOKUP(LEFT(A563,4),Setor!A:D,2,FALSE()),"")</f>
        <v>Bens Industriais</v>
      </c>
      <c r="C563" s="8" t="n">
        <f aca="false">IFERROR(__xludf.dummyfunction("IFERROR(IFERROR(GOOGLEFINANCE(A569,""price""),VLOOKUP(A569,'Dados-Status-Invest'!A:B,2,FALSE)),"""")"),0)</f>
        <v>0</v>
      </c>
      <c r="D563" s="8" t="n">
        <f aca="false">IFERROR(VLOOKUP(A563,'Dados-Status-Invest'!$1:$1000,MATCH(D$1,'Dados-Status-Invest'!$2:$2,0),FALSE()),"")</f>
        <v>679850653.8</v>
      </c>
      <c r="E563" s="8" t="n">
        <f aca="false">IF(D563+H563&gt;0,D563+H563,"")</f>
        <v>440515474.6</v>
      </c>
      <c r="F563" s="8" t="n">
        <f aca="false">IFERROR(D563/VLOOKUP(A563,'Dados-Status-Invest'!$1:$1000,5,FALSE()),"")</f>
        <v>4856076099</v>
      </c>
      <c r="G563" s="8" t="n">
        <f aca="false">IFERROR(D563/VLOOKUP(A563,'Dados-Status-Invest'!$1:$1000,6,FALSE()),"")</f>
        <v>8498133173</v>
      </c>
      <c r="H563" s="8" t="n">
        <f aca="false">IFERROR(VLOOKUP(A563,'Dados-Status-Invest'!$1:$1000,12,FALSE())*J563,"")</f>
        <v>-239335179.2</v>
      </c>
      <c r="I563" s="8" t="n">
        <f aca="false">IFERROR(D563/VLOOKUP(A563,'Dados-Status-Invest'!$1:$1000,14,FALSE()),"")</f>
        <v>2719402615</v>
      </c>
      <c r="J563" s="9" t="n">
        <f aca="false">IFERROR(D563/VLOOKUP(A563,'Dados-Status-Invest'!$1:$1000,10,FALSE()),"")</f>
        <v>57810429.75</v>
      </c>
      <c r="K563" s="10" t="n">
        <f aca="false">IFERROR(VLOOKUP(A563,'Dados-Status-Invest'!$1:$1000,3,FALSE())/100,"")</f>
        <v>0</v>
      </c>
      <c r="L563" s="11" t="n">
        <f aca="false">IFERROR(VLOOKUP(A563,'Dados-Status-Invest'!$1:$1000,MATCH(L$1,'Dados-Status-Invest'!$2:$2,0),FALSE())/100,"")</f>
        <v>-0.0396</v>
      </c>
      <c r="M563" s="10" t="n">
        <f aca="false">IFERROR(VLOOKUP(A563,'Dados-Status-Invest'!$1:$1000,MATCH(M$1,'Dados-Status-Invest'!$2:$2,0),FALSE())/100,"")</f>
        <v>-0.0228</v>
      </c>
      <c r="N563" s="10" t="n">
        <f aca="false">IFERROR(VLOOKUP(A563,'Dados-Status-Invest'!$1:$1000,MATCH(N$1,'Dados-Status-Invest'!$2:$2,0),FALSE())/100,"")</f>
        <v>0.0086</v>
      </c>
      <c r="O563" s="10" t="n">
        <f aca="false">IFERROR(VLOOKUP(A563,'Dados-Status-Invest'!$1:$1000,MATCH(O$1,'Dados-Status-Invest'!$2:$2,0),FALSE())/100,"")</f>
        <v>0.1172</v>
      </c>
      <c r="P563" s="10" t="n">
        <f aca="false">IFERROR(VLOOKUP(A563,'Dados-Status-Invest'!$1:$1000,MATCH(P$1,'Dados-Status-Invest'!$2:$2,0),FALSE())/100,"")</f>
        <v>0.021</v>
      </c>
      <c r="Q563" s="10" t="n">
        <f aca="false">IFERROR(VLOOKUP(A563,'Dados-Status-Invest'!$1:$1000,MATCH(Q$1,'Dados-Status-Invest'!$2:$2,0),FALSE())/100,"")</f>
        <v>-0.0712</v>
      </c>
      <c r="R563" s="12" t="n">
        <f aca="false">IFERROR(VLOOKUP(A563,'Dados-Status-Invest'!$1:$1000,MATCH(R$1,'Dados-Status-Invest'!$2:$2,0),FALSE()),"")</f>
        <v>-3.46</v>
      </c>
      <c r="S563" s="12" t="n">
        <f aca="false">IFERROR(VLOOKUP(A563,'Dados-Status-Invest'!$1:$1000,MATCH(S$1,'Dados-Status-Invest'!$2:$2,0),FALSE()),"")</f>
        <v>0.14</v>
      </c>
      <c r="T563" s="12" t="n">
        <f aca="false">IFERROR(VLOOKUP(A563,'Dados-Status-Invest'!$1:$1000,MATCH(T$1,'Dados-Status-Invest'!$2:$2,0),FALSE()),"")</f>
        <v>7.63</v>
      </c>
      <c r="U563" s="12" t="n">
        <f aca="false">IFERROR(VLOOKUP(A563,'Dados-Status-Invest'!$1:$1000,MATCH(U$1,'Dados-Status-Invest'!$2:$2,0),FALSE()),"")</f>
        <v>0.57</v>
      </c>
      <c r="V563" s="12" t="n">
        <f aca="false">IFERROR(VLOOKUP(A563,'Dados-Status-Invest'!$1:$1000,MATCH(V$1,'Dados-Status-Invest'!$2:$2,0),FALSE()),"")</f>
        <v>-4.14</v>
      </c>
      <c r="W563" s="10" t="n">
        <f aca="false">IFERROR(VLOOKUP(A563,'Dados-Status-Invest'!$1:$1000,MATCH(W$1,'Dados-Status-Invest'!$2:$2,0),FALSE())/100,"")</f>
        <v>0.1022</v>
      </c>
      <c r="X563" s="10" t="n">
        <f aca="false">IFERROR(VLOOKUP(A563,'Dados-Status-Invest'!$1:$1000,MATCH(X$1,'Dados-Status-Invest'!$2:$2,0),FALSE())/100,"")</f>
        <v>0</v>
      </c>
    </row>
    <row r="564" customFormat="false" ht="15.75" hidden="false" customHeight="false" outlineLevel="0" collapsed="false">
      <c r="A564" s="6" t="s">
        <v>597</v>
      </c>
      <c r="B564" s="7" t="str">
        <f aca="false">IFERROR(VLOOKUP(LEFT(A564,4),Setor!A:D,2,FALSE()),"")</f>
        <v>Bens Industriais</v>
      </c>
      <c r="C564" s="8" t="n">
        <f aca="false">IFERROR(__xludf.dummyfunction("IFERROR(IFERROR(GOOGLEFINANCE(A570,""price""),VLOOKUP(A570,'Dados-Status-Invest'!A:B,2,FALSE)),"""")"),0)</f>
        <v>0</v>
      </c>
      <c r="D564" s="8" t="n">
        <f aca="false">IFERROR(VLOOKUP(A564,'Dados-Status-Invest'!$1:$1000,MATCH(D$1,'Dados-Status-Invest'!$2:$2,0),FALSE()),"")</f>
        <v>679850653.8</v>
      </c>
      <c r="E564" s="8" t="n">
        <f aca="false">IF(D564+H564&gt;0,D564+H564,"")</f>
        <v>679850653.8</v>
      </c>
      <c r="F564" s="8" t="str">
        <f aca="false">IFERROR(D564/VLOOKUP(A564,'Dados-Status-Invest'!$1:$1000,5,FALSE()),"")</f>
        <v/>
      </c>
      <c r="G564" s="8" t="str">
        <f aca="false">IFERROR(D564/VLOOKUP(A564,'Dados-Status-Invest'!$1:$1000,6,FALSE()),"")</f>
        <v/>
      </c>
      <c r="H564" s="8" t="n">
        <f aca="false">IFERROR(VLOOKUP(A564,'Dados-Status-Invest'!$1:$1000,12,FALSE())*J564,"")</f>
        <v>0</v>
      </c>
      <c r="I564" s="8" t="str">
        <f aca="false">IFERROR(D564/VLOOKUP(A564,'Dados-Status-Invest'!$1:$1000,14,FALSE()),"")</f>
        <v/>
      </c>
      <c r="J564" s="9" t="str">
        <f aca="false">IFERROR(D564/VLOOKUP(A564,'Dados-Status-Invest'!$1:$1000,10,FALSE()),"")</f>
        <v/>
      </c>
      <c r="K564" s="10" t="n">
        <f aca="false">IFERROR(VLOOKUP(A564,'Dados-Status-Invest'!$1:$1000,3,FALSE())/100,"")</f>
        <v>0</v>
      </c>
      <c r="L564" s="11" t="n">
        <f aca="false">IFERROR(VLOOKUP(A564,'Dados-Status-Invest'!$1:$1000,MATCH(L$1,'Dados-Status-Invest'!$2:$2,0),FALSE())/100,"")</f>
        <v>-0.0396</v>
      </c>
      <c r="M564" s="10" t="n">
        <f aca="false">IFERROR(VLOOKUP(A564,'Dados-Status-Invest'!$1:$1000,MATCH(M$1,'Dados-Status-Invest'!$2:$2,0),FALSE())/100,"")</f>
        <v>-0.0228</v>
      </c>
      <c r="N564" s="10" t="n">
        <f aca="false">IFERROR(VLOOKUP(A564,'Dados-Status-Invest'!$1:$1000,MATCH(N$1,'Dados-Status-Invest'!$2:$2,0),FALSE())/100,"")</f>
        <v>0.0086</v>
      </c>
      <c r="O564" s="10" t="n">
        <f aca="false">IFERROR(VLOOKUP(A564,'Dados-Status-Invest'!$1:$1000,MATCH(O$1,'Dados-Status-Invest'!$2:$2,0),FALSE())/100,"")</f>
        <v>0.1172</v>
      </c>
      <c r="P564" s="10" t="n">
        <f aca="false">IFERROR(VLOOKUP(A564,'Dados-Status-Invest'!$1:$1000,MATCH(P$1,'Dados-Status-Invest'!$2:$2,0),FALSE())/100,"")</f>
        <v>0.021</v>
      </c>
      <c r="Q564" s="10" t="n">
        <f aca="false">IFERROR(VLOOKUP(A564,'Dados-Status-Invest'!$1:$1000,MATCH(Q$1,'Dados-Status-Invest'!$2:$2,0),FALSE())/100,"")</f>
        <v>-0.0712</v>
      </c>
      <c r="R564" s="12" t="n">
        <f aca="false">IFERROR(VLOOKUP(A564,'Dados-Status-Invest'!$1:$1000,MATCH(R$1,'Dados-Status-Invest'!$2:$2,0),FALSE()),"")</f>
        <v>0</v>
      </c>
      <c r="S564" s="12" t="n">
        <f aca="false">IFERROR(VLOOKUP(A564,'Dados-Status-Invest'!$1:$1000,MATCH(S$1,'Dados-Status-Invest'!$2:$2,0),FALSE()),"")</f>
        <v>0</v>
      </c>
      <c r="T564" s="12" t="n">
        <f aca="false">IFERROR(VLOOKUP(A564,'Dados-Status-Invest'!$1:$1000,MATCH(T$1,'Dados-Status-Invest'!$2:$2,0),FALSE()),"")</f>
        <v>7.63</v>
      </c>
      <c r="U564" s="12" t="n">
        <f aca="false">IFERROR(VLOOKUP(A564,'Dados-Status-Invest'!$1:$1000,MATCH(U$1,'Dados-Status-Invest'!$2:$2,0),FALSE()),"")</f>
        <v>0.57</v>
      </c>
      <c r="V564" s="12" t="n">
        <f aca="false">IFERROR(VLOOKUP(A564,'Dados-Status-Invest'!$1:$1000,MATCH(V$1,'Dados-Status-Invest'!$2:$2,0),FALSE()),"")</f>
        <v>-4.14</v>
      </c>
      <c r="W564" s="10" t="n">
        <f aca="false">IFERROR(VLOOKUP(A564,'Dados-Status-Invest'!$1:$1000,MATCH(W$1,'Dados-Status-Invest'!$2:$2,0),FALSE())/100,"")</f>
        <v>0.1022</v>
      </c>
      <c r="X564" s="10" t="n">
        <f aca="false">IFERROR(VLOOKUP(A564,'Dados-Status-Invest'!$1:$1000,MATCH(X$1,'Dados-Status-Invest'!$2:$2,0),FALSE())/100,"")</f>
        <v>0</v>
      </c>
    </row>
    <row r="565" customFormat="false" ht="15.75" hidden="false" customHeight="false" outlineLevel="0" collapsed="false">
      <c r="A565" s="6" t="s">
        <v>598</v>
      </c>
      <c r="B565" s="7" t="str">
        <f aca="false">IFERROR(VLOOKUP(LEFT(A565,4),Setor!A:D,2,FALSE()),"")</f>
        <v>Consumo Cíclico</v>
      </c>
      <c r="C565" s="8" t="n">
        <f aca="false">IFERROR(__xludf.dummyfunction("IFERROR(IFERROR(GOOGLEFINANCE(A571,""price""),VLOOKUP(A571,'Dados-Status-Invest'!A:B,2,FALSE)),"""")"),11.32)</f>
        <v>11.32</v>
      </c>
      <c r="D565" s="8" t="n">
        <f aca="false">IFERROR(VLOOKUP(A565,'Dados-Status-Invest'!$1:$1000,MATCH(D$1,'Dados-Status-Invest'!$2:$2,0),FALSE()),"")</f>
        <v>2396124374</v>
      </c>
      <c r="E565" s="8" t="n">
        <f aca="false">IF(D565+H565&gt;0,D565+H565,"")</f>
        <v>2543974823.9</v>
      </c>
      <c r="F565" s="8" t="n">
        <f aca="false">IFERROR(D565/VLOOKUP(A565,'Dados-Status-Invest'!$1:$1000,5,FALSE()),"")</f>
        <v>1146470992</v>
      </c>
      <c r="G565" s="8" t="n">
        <f aca="false">IFERROR(D565/VLOOKUP(A565,'Dados-Status-Invest'!$1:$1000,6,FALSE()),"")</f>
        <v>1711517410</v>
      </c>
      <c r="H565" s="8" t="n">
        <f aca="false">IFERROR(VLOOKUP(A565,'Dados-Status-Invest'!$1:$1000,12,FALSE())*J565,"")</f>
        <v>147850449.9</v>
      </c>
      <c r="I565" s="8" t="n">
        <f aca="false">IFERROR(D565/VLOOKUP(A565,'Dados-Status-Invest'!$1:$1000,14,FALSE()),"")</f>
        <v>1261118091</v>
      </c>
      <c r="J565" s="9" t="n">
        <f aca="false">IFERROR(D565/VLOOKUP(A565,'Dados-Status-Invest'!$1:$1000,10,FALSE()),"")</f>
        <v>52615818.48</v>
      </c>
      <c r="K565" s="10" t="n">
        <f aca="false">IFERROR(VLOOKUP(A565,'Dados-Status-Invest'!$1:$1000,3,FALSE())/100,"")</f>
        <v>0</v>
      </c>
      <c r="L565" s="11" t="n">
        <f aca="false">IFERROR(VLOOKUP(A565,'Dados-Status-Invest'!$1:$1000,MATCH(L$1,'Dados-Status-Invest'!$2:$2,0),FALSE())/100,"")</f>
        <v>0.0326</v>
      </c>
      <c r="M565" s="10" t="n">
        <f aca="false">IFERROR(VLOOKUP(A565,'Dados-Status-Invest'!$1:$1000,MATCH(M$1,'Dados-Status-Invest'!$2:$2,0),FALSE())/100,"")</f>
        <v>0.0219</v>
      </c>
      <c r="N565" s="10" t="n">
        <f aca="false">IFERROR(VLOOKUP(A565,'Dados-Status-Invest'!$1:$1000,MATCH(N$1,'Dados-Status-Invest'!$2:$2,0),FALSE())/100,"")</f>
        <v>0.0333</v>
      </c>
      <c r="O565" s="10" t="n">
        <f aca="false">IFERROR(VLOOKUP(A565,'Dados-Status-Invest'!$1:$1000,MATCH(O$1,'Dados-Status-Invest'!$2:$2,0),FALSE())/100,"")</f>
        <v>0.3012</v>
      </c>
      <c r="P565" s="10" t="n">
        <f aca="false">IFERROR(VLOOKUP(A565,'Dados-Status-Invest'!$1:$1000,MATCH(P$1,'Dados-Status-Invest'!$2:$2,0),FALSE())/100,"")</f>
        <v>0.0418</v>
      </c>
      <c r="Q565" s="10" t="n">
        <f aca="false">IFERROR(VLOOKUP(A565,'Dados-Status-Invest'!$1:$1000,MATCH(Q$1,'Dados-Status-Invest'!$2:$2,0),FALSE())/100,"")</f>
        <v>0.0298</v>
      </c>
      <c r="R565" s="12" t="n">
        <f aca="false">IFERROR(VLOOKUP(A565,'Dados-Status-Invest'!$1:$1000,MATCH(R$1,'Dados-Status-Invest'!$2:$2,0),FALSE()),"")</f>
        <v>63.96</v>
      </c>
      <c r="S565" s="12" t="n">
        <f aca="false">IFERROR(VLOOKUP(A565,'Dados-Status-Invest'!$1:$1000,MATCH(S$1,'Dados-Status-Invest'!$2:$2,0),FALSE()),"")</f>
        <v>2.09</v>
      </c>
      <c r="T565" s="12" t="n">
        <f aca="false">IFERROR(VLOOKUP(A565,'Dados-Status-Invest'!$1:$1000,MATCH(T$1,'Dados-Status-Invest'!$2:$2,0),FALSE()),"")</f>
        <v>48.58</v>
      </c>
      <c r="U565" s="12" t="n">
        <f aca="false">IFERROR(VLOOKUP(A565,'Dados-Status-Invest'!$1:$1000,MATCH(U$1,'Dados-Status-Invest'!$2:$2,0),FALSE()),"")</f>
        <v>3.31</v>
      </c>
      <c r="V565" s="12" t="n">
        <f aca="false">IFERROR(VLOOKUP(A565,'Dados-Status-Invest'!$1:$1000,MATCH(V$1,'Dados-Status-Invest'!$2:$2,0),FALSE()),"")</f>
        <v>2.81</v>
      </c>
      <c r="W565" s="10" t="n">
        <f aca="false">IFERROR(VLOOKUP(A565,'Dados-Status-Invest'!$1:$1000,MATCH(W$1,'Dados-Status-Invest'!$2:$2,0),FALSE())/100,"")</f>
        <v>0.0407</v>
      </c>
      <c r="X565" s="10" t="n">
        <f aca="false">IFERROR(VLOOKUP(A565,'Dados-Status-Invest'!$1:$1000,MATCH(X$1,'Dados-Status-Invest'!$2:$2,0),FALSE())/100,"")</f>
        <v>0</v>
      </c>
    </row>
    <row r="566" customFormat="false" ht="15.75" hidden="false" customHeight="false" outlineLevel="0" collapsed="false">
      <c r="A566" s="6" t="s">
        <v>599</v>
      </c>
      <c r="B566" s="7" t="str">
        <f aca="false">IFERROR(VLOOKUP(LEFT(A566,4),Setor!A:D,2,FALSE()),"")</f>
        <v>Consumo Cíclico</v>
      </c>
      <c r="C566" s="8" t="n">
        <f aca="false">IFERROR(__xludf.dummyfunction("IFERROR(IFERROR(GOOGLEFINANCE(A572,""price""),VLOOKUP(A572,'Dados-Status-Invest'!A:B,2,FALSE)),"""")"),15.8)</f>
        <v>15.8</v>
      </c>
      <c r="D566" s="8" t="n">
        <f aca="false">IFERROR(VLOOKUP(A566,'Dados-Status-Invest'!$1:$1000,MATCH(D$1,'Dados-Status-Invest'!$2:$2,0),FALSE()),"")</f>
        <v>25190274173</v>
      </c>
      <c r="E566" s="8" t="n">
        <f aca="false">IF(D566+H566&gt;0,D566+H566,"")</f>
        <v>32907525798</v>
      </c>
      <c r="F566" s="8" t="n">
        <f aca="false">IFERROR(D566/VLOOKUP(A566,'Dados-Status-Invest'!$1:$1000,5,FALSE()),"")</f>
        <v>6143969310</v>
      </c>
      <c r="G566" s="8" t="n">
        <f aca="false">IFERROR(D566/VLOOKUP(A566,'Dados-Status-Invest'!$1:$1000,6,FALSE()),"")</f>
        <v>33145097596</v>
      </c>
      <c r="H566" s="8" t="n">
        <f aca="false">IFERROR(VLOOKUP(A566,'Dados-Status-Invest'!$1:$1000,12,FALSE())*J566,"")</f>
        <v>7717251625</v>
      </c>
      <c r="I566" s="8" t="n">
        <f aca="false">IFERROR(D566/VLOOKUP(A566,'Dados-Status-Invest'!$1:$1000,14,FALSE()),"")</f>
        <v>29988421634</v>
      </c>
      <c r="J566" s="9" t="n">
        <f aca="false">IFERROR(D566/VLOOKUP(A566,'Dados-Status-Invest'!$1:$1000,10,FALSE()),"")</f>
        <v>1617872458</v>
      </c>
      <c r="K566" s="10" t="n">
        <f aca="false">IFERROR(VLOOKUP(A566,'Dados-Status-Invest'!$1:$1000,3,FALSE())/100,"")</f>
        <v>0</v>
      </c>
      <c r="L566" s="11" t="n">
        <f aca="false">IFERROR(VLOOKUP(A566,'Dados-Status-Invest'!$1:$1000,MATCH(L$1,'Dados-Status-Invest'!$2:$2,0),FALSE())/100,"")</f>
        <v>0.19</v>
      </c>
      <c r="M566" s="10" t="n">
        <f aca="false">IFERROR(VLOOKUP(A566,'Dados-Status-Invest'!$1:$1000,MATCH(M$1,'Dados-Status-Invest'!$2:$2,0),FALSE())/100,"")</f>
        <v>0.0351</v>
      </c>
      <c r="N566" s="10" t="n">
        <f aca="false">IFERROR(VLOOKUP(A566,'Dados-Status-Invest'!$1:$1000,MATCH(N$1,'Dados-Status-Invest'!$2:$2,0),FALSE())/100,"")</f>
        <v>0.0922</v>
      </c>
      <c r="O566" s="10" t="n">
        <f aca="false">IFERROR(VLOOKUP(A566,'Dados-Status-Invest'!$1:$1000,MATCH(O$1,'Dados-Status-Invest'!$2:$2,0),FALSE())/100,"")</f>
        <v>0.3284</v>
      </c>
      <c r="P566" s="10" t="n">
        <f aca="false">IFERROR(VLOOKUP(A566,'Dados-Status-Invest'!$1:$1000,MATCH(P$1,'Dados-Status-Invest'!$2:$2,0),FALSE())/100,"")</f>
        <v>0.0538</v>
      </c>
      <c r="Q566" s="10" t="n">
        <f aca="false">IFERROR(VLOOKUP(A566,'Dados-Status-Invest'!$1:$1000,MATCH(Q$1,'Dados-Status-Invest'!$2:$2,0),FALSE())/100,"")</f>
        <v>0.0389</v>
      </c>
      <c r="R566" s="12" t="n">
        <f aca="false">IFERROR(VLOOKUP(A566,'Dados-Status-Invest'!$1:$1000,MATCH(R$1,'Dados-Status-Invest'!$2:$2,0),FALSE()),"")</f>
        <v>21.55</v>
      </c>
      <c r="S566" s="12" t="n">
        <f aca="false">IFERROR(VLOOKUP(A566,'Dados-Status-Invest'!$1:$1000,MATCH(S$1,'Dados-Status-Invest'!$2:$2,0),FALSE()),"")</f>
        <v>4.1</v>
      </c>
      <c r="T566" s="12" t="n">
        <f aca="false">IFERROR(VLOOKUP(A566,'Dados-Status-Invest'!$1:$1000,MATCH(T$1,'Dados-Status-Invest'!$2:$2,0),FALSE()),"")</f>
        <v>20.31</v>
      </c>
      <c r="U566" s="12" t="n">
        <f aca="false">IFERROR(VLOOKUP(A566,'Dados-Status-Invest'!$1:$1000,MATCH(U$1,'Dados-Status-Invest'!$2:$2,0),FALSE()),"")</f>
        <v>1.01</v>
      </c>
      <c r="V566" s="12" t="n">
        <f aca="false">IFERROR(VLOOKUP(A566,'Dados-Status-Invest'!$1:$1000,MATCH(V$1,'Dados-Status-Invest'!$2:$2,0),FALSE()),"")</f>
        <v>4.77</v>
      </c>
      <c r="W566" s="10" t="n">
        <f aca="false">IFERROR(VLOOKUP(A566,'Dados-Status-Invest'!$1:$1000,MATCH(W$1,'Dados-Status-Invest'!$2:$2,0),FALSE())/100,"")</f>
        <v>0.0845</v>
      </c>
      <c r="X566" s="10" t="n">
        <f aca="false">IFERROR(VLOOKUP(A566,'Dados-Status-Invest'!$1:$1000,MATCH(X$1,'Dados-Status-Invest'!$2:$2,0),FALSE())/100,"")</f>
        <v>1.3503</v>
      </c>
    </row>
    <row r="567" customFormat="false" ht="15.75" hidden="false" customHeight="false" outlineLevel="0" collapsed="false">
      <c r="A567" s="6" t="s">
        <v>600</v>
      </c>
      <c r="B567" s="7" t="str">
        <f aca="false">IFERROR(VLOOKUP(LEFT(A567,4),Setor!A:D,2,FALSE()),"")</f>
        <v>Bens Industriais</v>
      </c>
      <c r="C567" s="8" t="n">
        <f aca="false">IFERROR(__xludf.dummyfunction("IFERROR(IFERROR(GOOGLEFINANCE(A573,""price""),VLOOKUP(A573,'Dados-Status-Invest'!A:B,2,FALSE)),"""")"),25.84)</f>
        <v>25.84</v>
      </c>
      <c r="D567" s="8" t="n">
        <f aca="false">IFERROR(VLOOKUP(A567,'Dados-Status-Invest'!$1:$1000,MATCH(D$1,'Dados-Status-Invest'!$2:$2,0),FALSE()),"")</f>
        <v>142456972852</v>
      </c>
      <c r="E567" s="8" t="n">
        <f aca="false">IF(D567+H567&gt;0,D567+H567,"")</f>
        <v>140326002282</v>
      </c>
      <c r="F567" s="8" t="n">
        <f aca="false">IFERROR(D567/VLOOKUP(A567,'Dados-Status-Invest'!$1:$1000,5,FALSE()),"")</f>
        <v>11941070650</v>
      </c>
      <c r="G567" s="8" t="n">
        <f aca="false">IFERROR(D567/VLOOKUP(A567,'Dados-Status-Invest'!$1:$1000,6,FALSE()),"")</f>
        <v>21104736719</v>
      </c>
      <c r="H567" s="8" t="n">
        <f aca="false">IFERROR(VLOOKUP(A567,'Dados-Status-Invest'!$1:$1000,12,FALSE())*J567,"")</f>
        <v>-2130970570</v>
      </c>
      <c r="I567" s="8" t="n">
        <f aca="false">IFERROR(D567/VLOOKUP(A567,'Dados-Status-Invest'!$1:$1000,14,FALSE()),"")</f>
        <v>18769034631</v>
      </c>
      <c r="J567" s="9" t="n">
        <f aca="false">IFERROR(D567/VLOOKUP(A567,'Dados-Status-Invest'!$1:$1000,10,FALSE()),"")</f>
        <v>3180553089</v>
      </c>
      <c r="K567" s="10" t="n">
        <f aca="false">IFERROR(VLOOKUP(A567,'Dados-Status-Invest'!$1:$1000,3,FALSE())/100,"")</f>
        <v>0.0091</v>
      </c>
      <c r="L567" s="11" t="n">
        <f aca="false">IFERROR(VLOOKUP(A567,'Dados-Status-Invest'!$1:$1000,MATCH(L$1,'Dados-Status-Invest'!$2:$2,0),FALSE())/100,"")</f>
        <v>0.2225</v>
      </c>
      <c r="M567" s="10" t="n">
        <f aca="false">IFERROR(VLOOKUP(A567,'Dados-Status-Invest'!$1:$1000,MATCH(M$1,'Dados-Status-Invest'!$2:$2,0),FALSE())/100,"")</f>
        <v>0.1259</v>
      </c>
      <c r="N567" s="10" t="n">
        <f aca="false">IFERROR(VLOOKUP(A567,'Dados-Status-Invest'!$1:$1000,MATCH(N$1,'Dados-Status-Invest'!$2:$2,0),FALSE())/100,"")</f>
        <v>0.1968</v>
      </c>
      <c r="O567" s="10" t="n">
        <f aca="false">IFERROR(VLOOKUP(A567,'Dados-Status-Invest'!$1:$1000,MATCH(O$1,'Dados-Status-Invest'!$2:$2,0),FALSE())/100,"")</f>
        <v>0.3165</v>
      </c>
      <c r="P567" s="10" t="n">
        <f aca="false">IFERROR(VLOOKUP(A567,'Dados-Status-Invest'!$1:$1000,MATCH(P$1,'Dados-Status-Invest'!$2:$2,0),FALSE())/100,"")</f>
        <v>0.1694</v>
      </c>
      <c r="Q567" s="10" t="n">
        <f aca="false">IFERROR(VLOOKUP(A567,'Dados-Status-Invest'!$1:$1000,MATCH(Q$1,'Dados-Status-Invest'!$2:$2,0),FALSE())/100,"")</f>
        <v>0.1415</v>
      </c>
      <c r="R567" s="12" t="n">
        <f aca="false">IFERROR(VLOOKUP(A567,'Dados-Status-Invest'!$1:$1000,MATCH(R$1,'Dados-Status-Invest'!$2:$2,0),FALSE()),"")</f>
        <v>53.63</v>
      </c>
      <c r="S567" s="12" t="n">
        <f aca="false">IFERROR(VLOOKUP(A567,'Dados-Status-Invest'!$1:$1000,MATCH(S$1,'Dados-Status-Invest'!$2:$2,0),FALSE()),"")</f>
        <v>11.93</v>
      </c>
      <c r="T567" s="12" t="n">
        <f aca="false">IFERROR(VLOOKUP(A567,'Dados-Status-Invest'!$1:$1000,MATCH(T$1,'Dados-Status-Invest'!$2:$2,0),FALSE()),"")</f>
        <v>43.98</v>
      </c>
      <c r="U567" s="12" t="n">
        <f aca="false">IFERROR(VLOOKUP(A567,'Dados-Status-Invest'!$1:$1000,MATCH(U$1,'Dados-Status-Invest'!$2:$2,0),FALSE()),"")</f>
        <v>2.06</v>
      </c>
      <c r="V567" s="12" t="n">
        <f aca="false">IFERROR(VLOOKUP(A567,'Dados-Status-Invest'!$1:$1000,MATCH(V$1,'Dados-Status-Invest'!$2:$2,0),FALSE()),"")</f>
        <v>-0.67</v>
      </c>
      <c r="W567" s="10" t="n">
        <f aca="false">IFERROR(VLOOKUP(A567,'Dados-Status-Invest'!$1:$1000,MATCH(W$1,'Dados-Status-Invest'!$2:$2,0),FALSE())/100,"")</f>
        <v>0.1235</v>
      </c>
      <c r="X567" s="10" t="n">
        <f aca="false">IFERROR(VLOOKUP(A567,'Dados-Status-Invest'!$1:$1000,MATCH(X$1,'Dados-Status-Invest'!$2:$2,0),FALSE())/100,"")</f>
        <v>0.155</v>
      </c>
    </row>
    <row r="568" customFormat="false" ht="15.75" hidden="false" customHeight="false" outlineLevel="0" collapsed="false">
      <c r="A568" s="6" t="s">
        <v>601</v>
      </c>
      <c r="B568" s="7" t="s">
        <v>38</v>
      </c>
      <c r="C568" s="8" t="n">
        <f aca="false">IFERROR(__xludf.dummyfunction("IFERROR(IFERROR(GOOGLEFINANCE(A574,""price""),VLOOKUP(A574,'Dados-Status-Invest'!A:B,2,FALSE)),"""")"),2.42)</f>
        <v>2.42</v>
      </c>
      <c r="D568" s="8" t="n">
        <f aca="false">IFERROR(VLOOKUP(A568,'Dados-Status-Invest'!$1:$1000,MATCH(D$1,'Dados-Status-Invest'!$2:$2,0),FALSE()),"")</f>
        <v>980830631</v>
      </c>
      <c r="E568" s="8" t="n">
        <f aca="false">IF(D568+H568&gt;0,D568+H568,"")</f>
        <v>619471977.5</v>
      </c>
      <c r="F568" s="8" t="n">
        <f aca="false">IFERROR(D568/VLOOKUP(A568,'Dados-Status-Invest'!$1:$1000,5,FALSE()),"")</f>
        <v>400339033.1</v>
      </c>
      <c r="G568" s="8" t="n">
        <f aca="false">IFERROR(D568/VLOOKUP(A568,'Dados-Status-Invest'!$1:$1000,6,FALSE()),"")</f>
        <v>527328296.2</v>
      </c>
      <c r="H568" s="8" t="n">
        <f aca="false">IFERROR(VLOOKUP(A568,'Dados-Status-Invest'!$1:$1000,12,FALSE())*J568,"")</f>
        <v>-361358653.5</v>
      </c>
      <c r="I568" s="8" t="n">
        <f aca="false">IFERROR(D568/VLOOKUP(A568,'Dados-Status-Invest'!$1:$1000,14,FALSE()),"")</f>
        <v>270947688.1</v>
      </c>
      <c r="J568" s="9" t="n">
        <f aca="false">IFERROR(D568/VLOOKUP(A568,'Dados-Status-Invest'!$1:$1000,10,FALSE()),"")</f>
        <v>-23680121.46</v>
      </c>
      <c r="K568" s="10" t="n">
        <f aca="false">IFERROR(VLOOKUP(A568,'Dados-Status-Invest'!$1:$1000,3,FALSE())/100,"")</f>
        <v>0</v>
      </c>
      <c r="L568" s="11" t="n">
        <f aca="false">IFERROR(VLOOKUP(A568,'Dados-Status-Invest'!$1:$1000,MATCH(L$1,'Dados-Status-Invest'!$2:$2,0),FALSE())/100,"")</f>
        <v>-0.006</v>
      </c>
      <c r="M568" s="10" t="n">
        <f aca="false">IFERROR(VLOOKUP(A568,'Dados-Status-Invest'!$1:$1000,MATCH(M$1,'Dados-Status-Invest'!$2:$2,0),FALSE())/100,"")</f>
        <v>-0.0046</v>
      </c>
      <c r="N568" s="10" t="n">
        <f aca="false">IFERROR(VLOOKUP(A568,'Dados-Status-Invest'!$1:$1000,MATCH(N$1,'Dados-Status-Invest'!$2:$2,0),FALSE())/100,"")</f>
        <v>-0.1161</v>
      </c>
      <c r="O568" s="10" t="n">
        <f aca="false">IFERROR(VLOOKUP(A568,'Dados-Status-Invest'!$1:$1000,MATCH(O$1,'Dados-Status-Invest'!$2:$2,0),FALSE())/100,"")</f>
        <v>0.4506</v>
      </c>
      <c r="P568" s="10" t="n">
        <f aca="false">IFERROR(VLOOKUP(A568,'Dados-Status-Invest'!$1:$1000,MATCH(P$1,'Dados-Status-Invest'!$2:$2,0),FALSE())/100,"")</f>
        <v>-0.0873</v>
      </c>
      <c r="Q568" s="10" t="n">
        <f aca="false">IFERROR(VLOOKUP(A568,'Dados-Status-Invest'!$1:$1000,MATCH(Q$1,'Dados-Status-Invest'!$2:$2,0),FALSE())/100,"")</f>
        <v>-0.0089</v>
      </c>
      <c r="R568" s="12" t="n">
        <f aca="false">IFERROR(VLOOKUP(A568,'Dados-Status-Invest'!$1:$1000,MATCH(R$1,'Dados-Status-Invest'!$2:$2,0),FALSE()),"")</f>
        <v>-407.07</v>
      </c>
      <c r="S568" s="12" t="n">
        <f aca="false">IFERROR(VLOOKUP(A568,'Dados-Status-Invest'!$1:$1000,MATCH(S$1,'Dados-Status-Invest'!$2:$2,0),FALSE()),"")</f>
        <v>2.45</v>
      </c>
      <c r="T568" s="12" t="n">
        <f aca="false">IFERROR(VLOOKUP(A568,'Dados-Status-Invest'!$1:$1000,MATCH(T$1,'Dados-Status-Invest'!$2:$2,0),FALSE()),"")</f>
        <v>-25.92</v>
      </c>
      <c r="U568" s="12" t="n">
        <f aca="false">IFERROR(VLOOKUP(A568,'Dados-Status-Invest'!$1:$1000,MATCH(U$1,'Dados-Status-Invest'!$2:$2,0),FALSE()),"")</f>
        <v>4.62</v>
      </c>
      <c r="V568" s="12" t="n">
        <f aca="false">IFERROR(VLOOKUP(A568,'Dados-Status-Invest'!$1:$1000,MATCH(V$1,'Dados-Status-Invest'!$2:$2,0),FALSE()),"")</f>
        <v>15.26</v>
      </c>
      <c r="W568" s="10" t="n">
        <f aca="false">IFERROR(VLOOKUP(A568,'Dados-Status-Invest'!$1:$1000,MATCH(W$1,'Dados-Status-Invest'!$2:$2,0),FALSE())/100,"")</f>
        <v>0</v>
      </c>
      <c r="X568" s="10" t="n">
        <f aca="false">IFERROR(VLOOKUP(A568,'Dados-Status-Invest'!$1:$1000,MATCH(X$1,'Dados-Status-Invest'!$2:$2,0),FALSE())/100,"")</f>
        <v>0</v>
      </c>
    </row>
    <row r="569" customFormat="false" ht="15.75" hidden="false" customHeight="false" outlineLevel="0" collapsed="false">
      <c r="A569" s="6" t="s">
        <v>602</v>
      </c>
      <c r="B569" s="7" t="str">
        <f aca="false">IFERROR(VLOOKUP(LEFT(A569,4),Setor!A:D,2,FALSE()),"")</f>
        <v>Consumo Cíclico</v>
      </c>
      <c r="C569" s="8" t="n">
        <f aca="false">IFERROR(__xludf.dummyfunction("IFERROR(IFERROR(GOOGLEFINANCE(A575,""price""),VLOOKUP(A575,'Dados-Status-Invest'!A:B,2,FALSE)),"""")"),5.1)</f>
        <v>5.1</v>
      </c>
      <c r="D569" s="8" t="n">
        <f aca="false">IFERROR(VLOOKUP(A569,'Dados-Status-Invest'!$1:$1000,MATCH(D$1,'Dados-Status-Invest'!$2:$2,0),FALSE()),"")</f>
        <v>10923903025</v>
      </c>
      <c r="E569" s="8" t="n">
        <f aca="false">IF(D569+H569&gt;0,D569+H569,"")</f>
        <v>8859992328</v>
      </c>
      <c r="F569" s="8" t="n">
        <f aca="false">IFERROR(D569/VLOOKUP(A569,'Dados-Status-Invest'!$1:$1000,5,FALSE()),"")</f>
        <v>2314386234</v>
      </c>
      <c r="G569" s="8" t="n">
        <f aca="false">IFERROR(D569/VLOOKUP(A569,'Dados-Status-Invest'!$1:$1000,6,FALSE()),"")</f>
        <v>8152166436</v>
      </c>
      <c r="H569" s="8" t="n">
        <f aca="false">IFERROR(VLOOKUP(A569,'Dados-Status-Invest'!$1:$1000,12,FALSE())*J569,"")</f>
        <v>-2063910697</v>
      </c>
      <c r="I569" s="8" t="n">
        <f aca="false">IFERROR(D569/VLOOKUP(A569,'Dados-Status-Invest'!$1:$1000,14,FALSE()),"")</f>
        <v>10503752908</v>
      </c>
      <c r="J569" s="9" t="n">
        <f aca="false">IFERROR(D569/VLOOKUP(A569,'Dados-Status-Invest'!$1:$1000,10,FALSE()),"")</f>
        <v>1140282153</v>
      </c>
      <c r="K569" s="10" t="n">
        <f aca="false">IFERROR(VLOOKUP(A569,'Dados-Status-Invest'!$1:$1000,3,FALSE())/100,"")</f>
        <v>0.0636</v>
      </c>
      <c r="L569" s="11" t="n">
        <f aca="false">IFERROR(VLOOKUP(A569,'Dados-Status-Invest'!$1:$1000,MATCH(L$1,'Dados-Status-Invest'!$2:$2,0),FALSE())/100,"")</f>
        <v>0.3665</v>
      </c>
      <c r="M569" s="10" t="n">
        <f aca="false">IFERROR(VLOOKUP(A569,'Dados-Status-Invest'!$1:$1000,MATCH(M$1,'Dados-Status-Invest'!$2:$2,0),FALSE())/100,"")</f>
        <v>0.1045</v>
      </c>
      <c r="N569" s="10" t="n">
        <f aca="false">IFERROR(VLOOKUP(A569,'Dados-Status-Invest'!$1:$1000,MATCH(N$1,'Dados-Status-Invest'!$2:$2,0),FALSE())/100,"")</f>
        <v>0.3004</v>
      </c>
      <c r="O569" s="10" t="n">
        <f aca="false">IFERROR(VLOOKUP(A569,'Dados-Status-Invest'!$1:$1000,MATCH(O$1,'Dados-Status-Invest'!$2:$2,0),FALSE())/100,"")</f>
        <v>0.1975</v>
      </c>
      <c r="P569" s="10" t="n">
        <f aca="false">IFERROR(VLOOKUP(A569,'Dados-Status-Invest'!$1:$1000,MATCH(P$1,'Dados-Status-Invest'!$2:$2,0),FALSE())/100,"")</f>
        <v>0.109</v>
      </c>
      <c r="Q569" s="10" t="n">
        <f aca="false">IFERROR(VLOOKUP(A569,'Dados-Status-Invest'!$1:$1000,MATCH(Q$1,'Dados-Status-Invest'!$2:$2,0),FALSE())/100,"")</f>
        <v>0.0811</v>
      </c>
      <c r="R569" s="12" t="n">
        <f aca="false">IFERROR(VLOOKUP(A569,'Dados-Status-Invest'!$1:$1000,MATCH(R$1,'Dados-Status-Invest'!$2:$2,0),FALSE()),"")</f>
        <v>12.87</v>
      </c>
      <c r="S569" s="12" t="n">
        <f aca="false">IFERROR(VLOOKUP(A569,'Dados-Status-Invest'!$1:$1000,MATCH(S$1,'Dados-Status-Invest'!$2:$2,0),FALSE()),"")</f>
        <v>4.72</v>
      </c>
      <c r="T569" s="12" t="n">
        <f aca="false">IFERROR(VLOOKUP(A569,'Dados-Status-Invest'!$1:$1000,MATCH(T$1,'Dados-Status-Invest'!$2:$2,0),FALSE()),"")</f>
        <v>8.28</v>
      </c>
      <c r="U569" s="12" t="n">
        <f aca="false">IFERROR(VLOOKUP(A569,'Dados-Status-Invest'!$1:$1000,MATCH(U$1,'Dados-Status-Invest'!$2:$2,0),FALSE()),"")</f>
        <v>1.21</v>
      </c>
      <c r="V569" s="12" t="n">
        <f aca="false">IFERROR(VLOOKUP(A569,'Dados-Status-Invest'!$1:$1000,MATCH(V$1,'Dados-Status-Invest'!$2:$2,0),FALSE()),"")</f>
        <v>-1.81</v>
      </c>
      <c r="W569" s="10" t="n">
        <f aca="false">IFERROR(VLOOKUP(A569,'Dados-Status-Invest'!$1:$1000,MATCH(W$1,'Dados-Status-Invest'!$2:$2,0),FALSE())/100,"")</f>
        <v>-0.0028</v>
      </c>
      <c r="X569" s="10" t="n">
        <f aca="false">IFERROR(VLOOKUP(A569,'Dados-Status-Invest'!$1:$1000,MATCH(X$1,'Dados-Status-Invest'!$2:$2,0),FALSE())/100,"")</f>
        <v>0.1966</v>
      </c>
    </row>
    <row r="570" customFormat="false" ht="15.75" hidden="false" customHeight="false" outlineLevel="0" collapsed="false">
      <c r="A570" s="6" t="s">
        <v>603</v>
      </c>
      <c r="B570" s="7" t="str">
        <f aca="false">IFERROR(VLOOKUP(LEFT(A570,4),Setor!A:D,2,FALSE()),"")</f>
        <v>Consumo Cíclico</v>
      </c>
      <c r="C570" s="8" t="n">
        <f aca="false">IFERROR(__xludf.dummyfunction("IFERROR(IFERROR(GOOGLEFINANCE(A576,""price""),VLOOKUP(A576,'Dados-Status-Invest'!A:B,2,FALSE)),"""")"),5.15)</f>
        <v>5.15</v>
      </c>
      <c r="D570" s="8" t="n">
        <f aca="false">IFERROR(VLOOKUP(A570,'Dados-Status-Invest'!$1:$1000,MATCH(D$1,'Dados-Status-Invest'!$2:$2,0),FALSE()),"")</f>
        <v>10923903025</v>
      </c>
      <c r="E570" s="8" t="n">
        <f aca="false">IF(D570+H570&gt;0,D570+H570,"")</f>
        <v>9160097095</v>
      </c>
      <c r="F570" s="8" t="n">
        <f aca="false">IFERROR(D570/VLOOKUP(A570,'Dados-Status-Invest'!$1:$1000,5,FALSE()),"")</f>
        <v>1978967939</v>
      </c>
      <c r="G570" s="8" t="n">
        <f aca="false">IFERROR(D570/VLOOKUP(A570,'Dados-Status-Invest'!$1:$1000,6,FALSE()),"")</f>
        <v>6957900016</v>
      </c>
      <c r="H570" s="8" t="n">
        <f aca="false">IFERROR(VLOOKUP(A570,'Dados-Status-Invest'!$1:$1000,12,FALSE())*J570,"")</f>
        <v>-1763805930</v>
      </c>
      <c r="I570" s="8" t="n">
        <f aca="false">IFERROR(D570/VLOOKUP(A570,'Dados-Status-Invest'!$1:$1000,14,FALSE()),"")</f>
        <v>8954018873</v>
      </c>
      <c r="J570" s="9" t="n">
        <f aca="false">IFERROR(D570/VLOOKUP(A570,'Dados-Status-Invest'!$1:$1000,10,FALSE()),"")</f>
        <v>974478414.3</v>
      </c>
      <c r="K570" s="10" t="n">
        <f aca="false">IFERROR(VLOOKUP(A570,'Dados-Status-Invest'!$1:$1000,3,FALSE())/100,"")</f>
        <v>0.0597</v>
      </c>
      <c r="L570" s="11" t="n">
        <f aca="false">IFERROR(VLOOKUP(A570,'Dados-Status-Invest'!$1:$1000,MATCH(L$1,'Dados-Status-Invest'!$2:$2,0),FALSE())/100,"")</f>
        <v>0.3665</v>
      </c>
      <c r="M570" s="10" t="n">
        <f aca="false">IFERROR(VLOOKUP(A570,'Dados-Status-Invest'!$1:$1000,MATCH(M$1,'Dados-Status-Invest'!$2:$2,0),FALSE())/100,"")</f>
        <v>0.1045</v>
      </c>
      <c r="N570" s="10" t="n">
        <f aca="false">IFERROR(VLOOKUP(A570,'Dados-Status-Invest'!$1:$1000,MATCH(N$1,'Dados-Status-Invest'!$2:$2,0),FALSE())/100,"")</f>
        <v>0.3004</v>
      </c>
      <c r="O570" s="10" t="n">
        <f aca="false">IFERROR(VLOOKUP(A570,'Dados-Status-Invest'!$1:$1000,MATCH(O$1,'Dados-Status-Invest'!$2:$2,0),FALSE())/100,"")</f>
        <v>0.1975</v>
      </c>
      <c r="P570" s="10" t="n">
        <f aca="false">IFERROR(VLOOKUP(A570,'Dados-Status-Invest'!$1:$1000,MATCH(P$1,'Dados-Status-Invest'!$2:$2,0),FALSE())/100,"")</f>
        <v>0.109</v>
      </c>
      <c r="Q570" s="10" t="n">
        <f aca="false">IFERROR(VLOOKUP(A570,'Dados-Status-Invest'!$1:$1000,MATCH(Q$1,'Dados-Status-Invest'!$2:$2,0),FALSE())/100,"")</f>
        <v>0.0811</v>
      </c>
      <c r="R570" s="12" t="n">
        <f aca="false">IFERROR(VLOOKUP(A570,'Dados-Status-Invest'!$1:$1000,MATCH(R$1,'Dados-Status-Invest'!$2:$2,0),FALSE()),"")</f>
        <v>15.07</v>
      </c>
      <c r="S570" s="12" t="n">
        <f aca="false">IFERROR(VLOOKUP(A570,'Dados-Status-Invest'!$1:$1000,MATCH(S$1,'Dados-Status-Invest'!$2:$2,0),FALSE()),"")</f>
        <v>5.52</v>
      </c>
      <c r="T570" s="12" t="n">
        <f aca="false">IFERROR(VLOOKUP(A570,'Dados-Status-Invest'!$1:$1000,MATCH(T$1,'Dados-Status-Invest'!$2:$2,0),FALSE()),"")</f>
        <v>8.28</v>
      </c>
      <c r="U570" s="12" t="n">
        <f aca="false">IFERROR(VLOOKUP(A570,'Dados-Status-Invest'!$1:$1000,MATCH(U$1,'Dados-Status-Invest'!$2:$2,0),FALSE()),"")</f>
        <v>1.21</v>
      </c>
      <c r="V570" s="12" t="n">
        <f aca="false">IFERROR(VLOOKUP(A570,'Dados-Status-Invest'!$1:$1000,MATCH(V$1,'Dados-Status-Invest'!$2:$2,0),FALSE()),"")</f>
        <v>-1.81</v>
      </c>
      <c r="W570" s="10" t="n">
        <f aca="false">IFERROR(VLOOKUP(A570,'Dados-Status-Invest'!$1:$1000,MATCH(W$1,'Dados-Status-Invest'!$2:$2,0),FALSE())/100,"")</f>
        <v>-0.0028</v>
      </c>
      <c r="X570" s="10" t="n">
        <f aca="false">IFERROR(VLOOKUP(A570,'Dados-Status-Invest'!$1:$1000,MATCH(X$1,'Dados-Status-Invest'!$2:$2,0),FALSE())/100,"")</f>
        <v>0.1966</v>
      </c>
    </row>
    <row r="571" customFormat="false" ht="15.75" hidden="false" customHeight="false" outlineLevel="0" collapsed="false">
      <c r="A571" s="6" t="s">
        <v>604</v>
      </c>
      <c r="B571" s="7" t="str">
        <f aca="false">IFERROR(VLOOKUP(LEFT(A571,4),Setor!A:D,2,FALSE()),"")</f>
        <v>Financeiro</v>
      </c>
      <c r="C571" s="8" t="n">
        <f aca="false">IFERROR(__xludf.dummyfunction("IFERROR(IFERROR(GOOGLEFINANCE(A577,""price""),VLOOKUP(A577,'Dados-Status-Invest'!A:B,2,FALSE)),"""")"),8.55)</f>
        <v>8.55</v>
      </c>
      <c r="D571" s="8" t="n">
        <f aca="false">IFERROR(VLOOKUP(A571,'Dados-Status-Invest'!$1:$1000,MATCH(D$1,'Dados-Status-Invest'!$2:$2,0),FALSE()),"")</f>
        <v>2739211741</v>
      </c>
      <c r="E571" s="8" t="n">
        <f aca="false">IF(D571+H571&gt;0,D571+H571,"")</f>
        <v>2484005678.2</v>
      </c>
      <c r="F571" s="8" t="n">
        <f aca="false">IFERROR(D571/VLOOKUP(A571,'Dados-Status-Invest'!$1:$1000,5,FALSE()),"")</f>
        <v>336926413.4</v>
      </c>
      <c r="G571" s="8" t="n">
        <f aca="false">IFERROR(D571/VLOOKUP(A571,'Dados-Status-Invest'!$1:$1000,6,FALSE()),"")</f>
        <v>931704673.7</v>
      </c>
      <c r="H571" s="8" t="n">
        <f aca="false">IFERROR(VLOOKUP(A571,'Dados-Status-Invest'!$1:$1000,12,FALSE())*J571,"")</f>
        <v>-255206062.8</v>
      </c>
      <c r="I571" s="8" t="n">
        <f aca="false">IFERROR(D571/VLOOKUP(A571,'Dados-Status-Invest'!$1:$1000,14,FALSE()),"")</f>
        <v>835125530.7</v>
      </c>
      <c r="J571" s="9" t="n">
        <f aca="false">IFERROR(D571/VLOOKUP(A571,'Dados-Status-Invest'!$1:$1000,10,FALSE()),"")</f>
        <v>340274750.4</v>
      </c>
      <c r="K571" s="10" t="n">
        <f aca="false">IFERROR(VLOOKUP(A571,'Dados-Status-Invest'!$1:$1000,3,FALSE())/100,"")</f>
        <v>0.0346</v>
      </c>
      <c r="L571" s="11" t="n">
        <f aca="false">IFERROR(VLOOKUP(A571,'Dados-Status-Invest'!$1:$1000,MATCH(L$1,'Dados-Status-Invest'!$2:$2,0),FALSE())/100,"")</f>
        <v>0.5977</v>
      </c>
      <c r="M571" s="10" t="n">
        <f aca="false">IFERROR(VLOOKUP(A571,'Dados-Status-Invest'!$1:$1000,MATCH(M$1,'Dados-Status-Invest'!$2:$2,0),FALSE())/100,"")</f>
        <v>0.2162</v>
      </c>
      <c r="N571" s="10" t="n">
        <f aca="false">IFERROR(VLOOKUP(A571,'Dados-Status-Invest'!$1:$1000,MATCH(N$1,'Dados-Status-Invest'!$2:$2,0),FALSE())/100,"")</f>
        <v>0.6453</v>
      </c>
      <c r="O571" s="10" t="n">
        <f aca="false">IFERROR(VLOOKUP(A571,'Dados-Status-Invest'!$1:$1000,MATCH(O$1,'Dados-Status-Invest'!$2:$2,0),FALSE())/100,"")</f>
        <v>0.7426</v>
      </c>
      <c r="P571" s="10" t="n">
        <f aca="false">IFERROR(VLOOKUP(A571,'Dados-Status-Invest'!$1:$1000,MATCH(P$1,'Dados-Status-Invest'!$2:$2,0),FALSE())/100,"")</f>
        <v>0.4075</v>
      </c>
      <c r="Q571" s="10" t="n">
        <f aca="false">IFERROR(VLOOKUP(A571,'Dados-Status-Invest'!$1:$1000,MATCH(Q$1,'Dados-Status-Invest'!$2:$2,0),FALSE())/100,"")</f>
        <v>0.2412</v>
      </c>
      <c r="R571" s="12" t="n">
        <f aca="false">IFERROR(VLOOKUP(A571,'Dados-Status-Invest'!$1:$1000,MATCH(R$1,'Dados-Status-Invest'!$2:$2,0),FALSE()),"")</f>
        <v>13.6</v>
      </c>
      <c r="S571" s="12" t="n">
        <f aca="false">IFERROR(VLOOKUP(A571,'Dados-Status-Invest'!$1:$1000,MATCH(S$1,'Dados-Status-Invest'!$2:$2,0),FALSE()),"")</f>
        <v>8.13</v>
      </c>
      <c r="T571" s="12" t="n">
        <f aca="false">IFERROR(VLOOKUP(A571,'Dados-Status-Invest'!$1:$1000,MATCH(T$1,'Dados-Status-Invest'!$2:$2,0),FALSE()),"")</f>
        <v>7.08</v>
      </c>
      <c r="U571" s="12" t="n">
        <f aca="false">IFERROR(VLOOKUP(A571,'Dados-Status-Invest'!$1:$1000,MATCH(U$1,'Dados-Status-Invest'!$2:$2,0),FALSE()),"")</f>
        <v>1.13</v>
      </c>
      <c r="V571" s="12" t="n">
        <f aca="false">IFERROR(VLOOKUP(A571,'Dados-Status-Invest'!$1:$1000,MATCH(V$1,'Dados-Status-Invest'!$2:$2,0),FALSE()),"")</f>
        <v>-0.75</v>
      </c>
      <c r="W571" s="10" t="n">
        <f aca="false">IFERROR(VLOOKUP(A571,'Dados-Status-Invest'!$1:$1000,MATCH(W$1,'Dados-Status-Invest'!$2:$2,0),FALSE())/100,"")</f>
        <v>0.1716</v>
      </c>
      <c r="X571" s="10" t="n">
        <f aca="false">IFERROR(VLOOKUP(A571,'Dados-Status-Invest'!$1:$1000,MATCH(X$1,'Dados-Status-Invest'!$2:$2,0),FALSE())/100,"")</f>
        <v>0.1487</v>
      </c>
    </row>
    <row r="572" customFormat="false" ht="15.75" hidden="false" customHeight="false" outlineLevel="0" collapsed="false">
      <c r="A572" s="6" t="s">
        <v>605</v>
      </c>
      <c r="B572" s="7" t="str">
        <f aca="false">IFERROR(VLOOKUP(LEFT(A572,4),Setor!A:D,2,FALSE()),"")</f>
        <v>Bens Industriais</v>
      </c>
      <c r="C572" s="8" t="n">
        <f aca="false">IFERROR(__xludf.dummyfunction("IFERROR(IFERROR(GOOGLEFINANCE(A578,""price""),VLOOKUP(A578,'Dados-Status-Invest'!A:B,2,FALSE)),"""")"),29.88)</f>
        <v>29.88</v>
      </c>
      <c r="D572" s="8" t="n">
        <f aca="false">IFERROR(VLOOKUP(A572,'Dados-Status-Invest'!$1:$1000,MATCH(D$1,'Dados-Status-Invest'!$2:$2,0),FALSE()),"")</f>
        <v>1388247929</v>
      </c>
      <c r="E572" s="8" t="n">
        <f aca="false">IF(D572+H572&gt;0,D572+H572,"")</f>
        <v>1271861584.5</v>
      </c>
      <c r="F572" s="8" t="n">
        <f aca="false">IFERROR(D572/VLOOKUP(A572,'Dados-Status-Invest'!$1:$1000,5,FALSE()),"")</f>
        <v>514165899.6</v>
      </c>
      <c r="G572" s="8" t="n">
        <f aca="false">IFERROR(D572/VLOOKUP(A572,'Dados-Status-Invest'!$1:$1000,6,FALSE()),"")</f>
        <v>667426888.9</v>
      </c>
      <c r="H572" s="8" t="n">
        <f aca="false">IFERROR(VLOOKUP(A572,'Dados-Status-Invest'!$1:$1000,12,FALSE())*J572,"")</f>
        <v>-116386344.5</v>
      </c>
      <c r="I572" s="8" t="n">
        <f aca="false">IFERROR(D572/VLOOKUP(A572,'Dados-Status-Invest'!$1:$1000,14,FALSE()),"")</f>
        <v>1309667858</v>
      </c>
      <c r="J572" s="9" t="n">
        <f aca="false">IFERROR(D572/VLOOKUP(A572,'Dados-Status-Invest'!$1:$1000,10,FALSE()),"")</f>
        <v>104852562.6</v>
      </c>
      <c r="K572" s="10" t="n">
        <f aca="false">IFERROR(VLOOKUP(A572,'Dados-Status-Invest'!$1:$1000,3,FALSE())/100,"")</f>
        <v>0.0117</v>
      </c>
      <c r="L572" s="11" t="n">
        <f aca="false">IFERROR(VLOOKUP(A572,'Dados-Status-Invest'!$1:$1000,MATCH(L$1,'Dados-Status-Invest'!$2:$2,0),FALSE())/100,"")</f>
        <v>0.144</v>
      </c>
      <c r="M572" s="10" t="n">
        <f aca="false">IFERROR(VLOOKUP(A572,'Dados-Status-Invest'!$1:$1000,MATCH(M$1,'Dados-Status-Invest'!$2:$2,0),FALSE())/100,"")</f>
        <v>0.1107</v>
      </c>
      <c r="N572" s="10" t="n">
        <f aca="false">IFERROR(VLOOKUP(A572,'Dados-Status-Invest'!$1:$1000,MATCH(N$1,'Dados-Status-Invest'!$2:$2,0),FALSE())/100,"")</f>
        <v>0.1376</v>
      </c>
      <c r="O572" s="10" t="n">
        <f aca="false">IFERROR(VLOOKUP(A572,'Dados-Status-Invest'!$1:$1000,MATCH(O$1,'Dados-Status-Invest'!$2:$2,0),FALSE())/100,"")</f>
        <v>0.1443</v>
      </c>
      <c r="P572" s="10" t="n">
        <f aca="false">IFERROR(VLOOKUP(A572,'Dados-Status-Invest'!$1:$1000,MATCH(P$1,'Dados-Status-Invest'!$2:$2,0),FALSE())/100,"")</f>
        <v>0.0802</v>
      </c>
      <c r="Q572" s="10" t="n">
        <f aca="false">IFERROR(VLOOKUP(A572,'Dados-Status-Invest'!$1:$1000,MATCH(Q$1,'Dados-Status-Invest'!$2:$2,0),FALSE())/100,"")</f>
        <v>0.0566</v>
      </c>
      <c r="R572" s="12" t="n">
        <f aca="false">IFERROR(VLOOKUP(A572,'Dados-Status-Invest'!$1:$1000,MATCH(R$1,'Dados-Status-Invest'!$2:$2,0),FALSE()),"")</f>
        <v>18.77</v>
      </c>
      <c r="S572" s="12" t="n">
        <f aca="false">IFERROR(VLOOKUP(A572,'Dados-Status-Invest'!$1:$1000,MATCH(S$1,'Dados-Status-Invest'!$2:$2,0),FALSE()),"")</f>
        <v>2.7</v>
      </c>
      <c r="T572" s="12" t="n">
        <f aca="false">IFERROR(VLOOKUP(A572,'Dados-Status-Invest'!$1:$1000,MATCH(T$1,'Dados-Status-Invest'!$2:$2,0),FALSE()),"")</f>
        <v>12.95</v>
      </c>
      <c r="U572" s="12" t="n">
        <f aca="false">IFERROR(VLOOKUP(A572,'Dados-Status-Invest'!$1:$1000,MATCH(U$1,'Dados-Status-Invest'!$2:$2,0),FALSE()),"")</f>
        <v>3.34</v>
      </c>
      <c r="V572" s="12" t="n">
        <f aca="false">IFERROR(VLOOKUP(A572,'Dados-Status-Invest'!$1:$1000,MATCH(V$1,'Dados-Status-Invest'!$2:$2,0),FALSE()),"")</f>
        <v>-1.11</v>
      </c>
      <c r="W572" s="10" t="n">
        <f aca="false">IFERROR(VLOOKUP(A572,'Dados-Status-Invest'!$1:$1000,MATCH(W$1,'Dados-Status-Invest'!$2:$2,0),FALSE())/100,"")</f>
        <v>0.1481</v>
      </c>
      <c r="X572" s="10" t="n">
        <f aca="false">IFERROR(VLOOKUP(A572,'Dados-Status-Invest'!$1:$1000,MATCH(X$1,'Dados-Status-Invest'!$2:$2,0),FALSE())/100,"")</f>
        <v>0.6904</v>
      </c>
    </row>
    <row r="573" customFormat="false" ht="15.75" hidden="false" customHeight="false" outlineLevel="0" collapsed="false">
      <c r="A573" s="6" t="s">
        <v>606</v>
      </c>
      <c r="B573" s="7" t="str">
        <f aca="false">IFERROR(VLOOKUP(LEFT(A573,4),Setor!A:D,2,FALSE()),"")</f>
        <v>Bens Industriais</v>
      </c>
      <c r="C573" s="8" t="n">
        <f aca="false">IFERROR(__xludf.dummyfunction("IFERROR(IFERROR(GOOGLEFINANCE(A579,""price""),VLOOKUP(A579,'Dados-Status-Invest'!A:B,2,FALSE)),"""")"),29.7)</f>
        <v>29.7</v>
      </c>
      <c r="D573" s="8" t="n">
        <f aca="false">IFERROR(VLOOKUP(A573,'Dados-Status-Invest'!$1:$1000,MATCH(D$1,'Dados-Status-Invest'!$2:$2,0),FALSE()),"")</f>
        <v>1388247929</v>
      </c>
      <c r="E573" s="8" t="n">
        <f aca="false">IF(D573+H573&gt;0,D573+H573,"")</f>
        <v>1283776389.9</v>
      </c>
      <c r="F573" s="8" t="n">
        <f aca="false">IFERROR(D573/VLOOKUP(A573,'Dados-Status-Invest'!$1:$1000,5,FALSE()),"")</f>
        <v>461211936.5</v>
      </c>
      <c r="G573" s="8" t="n">
        <f aca="false">IFERROR(D573/VLOOKUP(A573,'Dados-Status-Invest'!$1:$1000,6,FALSE()),"")</f>
        <v>600973129.4</v>
      </c>
      <c r="H573" s="8" t="n">
        <f aca="false">IFERROR(VLOOKUP(A573,'Dados-Status-Invest'!$1:$1000,12,FALSE())*J573,"")</f>
        <v>-104471539.1</v>
      </c>
      <c r="I573" s="8" t="n">
        <f aca="false">IFERROR(D573/VLOOKUP(A573,'Dados-Status-Invest'!$1:$1000,14,FALSE()),"")</f>
        <v>1176481296</v>
      </c>
      <c r="J573" s="9" t="n">
        <f aca="false">IFERROR(D573/VLOOKUP(A573,'Dados-Status-Invest'!$1:$1000,10,FALSE()),"")</f>
        <v>94118503.66</v>
      </c>
      <c r="K573" s="10" t="n">
        <f aca="false">IFERROR(VLOOKUP(A573,'Dados-Status-Invest'!$1:$1000,3,FALSE())/100,"")</f>
        <v>0.0115</v>
      </c>
      <c r="L573" s="11" t="n">
        <f aca="false">IFERROR(VLOOKUP(A573,'Dados-Status-Invest'!$1:$1000,MATCH(L$1,'Dados-Status-Invest'!$2:$2,0),FALSE())/100,"")</f>
        <v>0.144</v>
      </c>
      <c r="M573" s="10" t="n">
        <f aca="false">IFERROR(VLOOKUP(A573,'Dados-Status-Invest'!$1:$1000,MATCH(M$1,'Dados-Status-Invest'!$2:$2,0),FALSE())/100,"")</f>
        <v>0.1107</v>
      </c>
      <c r="N573" s="10" t="n">
        <f aca="false">IFERROR(VLOOKUP(A573,'Dados-Status-Invest'!$1:$1000,MATCH(N$1,'Dados-Status-Invest'!$2:$2,0),FALSE())/100,"")</f>
        <v>0.1376</v>
      </c>
      <c r="O573" s="10" t="n">
        <f aca="false">IFERROR(VLOOKUP(A573,'Dados-Status-Invest'!$1:$1000,MATCH(O$1,'Dados-Status-Invest'!$2:$2,0),FALSE())/100,"")</f>
        <v>0.1443</v>
      </c>
      <c r="P573" s="10" t="n">
        <f aca="false">IFERROR(VLOOKUP(A573,'Dados-Status-Invest'!$1:$1000,MATCH(P$1,'Dados-Status-Invest'!$2:$2,0),FALSE())/100,"")</f>
        <v>0.0802</v>
      </c>
      <c r="Q573" s="10" t="n">
        <f aca="false">IFERROR(VLOOKUP(A573,'Dados-Status-Invest'!$1:$1000,MATCH(Q$1,'Dados-Status-Invest'!$2:$2,0),FALSE())/100,"")</f>
        <v>0.0566</v>
      </c>
      <c r="R573" s="12" t="n">
        <f aca="false">IFERROR(VLOOKUP(A573,'Dados-Status-Invest'!$1:$1000,MATCH(R$1,'Dados-Status-Invest'!$2:$2,0),FALSE()),"")</f>
        <v>20.9</v>
      </c>
      <c r="S573" s="12" t="n">
        <f aca="false">IFERROR(VLOOKUP(A573,'Dados-Status-Invest'!$1:$1000,MATCH(S$1,'Dados-Status-Invest'!$2:$2,0),FALSE()),"")</f>
        <v>3.01</v>
      </c>
      <c r="T573" s="12" t="n">
        <f aca="false">IFERROR(VLOOKUP(A573,'Dados-Status-Invest'!$1:$1000,MATCH(T$1,'Dados-Status-Invest'!$2:$2,0),FALSE()),"")</f>
        <v>12.95</v>
      </c>
      <c r="U573" s="12" t="n">
        <f aca="false">IFERROR(VLOOKUP(A573,'Dados-Status-Invest'!$1:$1000,MATCH(U$1,'Dados-Status-Invest'!$2:$2,0),FALSE()),"")</f>
        <v>3.34</v>
      </c>
      <c r="V573" s="12" t="n">
        <f aca="false">IFERROR(VLOOKUP(A573,'Dados-Status-Invest'!$1:$1000,MATCH(V$1,'Dados-Status-Invest'!$2:$2,0),FALSE()),"")</f>
        <v>-1.11</v>
      </c>
      <c r="W573" s="10" t="n">
        <f aca="false">IFERROR(VLOOKUP(A573,'Dados-Status-Invest'!$1:$1000,MATCH(W$1,'Dados-Status-Invest'!$2:$2,0),FALSE())/100,"")</f>
        <v>0.1481</v>
      </c>
      <c r="X573" s="10" t="n">
        <f aca="false">IFERROR(VLOOKUP(A573,'Dados-Status-Invest'!$1:$1000,MATCH(X$1,'Dados-Status-Invest'!$2:$2,0),FALSE())/100,"")</f>
        <v>0.6904</v>
      </c>
    </row>
    <row r="574" customFormat="false" ht="15.75" hidden="false" customHeight="false" outlineLevel="0" collapsed="false">
      <c r="A574" s="6" t="s">
        <v>607</v>
      </c>
      <c r="B574" s="7" t="str">
        <f aca="false">IFERROR(VLOOKUP(LEFT(A574,4),Setor!A:D,2,FALSE()),"")</f>
        <v>Bens Industriais</v>
      </c>
      <c r="C574" s="8" t="n">
        <f aca="false">IFERROR(__xludf.dummyfunction("IFERROR(IFERROR(GOOGLEFINANCE(A580,""price""),VLOOKUP(A580,'Dados-Status-Invest'!A:B,2,FALSE)),"""")"),65)</f>
        <v>65</v>
      </c>
      <c r="D574" s="8" t="n">
        <f aca="false">IFERROR(VLOOKUP(A574,'Dados-Status-Invest'!$1:$1000,MATCH(D$1,'Dados-Status-Invest'!$2:$2,0),FALSE()),"")</f>
        <v>4735897400</v>
      </c>
      <c r="E574" s="8" t="n">
        <f aca="false">IF(D574+H574&gt;0,D574+H574,"")</f>
        <v>6898450749</v>
      </c>
      <c r="F574" s="8" t="n">
        <f aca="false">IFERROR(D574/VLOOKUP(A574,'Dados-Status-Invest'!$1:$1000,5,FALSE()),"")</f>
        <v>2428665333</v>
      </c>
      <c r="G574" s="8" t="n">
        <f aca="false">IFERROR(D574/VLOOKUP(A574,'Dados-Status-Invest'!$1:$1000,6,FALSE()),"")</f>
        <v>5637973095</v>
      </c>
      <c r="H574" s="8" t="n">
        <f aca="false">IFERROR(VLOOKUP(A574,'Dados-Status-Invest'!$1:$1000,12,FALSE())*J574,"")</f>
        <v>2162553349</v>
      </c>
      <c r="I574" s="8" t="n">
        <f aca="false">IFERROR(D574/VLOOKUP(A574,'Dados-Status-Invest'!$1:$1000,14,FALSE()),"")</f>
        <v>1917367368</v>
      </c>
      <c r="J574" s="9" t="n">
        <f aca="false">IFERROR(D574/VLOOKUP(A574,'Dados-Status-Invest'!$1:$1000,10,FALSE()),"")</f>
        <v>472173220.3</v>
      </c>
      <c r="K574" s="10" t="n">
        <f aca="false">IFERROR(VLOOKUP(A574,'Dados-Status-Invest'!$1:$1000,3,FALSE())/100,"")</f>
        <v>0.0732</v>
      </c>
      <c r="L574" s="11" t="n">
        <f aca="false">IFERROR(VLOOKUP(A574,'Dados-Status-Invest'!$1:$1000,MATCH(L$1,'Dados-Status-Invest'!$2:$2,0),FALSE())/100,"")</f>
        <v>0.0709</v>
      </c>
      <c r="M574" s="10" t="n">
        <f aca="false">IFERROR(VLOOKUP(A574,'Dados-Status-Invest'!$1:$1000,MATCH(M$1,'Dados-Status-Invest'!$2:$2,0),FALSE())/100,"")</f>
        <v>0.0305</v>
      </c>
      <c r="N574" s="10" t="n">
        <f aca="false">IFERROR(VLOOKUP(A574,'Dados-Status-Invest'!$1:$1000,MATCH(N$1,'Dados-Status-Invest'!$2:$2,0),FALSE())/100,"")</f>
        <v>0.0648</v>
      </c>
      <c r="O574" s="10" t="n">
        <f aca="false">IFERROR(VLOOKUP(A574,'Dados-Status-Invest'!$1:$1000,MATCH(O$1,'Dados-Status-Invest'!$2:$2,0),FALSE())/100,"")</f>
        <v>0.5266</v>
      </c>
      <c r="P574" s="10" t="n">
        <f aca="false">IFERROR(VLOOKUP(A574,'Dados-Status-Invest'!$1:$1000,MATCH(P$1,'Dados-Status-Invest'!$2:$2,0),FALSE())/100,"")</f>
        <v>0.2463</v>
      </c>
      <c r="Q574" s="10" t="n">
        <f aca="false">IFERROR(VLOOKUP(A574,'Dados-Status-Invest'!$1:$1000,MATCH(Q$1,'Dados-Status-Invest'!$2:$2,0),FALSE())/100,"")</f>
        <v>0.0899</v>
      </c>
      <c r="R574" s="12" t="n">
        <f aca="false">IFERROR(VLOOKUP(A574,'Dados-Status-Invest'!$1:$1000,MATCH(R$1,'Dados-Status-Invest'!$2:$2,0),FALSE()),"")</f>
        <v>27.5</v>
      </c>
      <c r="S574" s="12" t="n">
        <f aca="false">IFERROR(VLOOKUP(A574,'Dados-Status-Invest'!$1:$1000,MATCH(S$1,'Dados-Status-Invest'!$2:$2,0),FALSE()),"")</f>
        <v>1.95</v>
      </c>
      <c r="T574" s="12" t="n">
        <f aca="false">IFERROR(VLOOKUP(A574,'Dados-Status-Invest'!$1:$1000,MATCH(T$1,'Dados-Status-Invest'!$2:$2,0),FALSE()),"")</f>
        <v>14.62</v>
      </c>
      <c r="U574" s="12" t="n">
        <f aca="false">IFERROR(VLOOKUP(A574,'Dados-Status-Invest'!$1:$1000,MATCH(U$1,'Dados-Status-Invest'!$2:$2,0),FALSE()),"")</f>
        <v>1.67</v>
      </c>
      <c r="V574" s="12" t="n">
        <f aca="false">IFERROR(VLOOKUP(A574,'Dados-Status-Invest'!$1:$1000,MATCH(V$1,'Dados-Status-Invest'!$2:$2,0),FALSE()),"")</f>
        <v>4.58</v>
      </c>
      <c r="W574" s="10" t="n">
        <f aca="false">IFERROR(VLOOKUP(A574,'Dados-Status-Invest'!$1:$1000,MATCH(W$1,'Dados-Status-Invest'!$2:$2,0),FALSE())/100,"")</f>
        <v>0.0154</v>
      </c>
      <c r="X574" s="10" t="n">
        <f aca="false">IFERROR(VLOOKUP(A574,'Dados-Status-Invest'!$1:$1000,MATCH(X$1,'Dados-Status-Invest'!$2:$2,0),FALSE())/100,"")</f>
        <v>0.016</v>
      </c>
    </row>
    <row r="575" customFormat="false" ht="15.75" hidden="false" customHeight="false" outlineLevel="0" collapsed="false">
      <c r="A575" s="6" t="s">
        <v>608</v>
      </c>
      <c r="B575" s="7" t="str">
        <f aca="false">IFERROR(VLOOKUP(LEFT(A575,4),Setor!A:D,2,FALSE()),"")</f>
        <v>Consumo Cíclico</v>
      </c>
      <c r="C575" s="8" t="n">
        <f aca="false">IFERROR(__xludf.dummyfunction("IFERROR(IFERROR(GOOGLEFINANCE(A581,""price""),VLOOKUP(A581,'Dados-Status-Invest'!A:B,2,FALSE)),"""")"),17.21)</f>
        <v>17.21</v>
      </c>
      <c r="D575" s="8" t="n">
        <f aca="false">IFERROR(VLOOKUP(A575,'Dados-Status-Invest'!$1:$1000,MATCH(D$1,'Dados-Status-Invest'!$2:$2,0),FALSE()),"")</f>
        <v>10224659191</v>
      </c>
      <c r="E575" s="8" t="n">
        <f aca="false">IF(D575+H575&gt;0,D575+H575,"")</f>
        <v>13374653192</v>
      </c>
      <c r="F575" s="8" t="n">
        <f aca="false">IFERROR(D575/VLOOKUP(A575,'Dados-Status-Invest'!$1:$1000,5,FALSE()),"")</f>
        <v>3245923553</v>
      </c>
      <c r="G575" s="8" t="n">
        <f aca="false">IFERROR(D575/VLOOKUP(A575,'Dados-Status-Invest'!$1:$1000,6,FALSE()),"")</f>
        <v>9645904897</v>
      </c>
      <c r="H575" s="8" t="n">
        <f aca="false">IFERROR(VLOOKUP(A575,'Dados-Status-Invest'!$1:$1000,12,FALSE())*J575,"")</f>
        <v>3149994001</v>
      </c>
      <c r="I575" s="8" t="n">
        <f aca="false">IFERROR(D575/VLOOKUP(A575,'Dados-Status-Invest'!$1:$1000,14,FALSE()),"")</f>
        <v>4009670271</v>
      </c>
      <c r="J575" s="9" t="n">
        <f aca="false">IFERROR(D575/VLOOKUP(A575,'Dados-Status-Invest'!$1:$1000,10,FALSE()),"")</f>
        <v>269922365.1</v>
      </c>
      <c r="K575" s="10" t="n">
        <f aca="false">IFERROR(VLOOKUP(A575,'Dados-Status-Invest'!$1:$1000,3,FALSE())/100,"")</f>
        <v>0.0142</v>
      </c>
      <c r="L575" s="11" t="n">
        <f aca="false">IFERROR(VLOOKUP(A575,'Dados-Status-Invest'!$1:$1000,MATCH(L$1,'Dados-Status-Invest'!$2:$2,0),FALSE())/100,"")</f>
        <v>-0.0081</v>
      </c>
      <c r="M575" s="10" t="n">
        <f aca="false">IFERROR(VLOOKUP(A575,'Dados-Status-Invest'!$1:$1000,MATCH(M$1,'Dados-Status-Invest'!$2:$2,0),FALSE())/100,"")</f>
        <v>-0.0027</v>
      </c>
      <c r="N575" s="10" t="n">
        <f aca="false">IFERROR(VLOOKUP(A575,'Dados-Status-Invest'!$1:$1000,MATCH(N$1,'Dados-Status-Invest'!$2:$2,0),FALSE())/100,"")</f>
        <v>0.0214</v>
      </c>
      <c r="O575" s="10" t="n">
        <f aca="false">IFERROR(VLOOKUP(A575,'Dados-Status-Invest'!$1:$1000,MATCH(O$1,'Dados-Status-Invest'!$2:$2,0),FALSE())/100,"")</f>
        <v>0.5383</v>
      </c>
      <c r="P575" s="10" t="n">
        <f aca="false">IFERROR(VLOOKUP(A575,'Dados-Status-Invest'!$1:$1000,MATCH(P$1,'Dados-Status-Invest'!$2:$2,0),FALSE())/100,"")</f>
        <v>0.0674</v>
      </c>
      <c r="Q575" s="10" t="n">
        <f aca="false">IFERROR(VLOOKUP(A575,'Dados-Status-Invest'!$1:$1000,MATCH(Q$1,'Dados-Status-Invest'!$2:$2,0),FALSE())/100,"")</f>
        <v>-0.0066</v>
      </c>
      <c r="R575" s="12" t="n">
        <f aca="false">IFERROR(VLOOKUP(A575,'Dados-Status-Invest'!$1:$1000,MATCH(R$1,'Dados-Status-Invest'!$2:$2,0),FALSE()),"")</f>
        <v>-386.92</v>
      </c>
      <c r="S575" s="12" t="n">
        <f aca="false">IFERROR(VLOOKUP(A575,'Dados-Status-Invest'!$1:$1000,MATCH(S$1,'Dados-Status-Invest'!$2:$2,0),FALSE()),"")</f>
        <v>3.15</v>
      </c>
      <c r="T575" s="12" t="n">
        <f aca="false">IFERROR(VLOOKUP(A575,'Dados-Status-Invest'!$1:$1000,MATCH(T$1,'Dados-Status-Invest'!$2:$2,0),FALSE()),"")</f>
        <v>49.46</v>
      </c>
      <c r="U575" s="12" t="n">
        <f aca="false">IFERROR(VLOOKUP(A575,'Dados-Status-Invest'!$1:$1000,MATCH(U$1,'Dados-Status-Invest'!$2:$2,0),FALSE()),"")</f>
        <v>2.52</v>
      </c>
      <c r="V575" s="12" t="n">
        <f aca="false">IFERROR(VLOOKUP(A575,'Dados-Status-Invest'!$1:$1000,MATCH(V$1,'Dados-Status-Invest'!$2:$2,0),FALSE()),"")</f>
        <v>11.67</v>
      </c>
      <c r="W575" s="10" t="n">
        <f aca="false">IFERROR(VLOOKUP(A575,'Dados-Status-Invest'!$1:$1000,MATCH(W$1,'Dados-Status-Invest'!$2:$2,0),FALSE())/100,"")</f>
        <v>0.0562</v>
      </c>
      <c r="X575" s="10" t="n">
        <f aca="false">IFERROR(VLOOKUP(A575,'Dados-Status-Invest'!$1:$1000,MATCH(X$1,'Dados-Status-Invest'!$2:$2,0),FALSE())/100,"")</f>
        <v>-0.2593</v>
      </c>
    </row>
    <row r="576" customFormat="false" ht="15.75" hidden="false" customHeight="false" outlineLevel="0" collapsed="false">
      <c r="B576" s="7" t="str">
        <f aca="false">IFERROR(VLOOKUP(LEFT(A576,4),Setor!A:D,2,FALSE()),"")</f>
        <v/>
      </c>
      <c r="C576" s="8" t="str">
        <f aca="false">IFERROR(__xludf.dummyfunction("IFERROR(IFERROR(GOOGLEFINANCE(A582,""price""),VLOOKUP(A582,'Dados-Status-Invest'!A:B,2,FALSE)),"""")"),"")</f>
        <v/>
      </c>
      <c r="D576" s="8" t="str">
        <f aca="false">IFERROR(VLOOKUP(A576,'Dados-Status-Invest'!$1:$1000,MATCH(D$1,'Dados-Status-Invest'!$2:$2,0),FALSE()),"")</f>
        <v/>
      </c>
      <c r="E576" s="8" t="e">
        <f aca="false">IF(D576+H576&gt;0,D576+H576,"")</f>
        <v>#VALUE!</v>
      </c>
      <c r="F576" s="8" t="str">
        <f aca="false">IFERROR(D576/VLOOKUP(A576,'Dados-Status-Invest'!$1:$1000,5,FALSE()),"")</f>
        <v/>
      </c>
      <c r="G576" s="8" t="str">
        <f aca="false">IFERROR(D576/VLOOKUP(A576,'Dados-Status-Invest'!$1:$1000,6,FALSE()),"")</f>
        <v/>
      </c>
      <c r="H576" s="8" t="str">
        <f aca="false">IFERROR(VLOOKUP(A576,'Dados-Status-Invest'!$1:$1000,12,FALSE())*J576,"")</f>
        <v/>
      </c>
      <c r="I576" s="8" t="str">
        <f aca="false">IFERROR(D576/VLOOKUP(A576,'Dados-Status-Invest'!$1:$1000,14,FALSE()),"")</f>
        <v/>
      </c>
      <c r="J576" s="9" t="str">
        <f aca="false">IFERROR(D576/VLOOKUP(A576,'Dados-Status-Invest'!$1:$1000,10,FALSE()),"")</f>
        <v/>
      </c>
      <c r="K576" s="10" t="str">
        <f aca="false">IFERROR(VLOOKUP(A576,'Dados-Status-Invest'!$1:$1000,3,FALSE())/100,"")</f>
        <v/>
      </c>
      <c r="L576" s="11" t="str">
        <f aca="false">IFERROR(VLOOKUP(A576,'Dados-Status-Invest'!$1:$1000,MATCH(L$1,'Dados-Status-Invest'!$2:$2,0),FALSE())/100,"")</f>
        <v/>
      </c>
      <c r="M576" s="10" t="str">
        <f aca="false">IFERROR(VLOOKUP(A576,'Dados-Status-Invest'!$1:$1000,MATCH(M$1,'Dados-Status-Invest'!$2:$2,0),FALSE())/100,"")</f>
        <v/>
      </c>
      <c r="N576" s="10" t="str">
        <f aca="false">IFERROR(VLOOKUP(A576,'Dados-Status-Invest'!$1:$1000,MATCH(N$1,'Dados-Status-Invest'!$2:$2,0),FALSE())/100,"")</f>
        <v/>
      </c>
      <c r="O576" s="10" t="str">
        <f aca="false">IFERROR(VLOOKUP(A576,'Dados-Status-Invest'!$1:$1000,MATCH(O$1,'Dados-Status-Invest'!$2:$2,0),FALSE())/100,"")</f>
        <v/>
      </c>
      <c r="P576" s="10" t="str">
        <f aca="false">IFERROR(VLOOKUP(A576,'Dados-Status-Invest'!$1:$1000,MATCH(P$1,'Dados-Status-Invest'!$2:$2,0),FALSE())/100,"")</f>
        <v/>
      </c>
      <c r="Q576" s="10" t="str">
        <f aca="false">IFERROR(VLOOKUP(A576,'Dados-Status-Invest'!$1:$1000,MATCH(Q$1,'Dados-Status-Invest'!$2:$2,0),FALSE())/100,"")</f>
        <v/>
      </c>
      <c r="R576" s="12" t="str">
        <f aca="false">IFERROR(VLOOKUP(A576,'Dados-Status-Invest'!$1:$1000,MATCH(R$1,'Dados-Status-Invest'!$2:$2,0),FALSE()),"")</f>
        <v/>
      </c>
      <c r="S576" s="12" t="str">
        <f aca="false">IFERROR(VLOOKUP(A576,'Dados-Status-Invest'!$1:$1000,MATCH(S$1,'Dados-Status-Invest'!$2:$2,0),FALSE()),"")</f>
        <v/>
      </c>
      <c r="T576" s="12" t="str">
        <f aca="false">IFERROR(VLOOKUP(A576,'Dados-Status-Invest'!$1:$1000,MATCH(T$1,'Dados-Status-Invest'!$2:$2,0),FALSE()),"")</f>
        <v/>
      </c>
      <c r="U576" s="12" t="str">
        <f aca="false">IFERROR(VLOOKUP(A576,'Dados-Status-Invest'!$1:$1000,MATCH(U$1,'Dados-Status-Invest'!$2:$2,0),FALSE()),"")</f>
        <v/>
      </c>
      <c r="V576" s="12" t="str">
        <f aca="false">IFERROR(VLOOKUP(A576,'Dados-Status-Invest'!$1:$1000,MATCH(V$1,'Dados-Status-Invest'!$2:$2,0),FALSE()),"")</f>
        <v/>
      </c>
      <c r="W576" s="10" t="str">
        <f aca="false">IFERROR(VLOOKUP(A576,'Dados-Status-Invest'!$1:$1000,MATCH(W$1,'Dados-Status-Invest'!$2:$2,0),FALSE())/100,"")</f>
        <v/>
      </c>
      <c r="X576" s="10" t="str">
        <f aca="false">IFERROR(VLOOKUP(A576,'Dados-Status-Invest'!$1:$1000,MATCH(X$1,'Dados-Status-Invest'!$2:$2,0),FALSE())/100,"")</f>
        <v/>
      </c>
    </row>
    <row r="577" customFormat="false" ht="15.75" hidden="false" customHeight="false" outlineLevel="0" collapsed="false">
      <c r="B577" s="7" t="str">
        <f aca="false">IFERROR(VLOOKUP(LEFT(A577,4),Setor!A:D,2,FALSE()),"")</f>
        <v/>
      </c>
      <c r="C577" s="8" t="str">
        <f aca="false">IFERROR(__xludf.dummyfunction("IFERROR(IFERROR(GOOGLEFINANCE(A583,""price""),VLOOKUP(A583,'Dados-Status-Invest'!A:B,2,FALSE)),"""")"),"")</f>
        <v/>
      </c>
      <c r="D577" s="8" t="str">
        <f aca="false">IFERROR(VLOOKUP(A577,'Dados-Status-Invest'!$1:$1000,MATCH(D$1,'Dados-Status-Invest'!$2:$2,0),FALSE()),"")</f>
        <v/>
      </c>
      <c r="E577" s="8" t="e">
        <f aca="false">IF(D577+H577&gt;0,D577+H577,"")</f>
        <v>#VALUE!</v>
      </c>
      <c r="F577" s="8" t="str">
        <f aca="false">IFERROR(D577/VLOOKUP(A577,'Dados-Status-Invest'!$1:$1000,5,FALSE()),"")</f>
        <v/>
      </c>
      <c r="G577" s="8" t="str">
        <f aca="false">IFERROR(D577/VLOOKUP(A577,'Dados-Status-Invest'!$1:$1000,6,FALSE()),"")</f>
        <v/>
      </c>
      <c r="H577" s="8" t="str">
        <f aca="false">IFERROR(VLOOKUP(A577,'Dados-Status-Invest'!$1:$1000,12,FALSE())*J577,"")</f>
        <v/>
      </c>
      <c r="I577" s="8" t="str">
        <f aca="false">IFERROR(D577/VLOOKUP(A577,'Dados-Status-Invest'!$1:$1000,14,FALSE()),"")</f>
        <v/>
      </c>
      <c r="J577" s="9" t="str">
        <f aca="false">IFERROR(D577/VLOOKUP(A577,'Dados-Status-Invest'!$1:$1000,10,FALSE()),"")</f>
        <v/>
      </c>
      <c r="K577" s="10" t="str">
        <f aca="false">IFERROR(VLOOKUP(A577,'Dados-Status-Invest'!$1:$1000,3,FALSE())/100,"")</f>
        <v/>
      </c>
      <c r="L577" s="11" t="str">
        <f aca="false">IFERROR(VLOOKUP(A577,'Dados-Status-Invest'!$1:$1000,MATCH(L$1,'Dados-Status-Invest'!$2:$2,0),FALSE())/100,"")</f>
        <v/>
      </c>
      <c r="M577" s="10" t="str">
        <f aca="false">IFERROR(VLOOKUP(A577,'Dados-Status-Invest'!$1:$1000,MATCH(M$1,'Dados-Status-Invest'!$2:$2,0),FALSE())/100,"")</f>
        <v/>
      </c>
      <c r="N577" s="10" t="str">
        <f aca="false">IFERROR(VLOOKUP(A577,'Dados-Status-Invest'!$1:$1000,MATCH(N$1,'Dados-Status-Invest'!$2:$2,0),FALSE())/100,"")</f>
        <v/>
      </c>
      <c r="O577" s="10" t="str">
        <f aca="false">IFERROR(VLOOKUP(A577,'Dados-Status-Invest'!$1:$1000,MATCH(O$1,'Dados-Status-Invest'!$2:$2,0),FALSE())/100,"")</f>
        <v/>
      </c>
      <c r="P577" s="10" t="str">
        <f aca="false">IFERROR(VLOOKUP(A577,'Dados-Status-Invest'!$1:$1000,MATCH(P$1,'Dados-Status-Invest'!$2:$2,0),FALSE())/100,"")</f>
        <v/>
      </c>
      <c r="Q577" s="10" t="str">
        <f aca="false">IFERROR(VLOOKUP(A577,'Dados-Status-Invest'!$1:$1000,MATCH(Q$1,'Dados-Status-Invest'!$2:$2,0),FALSE())/100,"")</f>
        <v/>
      </c>
      <c r="R577" s="12" t="str">
        <f aca="false">IFERROR(VLOOKUP(A577,'Dados-Status-Invest'!$1:$1000,MATCH(R$1,'Dados-Status-Invest'!$2:$2,0),FALSE()),"")</f>
        <v/>
      </c>
      <c r="S577" s="12" t="str">
        <f aca="false">IFERROR(VLOOKUP(A577,'Dados-Status-Invest'!$1:$1000,MATCH(S$1,'Dados-Status-Invest'!$2:$2,0),FALSE()),"")</f>
        <v/>
      </c>
      <c r="T577" s="12" t="str">
        <f aca="false">IFERROR(VLOOKUP(A577,'Dados-Status-Invest'!$1:$1000,MATCH(T$1,'Dados-Status-Invest'!$2:$2,0),FALSE()),"")</f>
        <v/>
      </c>
      <c r="U577" s="12" t="str">
        <f aca="false">IFERROR(VLOOKUP(A577,'Dados-Status-Invest'!$1:$1000,MATCH(U$1,'Dados-Status-Invest'!$2:$2,0),FALSE()),"")</f>
        <v/>
      </c>
      <c r="V577" s="12" t="str">
        <f aca="false">IFERROR(VLOOKUP(A577,'Dados-Status-Invest'!$1:$1000,MATCH(V$1,'Dados-Status-Invest'!$2:$2,0),FALSE()),"")</f>
        <v/>
      </c>
      <c r="W577" s="10" t="str">
        <f aca="false">IFERROR(VLOOKUP(A577,'Dados-Status-Invest'!$1:$1000,MATCH(W$1,'Dados-Status-Invest'!$2:$2,0),FALSE())/100,"")</f>
        <v/>
      </c>
      <c r="X577" s="10" t="str">
        <f aca="false">IFERROR(VLOOKUP(A577,'Dados-Status-Invest'!$1:$1000,MATCH(X$1,'Dados-Status-Invest'!$2:$2,0),FALSE())/100,"")</f>
        <v/>
      </c>
    </row>
    <row r="578" customFormat="false" ht="15.75" hidden="false" customHeight="false" outlineLevel="0" collapsed="false">
      <c r="B578" s="7" t="str">
        <f aca="false">IFERROR(VLOOKUP(LEFT(A578,4),Setor!A:D,2,FALSE()),"")</f>
        <v/>
      </c>
      <c r="C578" s="8" t="str">
        <f aca="false">IFERROR(__xludf.dummyfunction("IFERROR(IFERROR(GOOGLEFINANCE(A584,""price""),VLOOKUP(A584,'Dados-Status-Invest'!A:B,2,FALSE)),"""")"),"")</f>
        <v/>
      </c>
      <c r="D578" s="8" t="str">
        <f aca="false">IFERROR(VLOOKUP(A578,'Dados-Status-Invest'!$1:$1000,MATCH(D$1,'Dados-Status-Invest'!$2:$2,0),FALSE()),"")</f>
        <v/>
      </c>
      <c r="E578" s="8" t="e">
        <f aca="false">IF(D578+H578&gt;0,D578+H578,"")</f>
        <v>#VALUE!</v>
      </c>
      <c r="F578" s="8" t="str">
        <f aca="false">IFERROR(D578/VLOOKUP(A578,'Dados-Status-Invest'!$1:$1000,5,FALSE()),"")</f>
        <v/>
      </c>
      <c r="G578" s="8" t="str">
        <f aca="false">IFERROR(D578/VLOOKUP(A578,'Dados-Status-Invest'!$1:$1000,6,FALSE()),"")</f>
        <v/>
      </c>
      <c r="H578" s="8" t="str">
        <f aca="false">IFERROR(VLOOKUP(A578,'Dados-Status-Invest'!$1:$1000,12,FALSE())*J578,"")</f>
        <v/>
      </c>
      <c r="I578" s="8" t="str">
        <f aca="false">IFERROR(D578/VLOOKUP(A578,'Dados-Status-Invest'!$1:$1000,14,FALSE()),"")</f>
        <v/>
      </c>
      <c r="J578" s="9" t="str">
        <f aca="false">IFERROR(D578/VLOOKUP(A578,'Dados-Status-Invest'!$1:$1000,10,FALSE()),"")</f>
        <v/>
      </c>
      <c r="K578" s="10" t="str">
        <f aca="false">IFERROR(VLOOKUP(A578,'Dados-Status-Invest'!$1:$1000,3,FALSE())/100,"")</f>
        <v/>
      </c>
      <c r="L578" s="11" t="str">
        <f aca="false">IFERROR(VLOOKUP(A578,'Dados-Status-Invest'!$1:$1000,MATCH(L$1,'Dados-Status-Invest'!$2:$2,0),FALSE())/100,"")</f>
        <v/>
      </c>
      <c r="M578" s="10" t="str">
        <f aca="false">IFERROR(VLOOKUP(A578,'Dados-Status-Invest'!$1:$1000,MATCH(M$1,'Dados-Status-Invest'!$2:$2,0),FALSE())/100,"")</f>
        <v/>
      </c>
      <c r="N578" s="10" t="str">
        <f aca="false">IFERROR(VLOOKUP(A578,'Dados-Status-Invest'!$1:$1000,MATCH(N$1,'Dados-Status-Invest'!$2:$2,0),FALSE())/100,"")</f>
        <v/>
      </c>
      <c r="O578" s="10" t="str">
        <f aca="false">IFERROR(VLOOKUP(A578,'Dados-Status-Invest'!$1:$1000,MATCH(O$1,'Dados-Status-Invest'!$2:$2,0),FALSE())/100,"")</f>
        <v/>
      </c>
      <c r="P578" s="10" t="str">
        <f aca="false">IFERROR(VLOOKUP(A578,'Dados-Status-Invest'!$1:$1000,MATCH(P$1,'Dados-Status-Invest'!$2:$2,0),FALSE())/100,"")</f>
        <v/>
      </c>
      <c r="Q578" s="10" t="str">
        <f aca="false">IFERROR(VLOOKUP(A578,'Dados-Status-Invest'!$1:$1000,MATCH(Q$1,'Dados-Status-Invest'!$2:$2,0),FALSE())/100,"")</f>
        <v/>
      </c>
      <c r="R578" s="12" t="str">
        <f aca="false">IFERROR(VLOOKUP(A578,'Dados-Status-Invest'!$1:$1000,MATCH(R$1,'Dados-Status-Invest'!$2:$2,0),FALSE()),"")</f>
        <v/>
      </c>
      <c r="S578" s="12" t="str">
        <f aca="false">IFERROR(VLOOKUP(A578,'Dados-Status-Invest'!$1:$1000,MATCH(S$1,'Dados-Status-Invest'!$2:$2,0),FALSE()),"")</f>
        <v/>
      </c>
      <c r="T578" s="12" t="str">
        <f aca="false">IFERROR(VLOOKUP(A578,'Dados-Status-Invest'!$1:$1000,MATCH(T$1,'Dados-Status-Invest'!$2:$2,0),FALSE()),"")</f>
        <v/>
      </c>
      <c r="U578" s="12" t="str">
        <f aca="false">IFERROR(VLOOKUP(A578,'Dados-Status-Invest'!$1:$1000,MATCH(U$1,'Dados-Status-Invest'!$2:$2,0),FALSE()),"")</f>
        <v/>
      </c>
      <c r="V578" s="12" t="str">
        <f aca="false">IFERROR(VLOOKUP(A578,'Dados-Status-Invest'!$1:$1000,MATCH(V$1,'Dados-Status-Invest'!$2:$2,0),FALSE()),"")</f>
        <v/>
      </c>
      <c r="W578" s="10" t="str">
        <f aca="false">IFERROR(VLOOKUP(A578,'Dados-Status-Invest'!$1:$1000,MATCH(W$1,'Dados-Status-Invest'!$2:$2,0),FALSE())/100,"")</f>
        <v/>
      </c>
      <c r="X578" s="10" t="str">
        <f aca="false">IFERROR(VLOOKUP(A578,'Dados-Status-Invest'!$1:$1000,MATCH(X$1,'Dados-Status-Invest'!$2:$2,0),FALSE())/100,"")</f>
        <v/>
      </c>
    </row>
    <row r="579" customFormat="false" ht="15.75" hidden="false" customHeight="false" outlineLevel="0" collapsed="false">
      <c r="B579" s="7" t="str">
        <f aca="false">IFERROR(VLOOKUP(LEFT(A579,4),Setor!A:D,2,FALSE()),"")</f>
        <v/>
      </c>
      <c r="C579" s="8" t="str">
        <f aca="false">IFERROR(__xludf.dummyfunction("IFERROR(IFERROR(GOOGLEFINANCE(A585,""price""),VLOOKUP(A585,'Dados-Status-Invest'!A:B,2,FALSE)),"""")"),"")</f>
        <v/>
      </c>
      <c r="D579" s="8" t="str">
        <f aca="false">IFERROR(VLOOKUP(A579,'Dados-Status-Invest'!$1:$1000,MATCH(D$1,'Dados-Status-Invest'!$2:$2,0),FALSE()),"")</f>
        <v/>
      </c>
      <c r="E579" s="8" t="e">
        <f aca="false">IF(D579+H579&gt;0,D579+H579,"")</f>
        <v>#VALUE!</v>
      </c>
      <c r="F579" s="8" t="str">
        <f aca="false">IFERROR(D579/VLOOKUP(A579,'Dados-Status-Invest'!$1:$1000,5,FALSE()),"")</f>
        <v/>
      </c>
      <c r="G579" s="8" t="str">
        <f aca="false">IFERROR(D579/VLOOKUP(A579,'Dados-Status-Invest'!$1:$1000,6,FALSE()),"")</f>
        <v/>
      </c>
      <c r="H579" s="8" t="str">
        <f aca="false">IFERROR(VLOOKUP(A579,'Dados-Status-Invest'!$1:$1000,12,FALSE())*J579,"")</f>
        <v/>
      </c>
      <c r="I579" s="8" t="str">
        <f aca="false">IFERROR(D579/VLOOKUP(A579,'Dados-Status-Invest'!$1:$1000,14,FALSE()),"")</f>
        <v/>
      </c>
      <c r="J579" s="9" t="str">
        <f aca="false">IFERROR(D579/VLOOKUP(A579,'Dados-Status-Invest'!$1:$1000,10,FALSE()),"")</f>
        <v/>
      </c>
      <c r="K579" s="10" t="str">
        <f aca="false">IFERROR(VLOOKUP(A579,'Dados-Status-Invest'!$1:$1000,3,FALSE())/100,"")</f>
        <v/>
      </c>
      <c r="L579" s="11" t="str">
        <f aca="false">IFERROR(VLOOKUP(A579,'Dados-Status-Invest'!$1:$1000,MATCH(L$1,'Dados-Status-Invest'!$2:$2,0),FALSE())/100,"")</f>
        <v/>
      </c>
      <c r="M579" s="10" t="str">
        <f aca="false">IFERROR(VLOOKUP(A579,'Dados-Status-Invest'!$1:$1000,MATCH(M$1,'Dados-Status-Invest'!$2:$2,0),FALSE())/100,"")</f>
        <v/>
      </c>
      <c r="N579" s="10" t="str">
        <f aca="false">IFERROR(VLOOKUP(A579,'Dados-Status-Invest'!$1:$1000,MATCH(N$1,'Dados-Status-Invest'!$2:$2,0),FALSE())/100,"")</f>
        <v/>
      </c>
      <c r="O579" s="10" t="str">
        <f aca="false">IFERROR(VLOOKUP(A579,'Dados-Status-Invest'!$1:$1000,MATCH(O$1,'Dados-Status-Invest'!$2:$2,0),FALSE())/100,"")</f>
        <v/>
      </c>
      <c r="P579" s="10" t="str">
        <f aca="false">IFERROR(VLOOKUP(A579,'Dados-Status-Invest'!$1:$1000,MATCH(P$1,'Dados-Status-Invest'!$2:$2,0),FALSE())/100,"")</f>
        <v/>
      </c>
      <c r="Q579" s="10" t="str">
        <f aca="false">IFERROR(VLOOKUP(A579,'Dados-Status-Invest'!$1:$1000,MATCH(Q$1,'Dados-Status-Invest'!$2:$2,0),FALSE())/100,"")</f>
        <v/>
      </c>
      <c r="R579" s="12" t="str">
        <f aca="false">IFERROR(VLOOKUP(A579,'Dados-Status-Invest'!$1:$1000,MATCH(R$1,'Dados-Status-Invest'!$2:$2,0),FALSE()),"")</f>
        <v/>
      </c>
      <c r="S579" s="12" t="str">
        <f aca="false">IFERROR(VLOOKUP(A579,'Dados-Status-Invest'!$1:$1000,MATCH(S$1,'Dados-Status-Invest'!$2:$2,0),FALSE()),"")</f>
        <v/>
      </c>
      <c r="T579" s="12" t="str">
        <f aca="false">IFERROR(VLOOKUP(A579,'Dados-Status-Invest'!$1:$1000,MATCH(T$1,'Dados-Status-Invest'!$2:$2,0),FALSE()),"")</f>
        <v/>
      </c>
      <c r="U579" s="12" t="str">
        <f aca="false">IFERROR(VLOOKUP(A579,'Dados-Status-Invest'!$1:$1000,MATCH(U$1,'Dados-Status-Invest'!$2:$2,0),FALSE()),"")</f>
        <v/>
      </c>
      <c r="V579" s="12" t="str">
        <f aca="false">IFERROR(VLOOKUP(A579,'Dados-Status-Invest'!$1:$1000,MATCH(V$1,'Dados-Status-Invest'!$2:$2,0),FALSE()),"")</f>
        <v/>
      </c>
      <c r="W579" s="10" t="str">
        <f aca="false">IFERROR(VLOOKUP(A579,'Dados-Status-Invest'!$1:$1000,MATCH(W$1,'Dados-Status-Invest'!$2:$2,0),FALSE())/100,"")</f>
        <v/>
      </c>
      <c r="X579" s="10" t="str">
        <f aca="false">IFERROR(VLOOKUP(A579,'Dados-Status-Invest'!$1:$1000,MATCH(X$1,'Dados-Status-Invest'!$2:$2,0),FALSE())/100,"")</f>
        <v/>
      </c>
    </row>
    <row r="580" customFormat="false" ht="15.75" hidden="false" customHeight="false" outlineLevel="0" collapsed="false">
      <c r="B580" s="7" t="str">
        <f aca="false">IFERROR(VLOOKUP(LEFT(A580,4),Setor!A:D,2,FALSE()),"")</f>
        <v/>
      </c>
      <c r="C580" s="8" t="str">
        <f aca="false">IFERROR(__xludf.dummyfunction("IFERROR(IFERROR(GOOGLEFINANCE(A586,""price""),VLOOKUP(A586,'Dados-Status-Invest'!A:B,2,FALSE)),"""")"),"")</f>
        <v/>
      </c>
      <c r="D580" s="8" t="str">
        <f aca="false">IFERROR(VLOOKUP(A580,'Dados-Status-Invest'!$1:$1000,MATCH(D$1,'Dados-Status-Invest'!$2:$2,0),FALSE()),"")</f>
        <v/>
      </c>
      <c r="E580" s="8" t="e">
        <f aca="false">IF(D580+H580&gt;0,D580+H580,"")</f>
        <v>#VALUE!</v>
      </c>
      <c r="F580" s="8" t="str">
        <f aca="false">IFERROR(D580/VLOOKUP(A580,'Dados-Status-Invest'!$1:$1000,5,FALSE()),"")</f>
        <v/>
      </c>
      <c r="G580" s="8" t="str">
        <f aca="false">IFERROR(D580/VLOOKUP(A580,'Dados-Status-Invest'!$1:$1000,6,FALSE()),"")</f>
        <v/>
      </c>
      <c r="H580" s="8" t="str">
        <f aca="false">IFERROR(VLOOKUP(A580,'Dados-Status-Invest'!$1:$1000,12,FALSE())*J580,"")</f>
        <v/>
      </c>
      <c r="I580" s="8" t="str">
        <f aca="false">IFERROR(D580/VLOOKUP(A580,'Dados-Status-Invest'!$1:$1000,14,FALSE()),"")</f>
        <v/>
      </c>
      <c r="J580" s="9" t="str">
        <f aca="false">IFERROR(D580/VLOOKUP(A580,'Dados-Status-Invest'!$1:$1000,10,FALSE()),"")</f>
        <v/>
      </c>
      <c r="K580" s="10" t="str">
        <f aca="false">IFERROR(VLOOKUP(A580,'Dados-Status-Invest'!$1:$1000,3,FALSE())/100,"")</f>
        <v/>
      </c>
      <c r="L580" s="11" t="str">
        <f aca="false">IFERROR(VLOOKUP(A580,'Dados-Status-Invest'!$1:$1000,MATCH(L$1,'Dados-Status-Invest'!$2:$2,0),FALSE())/100,"")</f>
        <v/>
      </c>
      <c r="M580" s="10" t="str">
        <f aca="false">IFERROR(VLOOKUP(A580,'Dados-Status-Invest'!$1:$1000,MATCH(M$1,'Dados-Status-Invest'!$2:$2,0),FALSE())/100,"")</f>
        <v/>
      </c>
      <c r="N580" s="10" t="str">
        <f aca="false">IFERROR(VLOOKUP(A580,'Dados-Status-Invest'!$1:$1000,MATCH(N$1,'Dados-Status-Invest'!$2:$2,0),FALSE())/100,"")</f>
        <v/>
      </c>
      <c r="O580" s="10" t="str">
        <f aca="false">IFERROR(VLOOKUP(A580,'Dados-Status-Invest'!$1:$1000,MATCH(O$1,'Dados-Status-Invest'!$2:$2,0),FALSE())/100,"")</f>
        <v/>
      </c>
      <c r="P580" s="10" t="str">
        <f aca="false">IFERROR(VLOOKUP(A580,'Dados-Status-Invest'!$1:$1000,MATCH(P$1,'Dados-Status-Invest'!$2:$2,0),FALSE())/100,"")</f>
        <v/>
      </c>
      <c r="Q580" s="10" t="str">
        <f aca="false">IFERROR(VLOOKUP(A580,'Dados-Status-Invest'!$1:$1000,MATCH(Q$1,'Dados-Status-Invest'!$2:$2,0),FALSE())/100,"")</f>
        <v/>
      </c>
      <c r="R580" s="12" t="str">
        <f aca="false">IFERROR(VLOOKUP(A580,'Dados-Status-Invest'!$1:$1000,MATCH(R$1,'Dados-Status-Invest'!$2:$2,0),FALSE()),"")</f>
        <v/>
      </c>
      <c r="S580" s="12" t="str">
        <f aca="false">IFERROR(VLOOKUP(A580,'Dados-Status-Invest'!$1:$1000,MATCH(S$1,'Dados-Status-Invest'!$2:$2,0),FALSE()),"")</f>
        <v/>
      </c>
      <c r="T580" s="12" t="str">
        <f aca="false">IFERROR(VLOOKUP(A580,'Dados-Status-Invest'!$1:$1000,MATCH(T$1,'Dados-Status-Invest'!$2:$2,0),FALSE()),"")</f>
        <v/>
      </c>
      <c r="U580" s="12" t="str">
        <f aca="false">IFERROR(VLOOKUP(A580,'Dados-Status-Invest'!$1:$1000,MATCH(U$1,'Dados-Status-Invest'!$2:$2,0),FALSE()),"")</f>
        <v/>
      </c>
      <c r="V580" s="12" t="str">
        <f aca="false">IFERROR(VLOOKUP(A580,'Dados-Status-Invest'!$1:$1000,MATCH(V$1,'Dados-Status-Invest'!$2:$2,0),FALSE()),"")</f>
        <v/>
      </c>
      <c r="W580" s="10" t="str">
        <f aca="false">IFERROR(VLOOKUP(A580,'Dados-Status-Invest'!$1:$1000,MATCH(W$1,'Dados-Status-Invest'!$2:$2,0),FALSE())/100,"")</f>
        <v/>
      </c>
      <c r="X580" s="10" t="str">
        <f aca="false">IFERROR(VLOOKUP(A580,'Dados-Status-Invest'!$1:$1000,MATCH(X$1,'Dados-Status-Invest'!$2:$2,0),FALSE())/100,"")</f>
        <v/>
      </c>
    </row>
    <row r="581" customFormat="false" ht="15.75" hidden="false" customHeight="false" outlineLevel="0" collapsed="false">
      <c r="B581" s="7" t="str">
        <f aca="false">IFERROR(VLOOKUP(LEFT(A581,4),Setor!A:D,2,FALSE()),"")</f>
        <v/>
      </c>
      <c r="C581" s="8" t="str">
        <f aca="false">IFERROR(__xludf.dummyfunction("IFERROR(IFERROR(GOOGLEFINANCE(A587,""price""),VLOOKUP(A587,'Dados-Status-Invest'!A:B,2,FALSE)),"""")"),"")</f>
        <v/>
      </c>
      <c r="D581" s="8" t="str">
        <f aca="false">IFERROR(VLOOKUP(A581,'Dados-Status-Invest'!$1:$1000,MATCH(D$1,'Dados-Status-Invest'!$2:$2,0),FALSE()),"")</f>
        <v/>
      </c>
      <c r="E581" s="8" t="e">
        <f aca="false">IF(D581+H581&gt;0,D581+H581,"")</f>
        <v>#VALUE!</v>
      </c>
      <c r="F581" s="8" t="str">
        <f aca="false">IFERROR(D581/VLOOKUP(A581,'Dados-Status-Invest'!$1:$1000,5,FALSE()),"")</f>
        <v/>
      </c>
      <c r="G581" s="8" t="str">
        <f aca="false">IFERROR(D581/VLOOKUP(A581,'Dados-Status-Invest'!$1:$1000,6,FALSE()),"")</f>
        <v/>
      </c>
      <c r="H581" s="8" t="str">
        <f aca="false">IFERROR(VLOOKUP(A581,'Dados-Status-Invest'!$1:$1000,12,FALSE())*J581,"")</f>
        <v/>
      </c>
      <c r="I581" s="8" t="str">
        <f aca="false">IFERROR(D581/VLOOKUP(A581,'Dados-Status-Invest'!$1:$1000,14,FALSE()),"")</f>
        <v/>
      </c>
      <c r="J581" s="9" t="str">
        <f aca="false">IFERROR(D581/VLOOKUP(A581,'Dados-Status-Invest'!$1:$1000,10,FALSE()),"")</f>
        <v/>
      </c>
      <c r="K581" s="10" t="str">
        <f aca="false">IFERROR(VLOOKUP(A581,'Dados-Status-Invest'!$1:$1000,3,FALSE())/100,"")</f>
        <v/>
      </c>
      <c r="L581" s="11" t="str">
        <f aca="false">IFERROR(VLOOKUP(A581,'Dados-Status-Invest'!$1:$1000,MATCH(L$1,'Dados-Status-Invest'!$2:$2,0),FALSE())/100,"")</f>
        <v/>
      </c>
      <c r="M581" s="10" t="str">
        <f aca="false">IFERROR(VLOOKUP(A581,'Dados-Status-Invest'!$1:$1000,MATCH(M$1,'Dados-Status-Invest'!$2:$2,0),FALSE())/100,"")</f>
        <v/>
      </c>
      <c r="N581" s="10" t="str">
        <f aca="false">IFERROR(VLOOKUP(A581,'Dados-Status-Invest'!$1:$1000,MATCH(N$1,'Dados-Status-Invest'!$2:$2,0),FALSE())/100,"")</f>
        <v/>
      </c>
      <c r="O581" s="10" t="str">
        <f aca="false">IFERROR(VLOOKUP(A581,'Dados-Status-Invest'!$1:$1000,MATCH(O$1,'Dados-Status-Invest'!$2:$2,0),FALSE())/100,"")</f>
        <v/>
      </c>
      <c r="P581" s="10" t="str">
        <f aca="false">IFERROR(VLOOKUP(A581,'Dados-Status-Invest'!$1:$1000,MATCH(P$1,'Dados-Status-Invest'!$2:$2,0),FALSE())/100,"")</f>
        <v/>
      </c>
      <c r="Q581" s="10" t="str">
        <f aca="false">IFERROR(VLOOKUP(A581,'Dados-Status-Invest'!$1:$1000,MATCH(Q$1,'Dados-Status-Invest'!$2:$2,0),FALSE())/100,"")</f>
        <v/>
      </c>
      <c r="R581" s="12" t="str">
        <f aca="false">IFERROR(VLOOKUP(A581,'Dados-Status-Invest'!$1:$1000,MATCH(R$1,'Dados-Status-Invest'!$2:$2,0),FALSE()),"")</f>
        <v/>
      </c>
      <c r="S581" s="12" t="str">
        <f aca="false">IFERROR(VLOOKUP(A581,'Dados-Status-Invest'!$1:$1000,MATCH(S$1,'Dados-Status-Invest'!$2:$2,0),FALSE()),"")</f>
        <v/>
      </c>
      <c r="T581" s="12" t="str">
        <f aca="false">IFERROR(VLOOKUP(A581,'Dados-Status-Invest'!$1:$1000,MATCH(T$1,'Dados-Status-Invest'!$2:$2,0),FALSE()),"")</f>
        <v/>
      </c>
      <c r="U581" s="12" t="str">
        <f aca="false">IFERROR(VLOOKUP(A581,'Dados-Status-Invest'!$1:$1000,MATCH(U$1,'Dados-Status-Invest'!$2:$2,0),FALSE()),"")</f>
        <v/>
      </c>
      <c r="V581" s="12" t="str">
        <f aca="false">IFERROR(VLOOKUP(A581,'Dados-Status-Invest'!$1:$1000,MATCH(V$1,'Dados-Status-Invest'!$2:$2,0),FALSE()),"")</f>
        <v/>
      </c>
      <c r="W581" s="10" t="str">
        <f aca="false">IFERROR(VLOOKUP(A581,'Dados-Status-Invest'!$1:$1000,MATCH(W$1,'Dados-Status-Invest'!$2:$2,0),FALSE())/100,"")</f>
        <v/>
      </c>
      <c r="X581" s="10" t="str">
        <f aca="false">IFERROR(VLOOKUP(A581,'Dados-Status-Invest'!$1:$1000,MATCH(X$1,'Dados-Status-Invest'!$2:$2,0),FALSE())/100,"")</f>
        <v/>
      </c>
    </row>
    <row r="582" customFormat="false" ht="15.75" hidden="false" customHeight="false" outlineLevel="0" collapsed="false">
      <c r="B582" s="7" t="str">
        <f aca="false">IFERROR(VLOOKUP(LEFT(A582,4),Setor!A:D,2,FALSE()),"")</f>
        <v/>
      </c>
      <c r="C582" s="8" t="str">
        <f aca="false">IFERROR(__xludf.dummyfunction("IFERROR(IFERROR(GOOGLEFINANCE(A588,""price""),VLOOKUP(A588,'Dados-Status-Invest'!A:B,2,FALSE)),"""")"),"")</f>
        <v/>
      </c>
      <c r="D582" s="8" t="str">
        <f aca="false">IFERROR(VLOOKUP(A582,'Dados-Status-Invest'!$1:$1000,MATCH(D$1,'Dados-Status-Invest'!$2:$2,0),FALSE()),"")</f>
        <v/>
      </c>
      <c r="E582" s="8" t="e">
        <f aca="false">IF(D582+H582&gt;0,D582+H582,"")</f>
        <v>#VALUE!</v>
      </c>
      <c r="F582" s="8" t="str">
        <f aca="false">IFERROR(D582/VLOOKUP(A582,'Dados-Status-Invest'!$1:$1000,5,FALSE()),"")</f>
        <v/>
      </c>
      <c r="G582" s="8" t="str">
        <f aca="false">IFERROR(D582/VLOOKUP(A582,'Dados-Status-Invest'!$1:$1000,6,FALSE()),"")</f>
        <v/>
      </c>
      <c r="H582" s="8" t="str">
        <f aca="false">IFERROR(VLOOKUP(A582,'Dados-Status-Invest'!$1:$1000,12,FALSE())*J582,"")</f>
        <v/>
      </c>
      <c r="I582" s="8" t="str">
        <f aca="false">IFERROR(D582/VLOOKUP(A582,'Dados-Status-Invest'!$1:$1000,14,FALSE()),"")</f>
        <v/>
      </c>
      <c r="J582" s="9" t="str">
        <f aca="false">IFERROR(D582/VLOOKUP(A582,'Dados-Status-Invest'!$1:$1000,10,FALSE()),"")</f>
        <v/>
      </c>
      <c r="K582" s="10" t="str">
        <f aca="false">IFERROR(VLOOKUP(A582,'Dados-Status-Invest'!$1:$1000,3,FALSE())/100,"")</f>
        <v/>
      </c>
      <c r="L582" s="11" t="str">
        <f aca="false">IFERROR(VLOOKUP(A582,'Dados-Status-Invest'!$1:$1000,MATCH(L$1,'Dados-Status-Invest'!$2:$2,0),FALSE())/100,"")</f>
        <v/>
      </c>
      <c r="M582" s="10" t="str">
        <f aca="false">IFERROR(VLOOKUP(A582,'Dados-Status-Invest'!$1:$1000,MATCH(M$1,'Dados-Status-Invest'!$2:$2,0),FALSE())/100,"")</f>
        <v/>
      </c>
      <c r="N582" s="10" t="str">
        <f aca="false">IFERROR(VLOOKUP(A582,'Dados-Status-Invest'!$1:$1000,MATCH(N$1,'Dados-Status-Invest'!$2:$2,0),FALSE())/100,"")</f>
        <v/>
      </c>
      <c r="O582" s="10" t="str">
        <f aca="false">IFERROR(VLOOKUP(A582,'Dados-Status-Invest'!$1:$1000,MATCH(O$1,'Dados-Status-Invest'!$2:$2,0),FALSE())/100,"")</f>
        <v/>
      </c>
      <c r="P582" s="10" t="str">
        <f aca="false">IFERROR(VLOOKUP(A582,'Dados-Status-Invest'!$1:$1000,MATCH(P$1,'Dados-Status-Invest'!$2:$2,0),FALSE())/100,"")</f>
        <v/>
      </c>
      <c r="Q582" s="10" t="str">
        <f aca="false">IFERROR(VLOOKUP(A582,'Dados-Status-Invest'!$1:$1000,MATCH(Q$1,'Dados-Status-Invest'!$2:$2,0),FALSE())/100,"")</f>
        <v/>
      </c>
      <c r="R582" s="12" t="str">
        <f aca="false">IFERROR(VLOOKUP(A582,'Dados-Status-Invest'!$1:$1000,MATCH(R$1,'Dados-Status-Invest'!$2:$2,0),FALSE()),"")</f>
        <v/>
      </c>
      <c r="S582" s="12" t="str">
        <f aca="false">IFERROR(VLOOKUP(A582,'Dados-Status-Invest'!$1:$1000,MATCH(S$1,'Dados-Status-Invest'!$2:$2,0),FALSE()),"")</f>
        <v/>
      </c>
      <c r="T582" s="12" t="str">
        <f aca="false">IFERROR(VLOOKUP(A582,'Dados-Status-Invest'!$1:$1000,MATCH(T$1,'Dados-Status-Invest'!$2:$2,0),FALSE()),"")</f>
        <v/>
      </c>
      <c r="U582" s="12" t="str">
        <f aca="false">IFERROR(VLOOKUP(A582,'Dados-Status-Invest'!$1:$1000,MATCH(U$1,'Dados-Status-Invest'!$2:$2,0),FALSE()),"")</f>
        <v/>
      </c>
      <c r="V582" s="12" t="str">
        <f aca="false">IFERROR(VLOOKUP(A582,'Dados-Status-Invest'!$1:$1000,MATCH(V$1,'Dados-Status-Invest'!$2:$2,0),FALSE()),"")</f>
        <v/>
      </c>
      <c r="W582" s="10" t="str">
        <f aca="false">IFERROR(VLOOKUP(A582,'Dados-Status-Invest'!$1:$1000,MATCH(W$1,'Dados-Status-Invest'!$2:$2,0),FALSE())/100,"")</f>
        <v/>
      </c>
      <c r="X582" s="10" t="str">
        <f aca="false">IFERROR(VLOOKUP(A582,'Dados-Status-Invest'!$1:$1000,MATCH(X$1,'Dados-Status-Invest'!$2:$2,0),FALSE())/100,"")</f>
        <v/>
      </c>
    </row>
    <row r="583" customFormat="false" ht="15.75" hidden="false" customHeight="false" outlineLevel="0" collapsed="false">
      <c r="B583" s="7" t="str">
        <f aca="false">IFERROR(VLOOKUP(LEFT(A583,4),Setor!A:D,2,FALSE()),"")</f>
        <v/>
      </c>
      <c r="C583" s="8" t="str">
        <f aca="false">IFERROR(__xludf.dummyfunction("IFERROR(IFERROR(GOOGLEFINANCE(A589,""price""),VLOOKUP(A589,'Dados-Status-Invest'!A:B,2,FALSE)),"""")"),"")</f>
        <v/>
      </c>
      <c r="D583" s="8" t="str">
        <f aca="false">IFERROR(VLOOKUP(A583,'Dados-Status-Invest'!$1:$1000,MATCH(D$1,'Dados-Status-Invest'!$2:$2,0),FALSE()),"")</f>
        <v/>
      </c>
      <c r="E583" s="8" t="e">
        <f aca="false">IF(D583+H583&gt;0,D583+H583,"")</f>
        <v>#VALUE!</v>
      </c>
      <c r="F583" s="8" t="str">
        <f aca="false">IFERROR(D583/VLOOKUP(A583,'Dados-Status-Invest'!$1:$1000,5,FALSE()),"")</f>
        <v/>
      </c>
      <c r="G583" s="8" t="str">
        <f aca="false">IFERROR(D583/VLOOKUP(A583,'Dados-Status-Invest'!$1:$1000,6,FALSE()),"")</f>
        <v/>
      </c>
      <c r="H583" s="8" t="str">
        <f aca="false">IFERROR(VLOOKUP(A583,'Dados-Status-Invest'!$1:$1000,12,FALSE())*J583,"")</f>
        <v/>
      </c>
      <c r="I583" s="8" t="str">
        <f aca="false">IFERROR(D583/VLOOKUP(A583,'Dados-Status-Invest'!$1:$1000,14,FALSE()),"")</f>
        <v/>
      </c>
      <c r="J583" s="9" t="str">
        <f aca="false">IFERROR(D583/VLOOKUP(A583,'Dados-Status-Invest'!$1:$1000,10,FALSE()),"")</f>
        <v/>
      </c>
      <c r="K583" s="10" t="str">
        <f aca="false">IFERROR(VLOOKUP(A583,'Dados-Status-Invest'!$1:$1000,3,FALSE())/100,"")</f>
        <v/>
      </c>
      <c r="L583" s="11" t="str">
        <f aca="false">IFERROR(VLOOKUP(A583,'Dados-Status-Invest'!$1:$1000,MATCH(L$1,'Dados-Status-Invest'!$2:$2,0),FALSE())/100,"")</f>
        <v/>
      </c>
      <c r="M583" s="10" t="str">
        <f aca="false">IFERROR(VLOOKUP(A583,'Dados-Status-Invest'!$1:$1000,MATCH(M$1,'Dados-Status-Invest'!$2:$2,0),FALSE())/100,"")</f>
        <v/>
      </c>
      <c r="N583" s="10" t="str">
        <f aca="false">IFERROR(VLOOKUP(A583,'Dados-Status-Invest'!$1:$1000,MATCH(N$1,'Dados-Status-Invest'!$2:$2,0),FALSE())/100,"")</f>
        <v/>
      </c>
      <c r="O583" s="10" t="str">
        <f aca="false">IFERROR(VLOOKUP(A583,'Dados-Status-Invest'!$1:$1000,MATCH(O$1,'Dados-Status-Invest'!$2:$2,0),FALSE())/100,"")</f>
        <v/>
      </c>
      <c r="P583" s="10" t="str">
        <f aca="false">IFERROR(VLOOKUP(A583,'Dados-Status-Invest'!$1:$1000,MATCH(P$1,'Dados-Status-Invest'!$2:$2,0),FALSE())/100,"")</f>
        <v/>
      </c>
      <c r="Q583" s="10" t="str">
        <f aca="false">IFERROR(VLOOKUP(A583,'Dados-Status-Invest'!$1:$1000,MATCH(Q$1,'Dados-Status-Invest'!$2:$2,0),FALSE())/100,"")</f>
        <v/>
      </c>
      <c r="R583" s="12" t="str">
        <f aca="false">IFERROR(VLOOKUP(A583,'Dados-Status-Invest'!$1:$1000,MATCH(R$1,'Dados-Status-Invest'!$2:$2,0),FALSE()),"")</f>
        <v/>
      </c>
      <c r="S583" s="12" t="str">
        <f aca="false">IFERROR(VLOOKUP(A583,'Dados-Status-Invest'!$1:$1000,MATCH(S$1,'Dados-Status-Invest'!$2:$2,0),FALSE()),"")</f>
        <v/>
      </c>
      <c r="T583" s="12" t="str">
        <f aca="false">IFERROR(VLOOKUP(A583,'Dados-Status-Invest'!$1:$1000,MATCH(T$1,'Dados-Status-Invest'!$2:$2,0),FALSE()),"")</f>
        <v/>
      </c>
      <c r="U583" s="12" t="str">
        <f aca="false">IFERROR(VLOOKUP(A583,'Dados-Status-Invest'!$1:$1000,MATCH(U$1,'Dados-Status-Invest'!$2:$2,0),FALSE()),"")</f>
        <v/>
      </c>
      <c r="V583" s="12" t="str">
        <f aca="false">IFERROR(VLOOKUP(A583,'Dados-Status-Invest'!$1:$1000,MATCH(V$1,'Dados-Status-Invest'!$2:$2,0),FALSE()),"")</f>
        <v/>
      </c>
      <c r="W583" s="10" t="str">
        <f aca="false">IFERROR(VLOOKUP(A583,'Dados-Status-Invest'!$1:$1000,MATCH(W$1,'Dados-Status-Invest'!$2:$2,0),FALSE())/100,"")</f>
        <v/>
      </c>
      <c r="X583" s="10" t="str">
        <f aca="false">IFERROR(VLOOKUP(A583,'Dados-Status-Invest'!$1:$1000,MATCH(X$1,'Dados-Status-Invest'!$2:$2,0),FALSE())/100,"")</f>
        <v/>
      </c>
    </row>
    <row r="584" customFormat="false" ht="15.75" hidden="false" customHeight="false" outlineLevel="0" collapsed="false">
      <c r="B584" s="7" t="str">
        <f aca="false">IFERROR(VLOOKUP(LEFT(A584,4),Setor!A:D,2,FALSE()),"")</f>
        <v/>
      </c>
      <c r="C584" s="8" t="str">
        <f aca="false">IFERROR(__xludf.dummyfunction("IFERROR(IFERROR(GOOGLEFINANCE(A590,""price""),VLOOKUP(A590,'Dados-Status-Invest'!A:B,2,FALSE)),"""")"),"")</f>
        <v/>
      </c>
      <c r="D584" s="8" t="str">
        <f aca="false">IFERROR(VLOOKUP(A584,'Dados-Status-Invest'!$1:$1000,MATCH(D$1,'Dados-Status-Invest'!$2:$2,0),FALSE()),"")</f>
        <v/>
      </c>
      <c r="E584" s="8" t="e">
        <f aca="false">IF(D584+H584&gt;0,D584+H584,"")</f>
        <v>#VALUE!</v>
      </c>
      <c r="F584" s="8" t="str">
        <f aca="false">IFERROR(D584/VLOOKUP(A584,'Dados-Status-Invest'!$1:$1000,5,FALSE()),"")</f>
        <v/>
      </c>
      <c r="G584" s="8" t="str">
        <f aca="false">IFERROR(D584/VLOOKUP(A584,'Dados-Status-Invest'!$1:$1000,6,FALSE()),"")</f>
        <v/>
      </c>
      <c r="H584" s="8" t="str">
        <f aca="false">IFERROR(VLOOKUP(A584,'Dados-Status-Invest'!$1:$1000,12,FALSE())*J584,"")</f>
        <v/>
      </c>
      <c r="I584" s="8" t="str">
        <f aca="false">IFERROR(D584/VLOOKUP(A584,'Dados-Status-Invest'!$1:$1000,14,FALSE()),"")</f>
        <v/>
      </c>
      <c r="J584" s="9" t="str">
        <f aca="false">IFERROR(D584/VLOOKUP(A584,'Dados-Status-Invest'!$1:$1000,10,FALSE()),"")</f>
        <v/>
      </c>
      <c r="K584" s="10" t="str">
        <f aca="false">IFERROR(VLOOKUP(A584,'Dados-Status-Invest'!$1:$1000,3,FALSE())/100,"")</f>
        <v/>
      </c>
      <c r="L584" s="11" t="str">
        <f aca="false">IFERROR(VLOOKUP(A584,'Dados-Status-Invest'!$1:$1000,MATCH(L$1,'Dados-Status-Invest'!$2:$2,0),FALSE())/100,"")</f>
        <v/>
      </c>
      <c r="M584" s="10" t="str">
        <f aca="false">IFERROR(VLOOKUP(A584,'Dados-Status-Invest'!$1:$1000,MATCH(M$1,'Dados-Status-Invest'!$2:$2,0),FALSE())/100,"")</f>
        <v/>
      </c>
      <c r="N584" s="10" t="str">
        <f aca="false">IFERROR(VLOOKUP(A584,'Dados-Status-Invest'!$1:$1000,MATCH(N$1,'Dados-Status-Invest'!$2:$2,0),FALSE())/100,"")</f>
        <v/>
      </c>
      <c r="O584" s="10" t="str">
        <f aca="false">IFERROR(VLOOKUP(A584,'Dados-Status-Invest'!$1:$1000,MATCH(O$1,'Dados-Status-Invest'!$2:$2,0),FALSE())/100,"")</f>
        <v/>
      </c>
      <c r="P584" s="10" t="str">
        <f aca="false">IFERROR(VLOOKUP(A584,'Dados-Status-Invest'!$1:$1000,MATCH(P$1,'Dados-Status-Invest'!$2:$2,0),FALSE())/100,"")</f>
        <v/>
      </c>
      <c r="Q584" s="10" t="str">
        <f aca="false">IFERROR(VLOOKUP(A584,'Dados-Status-Invest'!$1:$1000,MATCH(Q$1,'Dados-Status-Invest'!$2:$2,0),FALSE())/100,"")</f>
        <v/>
      </c>
      <c r="R584" s="12" t="str">
        <f aca="false">IFERROR(VLOOKUP(A584,'Dados-Status-Invest'!$1:$1000,MATCH(R$1,'Dados-Status-Invest'!$2:$2,0),FALSE()),"")</f>
        <v/>
      </c>
      <c r="S584" s="12" t="str">
        <f aca="false">IFERROR(VLOOKUP(A584,'Dados-Status-Invest'!$1:$1000,MATCH(S$1,'Dados-Status-Invest'!$2:$2,0),FALSE()),"")</f>
        <v/>
      </c>
      <c r="T584" s="12" t="str">
        <f aca="false">IFERROR(VLOOKUP(A584,'Dados-Status-Invest'!$1:$1000,MATCH(T$1,'Dados-Status-Invest'!$2:$2,0),FALSE()),"")</f>
        <v/>
      </c>
      <c r="U584" s="12" t="str">
        <f aca="false">IFERROR(VLOOKUP(A584,'Dados-Status-Invest'!$1:$1000,MATCH(U$1,'Dados-Status-Invest'!$2:$2,0),FALSE()),"")</f>
        <v/>
      </c>
      <c r="V584" s="12" t="str">
        <f aca="false">IFERROR(VLOOKUP(A584,'Dados-Status-Invest'!$1:$1000,MATCH(V$1,'Dados-Status-Invest'!$2:$2,0),FALSE()),"")</f>
        <v/>
      </c>
      <c r="W584" s="10" t="str">
        <f aca="false">IFERROR(VLOOKUP(A584,'Dados-Status-Invest'!$1:$1000,MATCH(W$1,'Dados-Status-Invest'!$2:$2,0),FALSE())/100,"")</f>
        <v/>
      </c>
      <c r="X584" s="10" t="str">
        <f aca="false">IFERROR(VLOOKUP(A584,'Dados-Status-Invest'!$1:$1000,MATCH(X$1,'Dados-Status-Invest'!$2:$2,0),FALSE())/100,"")</f>
        <v/>
      </c>
    </row>
    <row r="585" customFormat="false" ht="15.75" hidden="false" customHeight="false" outlineLevel="0" collapsed="false">
      <c r="B585" s="7" t="str">
        <f aca="false">IFERROR(VLOOKUP(LEFT(A585,4),Setor!A:D,2,FALSE()),"")</f>
        <v/>
      </c>
      <c r="C585" s="8" t="str">
        <f aca="false">IFERROR(__xludf.dummyfunction("IFERROR(IFERROR(GOOGLEFINANCE(A591,""price""),VLOOKUP(A591,'Dados-Status-Invest'!A:B,2,FALSE)),"""")"),"")</f>
        <v/>
      </c>
      <c r="D585" s="8" t="str">
        <f aca="false">IFERROR(VLOOKUP(A585,'Dados-Status-Invest'!$1:$1000,MATCH(D$1,'Dados-Status-Invest'!$2:$2,0),FALSE()),"")</f>
        <v/>
      </c>
      <c r="E585" s="8" t="e">
        <f aca="false">IF(D585+H585&gt;0,D585+H585,"")</f>
        <v>#VALUE!</v>
      </c>
      <c r="F585" s="8" t="str">
        <f aca="false">IFERROR(D585/VLOOKUP(A585,'Dados-Status-Invest'!$1:$1000,5,FALSE()),"")</f>
        <v/>
      </c>
      <c r="G585" s="8" t="str">
        <f aca="false">IFERROR(D585/VLOOKUP(A585,'Dados-Status-Invest'!$1:$1000,6,FALSE()),"")</f>
        <v/>
      </c>
      <c r="H585" s="8" t="str">
        <f aca="false">IFERROR(VLOOKUP(A585,'Dados-Status-Invest'!$1:$1000,12,FALSE())*J585,"")</f>
        <v/>
      </c>
      <c r="I585" s="8" t="str">
        <f aca="false">IFERROR(D585/VLOOKUP(A585,'Dados-Status-Invest'!$1:$1000,14,FALSE()),"")</f>
        <v/>
      </c>
      <c r="J585" s="9" t="str">
        <f aca="false">IFERROR(D585/VLOOKUP(A585,'Dados-Status-Invest'!$1:$1000,10,FALSE()),"")</f>
        <v/>
      </c>
      <c r="K585" s="10" t="str">
        <f aca="false">IFERROR(VLOOKUP(A585,'Dados-Status-Invest'!$1:$1000,3,FALSE())/100,"")</f>
        <v/>
      </c>
      <c r="L585" s="11" t="str">
        <f aca="false">IFERROR(VLOOKUP(A585,'Dados-Status-Invest'!$1:$1000,MATCH(L$1,'Dados-Status-Invest'!$2:$2,0),FALSE())/100,"")</f>
        <v/>
      </c>
      <c r="M585" s="10" t="str">
        <f aca="false">IFERROR(VLOOKUP(A585,'Dados-Status-Invest'!$1:$1000,MATCH(M$1,'Dados-Status-Invest'!$2:$2,0),FALSE())/100,"")</f>
        <v/>
      </c>
      <c r="N585" s="10" t="str">
        <f aca="false">IFERROR(VLOOKUP(A585,'Dados-Status-Invest'!$1:$1000,MATCH(N$1,'Dados-Status-Invest'!$2:$2,0),FALSE())/100,"")</f>
        <v/>
      </c>
      <c r="O585" s="10" t="str">
        <f aca="false">IFERROR(VLOOKUP(A585,'Dados-Status-Invest'!$1:$1000,MATCH(O$1,'Dados-Status-Invest'!$2:$2,0),FALSE())/100,"")</f>
        <v/>
      </c>
      <c r="P585" s="10" t="str">
        <f aca="false">IFERROR(VLOOKUP(A585,'Dados-Status-Invest'!$1:$1000,MATCH(P$1,'Dados-Status-Invest'!$2:$2,0),FALSE())/100,"")</f>
        <v/>
      </c>
      <c r="Q585" s="10" t="str">
        <f aca="false">IFERROR(VLOOKUP(A585,'Dados-Status-Invest'!$1:$1000,MATCH(Q$1,'Dados-Status-Invest'!$2:$2,0),FALSE())/100,"")</f>
        <v/>
      </c>
      <c r="R585" s="12" t="str">
        <f aca="false">IFERROR(VLOOKUP(A585,'Dados-Status-Invest'!$1:$1000,MATCH(R$1,'Dados-Status-Invest'!$2:$2,0),FALSE()),"")</f>
        <v/>
      </c>
      <c r="S585" s="12" t="str">
        <f aca="false">IFERROR(VLOOKUP(A585,'Dados-Status-Invest'!$1:$1000,MATCH(S$1,'Dados-Status-Invest'!$2:$2,0),FALSE()),"")</f>
        <v/>
      </c>
      <c r="T585" s="12" t="str">
        <f aca="false">IFERROR(VLOOKUP(A585,'Dados-Status-Invest'!$1:$1000,MATCH(T$1,'Dados-Status-Invest'!$2:$2,0),FALSE()),"")</f>
        <v/>
      </c>
      <c r="U585" s="12" t="str">
        <f aca="false">IFERROR(VLOOKUP(A585,'Dados-Status-Invest'!$1:$1000,MATCH(U$1,'Dados-Status-Invest'!$2:$2,0),FALSE()),"")</f>
        <v/>
      </c>
      <c r="V585" s="12" t="str">
        <f aca="false">IFERROR(VLOOKUP(A585,'Dados-Status-Invest'!$1:$1000,MATCH(V$1,'Dados-Status-Invest'!$2:$2,0),FALSE()),"")</f>
        <v/>
      </c>
      <c r="W585" s="10" t="str">
        <f aca="false">IFERROR(VLOOKUP(A585,'Dados-Status-Invest'!$1:$1000,MATCH(W$1,'Dados-Status-Invest'!$2:$2,0),FALSE())/100,"")</f>
        <v/>
      </c>
      <c r="X585" s="10" t="str">
        <f aca="false">IFERROR(VLOOKUP(A585,'Dados-Status-Invest'!$1:$1000,MATCH(X$1,'Dados-Status-Invest'!$2:$2,0),FALSE())/100,"")</f>
        <v/>
      </c>
    </row>
    <row r="586" customFormat="false" ht="15.75" hidden="false" customHeight="false" outlineLevel="0" collapsed="false">
      <c r="B586" s="7" t="str">
        <f aca="false">IFERROR(VLOOKUP(LEFT(A586,4),Setor!A:D,2,FALSE()),"")</f>
        <v/>
      </c>
      <c r="C586" s="8" t="str">
        <f aca="false">IFERROR(__xludf.dummyfunction("IFERROR(IFERROR(GOOGLEFINANCE(A592,""price""),VLOOKUP(A592,'Dados-Status-Invest'!A:B,2,FALSE)),"""")"),"")</f>
        <v/>
      </c>
      <c r="D586" s="8" t="str">
        <f aca="false">IFERROR(VLOOKUP(A586,'Dados-Status-Invest'!$1:$1000,MATCH(D$1,'Dados-Status-Invest'!$2:$2,0),FALSE()),"")</f>
        <v/>
      </c>
      <c r="E586" s="8" t="e">
        <f aca="false">IF(D586+H586&gt;0,D586+H586,"")</f>
        <v>#VALUE!</v>
      </c>
      <c r="F586" s="8" t="str">
        <f aca="false">IFERROR(D586/VLOOKUP(A586,'Dados-Status-Invest'!$1:$1000,5,FALSE()),"")</f>
        <v/>
      </c>
      <c r="G586" s="8" t="str">
        <f aca="false">IFERROR(D586/VLOOKUP(A586,'Dados-Status-Invest'!$1:$1000,6,FALSE()),"")</f>
        <v/>
      </c>
      <c r="H586" s="8" t="str">
        <f aca="false">IFERROR(VLOOKUP(A586,'Dados-Status-Invest'!$1:$1000,12,FALSE())*J586,"")</f>
        <v/>
      </c>
      <c r="I586" s="8" t="str">
        <f aca="false">IFERROR(D586/VLOOKUP(A586,'Dados-Status-Invest'!$1:$1000,14,FALSE()),"")</f>
        <v/>
      </c>
      <c r="J586" s="9" t="str">
        <f aca="false">IFERROR(D586/VLOOKUP(A586,'Dados-Status-Invest'!$1:$1000,10,FALSE()),"")</f>
        <v/>
      </c>
      <c r="K586" s="10" t="str">
        <f aca="false">IFERROR(VLOOKUP(A586,'Dados-Status-Invest'!$1:$1000,3,FALSE())/100,"")</f>
        <v/>
      </c>
      <c r="L586" s="11" t="str">
        <f aca="false">IFERROR(VLOOKUP(A586,'Dados-Status-Invest'!$1:$1000,MATCH(L$1,'Dados-Status-Invest'!$2:$2,0),FALSE())/100,"")</f>
        <v/>
      </c>
      <c r="M586" s="10" t="str">
        <f aca="false">IFERROR(VLOOKUP(A586,'Dados-Status-Invest'!$1:$1000,MATCH(M$1,'Dados-Status-Invest'!$2:$2,0),FALSE())/100,"")</f>
        <v/>
      </c>
      <c r="N586" s="10" t="str">
        <f aca="false">IFERROR(VLOOKUP(A586,'Dados-Status-Invest'!$1:$1000,MATCH(N$1,'Dados-Status-Invest'!$2:$2,0),FALSE())/100,"")</f>
        <v/>
      </c>
      <c r="O586" s="10" t="str">
        <f aca="false">IFERROR(VLOOKUP(A586,'Dados-Status-Invest'!$1:$1000,MATCH(O$1,'Dados-Status-Invest'!$2:$2,0),FALSE())/100,"")</f>
        <v/>
      </c>
      <c r="P586" s="10" t="str">
        <f aca="false">IFERROR(VLOOKUP(A586,'Dados-Status-Invest'!$1:$1000,MATCH(P$1,'Dados-Status-Invest'!$2:$2,0),FALSE())/100,"")</f>
        <v/>
      </c>
      <c r="Q586" s="10" t="str">
        <f aca="false">IFERROR(VLOOKUP(A586,'Dados-Status-Invest'!$1:$1000,MATCH(Q$1,'Dados-Status-Invest'!$2:$2,0),FALSE())/100,"")</f>
        <v/>
      </c>
      <c r="R586" s="12" t="str">
        <f aca="false">IFERROR(VLOOKUP(A586,'Dados-Status-Invest'!$1:$1000,MATCH(R$1,'Dados-Status-Invest'!$2:$2,0),FALSE()),"")</f>
        <v/>
      </c>
      <c r="S586" s="12" t="str">
        <f aca="false">IFERROR(VLOOKUP(A586,'Dados-Status-Invest'!$1:$1000,MATCH(S$1,'Dados-Status-Invest'!$2:$2,0),FALSE()),"")</f>
        <v/>
      </c>
      <c r="T586" s="12" t="str">
        <f aca="false">IFERROR(VLOOKUP(A586,'Dados-Status-Invest'!$1:$1000,MATCH(T$1,'Dados-Status-Invest'!$2:$2,0),FALSE()),"")</f>
        <v/>
      </c>
      <c r="U586" s="12" t="str">
        <f aca="false">IFERROR(VLOOKUP(A586,'Dados-Status-Invest'!$1:$1000,MATCH(U$1,'Dados-Status-Invest'!$2:$2,0),FALSE()),"")</f>
        <v/>
      </c>
      <c r="V586" s="12" t="str">
        <f aca="false">IFERROR(VLOOKUP(A586,'Dados-Status-Invest'!$1:$1000,MATCH(V$1,'Dados-Status-Invest'!$2:$2,0),FALSE()),"")</f>
        <v/>
      </c>
      <c r="W586" s="10" t="str">
        <f aca="false">IFERROR(VLOOKUP(A586,'Dados-Status-Invest'!$1:$1000,MATCH(W$1,'Dados-Status-Invest'!$2:$2,0),FALSE())/100,"")</f>
        <v/>
      </c>
      <c r="X586" s="10" t="str">
        <f aca="false">IFERROR(VLOOKUP(A586,'Dados-Status-Invest'!$1:$1000,MATCH(X$1,'Dados-Status-Invest'!$2:$2,0),FALSE())/100,"")</f>
        <v/>
      </c>
    </row>
    <row r="587" customFormat="false" ht="15.75" hidden="false" customHeight="false" outlineLevel="0" collapsed="false">
      <c r="B587" s="7" t="str">
        <f aca="false">IFERROR(VLOOKUP(LEFT(A587,4),Setor!A:D,2,FALSE()),"")</f>
        <v/>
      </c>
      <c r="C587" s="8" t="str">
        <f aca="false">IFERROR(__xludf.dummyfunction("IFERROR(IFERROR(GOOGLEFINANCE(A593,""price""),VLOOKUP(A593,'Dados-Status-Invest'!A:B,2,FALSE)),"""")"),"")</f>
        <v/>
      </c>
      <c r="D587" s="8" t="str">
        <f aca="false">IFERROR(VLOOKUP(A587,'Dados-Status-Invest'!$1:$1000,MATCH(D$1,'Dados-Status-Invest'!$2:$2,0),FALSE()),"")</f>
        <v/>
      </c>
      <c r="E587" s="8" t="e">
        <f aca="false">IF(D587+H587&gt;0,D587+H587,"")</f>
        <v>#VALUE!</v>
      </c>
      <c r="F587" s="8" t="str">
        <f aca="false">IFERROR(D587/VLOOKUP(A587,'Dados-Status-Invest'!$1:$1000,5,FALSE()),"")</f>
        <v/>
      </c>
      <c r="G587" s="8" t="str">
        <f aca="false">IFERROR(D587/VLOOKUP(A587,'Dados-Status-Invest'!$1:$1000,6,FALSE()),"")</f>
        <v/>
      </c>
      <c r="H587" s="8" t="str">
        <f aca="false">IFERROR(VLOOKUP(A587,'Dados-Status-Invest'!$1:$1000,12,FALSE())*J587,"")</f>
        <v/>
      </c>
      <c r="I587" s="8" t="str">
        <f aca="false">IFERROR(D587/VLOOKUP(A587,'Dados-Status-Invest'!$1:$1000,14,FALSE()),"")</f>
        <v/>
      </c>
      <c r="J587" s="9" t="str">
        <f aca="false">IFERROR(D587/VLOOKUP(A587,'Dados-Status-Invest'!$1:$1000,10,FALSE()),"")</f>
        <v/>
      </c>
      <c r="K587" s="10" t="str">
        <f aca="false">IFERROR(VLOOKUP(A587,'Dados-Status-Invest'!$1:$1000,3,FALSE())/100,"")</f>
        <v/>
      </c>
      <c r="L587" s="11" t="str">
        <f aca="false">IFERROR(VLOOKUP(A587,'Dados-Status-Invest'!$1:$1000,MATCH(L$1,'Dados-Status-Invest'!$2:$2,0),FALSE())/100,"")</f>
        <v/>
      </c>
      <c r="M587" s="10" t="str">
        <f aca="false">IFERROR(VLOOKUP(A587,'Dados-Status-Invest'!$1:$1000,MATCH(M$1,'Dados-Status-Invest'!$2:$2,0),FALSE())/100,"")</f>
        <v/>
      </c>
      <c r="N587" s="10" t="str">
        <f aca="false">IFERROR(VLOOKUP(A587,'Dados-Status-Invest'!$1:$1000,MATCH(N$1,'Dados-Status-Invest'!$2:$2,0),FALSE())/100,"")</f>
        <v/>
      </c>
      <c r="O587" s="10" t="str">
        <f aca="false">IFERROR(VLOOKUP(A587,'Dados-Status-Invest'!$1:$1000,MATCH(O$1,'Dados-Status-Invest'!$2:$2,0),FALSE())/100,"")</f>
        <v/>
      </c>
      <c r="P587" s="10" t="str">
        <f aca="false">IFERROR(VLOOKUP(A587,'Dados-Status-Invest'!$1:$1000,MATCH(P$1,'Dados-Status-Invest'!$2:$2,0),FALSE())/100,"")</f>
        <v/>
      </c>
      <c r="Q587" s="10" t="str">
        <f aca="false">IFERROR(VLOOKUP(A587,'Dados-Status-Invest'!$1:$1000,MATCH(Q$1,'Dados-Status-Invest'!$2:$2,0),FALSE())/100,"")</f>
        <v/>
      </c>
      <c r="R587" s="12" t="str">
        <f aca="false">IFERROR(VLOOKUP(A587,'Dados-Status-Invest'!$1:$1000,MATCH(R$1,'Dados-Status-Invest'!$2:$2,0),FALSE()),"")</f>
        <v/>
      </c>
      <c r="S587" s="12" t="str">
        <f aca="false">IFERROR(VLOOKUP(A587,'Dados-Status-Invest'!$1:$1000,MATCH(S$1,'Dados-Status-Invest'!$2:$2,0),FALSE()),"")</f>
        <v/>
      </c>
      <c r="T587" s="12" t="str">
        <f aca="false">IFERROR(VLOOKUP(A587,'Dados-Status-Invest'!$1:$1000,MATCH(T$1,'Dados-Status-Invest'!$2:$2,0),FALSE()),"")</f>
        <v/>
      </c>
      <c r="U587" s="12" t="str">
        <f aca="false">IFERROR(VLOOKUP(A587,'Dados-Status-Invest'!$1:$1000,MATCH(U$1,'Dados-Status-Invest'!$2:$2,0),FALSE()),"")</f>
        <v/>
      </c>
      <c r="V587" s="12" t="str">
        <f aca="false">IFERROR(VLOOKUP(A587,'Dados-Status-Invest'!$1:$1000,MATCH(V$1,'Dados-Status-Invest'!$2:$2,0),FALSE()),"")</f>
        <v/>
      </c>
      <c r="W587" s="10" t="str">
        <f aca="false">IFERROR(VLOOKUP(A587,'Dados-Status-Invest'!$1:$1000,MATCH(W$1,'Dados-Status-Invest'!$2:$2,0),FALSE())/100,"")</f>
        <v/>
      </c>
      <c r="X587" s="10" t="str">
        <f aca="false">IFERROR(VLOOKUP(A587,'Dados-Status-Invest'!$1:$1000,MATCH(X$1,'Dados-Status-Invest'!$2:$2,0),FALSE())/100,"")</f>
        <v/>
      </c>
    </row>
    <row r="588" customFormat="false" ht="15.75" hidden="false" customHeight="false" outlineLevel="0" collapsed="false">
      <c r="B588" s="7" t="str">
        <f aca="false">IFERROR(VLOOKUP(LEFT(A588,4),Setor!A:D,2,FALSE()),"")</f>
        <v/>
      </c>
      <c r="C588" s="8" t="str">
        <f aca="false">IFERROR(__xludf.dummyfunction("IFERROR(IFERROR(GOOGLEFINANCE(A594,""price""),VLOOKUP(A594,'Dados-Status-Invest'!A:B,2,FALSE)),"""")"),"")</f>
        <v/>
      </c>
      <c r="D588" s="8" t="str">
        <f aca="false">IFERROR(VLOOKUP(A588,'Dados-Status-Invest'!$1:$1000,MATCH(D$1,'Dados-Status-Invest'!$2:$2,0),FALSE()),"")</f>
        <v/>
      </c>
      <c r="E588" s="8" t="e">
        <f aca="false">IF(D588+H588&gt;0,D588+H588,"")</f>
        <v>#VALUE!</v>
      </c>
      <c r="F588" s="8" t="str">
        <f aca="false">IFERROR(D588/VLOOKUP(A588,'Dados-Status-Invest'!$1:$1000,5,FALSE()),"")</f>
        <v/>
      </c>
      <c r="G588" s="8" t="str">
        <f aca="false">IFERROR(D588/VLOOKUP(A588,'Dados-Status-Invest'!$1:$1000,6,FALSE()),"")</f>
        <v/>
      </c>
      <c r="H588" s="8" t="str">
        <f aca="false">IFERROR(VLOOKUP(A588,'Dados-Status-Invest'!$1:$1000,12,FALSE())*J588,"")</f>
        <v/>
      </c>
      <c r="I588" s="8" t="str">
        <f aca="false">IFERROR(D588/VLOOKUP(A588,'Dados-Status-Invest'!$1:$1000,14,FALSE()),"")</f>
        <v/>
      </c>
      <c r="J588" s="9" t="str">
        <f aca="false">IFERROR(D588/VLOOKUP(A588,'Dados-Status-Invest'!$1:$1000,10,FALSE()),"")</f>
        <v/>
      </c>
      <c r="K588" s="10" t="str">
        <f aca="false">IFERROR(VLOOKUP(A588,'Dados-Status-Invest'!$1:$1000,3,FALSE())/100,"")</f>
        <v/>
      </c>
      <c r="L588" s="11" t="str">
        <f aca="false">IFERROR(VLOOKUP(A588,'Dados-Status-Invest'!$1:$1000,MATCH(L$1,'Dados-Status-Invest'!$2:$2,0),FALSE())/100,"")</f>
        <v/>
      </c>
      <c r="M588" s="10" t="str">
        <f aca="false">IFERROR(VLOOKUP(A588,'Dados-Status-Invest'!$1:$1000,MATCH(M$1,'Dados-Status-Invest'!$2:$2,0),FALSE())/100,"")</f>
        <v/>
      </c>
      <c r="N588" s="10" t="str">
        <f aca="false">IFERROR(VLOOKUP(A588,'Dados-Status-Invest'!$1:$1000,MATCH(N$1,'Dados-Status-Invest'!$2:$2,0),FALSE())/100,"")</f>
        <v/>
      </c>
      <c r="O588" s="10" t="str">
        <f aca="false">IFERROR(VLOOKUP(A588,'Dados-Status-Invest'!$1:$1000,MATCH(O$1,'Dados-Status-Invest'!$2:$2,0),FALSE())/100,"")</f>
        <v/>
      </c>
      <c r="P588" s="10" t="str">
        <f aca="false">IFERROR(VLOOKUP(A588,'Dados-Status-Invest'!$1:$1000,MATCH(P$1,'Dados-Status-Invest'!$2:$2,0),FALSE())/100,"")</f>
        <v/>
      </c>
      <c r="Q588" s="10" t="str">
        <f aca="false">IFERROR(VLOOKUP(A588,'Dados-Status-Invest'!$1:$1000,MATCH(Q$1,'Dados-Status-Invest'!$2:$2,0),FALSE())/100,"")</f>
        <v/>
      </c>
      <c r="R588" s="12" t="str">
        <f aca="false">IFERROR(VLOOKUP(A588,'Dados-Status-Invest'!$1:$1000,MATCH(R$1,'Dados-Status-Invest'!$2:$2,0),FALSE()),"")</f>
        <v/>
      </c>
      <c r="S588" s="12" t="str">
        <f aca="false">IFERROR(VLOOKUP(A588,'Dados-Status-Invest'!$1:$1000,MATCH(S$1,'Dados-Status-Invest'!$2:$2,0),FALSE()),"")</f>
        <v/>
      </c>
      <c r="T588" s="12" t="str">
        <f aca="false">IFERROR(VLOOKUP(A588,'Dados-Status-Invest'!$1:$1000,MATCH(T$1,'Dados-Status-Invest'!$2:$2,0),FALSE()),"")</f>
        <v/>
      </c>
      <c r="U588" s="12" t="str">
        <f aca="false">IFERROR(VLOOKUP(A588,'Dados-Status-Invest'!$1:$1000,MATCH(U$1,'Dados-Status-Invest'!$2:$2,0),FALSE()),"")</f>
        <v/>
      </c>
      <c r="V588" s="12" t="str">
        <f aca="false">IFERROR(VLOOKUP(A588,'Dados-Status-Invest'!$1:$1000,MATCH(V$1,'Dados-Status-Invest'!$2:$2,0),FALSE()),"")</f>
        <v/>
      </c>
      <c r="W588" s="10" t="str">
        <f aca="false">IFERROR(VLOOKUP(A588,'Dados-Status-Invest'!$1:$1000,MATCH(W$1,'Dados-Status-Invest'!$2:$2,0),FALSE())/100,"")</f>
        <v/>
      </c>
      <c r="X588" s="10" t="str">
        <f aca="false">IFERROR(VLOOKUP(A588,'Dados-Status-Invest'!$1:$1000,MATCH(X$1,'Dados-Status-Invest'!$2:$2,0),FALSE())/100,"")</f>
        <v/>
      </c>
    </row>
    <row r="589" customFormat="false" ht="15.75" hidden="false" customHeight="false" outlineLevel="0" collapsed="false">
      <c r="B589" s="7" t="str">
        <f aca="false">IFERROR(VLOOKUP(LEFT(A589,4),Setor!A:D,2,FALSE()),"")</f>
        <v/>
      </c>
      <c r="C589" s="8" t="str">
        <f aca="false">IFERROR(__xludf.dummyfunction("IFERROR(IFERROR(GOOGLEFINANCE(A595,""price""),VLOOKUP(A595,'Dados-Status-Invest'!A:B,2,FALSE)),"""")"),"")</f>
        <v/>
      </c>
      <c r="D589" s="8" t="str">
        <f aca="false">IFERROR(VLOOKUP(A589,'Dados-Status-Invest'!$1:$1000,MATCH(D$1,'Dados-Status-Invest'!$2:$2,0),FALSE()),"")</f>
        <v/>
      </c>
      <c r="E589" s="8" t="e">
        <f aca="false">IF(D589+H589&gt;0,D589+H589,"")</f>
        <v>#VALUE!</v>
      </c>
      <c r="F589" s="8" t="str">
        <f aca="false">IFERROR(D589/VLOOKUP(A589,'Dados-Status-Invest'!$1:$1000,5,FALSE()),"")</f>
        <v/>
      </c>
      <c r="G589" s="8" t="str">
        <f aca="false">IFERROR(D589/VLOOKUP(A589,'Dados-Status-Invest'!$1:$1000,6,FALSE()),"")</f>
        <v/>
      </c>
      <c r="H589" s="8" t="str">
        <f aca="false">IFERROR(VLOOKUP(A589,'Dados-Status-Invest'!$1:$1000,12,FALSE())*J589,"")</f>
        <v/>
      </c>
      <c r="I589" s="8" t="str">
        <f aca="false">IFERROR(D589/VLOOKUP(A589,'Dados-Status-Invest'!$1:$1000,14,FALSE()),"")</f>
        <v/>
      </c>
      <c r="J589" s="9" t="str">
        <f aca="false">IFERROR(D589/VLOOKUP(A589,'Dados-Status-Invest'!$1:$1000,10,FALSE()),"")</f>
        <v/>
      </c>
      <c r="K589" s="10" t="str">
        <f aca="false">IFERROR(VLOOKUP(A589,'Dados-Status-Invest'!$1:$1000,3,FALSE())/100,"")</f>
        <v/>
      </c>
      <c r="L589" s="11" t="str">
        <f aca="false">IFERROR(VLOOKUP(A589,'Dados-Status-Invest'!$1:$1000,MATCH(L$1,'Dados-Status-Invest'!$2:$2,0),FALSE())/100,"")</f>
        <v/>
      </c>
      <c r="M589" s="10" t="str">
        <f aca="false">IFERROR(VLOOKUP(A589,'Dados-Status-Invest'!$1:$1000,MATCH(M$1,'Dados-Status-Invest'!$2:$2,0),FALSE())/100,"")</f>
        <v/>
      </c>
      <c r="N589" s="10" t="str">
        <f aca="false">IFERROR(VLOOKUP(A589,'Dados-Status-Invest'!$1:$1000,MATCH(N$1,'Dados-Status-Invest'!$2:$2,0),FALSE())/100,"")</f>
        <v/>
      </c>
      <c r="O589" s="10" t="str">
        <f aca="false">IFERROR(VLOOKUP(A589,'Dados-Status-Invest'!$1:$1000,MATCH(O$1,'Dados-Status-Invest'!$2:$2,0),FALSE())/100,"")</f>
        <v/>
      </c>
      <c r="P589" s="10" t="str">
        <f aca="false">IFERROR(VLOOKUP(A589,'Dados-Status-Invest'!$1:$1000,MATCH(P$1,'Dados-Status-Invest'!$2:$2,0),FALSE())/100,"")</f>
        <v/>
      </c>
      <c r="Q589" s="10" t="str">
        <f aca="false">IFERROR(VLOOKUP(A589,'Dados-Status-Invest'!$1:$1000,MATCH(Q$1,'Dados-Status-Invest'!$2:$2,0),FALSE())/100,"")</f>
        <v/>
      </c>
      <c r="R589" s="12" t="str">
        <f aca="false">IFERROR(VLOOKUP(A589,'Dados-Status-Invest'!$1:$1000,MATCH(R$1,'Dados-Status-Invest'!$2:$2,0),FALSE()),"")</f>
        <v/>
      </c>
      <c r="S589" s="12" t="str">
        <f aca="false">IFERROR(VLOOKUP(A589,'Dados-Status-Invest'!$1:$1000,MATCH(S$1,'Dados-Status-Invest'!$2:$2,0),FALSE()),"")</f>
        <v/>
      </c>
      <c r="T589" s="12" t="str">
        <f aca="false">IFERROR(VLOOKUP(A589,'Dados-Status-Invest'!$1:$1000,MATCH(T$1,'Dados-Status-Invest'!$2:$2,0),FALSE()),"")</f>
        <v/>
      </c>
      <c r="U589" s="12" t="str">
        <f aca="false">IFERROR(VLOOKUP(A589,'Dados-Status-Invest'!$1:$1000,MATCH(U$1,'Dados-Status-Invest'!$2:$2,0),FALSE()),"")</f>
        <v/>
      </c>
      <c r="V589" s="12" t="str">
        <f aca="false">IFERROR(VLOOKUP(A589,'Dados-Status-Invest'!$1:$1000,MATCH(V$1,'Dados-Status-Invest'!$2:$2,0),FALSE()),"")</f>
        <v/>
      </c>
      <c r="W589" s="10" t="str">
        <f aca="false">IFERROR(VLOOKUP(A589,'Dados-Status-Invest'!$1:$1000,MATCH(W$1,'Dados-Status-Invest'!$2:$2,0),FALSE())/100,"")</f>
        <v/>
      </c>
      <c r="X589" s="10" t="str">
        <f aca="false">IFERROR(VLOOKUP(A589,'Dados-Status-Invest'!$1:$1000,MATCH(X$1,'Dados-Status-Invest'!$2:$2,0),FALSE())/100,"")</f>
        <v/>
      </c>
    </row>
    <row r="590" customFormat="false" ht="15.75" hidden="false" customHeight="false" outlineLevel="0" collapsed="false">
      <c r="B590" s="7" t="str">
        <f aca="false">IFERROR(VLOOKUP(LEFT(A590,4),Setor!A:D,2,FALSE()),"")</f>
        <v/>
      </c>
      <c r="C590" s="8" t="str">
        <f aca="false">IFERROR(__xludf.dummyfunction("IFERROR(IFERROR(GOOGLEFINANCE(A596,""price""),VLOOKUP(A596,'Dados-Status-Invest'!A:B,2,FALSE)),"""")"),"")</f>
        <v/>
      </c>
      <c r="D590" s="8" t="str">
        <f aca="false">IFERROR(VLOOKUP(A590,'Dados-Status-Invest'!$1:$1000,MATCH(D$1,'Dados-Status-Invest'!$2:$2,0),FALSE()),"")</f>
        <v/>
      </c>
      <c r="E590" s="8" t="e">
        <f aca="false">IF(D590+H590&gt;0,D590+H590,"")</f>
        <v>#VALUE!</v>
      </c>
      <c r="F590" s="8" t="str">
        <f aca="false">IFERROR(D590/VLOOKUP(A590,'Dados-Status-Invest'!$1:$1000,5,FALSE()),"")</f>
        <v/>
      </c>
      <c r="G590" s="8" t="str">
        <f aca="false">IFERROR(D590/VLOOKUP(A590,'Dados-Status-Invest'!$1:$1000,6,FALSE()),"")</f>
        <v/>
      </c>
      <c r="H590" s="8" t="str">
        <f aca="false">IFERROR(VLOOKUP(A590,'Dados-Status-Invest'!$1:$1000,12,FALSE())*J590,"")</f>
        <v/>
      </c>
      <c r="I590" s="8" t="str">
        <f aca="false">IFERROR(D590/VLOOKUP(A590,'Dados-Status-Invest'!$1:$1000,14,FALSE()),"")</f>
        <v/>
      </c>
      <c r="J590" s="9" t="str">
        <f aca="false">IFERROR(D590/VLOOKUP(A590,'Dados-Status-Invest'!$1:$1000,10,FALSE()),"")</f>
        <v/>
      </c>
      <c r="K590" s="10" t="str">
        <f aca="false">IFERROR(VLOOKUP(A590,'Dados-Status-Invest'!$1:$1000,3,FALSE())/100,"")</f>
        <v/>
      </c>
      <c r="L590" s="11" t="str">
        <f aca="false">IFERROR(VLOOKUP(A590,'Dados-Status-Invest'!$1:$1000,MATCH(L$1,'Dados-Status-Invest'!$2:$2,0),FALSE())/100,"")</f>
        <v/>
      </c>
      <c r="M590" s="10" t="str">
        <f aca="false">IFERROR(VLOOKUP(A590,'Dados-Status-Invest'!$1:$1000,MATCH(M$1,'Dados-Status-Invest'!$2:$2,0),FALSE())/100,"")</f>
        <v/>
      </c>
      <c r="N590" s="10" t="str">
        <f aca="false">IFERROR(VLOOKUP(A590,'Dados-Status-Invest'!$1:$1000,MATCH(N$1,'Dados-Status-Invest'!$2:$2,0),FALSE())/100,"")</f>
        <v/>
      </c>
      <c r="O590" s="10" t="str">
        <f aca="false">IFERROR(VLOOKUP(A590,'Dados-Status-Invest'!$1:$1000,MATCH(O$1,'Dados-Status-Invest'!$2:$2,0),FALSE())/100,"")</f>
        <v/>
      </c>
      <c r="P590" s="10" t="str">
        <f aca="false">IFERROR(VLOOKUP(A590,'Dados-Status-Invest'!$1:$1000,MATCH(P$1,'Dados-Status-Invest'!$2:$2,0),FALSE())/100,"")</f>
        <v/>
      </c>
      <c r="Q590" s="10" t="str">
        <f aca="false">IFERROR(VLOOKUP(A590,'Dados-Status-Invest'!$1:$1000,MATCH(Q$1,'Dados-Status-Invest'!$2:$2,0),FALSE())/100,"")</f>
        <v/>
      </c>
      <c r="R590" s="12" t="str">
        <f aca="false">IFERROR(VLOOKUP(A590,'Dados-Status-Invest'!$1:$1000,MATCH(R$1,'Dados-Status-Invest'!$2:$2,0),FALSE()),"")</f>
        <v/>
      </c>
      <c r="S590" s="12" t="str">
        <f aca="false">IFERROR(VLOOKUP(A590,'Dados-Status-Invest'!$1:$1000,MATCH(S$1,'Dados-Status-Invest'!$2:$2,0),FALSE()),"")</f>
        <v/>
      </c>
      <c r="T590" s="12" t="str">
        <f aca="false">IFERROR(VLOOKUP(A590,'Dados-Status-Invest'!$1:$1000,MATCH(T$1,'Dados-Status-Invest'!$2:$2,0),FALSE()),"")</f>
        <v/>
      </c>
      <c r="U590" s="12" t="str">
        <f aca="false">IFERROR(VLOOKUP(A590,'Dados-Status-Invest'!$1:$1000,MATCH(U$1,'Dados-Status-Invest'!$2:$2,0),FALSE()),"")</f>
        <v/>
      </c>
      <c r="V590" s="12" t="str">
        <f aca="false">IFERROR(VLOOKUP(A590,'Dados-Status-Invest'!$1:$1000,MATCH(V$1,'Dados-Status-Invest'!$2:$2,0),FALSE()),"")</f>
        <v/>
      </c>
      <c r="W590" s="10" t="str">
        <f aca="false">IFERROR(VLOOKUP(A590,'Dados-Status-Invest'!$1:$1000,MATCH(W$1,'Dados-Status-Invest'!$2:$2,0),FALSE())/100,"")</f>
        <v/>
      </c>
      <c r="X590" s="10" t="str">
        <f aca="false">IFERROR(VLOOKUP(A590,'Dados-Status-Invest'!$1:$1000,MATCH(X$1,'Dados-Status-Invest'!$2:$2,0),FALSE())/100,"")</f>
        <v/>
      </c>
    </row>
    <row r="591" customFormat="false" ht="15.75" hidden="false" customHeight="false" outlineLevel="0" collapsed="false">
      <c r="B591" s="7" t="str">
        <f aca="false">IFERROR(VLOOKUP(LEFT(A591,4),Setor!A:D,2,FALSE()),"")</f>
        <v/>
      </c>
      <c r="C591" s="8" t="str">
        <f aca="false">IFERROR(__xludf.dummyfunction("IFERROR(IFERROR(GOOGLEFINANCE(A597,""price""),VLOOKUP(A597,'Dados-Status-Invest'!A:B,2,FALSE)),"""")"),"")</f>
        <v/>
      </c>
      <c r="D591" s="8" t="str">
        <f aca="false">IFERROR(VLOOKUP(A591,'Dados-Status-Invest'!$1:$1000,MATCH(D$1,'Dados-Status-Invest'!$2:$2,0),FALSE()),"")</f>
        <v/>
      </c>
      <c r="E591" s="8" t="e">
        <f aca="false">IF(D591+H591&gt;0,D591+H591,"")</f>
        <v>#VALUE!</v>
      </c>
      <c r="F591" s="8" t="str">
        <f aca="false">IFERROR(D591/VLOOKUP(A591,'Dados-Status-Invest'!$1:$1000,5,FALSE()),"")</f>
        <v/>
      </c>
      <c r="G591" s="8" t="str">
        <f aca="false">IFERROR(D591/VLOOKUP(A591,'Dados-Status-Invest'!$1:$1000,6,FALSE()),"")</f>
        <v/>
      </c>
      <c r="H591" s="8" t="str">
        <f aca="false">IFERROR(VLOOKUP(A591,'Dados-Status-Invest'!$1:$1000,12,FALSE())*J591,"")</f>
        <v/>
      </c>
      <c r="I591" s="8" t="str">
        <f aca="false">IFERROR(D591/VLOOKUP(A591,'Dados-Status-Invest'!$1:$1000,14,FALSE()),"")</f>
        <v/>
      </c>
      <c r="J591" s="9" t="str">
        <f aca="false">IFERROR(D591/VLOOKUP(A591,'Dados-Status-Invest'!$1:$1000,10,FALSE()),"")</f>
        <v/>
      </c>
      <c r="K591" s="10" t="str">
        <f aca="false">IFERROR(VLOOKUP(A591,'Dados-Status-Invest'!$1:$1000,3,FALSE())/100,"")</f>
        <v/>
      </c>
      <c r="L591" s="11" t="str">
        <f aca="false">IFERROR(VLOOKUP(A591,'Dados-Status-Invest'!$1:$1000,MATCH(L$1,'Dados-Status-Invest'!$2:$2,0),FALSE())/100,"")</f>
        <v/>
      </c>
      <c r="M591" s="10" t="str">
        <f aca="false">IFERROR(VLOOKUP(A591,'Dados-Status-Invest'!$1:$1000,MATCH(M$1,'Dados-Status-Invest'!$2:$2,0),FALSE())/100,"")</f>
        <v/>
      </c>
      <c r="N591" s="10" t="str">
        <f aca="false">IFERROR(VLOOKUP(A591,'Dados-Status-Invest'!$1:$1000,MATCH(N$1,'Dados-Status-Invest'!$2:$2,0),FALSE())/100,"")</f>
        <v/>
      </c>
      <c r="O591" s="10" t="str">
        <f aca="false">IFERROR(VLOOKUP(A591,'Dados-Status-Invest'!$1:$1000,MATCH(O$1,'Dados-Status-Invest'!$2:$2,0),FALSE())/100,"")</f>
        <v/>
      </c>
      <c r="P591" s="10" t="str">
        <f aca="false">IFERROR(VLOOKUP(A591,'Dados-Status-Invest'!$1:$1000,MATCH(P$1,'Dados-Status-Invest'!$2:$2,0),FALSE())/100,"")</f>
        <v/>
      </c>
      <c r="Q591" s="10" t="str">
        <f aca="false">IFERROR(VLOOKUP(A591,'Dados-Status-Invest'!$1:$1000,MATCH(Q$1,'Dados-Status-Invest'!$2:$2,0),FALSE())/100,"")</f>
        <v/>
      </c>
      <c r="R591" s="12" t="str">
        <f aca="false">IFERROR(VLOOKUP(A591,'Dados-Status-Invest'!$1:$1000,MATCH(R$1,'Dados-Status-Invest'!$2:$2,0),FALSE()),"")</f>
        <v/>
      </c>
      <c r="S591" s="12" t="str">
        <f aca="false">IFERROR(VLOOKUP(A591,'Dados-Status-Invest'!$1:$1000,MATCH(S$1,'Dados-Status-Invest'!$2:$2,0),FALSE()),"")</f>
        <v/>
      </c>
      <c r="T591" s="12" t="str">
        <f aca="false">IFERROR(VLOOKUP(A591,'Dados-Status-Invest'!$1:$1000,MATCH(T$1,'Dados-Status-Invest'!$2:$2,0),FALSE()),"")</f>
        <v/>
      </c>
      <c r="U591" s="12" t="str">
        <f aca="false">IFERROR(VLOOKUP(A591,'Dados-Status-Invest'!$1:$1000,MATCH(U$1,'Dados-Status-Invest'!$2:$2,0),FALSE()),"")</f>
        <v/>
      </c>
      <c r="V591" s="12" t="str">
        <f aca="false">IFERROR(VLOOKUP(A591,'Dados-Status-Invest'!$1:$1000,MATCH(V$1,'Dados-Status-Invest'!$2:$2,0),FALSE()),"")</f>
        <v/>
      </c>
      <c r="W591" s="10" t="str">
        <f aca="false">IFERROR(VLOOKUP(A591,'Dados-Status-Invest'!$1:$1000,MATCH(W$1,'Dados-Status-Invest'!$2:$2,0),FALSE())/100,"")</f>
        <v/>
      </c>
      <c r="X591" s="10" t="str">
        <f aca="false">IFERROR(VLOOKUP(A591,'Dados-Status-Invest'!$1:$1000,MATCH(X$1,'Dados-Status-Invest'!$2:$2,0),FALSE())/100,"")</f>
        <v/>
      </c>
    </row>
    <row r="592" customFormat="false" ht="15.75" hidden="false" customHeight="false" outlineLevel="0" collapsed="false">
      <c r="B592" s="7" t="str">
        <f aca="false">IFERROR(VLOOKUP(LEFT(A592,4),Setor!A:D,2,FALSE()),"")</f>
        <v/>
      </c>
      <c r="C592" s="8" t="str">
        <f aca="false">IFERROR(__xludf.dummyfunction("IFERROR(IFERROR(GOOGLEFINANCE(A598,""price""),VLOOKUP(A598,'Dados-Status-Invest'!A:B,2,FALSE)),"""")"),"")</f>
        <v/>
      </c>
      <c r="D592" s="8" t="str">
        <f aca="false">IFERROR(VLOOKUP(A592,'Dados-Status-Invest'!$1:$1000,MATCH(D$1,'Dados-Status-Invest'!$2:$2,0),FALSE()),"")</f>
        <v/>
      </c>
      <c r="E592" s="8" t="e">
        <f aca="false">IF(D592+H592&gt;0,D592+H592,"")</f>
        <v>#VALUE!</v>
      </c>
      <c r="F592" s="8" t="str">
        <f aca="false">IFERROR(D592/VLOOKUP(A592,'Dados-Status-Invest'!$1:$1000,5,FALSE()),"")</f>
        <v/>
      </c>
      <c r="G592" s="8" t="str">
        <f aca="false">IFERROR(D592/VLOOKUP(A592,'Dados-Status-Invest'!$1:$1000,6,FALSE()),"")</f>
        <v/>
      </c>
      <c r="H592" s="8" t="str">
        <f aca="false">IFERROR(VLOOKUP(A592,'Dados-Status-Invest'!$1:$1000,12,FALSE())*J592,"")</f>
        <v/>
      </c>
      <c r="I592" s="8" t="str">
        <f aca="false">IFERROR(D592/VLOOKUP(A592,'Dados-Status-Invest'!$1:$1000,14,FALSE()),"")</f>
        <v/>
      </c>
      <c r="J592" s="9" t="str">
        <f aca="false">IFERROR(D592/VLOOKUP(A592,'Dados-Status-Invest'!$1:$1000,10,FALSE()),"")</f>
        <v/>
      </c>
      <c r="K592" s="10" t="str">
        <f aca="false">IFERROR(VLOOKUP(A592,'Dados-Status-Invest'!$1:$1000,3,FALSE())/100,"")</f>
        <v/>
      </c>
      <c r="L592" s="11" t="str">
        <f aca="false">IFERROR(VLOOKUP(A592,'Dados-Status-Invest'!$1:$1000,MATCH(L$1,'Dados-Status-Invest'!$2:$2,0),FALSE())/100,"")</f>
        <v/>
      </c>
      <c r="M592" s="10" t="str">
        <f aca="false">IFERROR(VLOOKUP(A592,'Dados-Status-Invest'!$1:$1000,MATCH(M$1,'Dados-Status-Invest'!$2:$2,0),FALSE())/100,"")</f>
        <v/>
      </c>
      <c r="N592" s="10" t="str">
        <f aca="false">IFERROR(VLOOKUP(A592,'Dados-Status-Invest'!$1:$1000,MATCH(N$1,'Dados-Status-Invest'!$2:$2,0),FALSE())/100,"")</f>
        <v/>
      </c>
      <c r="O592" s="10" t="str">
        <f aca="false">IFERROR(VLOOKUP(A592,'Dados-Status-Invest'!$1:$1000,MATCH(O$1,'Dados-Status-Invest'!$2:$2,0),FALSE())/100,"")</f>
        <v/>
      </c>
      <c r="P592" s="10" t="str">
        <f aca="false">IFERROR(VLOOKUP(A592,'Dados-Status-Invest'!$1:$1000,MATCH(P$1,'Dados-Status-Invest'!$2:$2,0),FALSE())/100,"")</f>
        <v/>
      </c>
      <c r="Q592" s="10" t="str">
        <f aca="false">IFERROR(VLOOKUP(A592,'Dados-Status-Invest'!$1:$1000,MATCH(Q$1,'Dados-Status-Invest'!$2:$2,0),FALSE())/100,"")</f>
        <v/>
      </c>
      <c r="R592" s="12" t="str">
        <f aca="false">IFERROR(VLOOKUP(A592,'Dados-Status-Invest'!$1:$1000,MATCH(R$1,'Dados-Status-Invest'!$2:$2,0),FALSE()),"")</f>
        <v/>
      </c>
      <c r="S592" s="12" t="str">
        <f aca="false">IFERROR(VLOOKUP(A592,'Dados-Status-Invest'!$1:$1000,MATCH(S$1,'Dados-Status-Invest'!$2:$2,0),FALSE()),"")</f>
        <v/>
      </c>
      <c r="T592" s="12" t="str">
        <f aca="false">IFERROR(VLOOKUP(A592,'Dados-Status-Invest'!$1:$1000,MATCH(T$1,'Dados-Status-Invest'!$2:$2,0),FALSE()),"")</f>
        <v/>
      </c>
      <c r="U592" s="12" t="str">
        <f aca="false">IFERROR(VLOOKUP(A592,'Dados-Status-Invest'!$1:$1000,MATCH(U$1,'Dados-Status-Invest'!$2:$2,0),FALSE()),"")</f>
        <v/>
      </c>
      <c r="V592" s="12" t="str">
        <f aca="false">IFERROR(VLOOKUP(A592,'Dados-Status-Invest'!$1:$1000,MATCH(V$1,'Dados-Status-Invest'!$2:$2,0),FALSE()),"")</f>
        <v/>
      </c>
      <c r="W592" s="10" t="str">
        <f aca="false">IFERROR(VLOOKUP(A592,'Dados-Status-Invest'!$1:$1000,MATCH(W$1,'Dados-Status-Invest'!$2:$2,0),FALSE())/100,"")</f>
        <v/>
      </c>
      <c r="X592" s="10" t="str">
        <f aca="false">IFERROR(VLOOKUP(A592,'Dados-Status-Invest'!$1:$1000,MATCH(X$1,'Dados-Status-Invest'!$2:$2,0),FALSE())/100,"")</f>
        <v/>
      </c>
    </row>
    <row r="593" customFormat="false" ht="15.75" hidden="false" customHeight="false" outlineLevel="0" collapsed="false">
      <c r="B593" s="7" t="str">
        <f aca="false">IFERROR(VLOOKUP(LEFT(A593,4),Setor!A:D,2,FALSE()),"")</f>
        <v/>
      </c>
      <c r="C593" s="8" t="str">
        <f aca="false">IFERROR(__xludf.dummyfunction("IFERROR(IFERROR(GOOGLEFINANCE(A599,""price""),VLOOKUP(A599,'Dados-Status-Invest'!A:B,2,FALSE)),"""")"),"")</f>
        <v/>
      </c>
      <c r="D593" s="8" t="str">
        <f aca="false">IFERROR(VLOOKUP(A593,'Dados-Status-Invest'!$1:$1000,MATCH(D$1,'Dados-Status-Invest'!$2:$2,0),FALSE()),"")</f>
        <v/>
      </c>
      <c r="E593" s="8" t="e">
        <f aca="false">IF(D593+H593&gt;0,D593+H593,"")</f>
        <v>#VALUE!</v>
      </c>
      <c r="F593" s="8" t="str">
        <f aca="false">IFERROR(D593/VLOOKUP(A593,'Dados-Status-Invest'!$1:$1000,5,FALSE()),"")</f>
        <v/>
      </c>
      <c r="G593" s="8" t="str">
        <f aca="false">IFERROR(D593/VLOOKUP(A593,'Dados-Status-Invest'!$1:$1000,6,FALSE()),"")</f>
        <v/>
      </c>
      <c r="H593" s="8" t="str">
        <f aca="false">IFERROR(VLOOKUP(A593,'Dados-Status-Invest'!$1:$1000,12,FALSE())*J593,"")</f>
        <v/>
      </c>
      <c r="I593" s="8" t="str">
        <f aca="false">IFERROR(D593/VLOOKUP(A593,'Dados-Status-Invest'!$1:$1000,14,FALSE()),"")</f>
        <v/>
      </c>
      <c r="J593" s="9" t="str">
        <f aca="false">IFERROR(D593/VLOOKUP(A593,'Dados-Status-Invest'!$1:$1000,10,FALSE()),"")</f>
        <v/>
      </c>
      <c r="K593" s="10" t="str">
        <f aca="false">IFERROR(VLOOKUP(A593,'Dados-Status-Invest'!$1:$1000,3,FALSE())/100,"")</f>
        <v/>
      </c>
      <c r="L593" s="11" t="str">
        <f aca="false">IFERROR(VLOOKUP(A593,'Dados-Status-Invest'!$1:$1000,MATCH(L$1,'Dados-Status-Invest'!$2:$2,0),FALSE())/100,"")</f>
        <v/>
      </c>
      <c r="M593" s="10" t="str">
        <f aca="false">IFERROR(VLOOKUP(A593,'Dados-Status-Invest'!$1:$1000,MATCH(M$1,'Dados-Status-Invest'!$2:$2,0),FALSE())/100,"")</f>
        <v/>
      </c>
      <c r="N593" s="10" t="str">
        <f aca="false">IFERROR(VLOOKUP(A593,'Dados-Status-Invest'!$1:$1000,MATCH(N$1,'Dados-Status-Invest'!$2:$2,0),FALSE())/100,"")</f>
        <v/>
      </c>
      <c r="O593" s="10" t="str">
        <f aca="false">IFERROR(VLOOKUP(A593,'Dados-Status-Invest'!$1:$1000,MATCH(O$1,'Dados-Status-Invest'!$2:$2,0),FALSE())/100,"")</f>
        <v/>
      </c>
      <c r="P593" s="10" t="str">
        <f aca="false">IFERROR(VLOOKUP(A593,'Dados-Status-Invest'!$1:$1000,MATCH(P$1,'Dados-Status-Invest'!$2:$2,0),FALSE())/100,"")</f>
        <v/>
      </c>
      <c r="Q593" s="10" t="str">
        <f aca="false">IFERROR(VLOOKUP(A593,'Dados-Status-Invest'!$1:$1000,MATCH(Q$1,'Dados-Status-Invest'!$2:$2,0),FALSE())/100,"")</f>
        <v/>
      </c>
      <c r="R593" s="12" t="str">
        <f aca="false">IFERROR(VLOOKUP(A593,'Dados-Status-Invest'!$1:$1000,MATCH(R$1,'Dados-Status-Invest'!$2:$2,0),FALSE()),"")</f>
        <v/>
      </c>
      <c r="S593" s="12" t="str">
        <f aca="false">IFERROR(VLOOKUP(A593,'Dados-Status-Invest'!$1:$1000,MATCH(S$1,'Dados-Status-Invest'!$2:$2,0),FALSE()),"")</f>
        <v/>
      </c>
      <c r="T593" s="12" t="str">
        <f aca="false">IFERROR(VLOOKUP(A593,'Dados-Status-Invest'!$1:$1000,MATCH(T$1,'Dados-Status-Invest'!$2:$2,0),FALSE()),"")</f>
        <v/>
      </c>
      <c r="U593" s="12" t="str">
        <f aca="false">IFERROR(VLOOKUP(A593,'Dados-Status-Invest'!$1:$1000,MATCH(U$1,'Dados-Status-Invest'!$2:$2,0),FALSE()),"")</f>
        <v/>
      </c>
      <c r="V593" s="12" t="str">
        <f aca="false">IFERROR(VLOOKUP(A593,'Dados-Status-Invest'!$1:$1000,MATCH(V$1,'Dados-Status-Invest'!$2:$2,0),FALSE()),"")</f>
        <v/>
      </c>
      <c r="W593" s="10" t="str">
        <f aca="false">IFERROR(VLOOKUP(A593,'Dados-Status-Invest'!$1:$1000,MATCH(W$1,'Dados-Status-Invest'!$2:$2,0),FALSE())/100,"")</f>
        <v/>
      </c>
      <c r="X593" s="10" t="str">
        <f aca="false">IFERROR(VLOOKUP(A593,'Dados-Status-Invest'!$1:$1000,MATCH(X$1,'Dados-Status-Invest'!$2:$2,0),FALSE())/100,"")</f>
        <v/>
      </c>
    </row>
    <row r="594" customFormat="false" ht="15.75" hidden="false" customHeight="false" outlineLevel="0" collapsed="false">
      <c r="B594" s="7" t="str">
        <f aca="false">IFERROR(VLOOKUP(LEFT(A594,4),Setor!A:D,2,FALSE()),"")</f>
        <v/>
      </c>
      <c r="C594" s="8" t="str">
        <f aca="false">IFERROR(__xludf.dummyfunction("IFERROR(IFERROR(GOOGLEFINANCE(A600,""price""),VLOOKUP(A600,'Dados-Status-Invest'!A:B,2,FALSE)),"""")"),"")</f>
        <v/>
      </c>
      <c r="D594" s="8" t="str">
        <f aca="false">IFERROR(VLOOKUP(A594,'Dados-Status-Invest'!$1:$1000,MATCH(D$1,'Dados-Status-Invest'!$2:$2,0),FALSE()),"")</f>
        <v/>
      </c>
      <c r="E594" s="8" t="e">
        <f aca="false">IF(D594+H594&gt;0,D594+H594,"")</f>
        <v>#VALUE!</v>
      </c>
      <c r="F594" s="8" t="str">
        <f aca="false">IFERROR(D594/VLOOKUP(A594,'Dados-Status-Invest'!$1:$1000,5,FALSE()),"")</f>
        <v/>
      </c>
      <c r="G594" s="8" t="str">
        <f aca="false">IFERROR(D594/VLOOKUP(A594,'Dados-Status-Invest'!$1:$1000,6,FALSE()),"")</f>
        <v/>
      </c>
      <c r="H594" s="8" t="str">
        <f aca="false">IFERROR(VLOOKUP(A594,'Dados-Status-Invest'!$1:$1000,12,FALSE())*J594,"")</f>
        <v/>
      </c>
      <c r="I594" s="8" t="str">
        <f aca="false">IFERROR(D594/VLOOKUP(A594,'Dados-Status-Invest'!$1:$1000,14,FALSE()),"")</f>
        <v/>
      </c>
      <c r="J594" s="9" t="str">
        <f aca="false">IFERROR(D594/VLOOKUP(A594,'Dados-Status-Invest'!$1:$1000,10,FALSE()),"")</f>
        <v/>
      </c>
      <c r="K594" s="10" t="str">
        <f aca="false">IFERROR(VLOOKUP(A594,'Dados-Status-Invest'!$1:$1000,3,FALSE())/100,"")</f>
        <v/>
      </c>
      <c r="L594" s="11" t="str">
        <f aca="false">IFERROR(VLOOKUP(A594,'Dados-Status-Invest'!$1:$1000,MATCH(L$1,'Dados-Status-Invest'!$2:$2,0),FALSE())/100,"")</f>
        <v/>
      </c>
      <c r="M594" s="10" t="str">
        <f aca="false">IFERROR(VLOOKUP(A594,'Dados-Status-Invest'!$1:$1000,MATCH(M$1,'Dados-Status-Invest'!$2:$2,0),FALSE())/100,"")</f>
        <v/>
      </c>
      <c r="N594" s="10" t="str">
        <f aca="false">IFERROR(VLOOKUP(A594,'Dados-Status-Invest'!$1:$1000,MATCH(N$1,'Dados-Status-Invest'!$2:$2,0),FALSE())/100,"")</f>
        <v/>
      </c>
      <c r="O594" s="10" t="str">
        <f aca="false">IFERROR(VLOOKUP(A594,'Dados-Status-Invest'!$1:$1000,MATCH(O$1,'Dados-Status-Invest'!$2:$2,0),FALSE())/100,"")</f>
        <v/>
      </c>
      <c r="P594" s="10" t="str">
        <f aca="false">IFERROR(VLOOKUP(A594,'Dados-Status-Invest'!$1:$1000,MATCH(P$1,'Dados-Status-Invest'!$2:$2,0),FALSE())/100,"")</f>
        <v/>
      </c>
      <c r="Q594" s="10" t="str">
        <f aca="false">IFERROR(VLOOKUP(A594,'Dados-Status-Invest'!$1:$1000,MATCH(Q$1,'Dados-Status-Invest'!$2:$2,0),FALSE())/100,"")</f>
        <v/>
      </c>
      <c r="R594" s="12" t="str">
        <f aca="false">IFERROR(VLOOKUP(A594,'Dados-Status-Invest'!$1:$1000,MATCH(R$1,'Dados-Status-Invest'!$2:$2,0),FALSE()),"")</f>
        <v/>
      </c>
      <c r="S594" s="12" t="str">
        <f aca="false">IFERROR(VLOOKUP(A594,'Dados-Status-Invest'!$1:$1000,MATCH(S$1,'Dados-Status-Invest'!$2:$2,0),FALSE()),"")</f>
        <v/>
      </c>
      <c r="T594" s="12" t="str">
        <f aca="false">IFERROR(VLOOKUP(A594,'Dados-Status-Invest'!$1:$1000,MATCH(T$1,'Dados-Status-Invest'!$2:$2,0),FALSE()),"")</f>
        <v/>
      </c>
      <c r="U594" s="12" t="str">
        <f aca="false">IFERROR(VLOOKUP(A594,'Dados-Status-Invest'!$1:$1000,MATCH(U$1,'Dados-Status-Invest'!$2:$2,0),FALSE()),"")</f>
        <v/>
      </c>
      <c r="V594" s="12" t="str">
        <f aca="false">IFERROR(VLOOKUP(A594,'Dados-Status-Invest'!$1:$1000,MATCH(V$1,'Dados-Status-Invest'!$2:$2,0),FALSE()),"")</f>
        <v/>
      </c>
      <c r="W594" s="10" t="str">
        <f aca="false">IFERROR(VLOOKUP(A594,'Dados-Status-Invest'!$1:$1000,MATCH(W$1,'Dados-Status-Invest'!$2:$2,0),FALSE())/100,"")</f>
        <v/>
      </c>
      <c r="X594" s="10" t="str">
        <f aca="false">IFERROR(VLOOKUP(A594,'Dados-Status-Invest'!$1:$1000,MATCH(X$1,'Dados-Status-Invest'!$2:$2,0),FALSE())/100,"")</f>
        <v/>
      </c>
    </row>
    <row r="595" customFormat="false" ht="15.75" hidden="false" customHeight="false" outlineLevel="0" collapsed="false">
      <c r="B595" s="7" t="str">
        <f aca="false">IFERROR(VLOOKUP(LEFT(A595,4),Setor!A:D,2,FALSE()),"")</f>
        <v/>
      </c>
      <c r="C595" s="8" t="str">
        <f aca="false">IFERROR(__xludf.dummyfunction("IFERROR(IFERROR(GOOGLEFINANCE(A601,""price""),VLOOKUP(A601,'Dados-Status-Invest'!A:B,2,FALSE)),"""")"),"")</f>
        <v/>
      </c>
      <c r="D595" s="8" t="str">
        <f aca="false">IFERROR(VLOOKUP(A595,'Dados-Status-Invest'!$1:$1000,MATCH(D$1,'Dados-Status-Invest'!$2:$2,0),FALSE()),"")</f>
        <v/>
      </c>
      <c r="E595" s="8" t="e">
        <f aca="false">IF(D595+H595&gt;0,D595+H595,"")</f>
        <v>#VALUE!</v>
      </c>
      <c r="F595" s="8" t="str">
        <f aca="false">IFERROR(D595/VLOOKUP(A595,'Dados-Status-Invest'!$1:$1000,5,FALSE()),"")</f>
        <v/>
      </c>
      <c r="G595" s="8" t="str">
        <f aca="false">IFERROR(D595/VLOOKUP(A595,'Dados-Status-Invest'!$1:$1000,6,FALSE()),"")</f>
        <v/>
      </c>
      <c r="H595" s="8" t="str">
        <f aca="false">IFERROR(VLOOKUP(A595,'Dados-Status-Invest'!$1:$1000,12,FALSE())*J595,"")</f>
        <v/>
      </c>
      <c r="I595" s="8" t="str">
        <f aca="false">IFERROR(D595/VLOOKUP(A595,'Dados-Status-Invest'!$1:$1000,14,FALSE()),"")</f>
        <v/>
      </c>
      <c r="J595" s="9" t="str">
        <f aca="false">IFERROR(D595/VLOOKUP(A595,'Dados-Status-Invest'!$1:$1000,10,FALSE()),"")</f>
        <v/>
      </c>
      <c r="K595" s="10" t="str">
        <f aca="false">IFERROR(VLOOKUP(A595,'Dados-Status-Invest'!$1:$1000,3,FALSE())/100,"")</f>
        <v/>
      </c>
      <c r="L595" s="11" t="str">
        <f aca="false">IFERROR(VLOOKUP(A595,'Dados-Status-Invest'!$1:$1000,MATCH(L$1,'Dados-Status-Invest'!$2:$2,0),FALSE())/100,"")</f>
        <v/>
      </c>
      <c r="M595" s="10" t="str">
        <f aca="false">IFERROR(VLOOKUP(A595,'Dados-Status-Invest'!$1:$1000,MATCH(M$1,'Dados-Status-Invest'!$2:$2,0),FALSE())/100,"")</f>
        <v/>
      </c>
      <c r="N595" s="10" t="str">
        <f aca="false">IFERROR(VLOOKUP(A595,'Dados-Status-Invest'!$1:$1000,MATCH(N$1,'Dados-Status-Invest'!$2:$2,0),FALSE())/100,"")</f>
        <v/>
      </c>
      <c r="O595" s="10" t="str">
        <f aca="false">IFERROR(VLOOKUP(A595,'Dados-Status-Invest'!$1:$1000,MATCH(O$1,'Dados-Status-Invest'!$2:$2,0),FALSE())/100,"")</f>
        <v/>
      </c>
      <c r="P595" s="10" t="str">
        <f aca="false">IFERROR(VLOOKUP(A595,'Dados-Status-Invest'!$1:$1000,MATCH(P$1,'Dados-Status-Invest'!$2:$2,0),FALSE())/100,"")</f>
        <v/>
      </c>
      <c r="Q595" s="10" t="str">
        <f aca="false">IFERROR(VLOOKUP(A595,'Dados-Status-Invest'!$1:$1000,MATCH(Q$1,'Dados-Status-Invest'!$2:$2,0),FALSE())/100,"")</f>
        <v/>
      </c>
      <c r="R595" s="12" t="str">
        <f aca="false">IFERROR(VLOOKUP(A595,'Dados-Status-Invest'!$1:$1000,MATCH(R$1,'Dados-Status-Invest'!$2:$2,0),FALSE()),"")</f>
        <v/>
      </c>
      <c r="S595" s="12" t="str">
        <f aca="false">IFERROR(VLOOKUP(A595,'Dados-Status-Invest'!$1:$1000,MATCH(S$1,'Dados-Status-Invest'!$2:$2,0),FALSE()),"")</f>
        <v/>
      </c>
      <c r="T595" s="12" t="str">
        <f aca="false">IFERROR(VLOOKUP(A595,'Dados-Status-Invest'!$1:$1000,MATCH(T$1,'Dados-Status-Invest'!$2:$2,0),FALSE()),"")</f>
        <v/>
      </c>
      <c r="U595" s="12" t="str">
        <f aca="false">IFERROR(VLOOKUP(A595,'Dados-Status-Invest'!$1:$1000,MATCH(U$1,'Dados-Status-Invest'!$2:$2,0),FALSE()),"")</f>
        <v/>
      </c>
      <c r="V595" s="12" t="str">
        <f aca="false">IFERROR(VLOOKUP(A595,'Dados-Status-Invest'!$1:$1000,MATCH(V$1,'Dados-Status-Invest'!$2:$2,0),FALSE()),"")</f>
        <v/>
      </c>
      <c r="W595" s="10" t="str">
        <f aca="false">IFERROR(VLOOKUP(A595,'Dados-Status-Invest'!$1:$1000,MATCH(W$1,'Dados-Status-Invest'!$2:$2,0),FALSE())/100,"")</f>
        <v/>
      </c>
      <c r="X595" s="10" t="str">
        <f aca="false">IFERROR(VLOOKUP(A595,'Dados-Status-Invest'!$1:$1000,MATCH(X$1,'Dados-Status-Invest'!$2:$2,0),FALSE())/100,"")</f>
        <v/>
      </c>
    </row>
    <row r="596" customFormat="false" ht="15.75" hidden="false" customHeight="false" outlineLevel="0" collapsed="false">
      <c r="B596" s="7" t="str">
        <f aca="false">IFERROR(VLOOKUP(LEFT(A596,4),Setor!A:D,2,FALSE()),"")</f>
        <v/>
      </c>
      <c r="C596" s="8" t="str">
        <f aca="false">IFERROR(__xludf.dummyfunction("IFERROR(IFERROR(GOOGLEFINANCE(A602,""price""),VLOOKUP(A602,'Dados-Status-Invest'!A:B,2,FALSE)),"""")"),"")</f>
        <v/>
      </c>
      <c r="D596" s="8" t="str">
        <f aca="false">IFERROR(VLOOKUP(A596,'Dados-Status-Invest'!$1:$1000,MATCH(D$1,'Dados-Status-Invest'!$2:$2,0),FALSE()),"")</f>
        <v/>
      </c>
      <c r="E596" s="8" t="e">
        <f aca="false">IF(D596+H596&gt;0,D596+H596,"")</f>
        <v>#VALUE!</v>
      </c>
      <c r="F596" s="8" t="str">
        <f aca="false">IFERROR(D596/VLOOKUP(A596,'Dados-Status-Invest'!$1:$1000,5,FALSE()),"")</f>
        <v/>
      </c>
      <c r="G596" s="8" t="str">
        <f aca="false">IFERROR(D596/VLOOKUP(A596,'Dados-Status-Invest'!$1:$1000,6,FALSE()),"")</f>
        <v/>
      </c>
      <c r="H596" s="8" t="str">
        <f aca="false">IFERROR(VLOOKUP(A596,'Dados-Status-Invest'!$1:$1000,12,FALSE())*J596,"")</f>
        <v/>
      </c>
      <c r="I596" s="8" t="str">
        <f aca="false">IFERROR(D596/VLOOKUP(A596,'Dados-Status-Invest'!$1:$1000,14,FALSE()),"")</f>
        <v/>
      </c>
      <c r="J596" s="9" t="str">
        <f aca="false">IFERROR(D596/VLOOKUP(A596,'Dados-Status-Invest'!$1:$1000,10,FALSE()),"")</f>
        <v/>
      </c>
      <c r="K596" s="10" t="str">
        <f aca="false">IFERROR(VLOOKUP(A596,'Dados-Status-Invest'!$1:$1000,3,FALSE())/100,"")</f>
        <v/>
      </c>
      <c r="L596" s="11" t="str">
        <f aca="false">IFERROR(VLOOKUP(A596,'Dados-Status-Invest'!$1:$1000,MATCH(L$1,'Dados-Status-Invest'!$2:$2,0),FALSE())/100,"")</f>
        <v/>
      </c>
      <c r="M596" s="10" t="str">
        <f aca="false">IFERROR(VLOOKUP(A596,'Dados-Status-Invest'!$1:$1000,MATCH(M$1,'Dados-Status-Invest'!$2:$2,0),FALSE())/100,"")</f>
        <v/>
      </c>
      <c r="N596" s="10" t="str">
        <f aca="false">IFERROR(VLOOKUP(A596,'Dados-Status-Invest'!$1:$1000,MATCH(N$1,'Dados-Status-Invest'!$2:$2,0),FALSE())/100,"")</f>
        <v/>
      </c>
      <c r="O596" s="10" t="str">
        <f aca="false">IFERROR(VLOOKUP(A596,'Dados-Status-Invest'!$1:$1000,MATCH(O$1,'Dados-Status-Invest'!$2:$2,0),FALSE())/100,"")</f>
        <v/>
      </c>
      <c r="P596" s="10" t="str">
        <f aca="false">IFERROR(VLOOKUP(A596,'Dados-Status-Invest'!$1:$1000,MATCH(P$1,'Dados-Status-Invest'!$2:$2,0),FALSE())/100,"")</f>
        <v/>
      </c>
      <c r="Q596" s="10" t="str">
        <f aca="false">IFERROR(VLOOKUP(A596,'Dados-Status-Invest'!$1:$1000,MATCH(Q$1,'Dados-Status-Invest'!$2:$2,0),FALSE())/100,"")</f>
        <v/>
      </c>
      <c r="R596" s="12" t="str">
        <f aca="false">IFERROR(VLOOKUP(A596,'Dados-Status-Invest'!$1:$1000,MATCH(R$1,'Dados-Status-Invest'!$2:$2,0),FALSE()),"")</f>
        <v/>
      </c>
      <c r="S596" s="12" t="str">
        <f aca="false">IFERROR(VLOOKUP(A596,'Dados-Status-Invest'!$1:$1000,MATCH(S$1,'Dados-Status-Invest'!$2:$2,0),FALSE()),"")</f>
        <v/>
      </c>
      <c r="T596" s="12" t="str">
        <f aca="false">IFERROR(VLOOKUP(A596,'Dados-Status-Invest'!$1:$1000,MATCH(T$1,'Dados-Status-Invest'!$2:$2,0),FALSE()),"")</f>
        <v/>
      </c>
      <c r="U596" s="12" t="str">
        <f aca="false">IFERROR(VLOOKUP(A596,'Dados-Status-Invest'!$1:$1000,MATCH(U$1,'Dados-Status-Invest'!$2:$2,0),FALSE()),"")</f>
        <v/>
      </c>
      <c r="V596" s="12" t="str">
        <f aca="false">IFERROR(VLOOKUP(A596,'Dados-Status-Invest'!$1:$1000,MATCH(V$1,'Dados-Status-Invest'!$2:$2,0),FALSE()),"")</f>
        <v/>
      </c>
      <c r="W596" s="10" t="str">
        <f aca="false">IFERROR(VLOOKUP(A596,'Dados-Status-Invest'!$1:$1000,MATCH(W$1,'Dados-Status-Invest'!$2:$2,0),FALSE())/100,"")</f>
        <v/>
      </c>
      <c r="X596" s="10" t="str">
        <f aca="false">IFERROR(VLOOKUP(A596,'Dados-Status-Invest'!$1:$1000,MATCH(X$1,'Dados-Status-Invest'!$2:$2,0),FALSE())/100,"")</f>
        <v/>
      </c>
    </row>
    <row r="597" customFormat="false" ht="15.75" hidden="false" customHeight="false" outlineLevel="0" collapsed="false">
      <c r="B597" s="7" t="str">
        <f aca="false">IFERROR(VLOOKUP(LEFT(A597,4),Setor!A:D,2,FALSE()),"")</f>
        <v/>
      </c>
      <c r="C597" s="8" t="str">
        <f aca="false">IFERROR(__xludf.dummyfunction("IFERROR(IFERROR(GOOGLEFINANCE(A603,""price""),VLOOKUP(A603,'Dados-Status-Invest'!A:B,2,FALSE)),"""")"),"")</f>
        <v/>
      </c>
      <c r="D597" s="8" t="str">
        <f aca="false">IFERROR(VLOOKUP(A597,'Dados-Status-Invest'!$1:$1000,MATCH(D$1,'Dados-Status-Invest'!$2:$2,0),FALSE()),"")</f>
        <v/>
      </c>
      <c r="E597" s="8" t="e">
        <f aca="false">IF(D597+H597&gt;0,D597+H597,"")</f>
        <v>#VALUE!</v>
      </c>
      <c r="F597" s="8" t="str">
        <f aca="false">IFERROR(D597/VLOOKUP(A597,'Dados-Status-Invest'!$1:$1000,5,FALSE()),"")</f>
        <v/>
      </c>
      <c r="G597" s="8" t="str">
        <f aca="false">IFERROR(D597/VLOOKUP(A597,'Dados-Status-Invest'!$1:$1000,6,FALSE()),"")</f>
        <v/>
      </c>
      <c r="H597" s="8" t="str">
        <f aca="false">IFERROR(VLOOKUP(A597,'Dados-Status-Invest'!$1:$1000,12,FALSE())*J597,"")</f>
        <v/>
      </c>
      <c r="I597" s="8" t="str">
        <f aca="false">IFERROR(D597/VLOOKUP(A597,'Dados-Status-Invest'!$1:$1000,14,FALSE()),"")</f>
        <v/>
      </c>
      <c r="J597" s="9" t="str">
        <f aca="false">IFERROR(D597/VLOOKUP(A597,'Dados-Status-Invest'!$1:$1000,10,FALSE()),"")</f>
        <v/>
      </c>
      <c r="K597" s="10" t="str">
        <f aca="false">IFERROR(VLOOKUP(A597,'Dados-Status-Invest'!$1:$1000,3,FALSE())/100,"")</f>
        <v/>
      </c>
      <c r="L597" s="11" t="str">
        <f aca="false">IFERROR(VLOOKUP(A597,'Dados-Status-Invest'!$1:$1000,MATCH(L$1,'Dados-Status-Invest'!$2:$2,0),FALSE())/100,"")</f>
        <v/>
      </c>
      <c r="M597" s="10" t="str">
        <f aca="false">IFERROR(VLOOKUP(A597,'Dados-Status-Invest'!$1:$1000,MATCH(M$1,'Dados-Status-Invest'!$2:$2,0),FALSE())/100,"")</f>
        <v/>
      </c>
      <c r="N597" s="10" t="str">
        <f aca="false">IFERROR(VLOOKUP(A597,'Dados-Status-Invest'!$1:$1000,MATCH(N$1,'Dados-Status-Invest'!$2:$2,0),FALSE())/100,"")</f>
        <v/>
      </c>
      <c r="O597" s="10" t="str">
        <f aca="false">IFERROR(VLOOKUP(A597,'Dados-Status-Invest'!$1:$1000,MATCH(O$1,'Dados-Status-Invest'!$2:$2,0),FALSE())/100,"")</f>
        <v/>
      </c>
      <c r="P597" s="10" t="str">
        <f aca="false">IFERROR(VLOOKUP(A597,'Dados-Status-Invest'!$1:$1000,MATCH(P$1,'Dados-Status-Invest'!$2:$2,0),FALSE())/100,"")</f>
        <v/>
      </c>
      <c r="Q597" s="10" t="str">
        <f aca="false">IFERROR(VLOOKUP(A597,'Dados-Status-Invest'!$1:$1000,MATCH(Q$1,'Dados-Status-Invest'!$2:$2,0),FALSE())/100,"")</f>
        <v/>
      </c>
      <c r="R597" s="12" t="str">
        <f aca="false">IFERROR(VLOOKUP(A597,'Dados-Status-Invest'!$1:$1000,MATCH(R$1,'Dados-Status-Invest'!$2:$2,0),FALSE()),"")</f>
        <v/>
      </c>
      <c r="S597" s="12" t="str">
        <f aca="false">IFERROR(VLOOKUP(A597,'Dados-Status-Invest'!$1:$1000,MATCH(S$1,'Dados-Status-Invest'!$2:$2,0),FALSE()),"")</f>
        <v/>
      </c>
      <c r="T597" s="12" t="str">
        <f aca="false">IFERROR(VLOOKUP(A597,'Dados-Status-Invest'!$1:$1000,MATCH(T$1,'Dados-Status-Invest'!$2:$2,0),FALSE()),"")</f>
        <v/>
      </c>
      <c r="U597" s="12" t="str">
        <f aca="false">IFERROR(VLOOKUP(A597,'Dados-Status-Invest'!$1:$1000,MATCH(U$1,'Dados-Status-Invest'!$2:$2,0),FALSE()),"")</f>
        <v/>
      </c>
      <c r="V597" s="12" t="str">
        <f aca="false">IFERROR(VLOOKUP(A597,'Dados-Status-Invest'!$1:$1000,MATCH(V$1,'Dados-Status-Invest'!$2:$2,0),FALSE()),"")</f>
        <v/>
      </c>
      <c r="W597" s="10" t="str">
        <f aca="false">IFERROR(VLOOKUP(A597,'Dados-Status-Invest'!$1:$1000,MATCH(W$1,'Dados-Status-Invest'!$2:$2,0),FALSE())/100,"")</f>
        <v/>
      </c>
      <c r="X597" s="10" t="str">
        <f aca="false">IFERROR(VLOOKUP(A597,'Dados-Status-Invest'!$1:$1000,MATCH(X$1,'Dados-Status-Invest'!$2:$2,0),FALSE())/100,"")</f>
        <v/>
      </c>
    </row>
    <row r="598" customFormat="false" ht="15.75" hidden="false" customHeight="false" outlineLevel="0" collapsed="false">
      <c r="B598" s="7" t="str">
        <f aca="false">IFERROR(VLOOKUP(LEFT(A598,4),Setor!A:D,2,FALSE()),"")</f>
        <v/>
      </c>
      <c r="C598" s="8" t="str">
        <f aca="false">IFERROR(__xludf.dummyfunction("IFERROR(IFERROR(GOOGLEFINANCE(A604,""price""),VLOOKUP(A604,'Dados-Status-Invest'!A:B,2,FALSE)),"""")"),"")</f>
        <v/>
      </c>
      <c r="D598" s="8" t="str">
        <f aca="false">IFERROR(VLOOKUP(A598,'Dados-Status-Invest'!$1:$1000,MATCH(D$1,'Dados-Status-Invest'!$2:$2,0),FALSE()),"")</f>
        <v/>
      </c>
      <c r="E598" s="8" t="e">
        <f aca="false">IF(D598+H598&gt;0,D598+H598,"")</f>
        <v>#VALUE!</v>
      </c>
      <c r="F598" s="8" t="str">
        <f aca="false">IFERROR(D598/VLOOKUP(A598,'Dados-Status-Invest'!$1:$1000,5,FALSE()),"")</f>
        <v/>
      </c>
      <c r="G598" s="8" t="str">
        <f aca="false">IFERROR(D598/VLOOKUP(A598,'Dados-Status-Invest'!$1:$1000,6,FALSE()),"")</f>
        <v/>
      </c>
      <c r="H598" s="8" t="str">
        <f aca="false">IFERROR(VLOOKUP(A598,'Dados-Status-Invest'!$1:$1000,12,FALSE())*J598,"")</f>
        <v/>
      </c>
      <c r="I598" s="8" t="str">
        <f aca="false">IFERROR(D598/VLOOKUP(A598,'Dados-Status-Invest'!$1:$1000,14,FALSE()),"")</f>
        <v/>
      </c>
      <c r="J598" s="9" t="str">
        <f aca="false">IFERROR(D598/VLOOKUP(A598,'Dados-Status-Invest'!$1:$1000,10,FALSE()),"")</f>
        <v/>
      </c>
      <c r="K598" s="10" t="str">
        <f aca="false">IFERROR(VLOOKUP(A598,'Dados-Status-Invest'!$1:$1000,3,FALSE())/100,"")</f>
        <v/>
      </c>
      <c r="L598" s="11" t="str">
        <f aca="false">IFERROR(VLOOKUP(A598,'Dados-Status-Invest'!$1:$1000,MATCH(L$1,'Dados-Status-Invest'!$2:$2,0),FALSE())/100,"")</f>
        <v/>
      </c>
      <c r="M598" s="10" t="str">
        <f aca="false">IFERROR(VLOOKUP(A598,'Dados-Status-Invest'!$1:$1000,MATCH(M$1,'Dados-Status-Invest'!$2:$2,0),FALSE())/100,"")</f>
        <v/>
      </c>
      <c r="N598" s="10" t="str">
        <f aca="false">IFERROR(VLOOKUP(A598,'Dados-Status-Invest'!$1:$1000,MATCH(N$1,'Dados-Status-Invest'!$2:$2,0),FALSE())/100,"")</f>
        <v/>
      </c>
      <c r="O598" s="10" t="str">
        <f aca="false">IFERROR(VLOOKUP(A598,'Dados-Status-Invest'!$1:$1000,MATCH(O$1,'Dados-Status-Invest'!$2:$2,0),FALSE())/100,"")</f>
        <v/>
      </c>
      <c r="P598" s="10" t="str">
        <f aca="false">IFERROR(VLOOKUP(A598,'Dados-Status-Invest'!$1:$1000,MATCH(P$1,'Dados-Status-Invest'!$2:$2,0),FALSE())/100,"")</f>
        <v/>
      </c>
      <c r="Q598" s="10" t="str">
        <f aca="false">IFERROR(VLOOKUP(A598,'Dados-Status-Invest'!$1:$1000,MATCH(Q$1,'Dados-Status-Invest'!$2:$2,0),FALSE())/100,"")</f>
        <v/>
      </c>
      <c r="R598" s="12" t="str">
        <f aca="false">IFERROR(VLOOKUP(A598,'Dados-Status-Invest'!$1:$1000,MATCH(R$1,'Dados-Status-Invest'!$2:$2,0),FALSE()),"")</f>
        <v/>
      </c>
      <c r="S598" s="12" t="str">
        <f aca="false">IFERROR(VLOOKUP(A598,'Dados-Status-Invest'!$1:$1000,MATCH(S$1,'Dados-Status-Invest'!$2:$2,0),FALSE()),"")</f>
        <v/>
      </c>
      <c r="T598" s="12" t="str">
        <f aca="false">IFERROR(VLOOKUP(A598,'Dados-Status-Invest'!$1:$1000,MATCH(T$1,'Dados-Status-Invest'!$2:$2,0),FALSE()),"")</f>
        <v/>
      </c>
      <c r="U598" s="12" t="str">
        <f aca="false">IFERROR(VLOOKUP(A598,'Dados-Status-Invest'!$1:$1000,MATCH(U$1,'Dados-Status-Invest'!$2:$2,0),FALSE()),"")</f>
        <v/>
      </c>
      <c r="V598" s="12" t="str">
        <f aca="false">IFERROR(VLOOKUP(A598,'Dados-Status-Invest'!$1:$1000,MATCH(V$1,'Dados-Status-Invest'!$2:$2,0),FALSE()),"")</f>
        <v/>
      </c>
      <c r="W598" s="10" t="str">
        <f aca="false">IFERROR(VLOOKUP(A598,'Dados-Status-Invest'!$1:$1000,MATCH(W$1,'Dados-Status-Invest'!$2:$2,0),FALSE())/100,"")</f>
        <v/>
      </c>
      <c r="X598" s="10" t="str">
        <f aca="false">IFERROR(VLOOKUP(A598,'Dados-Status-Invest'!$1:$1000,MATCH(X$1,'Dados-Status-Invest'!$2:$2,0),FALSE())/100,"")</f>
        <v/>
      </c>
    </row>
    <row r="599" customFormat="false" ht="15.75" hidden="false" customHeight="false" outlineLevel="0" collapsed="false">
      <c r="B599" s="7" t="str">
        <f aca="false">IFERROR(VLOOKUP(LEFT(A599,4),Setor!A:D,2,FALSE()),"")</f>
        <v/>
      </c>
      <c r="C599" s="8" t="str">
        <f aca="false">IFERROR(__xludf.dummyfunction("IFERROR(IFERROR(GOOGLEFINANCE(A605,""price""),VLOOKUP(A605,'Dados-Status-Invest'!A:B,2,FALSE)),"""")"),"")</f>
        <v/>
      </c>
      <c r="D599" s="8" t="str">
        <f aca="false">IFERROR(VLOOKUP(A599,'Dados-Status-Invest'!$1:$1000,MATCH(D$1,'Dados-Status-Invest'!$2:$2,0),FALSE()),"")</f>
        <v/>
      </c>
      <c r="E599" s="8" t="e">
        <f aca="false">IF(D599+H599&gt;0,D599+H599,"")</f>
        <v>#VALUE!</v>
      </c>
      <c r="F599" s="8" t="str">
        <f aca="false">IFERROR(D599/VLOOKUP(A599,'Dados-Status-Invest'!$1:$1000,5,FALSE()),"")</f>
        <v/>
      </c>
      <c r="G599" s="8" t="str">
        <f aca="false">IFERROR(D599/VLOOKUP(A599,'Dados-Status-Invest'!$1:$1000,6,FALSE()),"")</f>
        <v/>
      </c>
      <c r="H599" s="8" t="str">
        <f aca="false">IFERROR(VLOOKUP(A599,'Dados-Status-Invest'!$1:$1000,12,FALSE())*J599,"")</f>
        <v/>
      </c>
      <c r="I599" s="8" t="str">
        <f aca="false">IFERROR(D599/VLOOKUP(A599,'Dados-Status-Invest'!$1:$1000,14,FALSE()),"")</f>
        <v/>
      </c>
      <c r="J599" s="9" t="str">
        <f aca="false">IFERROR(D599/VLOOKUP(A599,'Dados-Status-Invest'!$1:$1000,10,FALSE()),"")</f>
        <v/>
      </c>
      <c r="K599" s="10" t="str">
        <f aca="false">IFERROR(VLOOKUP(A599,'Dados-Status-Invest'!$1:$1000,3,FALSE())/100,"")</f>
        <v/>
      </c>
      <c r="L599" s="11" t="str">
        <f aca="false">IFERROR(VLOOKUP(A599,'Dados-Status-Invest'!$1:$1000,MATCH(L$1,'Dados-Status-Invest'!$2:$2,0),FALSE())/100,"")</f>
        <v/>
      </c>
      <c r="M599" s="10" t="str">
        <f aca="false">IFERROR(VLOOKUP(A599,'Dados-Status-Invest'!$1:$1000,MATCH(M$1,'Dados-Status-Invest'!$2:$2,0),FALSE())/100,"")</f>
        <v/>
      </c>
      <c r="N599" s="10" t="str">
        <f aca="false">IFERROR(VLOOKUP(A599,'Dados-Status-Invest'!$1:$1000,MATCH(N$1,'Dados-Status-Invest'!$2:$2,0),FALSE())/100,"")</f>
        <v/>
      </c>
      <c r="O599" s="10" t="str">
        <f aca="false">IFERROR(VLOOKUP(A599,'Dados-Status-Invest'!$1:$1000,MATCH(O$1,'Dados-Status-Invest'!$2:$2,0),FALSE())/100,"")</f>
        <v/>
      </c>
      <c r="P599" s="10" t="str">
        <f aca="false">IFERROR(VLOOKUP(A599,'Dados-Status-Invest'!$1:$1000,MATCH(P$1,'Dados-Status-Invest'!$2:$2,0),FALSE())/100,"")</f>
        <v/>
      </c>
      <c r="Q599" s="10" t="str">
        <f aca="false">IFERROR(VLOOKUP(A599,'Dados-Status-Invest'!$1:$1000,MATCH(Q$1,'Dados-Status-Invest'!$2:$2,0),FALSE())/100,"")</f>
        <v/>
      </c>
      <c r="R599" s="12" t="str">
        <f aca="false">IFERROR(VLOOKUP(A599,'Dados-Status-Invest'!$1:$1000,MATCH(R$1,'Dados-Status-Invest'!$2:$2,0),FALSE()),"")</f>
        <v/>
      </c>
      <c r="S599" s="12" t="str">
        <f aca="false">IFERROR(VLOOKUP(A599,'Dados-Status-Invest'!$1:$1000,MATCH(S$1,'Dados-Status-Invest'!$2:$2,0),FALSE()),"")</f>
        <v/>
      </c>
      <c r="T599" s="12" t="str">
        <f aca="false">IFERROR(VLOOKUP(A599,'Dados-Status-Invest'!$1:$1000,MATCH(T$1,'Dados-Status-Invest'!$2:$2,0),FALSE()),"")</f>
        <v/>
      </c>
      <c r="U599" s="12" t="str">
        <f aca="false">IFERROR(VLOOKUP(A599,'Dados-Status-Invest'!$1:$1000,MATCH(U$1,'Dados-Status-Invest'!$2:$2,0),FALSE()),"")</f>
        <v/>
      </c>
      <c r="V599" s="12" t="str">
        <f aca="false">IFERROR(VLOOKUP(A599,'Dados-Status-Invest'!$1:$1000,MATCH(V$1,'Dados-Status-Invest'!$2:$2,0),FALSE()),"")</f>
        <v/>
      </c>
      <c r="W599" s="10" t="str">
        <f aca="false">IFERROR(VLOOKUP(A599,'Dados-Status-Invest'!$1:$1000,MATCH(W$1,'Dados-Status-Invest'!$2:$2,0),FALSE())/100,"")</f>
        <v/>
      </c>
      <c r="X599" s="10" t="str">
        <f aca="false">IFERROR(VLOOKUP(A599,'Dados-Status-Invest'!$1:$1000,MATCH(X$1,'Dados-Status-Invest'!$2:$2,0),FALSE())/100,"")</f>
        <v/>
      </c>
    </row>
    <row r="600" customFormat="false" ht="15.75" hidden="false" customHeight="false" outlineLevel="0" collapsed="false">
      <c r="B600" s="7" t="str">
        <f aca="false">IFERROR(VLOOKUP(LEFT(A600,4),Setor!A:D,2,FALSE()),"")</f>
        <v/>
      </c>
      <c r="C600" s="8" t="str">
        <f aca="false">IFERROR(__xludf.dummyfunction("IFERROR(IFERROR(GOOGLEFINANCE(A606,""price""),VLOOKUP(A606,'Dados-Status-Invest'!A:B,2,FALSE)),"""")"),"")</f>
        <v/>
      </c>
      <c r="D600" s="8" t="str">
        <f aca="false">IFERROR(VLOOKUP(A600,'Dados-Status-Invest'!$1:$1000,MATCH(D$1,'Dados-Status-Invest'!$2:$2,0),FALSE()),"")</f>
        <v/>
      </c>
      <c r="E600" s="8" t="e">
        <f aca="false">IF(D600+H600&gt;0,D600+H600,"")</f>
        <v>#VALUE!</v>
      </c>
      <c r="F600" s="8" t="str">
        <f aca="false">IFERROR(D600/VLOOKUP(A600,'Dados-Status-Invest'!$1:$1000,5,FALSE()),"")</f>
        <v/>
      </c>
      <c r="G600" s="8" t="str">
        <f aca="false">IFERROR(D600/VLOOKUP(A600,'Dados-Status-Invest'!$1:$1000,6,FALSE()),"")</f>
        <v/>
      </c>
      <c r="H600" s="8" t="str">
        <f aca="false">IFERROR(VLOOKUP(A600,'Dados-Status-Invest'!$1:$1000,12,FALSE())*J600,"")</f>
        <v/>
      </c>
      <c r="I600" s="8" t="str">
        <f aca="false">IFERROR(D600/VLOOKUP(A600,'Dados-Status-Invest'!$1:$1000,14,FALSE()),"")</f>
        <v/>
      </c>
      <c r="J600" s="9" t="str">
        <f aca="false">IFERROR(D600/VLOOKUP(A600,'Dados-Status-Invest'!$1:$1000,10,FALSE()),"")</f>
        <v/>
      </c>
      <c r="K600" s="10" t="str">
        <f aca="false">IFERROR(VLOOKUP(A600,'Dados-Status-Invest'!$1:$1000,3,FALSE())/100,"")</f>
        <v/>
      </c>
      <c r="L600" s="11" t="str">
        <f aca="false">IFERROR(VLOOKUP(A600,'Dados-Status-Invest'!$1:$1000,MATCH(L$1,'Dados-Status-Invest'!$2:$2,0),FALSE())/100,"")</f>
        <v/>
      </c>
      <c r="M600" s="10" t="str">
        <f aca="false">IFERROR(VLOOKUP(A600,'Dados-Status-Invest'!$1:$1000,MATCH(M$1,'Dados-Status-Invest'!$2:$2,0),FALSE())/100,"")</f>
        <v/>
      </c>
      <c r="N600" s="10" t="str">
        <f aca="false">IFERROR(VLOOKUP(A600,'Dados-Status-Invest'!$1:$1000,MATCH(N$1,'Dados-Status-Invest'!$2:$2,0),FALSE())/100,"")</f>
        <v/>
      </c>
      <c r="O600" s="10" t="str">
        <f aca="false">IFERROR(VLOOKUP(A600,'Dados-Status-Invest'!$1:$1000,MATCH(O$1,'Dados-Status-Invest'!$2:$2,0),FALSE())/100,"")</f>
        <v/>
      </c>
      <c r="P600" s="10" t="str">
        <f aca="false">IFERROR(VLOOKUP(A600,'Dados-Status-Invest'!$1:$1000,MATCH(P$1,'Dados-Status-Invest'!$2:$2,0),FALSE())/100,"")</f>
        <v/>
      </c>
      <c r="Q600" s="10" t="str">
        <f aca="false">IFERROR(VLOOKUP(A600,'Dados-Status-Invest'!$1:$1000,MATCH(Q$1,'Dados-Status-Invest'!$2:$2,0),FALSE())/100,"")</f>
        <v/>
      </c>
      <c r="R600" s="12" t="str">
        <f aca="false">IFERROR(VLOOKUP(A600,'Dados-Status-Invest'!$1:$1000,MATCH(R$1,'Dados-Status-Invest'!$2:$2,0),FALSE()),"")</f>
        <v/>
      </c>
      <c r="S600" s="12" t="str">
        <f aca="false">IFERROR(VLOOKUP(A600,'Dados-Status-Invest'!$1:$1000,MATCH(S$1,'Dados-Status-Invest'!$2:$2,0),FALSE()),"")</f>
        <v/>
      </c>
      <c r="T600" s="12" t="str">
        <f aca="false">IFERROR(VLOOKUP(A600,'Dados-Status-Invest'!$1:$1000,MATCH(T$1,'Dados-Status-Invest'!$2:$2,0),FALSE()),"")</f>
        <v/>
      </c>
      <c r="U600" s="12" t="str">
        <f aca="false">IFERROR(VLOOKUP(A600,'Dados-Status-Invest'!$1:$1000,MATCH(U$1,'Dados-Status-Invest'!$2:$2,0),FALSE()),"")</f>
        <v/>
      </c>
      <c r="V600" s="12" t="str">
        <f aca="false">IFERROR(VLOOKUP(A600,'Dados-Status-Invest'!$1:$1000,MATCH(V$1,'Dados-Status-Invest'!$2:$2,0),FALSE()),"")</f>
        <v/>
      </c>
      <c r="W600" s="10" t="str">
        <f aca="false">IFERROR(VLOOKUP(A600,'Dados-Status-Invest'!$1:$1000,MATCH(W$1,'Dados-Status-Invest'!$2:$2,0),FALSE())/100,"")</f>
        <v/>
      </c>
      <c r="X600" s="10" t="str">
        <f aca="false">IFERROR(VLOOKUP(A600,'Dados-Status-Invest'!$1:$1000,MATCH(X$1,'Dados-Status-Invest'!$2:$2,0),FALSE())/100,"")</f>
        <v/>
      </c>
    </row>
    <row r="601" customFormat="false" ht="15.75" hidden="false" customHeight="false" outlineLevel="0" collapsed="false">
      <c r="B601" s="7" t="str">
        <f aca="false">IFERROR(VLOOKUP(LEFT(A601,4),Setor!A:D,2,FALSE()),"")</f>
        <v/>
      </c>
      <c r="C601" s="8" t="str">
        <f aca="false">IFERROR(__xludf.dummyfunction("IFERROR(IFERROR(GOOGLEFINANCE(A607,""price""),VLOOKUP(A607,'Dados-Status-Invest'!A:B,2,FALSE)),"""")"),"")</f>
        <v/>
      </c>
      <c r="D601" s="8" t="str">
        <f aca="false">IFERROR(VLOOKUP(A601,'Dados-Status-Invest'!$1:$1000,MATCH(D$1,'Dados-Status-Invest'!$2:$2,0),FALSE()),"")</f>
        <v/>
      </c>
      <c r="E601" s="8" t="e">
        <f aca="false">IF(D601+H601&gt;0,D601+H601,"")</f>
        <v>#VALUE!</v>
      </c>
      <c r="F601" s="8" t="str">
        <f aca="false">IFERROR(D601/VLOOKUP(A601,'Dados-Status-Invest'!$1:$1000,5,FALSE()),"")</f>
        <v/>
      </c>
      <c r="G601" s="8" t="str">
        <f aca="false">IFERROR(D601/VLOOKUP(A601,'Dados-Status-Invest'!$1:$1000,6,FALSE()),"")</f>
        <v/>
      </c>
      <c r="H601" s="8" t="str">
        <f aca="false">IFERROR(VLOOKUP(A601,'Dados-Status-Invest'!$1:$1000,12,FALSE())*J601,"")</f>
        <v/>
      </c>
      <c r="I601" s="8" t="str">
        <f aca="false">IFERROR(D601/VLOOKUP(A601,'Dados-Status-Invest'!$1:$1000,14,FALSE()),"")</f>
        <v/>
      </c>
      <c r="J601" s="9" t="str">
        <f aca="false">IFERROR(D601/VLOOKUP(A601,'Dados-Status-Invest'!$1:$1000,10,FALSE()),"")</f>
        <v/>
      </c>
      <c r="K601" s="10" t="str">
        <f aca="false">IFERROR(VLOOKUP(A601,'Dados-Status-Invest'!$1:$1000,3,FALSE())/100,"")</f>
        <v/>
      </c>
      <c r="L601" s="11" t="str">
        <f aca="false">IFERROR(VLOOKUP(A601,'Dados-Status-Invest'!$1:$1000,MATCH(L$1,'Dados-Status-Invest'!$2:$2,0),FALSE())/100,"")</f>
        <v/>
      </c>
      <c r="M601" s="10" t="str">
        <f aca="false">IFERROR(VLOOKUP(A601,'Dados-Status-Invest'!$1:$1000,MATCH(M$1,'Dados-Status-Invest'!$2:$2,0),FALSE())/100,"")</f>
        <v/>
      </c>
      <c r="N601" s="10" t="str">
        <f aca="false">IFERROR(VLOOKUP(A601,'Dados-Status-Invest'!$1:$1000,MATCH(N$1,'Dados-Status-Invest'!$2:$2,0),FALSE())/100,"")</f>
        <v/>
      </c>
      <c r="O601" s="10" t="str">
        <f aca="false">IFERROR(VLOOKUP(A601,'Dados-Status-Invest'!$1:$1000,MATCH(O$1,'Dados-Status-Invest'!$2:$2,0),FALSE())/100,"")</f>
        <v/>
      </c>
      <c r="P601" s="10" t="str">
        <f aca="false">IFERROR(VLOOKUP(A601,'Dados-Status-Invest'!$1:$1000,MATCH(P$1,'Dados-Status-Invest'!$2:$2,0),FALSE())/100,"")</f>
        <v/>
      </c>
      <c r="Q601" s="10" t="str">
        <f aca="false">IFERROR(VLOOKUP(A601,'Dados-Status-Invest'!$1:$1000,MATCH(Q$1,'Dados-Status-Invest'!$2:$2,0),FALSE())/100,"")</f>
        <v/>
      </c>
      <c r="R601" s="12" t="str">
        <f aca="false">IFERROR(VLOOKUP(A601,'Dados-Status-Invest'!$1:$1000,MATCH(R$1,'Dados-Status-Invest'!$2:$2,0),FALSE()),"")</f>
        <v/>
      </c>
      <c r="S601" s="12" t="str">
        <f aca="false">IFERROR(VLOOKUP(A601,'Dados-Status-Invest'!$1:$1000,MATCH(S$1,'Dados-Status-Invest'!$2:$2,0),FALSE()),"")</f>
        <v/>
      </c>
      <c r="T601" s="12" t="str">
        <f aca="false">IFERROR(VLOOKUP(A601,'Dados-Status-Invest'!$1:$1000,MATCH(T$1,'Dados-Status-Invest'!$2:$2,0),FALSE()),"")</f>
        <v/>
      </c>
      <c r="U601" s="12" t="str">
        <f aca="false">IFERROR(VLOOKUP(A601,'Dados-Status-Invest'!$1:$1000,MATCH(U$1,'Dados-Status-Invest'!$2:$2,0),FALSE()),"")</f>
        <v/>
      </c>
      <c r="V601" s="12" t="str">
        <f aca="false">IFERROR(VLOOKUP(A601,'Dados-Status-Invest'!$1:$1000,MATCH(V$1,'Dados-Status-Invest'!$2:$2,0),FALSE()),"")</f>
        <v/>
      </c>
      <c r="W601" s="10" t="str">
        <f aca="false">IFERROR(VLOOKUP(A601,'Dados-Status-Invest'!$1:$1000,MATCH(W$1,'Dados-Status-Invest'!$2:$2,0),FALSE())/100,"")</f>
        <v/>
      </c>
      <c r="X601" s="10" t="str">
        <f aca="false">IFERROR(VLOOKUP(A601,'Dados-Status-Invest'!$1:$1000,MATCH(X$1,'Dados-Status-Invest'!$2:$2,0),FALSE())/100,"")</f>
        <v/>
      </c>
    </row>
    <row r="602" customFormat="false" ht="15.75" hidden="false" customHeight="false" outlineLevel="0" collapsed="false">
      <c r="B602" s="7" t="str">
        <f aca="false">IFERROR(VLOOKUP(LEFT(A602,4),Setor!A:D,2,FALSE()),"")</f>
        <v/>
      </c>
      <c r="C602" s="8" t="str">
        <f aca="false">IFERROR(__xludf.dummyfunction("IFERROR(IFERROR(GOOGLEFINANCE(A608,""price""),VLOOKUP(A608,'Dados-Status-Invest'!A:B,2,FALSE)),"""")"),"")</f>
        <v/>
      </c>
      <c r="D602" s="8" t="str">
        <f aca="false">IFERROR(VLOOKUP(A602,'Dados-Status-Invest'!$1:$1000,MATCH(D$1,'Dados-Status-Invest'!$2:$2,0),FALSE()),"")</f>
        <v/>
      </c>
      <c r="E602" s="8" t="e">
        <f aca="false">IF(D602+H602&gt;0,D602+H602,"")</f>
        <v>#VALUE!</v>
      </c>
      <c r="F602" s="8" t="str">
        <f aca="false">IFERROR(D602/VLOOKUP(A602,'Dados-Status-Invest'!$1:$1000,5,FALSE()),"")</f>
        <v/>
      </c>
      <c r="G602" s="8" t="str">
        <f aca="false">IFERROR(D602/VLOOKUP(A602,'Dados-Status-Invest'!$1:$1000,6,FALSE()),"")</f>
        <v/>
      </c>
      <c r="H602" s="8" t="str">
        <f aca="false">IFERROR(VLOOKUP(A602,'Dados-Status-Invest'!$1:$1000,12,FALSE())*J602,"")</f>
        <v/>
      </c>
      <c r="I602" s="8" t="str">
        <f aca="false">IFERROR(D602/VLOOKUP(A602,'Dados-Status-Invest'!$1:$1000,14,FALSE()),"")</f>
        <v/>
      </c>
      <c r="J602" s="9" t="str">
        <f aca="false">IFERROR(D602/VLOOKUP(A602,'Dados-Status-Invest'!$1:$1000,10,FALSE()),"")</f>
        <v/>
      </c>
      <c r="K602" s="10" t="str">
        <f aca="false">IFERROR(VLOOKUP(A602,'Dados-Status-Invest'!$1:$1000,3,FALSE())/100,"")</f>
        <v/>
      </c>
      <c r="L602" s="11" t="str">
        <f aca="false">IFERROR(VLOOKUP(A602,'Dados-Status-Invest'!$1:$1000,MATCH(L$1,'Dados-Status-Invest'!$2:$2,0),FALSE())/100,"")</f>
        <v/>
      </c>
      <c r="M602" s="10" t="str">
        <f aca="false">IFERROR(VLOOKUP(A602,'Dados-Status-Invest'!$1:$1000,MATCH(M$1,'Dados-Status-Invest'!$2:$2,0),FALSE())/100,"")</f>
        <v/>
      </c>
      <c r="N602" s="10" t="str">
        <f aca="false">IFERROR(VLOOKUP(A602,'Dados-Status-Invest'!$1:$1000,MATCH(N$1,'Dados-Status-Invest'!$2:$2,0),FALSE())/100,"")</f>
        <v/>
      </c>
      <c r="O602" s="10" t="str">
        <f aca="false">IFERROR(VLOOKUP(A602,'Dados-Status-Invest'!$1:$1000,MATCH(O$1,'Dados-Status-Invest'!$2:$2,0),FALSE())/100,"")</f>
        <v/>
      </c>
      <c r="P602" s="10" t="str">
        <f aca="false">IFERROR(VLOOKUP(A602,'Dados-Status-Invest'!$1:$1000,MATCH(P$1,'Dados-Status-Invest'!$2:$2,0),FALSE())/100,"")</f>
        <v/>
      </c>
      <c r="Q602" s="10" t="str">
        <f aca="false">IFERROR(VLOOKUP(A602,'Dados-Status-Invest'!$1:$1000,MATCH(Q$1,'Dados-Status-Invest'!$2:$2,0),FALSE())/100,"")</f>
        <v/>
      </c>
      <c r="R602" s="12" t="str">
        <f aca="false">IFERROR(VLOOKUP(A602,'Dados-Status-Invest'!$1:$1000,MATCH(R$1,'Dados-Status-Invest'!$2:$2,0),FALSE()),"")</f>
        <v/>
      </c>
      <c r="S602" s="12" t="str">
        <f aca="false">IFERROR(VLOOKUP(A602,'Dados-Status-Invest'!$1:$1000,MATCH(S$1,'Dados-Status-Invest'!$2:$2,0),FALSE()),"")</f>
        <v/>
      </c>
      <c r="T602" s="12" t="str">
        <f aca="false">IFERROR(VLOOKUP(A602,'Dados-Status-Invest'!$1:$1000,MATCH(T$1,'Dados-Status-Invest'!$2:$2,0),FALSE()),"")</f>
        <v/>
      </c>
      <c r="U602" s="12" t="str">
        <f aca="false">IFERROR(VLOOKUP(A602,'Dados-Status-Invest'!$1:$1000,MATCH(U$1,'Dados-Status-Invest'!$2:$2,0),FALSE()),"")</f>
        <v/>
      </c>
      <c r="V602" s="12" t="str">
        <f aca="false">IFERROR(VLOOKUP(A602,'Dados-Status-Invest'!$1:$1000,MATCH(V$1,'Dados-Status-Invest'!$2:$2,0),FALSE()),"")</f>
        <v/>
      </c>
      <c r="W602" s="10" t="str">
        <f aca="false">IFERROR(VLOOKUP(A602,'Dados-Status-Invest'!$1:$1000,MATCH(W$1,'Dados-Status-Invest'!$2:$2,0),FALSE())/100,"")</f>
        <v/>
      </c>
      <c r="X602" s="10" t="str">
        <f aca="false">IFERROR(VLOOKUP(A602,'Dados-Status-Invest'!$1:$1000,MATCH(X$1,'Dados-Status-Invest'!$2:$2,0),FALSE())/100,"")</f>
        <v/>
      </c>
    </row>
    <row r="603" customFormat="false" ht="15.75" hidden="false" customHeight="false" outlineLevel="0" collapsed="false">
      <c r="B603" s="7" t="str">
        <f aca="false">IFERROR(VLOOKUP(LEFT(A603,4),Setor!A:D,2,FALSE()),"")</f>
        <v/>
      </c>
      <c r="C603" s="8" t="str">
        <f aca="false">IFERROR(__xludf.dummyfunction("IFERROR(IFERROR(GOOGLEFINANCE(A609,""price""),VLOOKUP(A609,'Dados-Status-Invest'!A:B,2,FALSE)),"""")"),"")</f>
        <v/>
      </c>
      <c r="D603" s="8" t="str">
        <f aca="false">IFERROR(VLOOKUP(A603,'Dados-Status-Invest'!$1:$1000,MATCH(D$1,'Dados-Status-Invest'!$2:$2,0),FALSE()),"")</f>
        <v/>
      </c>
      <c r="E603" s="8" t="e">
        <f aca="false">IF(D603+H603&gt;0,D603+H603,"")</f>
        <v>#VALUE!</v>
      </c>
      <c r="F603" s="8" t="str">
        <f aca="false">IFERROR(D603/VLOOKUP(A603,'Dados-Status-Invest'!$1:$1000,5,FALSE()),"")</f>
        <v/>
      </c>
      <c r="G603" s="8" t="str">
        <f aca="false">IFERROR(D603/VLOOKUP(A603,'Dados-Status-Invest'!$1:$1000,6,FALSE()),"")</f>
        <v/>
      </c>
      <c r="H603" s="8" t="str">
        <f aca="false">IFERROR(VLOOKUP(A603,'Dados-Status-Invest'!$1:$1000,12,FALSE())*J603,"")</f>
        <v/>
      </c>
      <c r="I603" s="8" t="str">
        <f aca="false">IFERROR(D603/VLOOKUP(A603,'Dados-Status-Invest'!$1:$1000,14,FALSE()),"")</f>
        <v/>
      </c>
      <c r="J603" s="9" t="str">
        <f aca="false">IFERROR(D603/VLOOKUP(A603,'Dados-Status-Invest'!$1:$1000,10,FALSE()),"")</f>
        <v/>
      </c>
      <c r="K603" s="10" t="str">
        <f aca="false">IFERROR(VLOOKUP(A603,'Dados-Status-Invest'!$1:$1000,3,FALSE())/100,"")</f>
        <v/>
      </c>
      <c r="L603" s="11" t="str">
        <f aca="false">IFERROR(VLOOKUP(A603,'Dados-Status-Invest'!$1:$1000,MATCH(L$1,'Dados-Status-Invest'!$2:$2,0),FALSE())/100,"")</f>
        <v/>
      </c>
      <c r="M603" s="10" t="str">
        <f aca="false">IFERROR(VLOOKUP(A603,'Dados-Status-Invest'!$1:$1000,MATCH(M$1,'Dados-Status-Invest'!$2:$2,0),FALSE())/100,"")</f>
        <v/>
      </c>
      <c r="N603" s="10" t="str">
        <f aca="false">IFERROR(VLOOKUP(A603,'Dados-Status-Invest'!$1:$1000,MATCH(N$1,'Dados-Status-Invest'!$2:$2,0),FALSE())/100,"")</f>
        <v/>
      </c>
      <c r="O603" s="10" t="str">
        <f aca="false">IFERROR(VLOOKUP(A603,'Dados-Status-Invest'!$1:$1000,MATCH(O$1,'Dados-Status-Invest'!$2:$2,0),FALSE())/100,"")</f>
        <v/>
      </c>
      <c r="P603" s="10" t="str">
        <f aca="false">IFERROR(VLOOKUP(A603,'Dados-Status-Invest'!$1:$1000,MATCH(P$1,'Dados-Status-Invest'!$2:$2,0),FALSE())/100,"")</f>
        <v/>
      </c>
      <c r="Q603" s="10" t="str">
        <f aca="false">IFERROR(VLOOKUP(A603,'Dados-Status-Invest'!$1:$1000,MATCH(Q$1,'Dados-Status-Invest'!$2:$2,0),FALSE())/100,"")</f>
        <v/>
      </c>
      <c r="R603" s="12" t="str">
        <f aca="false">IFERROR(VLOOKUP(A603,'Dados-Status-Invest'!$1:$1000,MATCH(R$1,'Dados-Status-Invest'!$2:$2,0),FALSE()),"")</f>
        <v/>
      </c>
      <c r="S603" s="12" t="str">
        <f aca="false">IFERROR(VLOOKUP(A603,'Dados-Status-Invest'!$1:$1000,MATCH(S$1,'Dados-Status-Invest'!$2:$2,0),FALSE()),"")</f>
        <v/>
      </c>
      <c r="T603" s="12" t="str">
        <f aca="false">IFERROR(VLOOKUP(A603,'Dados-Status-Invest'!$1:$1000,MATCH(T$1,'Dados-Status-Invest'!$2:$2,0),FALSE()),"")</f>
        <v/>
      </c>
      <c r="U603" s="12" t="str">
        <f aca="false">IFERROR(VLOOKUP(A603,'Dados-Status-Invest'!$1:$1000,MATCH(U$1,'Dados-Status-Invest'!$2:$2,0),FALSE()),"")</f>
        <v/>
      </c>
      <c r="V603" s="12" t="str">
        <f aca="false">IFERROR(VLOOKUP(A603,'Dados-Status-Invest'!$1:$1000,MATCH(V$1,'Dados-Status-Invest'!$2:$2,0),FALSE()),"")</f>
        <v/>
      </c>
      <c r="W603" s="10" t="str">
        <f aca="false">IFERROR(VLOOKUP(A603,'Dados-Status-Invest'!$1:$1000,MATCH(W$1,'Dados-Status-Invest'!$2:$2,0),FALSE())/100,"")</f>
        <v/>
      </c>
      <c r="X603" s="10" t="str">
        <f aca="false">IFERROR(VLOOKUP(A603,'Dados-Status-Invest'!$1:$1000,MATCH(X$1,'Dados-Status-Invest'!$2:$2,0),FALSE())/100,"")</f>
        <v/>
      </c>
    </row>
    <row r="604" customFormat="false" ht="15.75" hidden="false" customHeight="false" outlineLevel="0" collapsed="false">
      <c r="B604" s="7" t="str">
        <f aca="false">IFERROR(VLOOKUP(LEFT(A604,4),Setor!A:D,2,FALSE()),"")</f>
        <v/>
      </c>
      <c r="C604" s="8" t="str">
        <f aca="false">IFERROR(__xludf.dummyfunction("IFERROR(IFERROR(GOOGLEFINANCE(A610,""price""),VLOOKUP(A610,'Dados-Status-Invest'!A:B,2,FALSE)),"""")"),"")</f>
        <v/>
      </c>
      <c r="D604" s="8" t="str">
        <f aca="false">IFERROR(VLOOKUP(A604,'Dados-Status-Invest'!$1:$1000,MATCH(D$1,'Dados-Status-Invest'!$2:$2,0),FALSE()),"")</f>
        <v/>
      </c>
      <c r="E604" s="8" t="e">
        <f aca="false">IF(D604+H604&gt;0,D604+H604,"")</f>
        <v>#VALUE!</v>
      </c>
      <c r="F604" s="8" t="str">
        <f aca="false">IFERROR(D604/VLOOKUP(A604,'Dados-Status-Invest'!$1:$1000,5,FALSE()),"")</f>
        <v/>
      </c>
      <c r="G604" s="8" t="str">
        <f aca="false">IFERROR(D604/VLOOKUP(A604,'Dados-Status-Invest'!$1:$1000,6,FALSE()),"")</f>
        <v/>
      </c>
      <c r="H604" s="8" t="str">
        <f aca="false">IFERROR(VLOOKUP(A604,'Dados-Status-Invest'!$1:$1000,12,FALSE())*J604,"")</f>
        <v/>
      </c>
      <c r="I604" s="8" t="str">
        <f aca="false">IFERROR(D604/VLOOKUP(A604,'Dados-Status-Invest'!$1:$1000,14,FALSE()),"")</f>
        <v/>
      </c>
      <c r="J604" s="9" t="str">
        <f aca="false">IFERROR(D604/VLOOKUP(A604,'Dados-Status-Invest'!$1:$1000,10,FALSE()),"")</f>
        <v/>
      </c>
      <c r="K604" s="10" t="str">
        <f aca="false">IFERROR(VLOOKUP(A604,'Dados-Status-Invest'!$1:$1000,3,FALSE())/100,"")</f>
        <v/>
      </c>
      <c r="L604" s="11" t="str">
        <f aca="false">IFERROR(VLOOKUP(A604,'Dados-Status-Invest'!$1:$1000,MATCH(L$1,'Dados-Status-Invest'!$2:$2,0),FALSE())/100,"")</f>
        <v/>
      </c>
      <c r="M604" s="10" t="str">
        <f aca="false">IFERROR(VLOOKUP(A604,'Dados-Status-Invest'!$1:$1000,MATCH(M$1,'Dados-Status-Invest'!$2:$2,0),FALSE())/100,"")</f>
        <v/>
      </c>
      <c r="N604" s="10" t="str">
        <f aca="false">IFERROR(VLOOKUP(A604,'Dados-Status-Invest'!$1:$1000,MATCH(N$1,'Dados-Status-Invest'!$2:$2,0),FALSE())/100,"")</f>
        <v/>
      </c>
      <c r="O604" s="10" t="str">
        <f aca="false">IFERROR(VLOOKUP(A604,'Dados-Status-Invest'!$1:$1000,MATCH(O$1,'Dados-Status-Invest'!$2:$2,0),FALSE())/100,"")</f>
        <v/>
      </c>
      <c r="P604" s="10" t="str">
        <f aca="false">IFERROR(VLOOKUP(A604,'Dados-Status-Invest'!$1:$1000,MATCH(P$1,'Dados-Status-Invest'!$2:$2,0),FALSE())/100,"")</f>
        <v/>
      </c>
      <c r="Q604" s="10" t="str">
        <f aca="false">IFERROR(VLOOKUP(A604,'Dados-Status-Invest'!$1:$1000,MATCH(Q$1,'Dados-Status-Invest'!$2:$2,0),FALSE())/100,"")</f>
        <v/>
      </c>
      <c r="R604" s="12" t="str">
        <f aca="false">IFERROR(VLOOKUP(A604,'Dados-Status-Invest'!$1:$1000,MATCH(R$1,'Dados-Status-Invest'!$2:$2,0),FALSE()),"")</f>
        <v/>
      </c>
      <c r="S604" s="12" t="str">
        <f aca="false">IFERROR(VLOOKUP(A604,'Dados-Status-Invest'!$1:$1000,MATCH(S$1,'Dados-Status-Invest'!$2:$2,0),FALSE()),"")</f>
        <v/>
      </c>
      <c r="T604" s="12" t="str">
        <f aca="false">IFERROR(VLOOKUP(A604,'Dados-Status-Invest'!$1:$1000,MATCH(T$1,'Dados-Status-Invest'!$2:$2,0),FALSE()),"")</f>
        <v/>
      </c>
      <c r="U604" s="12" t="str">
        <f aca="false">IFERROR(VLOOKUP(A604,'Dados-Status-Invest'!$1:$1000,MATCH(U$1,'Dados-Status-Invest'!$2:$2,0),FALSE()),"")</f>
        <v/>
      </c>
      <c r="V604" s="12" t="str">
        <f aca="false">IFERROR(VLOOKUP(A604,'Dados-Status-Invest'!$1:$1000,MATCH(V$1,'Dados-Status-Invest'!$2:$2,0),FALSE()),"")</f>
        <v/>
      </c>
      <c r="W604" s="10" t="str">
        <f aca="false">IFERROR(VLOOKUP(A604,'Dados-Status-Invest'!$1:$1000,MATCH(W$1,'Dados-Status-Invest'!$2:$2,0),FALSE())/100,"")</f>
        <v/>
      </c>
      <c r="X604" s="10" t="str">
        <f aca="false">IFERROR(VLOOKUP(A604,'Dados-Status-Invest'!$1:$1000,MATCH(X$1,'Dados-Status-Invest'!$2:$2,0),FALSE())/100,"")</f>
        <v/>
      </c>
    </row>
    <row r="605" customFormat="false" ht="15.75" hidden="false" customHeight="false" outlineLevel="0" collapsed="false">
      <c r="B605" s="7" t="str">
        <f aca="false">IFERROR(VLOOKUP(LEFT(A605,4),Setor!A:D,2,FALSE()),"")</f>
        <v/>
      </c>
      <c r="C605" s="8" t="str">
        <f aca="false">IFERROR(__xludf.dummyfunction("IFERROR(IFERROR(GOOGLEFINANCE(A611,""price""),VLOOKUP(A611,'Dados-Status-Invest'!A:B,2,FALSE)),"""")"),"")</f>
        <v/>
      </c>
      <c r="D605" s="8" t="str">
        <f aca="false">IFERROR(VLOOKUP(A605,'Dados-Status-Invest'!$1:$1000,MATCH(D$1,'Dados-Status-Invest'!$2:$2,0),FALSE()),"")</f>
        <v/>
      </c>
      <c r="E605" s="8" t="e">
        <f aca="false">IF(D605+H605&gt;0,D605+H605,"")</f>
        <v>#VALUE!</v>
      </c>
      <c r="F605" s="8" t="str">
        <f aca="false">IFERROR(D605/VLOOKUP(A605,'Dados-Status-Invest'!$1:$1000,5,FALSE()),"")</f>
        <v/>
      </c>
      <c r="G605" s="8" t="str">
        <f aca="false">IFERROR(D605/VLOOKUP(A605,'Dados-Status-Invest'!$1:$1000,6,FALSE()),"")</f>
        <v/>
      </c>
      <c r="H605" s="8" t="str">
        <f aca="false">IFERROR(VLOOKUP(A605,'Dados-Status-Invest'!$1:$1000,12,FALSE())*J605,"")</f>
        <v/>
      </c>
      <c r="I605" s="8" t="str">
        <f aca="false">IFERROR(D605/VLOOKUP(A605,'Dados-Status-Invest'!$1:$1000,14,FALSE()),"")</f>
        <v/>
      </c>
      <c r="J605" s="9" t="str">
        <f aca="false">IFERROR(D605/VLOOKUP(A605,'Dados-Status-Invest'!$1:$1000,10,FALSE()),"")</f>
        <v/>
      </c>
      <c r="K605" s="10" t="str">
        <f aca="false">IFERROR(VLOOKUP(A605,'Dados-Status-Invest'!$1:$1000,3,FALSE())/100,"")</f>
        <v/>
      </c>
      <c r="L605" s="11" t="str">
        <f aca="false">IFERROR(VLOOKUP(A605,'Dados-Status-Invest'!$1:$1000,MATCH(L$1,'Dados-Status-Invest'!$2:$2,0),FALSE())/100,"")</f>
        <v/>
      </c>
      <c r="M605" s="10" t="str">
        <f aca="false">IFERROR(VLOOKUP(A605,'Dados-Status-Invest'!$1:$1000,MATCH(M$1,'Dados-Status-Invest'!$2:$2,0),FALSE())/100,"")</f>
        <v/>
      </c>
      <c r="N605" s="10" t="str">
        <f aca="false">IFERROR(VLOOKUP(A605,'Dados-Status-Invest'!$1:$1000,MATCH(N$1,'Dados-Status-Invest'!$2:$2,0),FALSE())/100,"")</f>
        <v/>
      </c>
      <c r="O605" s="10" t="str">
        <f aca="false">IFERROR(VLOOKUP(A605,'Dados-Status-Invest'!$1:$1000,MATCH(O$1,'Dados-Status-Invest'!$2:$2,0),FALSE())/100,"")</f>
        <v/>
      </c>
      <c r="P605" s="10" t="str">
        <f aca="false">IFERROR(VLOOKUP(A605,'Dados-Status-Invest'!$1:$1000,MATCH(P$1,'Dados-Status-Invest'!$2:$2,0),FALSE())/100,"")</f>
        <v/>
      </c>
      <c r="Q605" s="10" t="str">
        <f aca="false">IFERROR(VLOOKUP(A605,'Dados-Status-Invest'!$1:$1000,MATCH(Q$1,'Dados-Status-Invest'!$2:$2,0),FALSE())/100,"")</f>
        <v/>
      </c>
      <c r="R605" s="12" t="str">
        <f aca="false">IFERROR(VLOOKUP(A605,'Dados-Status-Invest'!$1:$1000,MATCH(R$1,'Dados-Status-Invest'!$2:$2,0),FALSE()),"")</f>
        <v/>
      </c>
      <c r="S605" s="12" t="str">
        <f aca="false">IFERROR(VLOOKUP(A605,'Dados-Status-Invest'!$1:$1000,MATCH(S$1,'Dados-Status-Invest'!$2:$2,0),FALSE()),"")</f>
        <v/>
      </c>
      <c r="T605" s="12" t="str">
        <f aca="false">IFERROR(VLOOKUP(A605,'Dados-Status-Invest'!$1:$1000,MATCH(T$1,'Dados-Status-Invest'!$2:$2,0),FALSE()),"")</f>
        <v/>
      </c>
      <c r="U605" s="12" t="str">
        <f aca="false">IFERROR(VLOOKUP(A605,'Dados-Status-Invest'!$1:$1000,MATCH(U$1,'Dados-Status-Invest'!$2:$2,0),FALSE()),"")</f>
        <v/>
      </c>
      <c r="V605" s="12" t="str">
        <f aca="false">IFERROR(VLOOKUP(A605,'Dados-Status-Invest'!$1:$1000,MATCH(V$1,'Dados-Status-Invest'!$2:$2,0),FALSE()),"")</f>
        <v/>
      </c>
      <c r="W605" s="10" t="str">
        <f aca="false">IFERROR(VLOOKUP(A605,'Dados-Status-Invest'!$1:$1000,MATCH(W$1,'Dados-Status-Invest'!$2:$2,0),FALSE())/100,"")</f>
        <v/>
      </c>
      <c r="X605" s="10" t="str">
        <f aca="false">IFERROR(VLOOKUP(A605,'Dados-Status-Invest'!$1:$1000,MATCH(X$1,'Dados-Status-Invest'!$2:$2,0),FALSE())/100,"")</f>
        <v/>
      </c>
    </row>
    <row r="606" customFormat="false" ht="15.75" hidden="false" customHeight="false" outlineLevel="0" collapsed="false">
      <c r="B606" s="7" t="str">
        <f aca="false">IFERROR(VLOOKUP(LEFT(A606,4),Setor!A:D,2,FALSE()),"")</f>
        <v/>
      </c>
      <c r="C606" s="8" t="str">
        <f aca="false">IFERROR(__xludf.dummyfunction("IFERROR(IFERROR(GOOGLEFINANCE(A612,""price""),VLOOKUP(A612,'Dados-Status-Invest'!A:B,2,FALSE)),"""")"),"")</f>
        <v/>
      </c>
      <c r="D606" s="8" t="str">
        <f aca="false">IFERROR(VLOOKUP(A606,'Dados-Status-Invest'!$1:$1000,MATCH(D$1,'Dados-Status-Invest'!$2:$2,0),FALSE()),"")</f>
        <v/>
      </c>
      <c r="E606" s="8" t="e">
        <f aca="false">IF(D606+H606&gt;0,D606+H606,"")</f>
        <v>#VALUE!</v>
      </c>
      <c r="F606" s="8" t="str">
        <f aca="false">IFERROR(D606/VLOOKUP(A606,'Dados-Status-Invest'!$1:$1000,5,FALSE()),"")</f>
        <v/>
      </c>
      <c r="G606" s="8" t="str">
        <f aca="false">IFERROR(D606/VLOOKUP(A606,'Dados-Status-Invest'!$1:$1000,6,FALSE()),"")</f>
        <v/>
      </c>
      <c r="H606" s="8" t="str">
        <f aca="false">IFERROR(VLOOKUP(A606,'Dados-Status-Invest'!$1:$1000,12,FALSE())*J606,"")</f>
        <v/>
      </c>
      <c r="I606" s="8" t="str">
        <f aca="false">IFERROR(D606/VLOOKUP(A606,'Dados-Status-Invest'!$1:$1000,14,FALSE()),"")</f>
        <v/>
      </c>
      <c r="J606" s="9" t="str">
        <f aca="false">IFERROR(D606/VLOOKUP(A606,'Dados-Status-Invest'!$1:$1000,10,FALSE()),"")</f>
        <v/>
      </c>
      <c r="K606" s="10" t="str">
        <f aca="false">IFERROR(VLOOKUP(A606,'Dados-Status-Invest'!$1:$1000,3,FALSE())/100,"")</f>
        <v/>
      </c>
      <c r="L606" s="11" t="str">
        <f aca="false">IFERROR(VLOOKUP(A606,'Dados-Status-Invest'!$1:$1000,MATCH(L$1,'Dados-Status-Invest'!$2:$2,0),FALSE())/100,"")</f>
        <v/>
      </c>
      <c r="M606" s="10" t="str">
        <f aca="false">IFERROR(VLOOKUP(A606,'Dados-Status-Invest'!$1:$1000,MATCH(M$1,'Dados-Status-Invest'!$2:$2,0),FALSE())/100,"")</f>
        <v/>
      </c>
      <c r="N606" s="10" t="str">
        <f aca="false">IFERROR(VLOOKUP(A606,'Dados-Status-Invest'!$1:$1000,MATCH(N$1,'Dados-Status-Invest'!$2:$2,0),FALSE())/100,"")</f>
        <v/>
      </c>
      <c r="O606" s="10" t="str">
        <f aca="false">IFERROR(VLOOKUP(A606,'Dados-Status-Invest'!$1:$1000,MATCH(O$1,'Dados-Status-Invest'!$2:$2,0),FALSE())/100,"")</f>
        <v/>
      </c>
      <c r="P606" s="10" t="str">
        <f aca="false">IFERROR(VLOOKUP(A606,'Dados-Status-Invest'!$1:$1000,MATCH(P$1,'Dados-Status-Invest'!$2:$2,0),FALSE())/100,"")</f>
        <v/>
      </c>
      <c r="Q606" s="10" t="str">
        <f aca="false">IFERROR(VLOOKUP(A606,'Dados-Status-Invest'!$1:$1000,MATCH(Q$1,'Dados-Status-Invest'!$2:$2,0),FALSE())/100,"")</f>
        <v/>
      </c>
      <c r="R606" s="12" t="str">
        <f aca="false">IFERROR(VLOOKUP(A606,'Dados-Status-Invest'!$1:$1000,MATCH(R$1,'Dados-Status-Invest'!$2:$2,0),FALSE()),"")</f>
        <v/>
      </c>
      <c r="S606" s="12" t="str">
        <f aca="false">IFERROR(VLOOKUP(A606,'Dados-Status-Invest'!$1:$1000,MATCH(S$1,'Dados-Status-Invest'!$2:$2,0),FALSE()),"")</f>
        <v/>
      </c>
      <c r="T606" s="12" t="str">
        <f aca="false">IFERROR(VLOOKUP(A606,'Dados-Status-Invest'!$1:$1000,MATCH(T$1,'Dados-Status-Invest'!$2:$2,0),FALSE()),"")</f>
        <v/>
      </c>
      <c r="U606" s="12" t="str">
        <f aca="false">IFERROR(VLOOKUP(A606,'Dados-Status-Invest'!$1:$1000,MATCH(U$1,'Dados-Status-Invest'!$2:$2,0),FALSE()),"")</f>
        <v/>
      </c>
      <c r="V606" s="12" t="str">
        <f aca="false">IFERROR(VLOOKUP(A606,'Dados-Status-Invest'!$1:$1000,MATCH(V$1,'Dados-Status-Invest'!$2:$2,0),FALSE()),"")</f>
        <v/>
      </c>
      <c r="W606" s="10" t="str">
        <f aca="false">IFERROR(VLOOKUP(A606,'Dados-Status-Invest'!$1:$1000,MATCH(W$1,'Dados-Status-Invest'!$2:$2,0),FALSE())/100,"")</f>
        <v/>
      </c>
      <c r="X606" s="10" t="str">
        <f aca="false">IFERROR(VLOOKUP(A606,'Dados-Status-Invest'!$1:$1000,MATCH(X$1,'Dados-Status-Invest'!$2:$2,0),FALSE())/100,"")</f>
        <v/>
      </c>
    </row>
    <row r="607" customFormat="false" ht="15.75" hidden="false" customHeight="false" outlineLevel="0" collapsed="false">
      <c r="B607" s="7" t="str">
        <f aca="false">IFERROR(VLOOKUP(LEFT(A607,4),Setor!A:D,2,FALSE()),"")</f>
        <v/>
      </c>
      <c r="C607" s="8" t="str">
        <f aca="false">IFERROR(__xludf.dummyfunction("IFERROR(IFERROR(GOOGLEFINANCE(A613,""price""),VLOOKUP(A613,'Dados-Status-Invest'!A:B,2,FALSE)),"""")"),"")</f>
        <v/>
      </c>
      <c r="D607" s="8" t="str">
        <f aca="false">IFERROR(VLOOKUP(A607,'Dados-Status-Invest'!$1:$1000,MATCH(D$1,'Dados-Status-Invest'!$2:$2,0),FALSE()),"")</f>
        <v/>
      </c>
      <c r="E607" s="8" t="e">
        <f aca="false">IF(D607+H607&gt;0,D607+H607,"")</f>
        <v>#VALUE!</v>
      </c>
      <c r="F607" s="8" t="str">
        <f aca="false">IFERROR(D607/VLOOKUP(A607,'Dados-Status-Invest'!$1:$1000,5,FALSE()),"")</f>
        <v/>
      </c>
      <c r="G607" s="8" t="str">
        <f aca="false">IFERROR(D607/VLOOKUP(A607,'Dados-Status-Invest'!$1:$1000,6,FALSE()),"")</f>
        <v/>
      </c>
      <c r="H607" s="8" t="str">
        <f aca="false">IFERROR(VLOOKUP(A607,'Dados-Status-Invest'!$1:$1000,12,FALSE())*J607,"")</f>
        <v/>
      </c>
      <c r="I607" s="8" t="str">
        <f aca="false">IFERROR(D607/VLOOKUP(A607,'Dados-Status-Invest'!$1:$1000,14,FALSE()),"")</f>
        <v/>
      </c>
      <c r="J607" s="9" t="str">
        <f aca="false">IFERROR(D607/VLOOKUP(A607,'Dados-Status-Invest'!$1:$1000,10,FALSE()),"")</f>
        <v/>
      </c>
      <c r="K607" s="10" t="str">
        <f aca="false">IFERROR(VLOOKUP(A607,'Dados-Status-Invest'!$1:$1000,3,FALSE())/100,"")</f>
        <v/>
      </c>
      <c r="L607" s="11" t="str">
        <f aca="false">IFERROR(VLOOKUP(A607,'Dados-Status-Invest'!$1:$1000,MATCH(L$1,'Dados-Status-Invest'!$2:$2,0),FALSE())/100,"")</f>
        <v/>
      </c>
      <c r="M607" s="10" t="str">
        <f aca="false">IFERROR(VLOOKUP(A607,'Dados-Status-Invest'!$1:$1000,MATCH(M$1,'Dados-Status-Invest'!$2:$2,0),FALSE())/100,"")</f>
        <v/>
      </c>
      <c r="N607" s="10" t="str">
        <f aca="false">IFERROR(VLOOKUP(A607,'Dados-Status-Invest'!$1:$1000,MATCH(N$1,'Dados-Status-Invest'!$2:$2,0),FALSE())/100,"")</f>
        <v/>
      </c>
      <c r="O607" s="10" t="str">
        <f aca="false">IFERROR(VLOOKUP(A607,'Dados-Status-Invest'!$1:$1000,MATCH(O$1,'Dados-Status-Invest'!$2:$2,0),FALSE())/100,"")</f>
        <v/>
      </c>
      <c r="P607" s="10" t="str">
        <f aca="false">IFERROR(VLOOKUP(A607,'Dados-Status-Invest'!$1:$1000,MATCH(P$1,'Dados-Status-Invest'!$2:$2,0),FALSE())/100,"")</f>
        <v/>
      </c>
      <c r="Q607" s="10" t="str">
        <f aca="false">IFERROR(VLOOKUP(A607,'Dados-Status-Invest'!$1:$1000,MATCH(Q$1,'Dados-Status-Invest'!$2:$2,0),FALSE())/100,"")</f>
        <v/>
      </c>
      <c r="R607" s="12" t="str">
        <f aca="false">IFERROR(VLOOKUP(A607,'Dados-Status-Invest'!$1:$1000,MATCH(R$1,'Dados-Status-Invest'!$2:$2,0),FALSE()),"")</f>
        <v/>
      </c>
      <c r="S607" s="12" t="str">
        <f aca="false">IFERROR(VLOOKUP(A607,'Dados-Status-Invest'!$1:$1000,MATCH(S$1,'Dados-Status-Invest'!$2:$2,0),FALSE()),"")</f>
        <v/>
      </c>
      <c r="T607" s="12" t="str">
        <f aca="false">IFERROR(VLOOKUP(A607,'Dados-Status-Invest'!$1:$1000,MATCH(T$1,'Dados-Status-Invest'!$2:$2,0),FALSE()),"")</f>
        <v/>
      </c>
      <c r="U607" s="12" t="str">
        <f aca="false">IFERROR(VLOOKUP(A607,'Dados-Status-Invest'!$1:$1000,MATCH(U$1,'Dados-Status-Invest'!$2:$2,0),FALSE()),"")</f>
        <v/>
      </c>
      <c r="V607" s="12" t="str">
        <f aca="false">IFERROR(VLOOKUP(A607,'Dados-Status-Invest'!$1:$1000,MATCH(V$1,'Dados-Status-Invest'!$2:$2,0),FALSE()),"")</f>
        <v/>
      </c>
      <c r="W607" s="10" t="str">
        <f aca="false">IFERROR(VLOOKUP(A607,'Dados-Status-Invest'!$1:$1000,MATCH(W$1,'Dados-Status-Invest'!$2:$2,0),FALSE())/100,"")</f>
        <v/>
      </c>
      <c r="X607" s="10" t="str">
        <f aca="false">IFERROR(VLOOKUP(A607,'Dados-Status-Invest'!$1:$1000,MATCH(X$1,'Dados-Status-Invest'!$2:$2,0),FALSE())/100,"")</f>
        <v/>
      </c>
    </row>
    <row r="608" customFormat="false" ht="15.75" hidden="false" customHeight="false" outlineLevel="0" collapsed="false">
      <c r="B608" s="7" t="str">
        <f aca="false">IFERROR(VLOOKUP(LEFT(A608,4),Setor!A:D,2,FALSE()),"")</f>
        <v/>
      </c>
      <c r="C608" s="8" t="str">
        <f aca="false">IFERROR(__xludf.dummyfunction("IFERROR(IFERROR(GOOGLEFINANCE(A614,""price""),VLOOKUP(A614,'Dados-Status-Invest'!A:B,2,FALSE)),"""")"),"")</f>
        <v/>
      </c>
      <c r="D608" s="8" t="str">
        <f aca="false">IFERROR(VLOOKUP(A608,'Dados-Status-Invest'!$1:$1000,MATCH(D$1,'Dados-Status-Invest'!$2:$2,0),FALSE()),"")</f>
        <v/>
      </c>
      <c r="E608" s="8" t="e">
        <f aca="false">IF(D608+H608&gt;0,D608+H608,"")</f>
        <v>#VALUE!</v>
      </c>
      <c r="F608" s="8" t="str">
        <f aca="false">IFERROR(D608/VLOOKUP(A608,'Dados-Status-Invest'!$1:$1000,5,FALSE()),"")</f>
        <v/>
      </c>
      <c r="G608" s="8" t="str">
        <f aca="false">IFERROR(D608/VLOOKUP(A608,'Dados-Status-Invest'!$1:$1000,6,FALSE()),"")</f>
        <v/>
      </c>
      <c r="H608" s="8" t="str">
        <f aca="false">IFERROR(VLOOKUP(A608,'Dados-Status-Invest'!$1:$1000,12,FALSE())*J608,"")</f>
        <v/>
      </c>
      <c r="I608" s="8" t="str">
        <f aca="false">IFERROR(D608/VLOOKUP(A608,'Dados-Status-Invest'!$1:$1000,14,FALSE()),"")</f>
        <v/>
      </c>
      <c r="J608" s="9" t="str">
        <f aca="false">IFERROR(D608/VLOOKUP(A608,'Dados-Status-Invest'!$1:$1000,10,FALSE()),"")</f>
        <v/>
      </c>
      <c r="K608" s="10" t="str">
        <f aca="false">IFERROR(VLOOKUP(A608,'Dados-Status-Invest'!$1:$1000,3,FALSE())/100,"")</f>
        <v/>
      </c>
      <c r="L608" s="11" t="str">
        <f aca="false">IFERROR(VLOOKUP(A608,'Dados-Status-Invest'!$1:$1000,MATCH(L$1,'Dados-Status-Invest'!$2:$2,0),FALSE())/100,"")</f>
        <v/>
      </c>
      <c r="M608" s="10" t="str">
        <f aca="false">IFERROR(VLOOKUP(A608,'Dados-Status-Invest'!$1:$1000,MATCH(M$1,'Dados-Status-Invest'!$2:$2,0),FALSE())/100,"")</f>
        <v/>
      </c>
      <c r="N608" s="10" t="str">
        <f aca="false">IFERROR(VLOOKUP(A608,'Dados-Status-Invest'!$1:$1000,MATCH(N$1,'Dados-Status-Invest'!$2:$2,0),FALSE())/100,"")</f>
        <v/>
      </c>
      <c r="O608" s="10" t="str">
        <f aca="false">IFERROR(VLOOKUP(A608,'Dados-Status-Invest'!$1:$1000,MATCH(O$1,'Dados-Status-Invest'!$2:$2,0),FALSE())/100,"")</f>
        <v/>
      </c>
      <c r="P608" s="10" t="str">
        <f aca="false">IFERROR(VLOOKUP(A608,'Dados-Status-Invest'!$1:$1000,MATCH(P$1,'Dados-Status-Invest'!$2:$2,0),FALSE())/100,"")</f>
        <v/>
      </c>
      <c r="Q608" s="10" t="str">
        <f aca="false">IFERROR(VLOOKUP(A608,'Dados-Status-Invest'!$1:$1000,MATCH(Q$1,'Dados-Status-Invest'!$2:$2,0),FALSE())/100,"")</f>
        <v/>
      </c>
      <c r="R608" s="12" t="str">
        <f aca="false">IFERROR(VLOOKUP(A608,'Dados-Status-Invest'!$1:$1000,MATCH(R$1,'Dados-Status-Invest'!$2:$2,0),FALSE()),"")</f>
        <v/>
      </c>
      <c r="S608" s="12" t="str">
        <f aca="false">IFERROR(VLOOKUP(A608,'Dados-Status-Invest'!$1:$1000,MATCH(S$1,'Dados-Status-Invest'!$2:$2,0),FALSE()),"")</f>
        <v/>
      </c>
      <c r="T608" s="12" t="str">
        <f aca="false">IFERROR(VLOOKUP(A608,'Dados-Status-Invest'!$1:$1000,MATCH(T$1,'Dados-Status-Invest'!$2:$2,0),FALSE()),"")</f>
        <v/>
      </c>
      <c r="U608" s="12" t="str">
        <f aca="false">IFERROR(VLOOKUP(A608,'Dados-Status-Invest'!$1:$1000,MATCH(U$1,'Dados-Status-Invest'!$2:$2,0),FALSE()),"")</f>
        <v/>
      </c>
      <c r="V608" s="12" t="str">
        <f aca="false">IFERROR(VLOOKUP(A608,'Dados-Status-Invest'!$1:$1000,MATCH(V$1,'Dados-Status-Invest'!$2:$2,0),FALSE()),"")</f>
        <v/>
      </c>
      <c r="W608" s="10" t="str">
        <f aca="false">IFERROR(VLOOKUP(A608,'Dados-Status-Invest'!$1:$1000,MATCH(W$1,'Dados-Status-Invest'!$2:$2,0),FALSE())/100,"")</f>
        <v/>
      </c>
      <c r="X608" s="10" t="str">
        <f aca="false">IFERROR(VLOOKUP(A608,'Dados-Status-Invest'!$1:$1000,MATCH(X$1,'Dados-Status-Invest'!$2:$2,0),FALSE())/100,"")</f>
        <v/>
      </c>
    </row>
    <row r="609" customFormat="false" ht="15.75" hidden="false" customHeight="false" outlineLevel="0" collapsed="false">
      <c r="B609" s="7" t="str">
        <f aca="false">IFERROR(VLOOKUP(LEFT(A609,4),Setor!A:D,2,FALSE()),"")</f>
        <v/>
      </c>
      <c r="C609" s="8" t="str">
        <f aca="false">IFERROR(__xludf.dummyfunction("IFERROR(IFERROR(GOOGLEFINANCE(A615,""price""),VLOOKUP(A615,'Dados-Status-Invest'!A:B,2,FALSE)),"""")"),"")</f>
        <v/>
      </c>
      <c r="D609" s="8" t="str">
        <f aca="false">IFERROR(VLOOKUP(A609,'Dados-Status-Invest'!$1:$1000,MATCH(D$1,'Dados-Status-Invest'!$2:$2,0),FALSE()),"")</f>
        <v/>
      </c>
      <c r="E609" s="8" t="e">
        <f aca="false">IF(D609+H609&gt;0,D609+H609,"")</f>
        <v>#VALUE!</v>
      </c>
      <c r="F609" s="8" t="str">
        <f aca="false">IFERROR(D609/VLOOKUP(A609,'Dados-Status-Invest'!$1:$1000,5,FALSE()),"")</f>
        <v/>
      </c>
      <c r="G609" s="8" t="str">
        <f aca="false">IFERROR(D609/VLOOKUP(A609,'Dados-Status-Invest'!$1:$1000,6,FALSE()),"")</f>
        <v/>
      </c>
      <c r="H609" s="8" t="str">
        <f aca="false">IFERROR(VLOOKUP(A609,'Dados-Status-Invest'!$1:$1000,12,FALSE())*J609,"")</f>
        <v/>
      </c>
      <c r="I609" s="8" t="str">
        <f aca="false">IFERROR(D609/VLOOKUP(A609,'Dados-Status-Invest'!$1:$1000,14,FALSE()),"")</f>
        <v/>
      </c>
      <c r="J609" s="9" t="str">
        <f aca="false">IFERROR(D609/VLOOKUP(A609,'Dados-Status-Invest'!$1:$1000,10,FALSE()),"")</f>
        <v/>
      </c>
      <c r="K609" s="10" t="str">
        <f aca="false">IFERROR(VLOOKUP(A609,'Dados-Status-Invest'!$1:$1000,3,FALSE())/100,"")</f>
        <v/>
      </c>
      <c r="L609" s="11" t="str">
        <f aca="false">IFERROR(VLOOKUP(A609,'Dados-Status-Invest'!$1:$1000,MATCH(L$1,'Dados-Status-Invest'!$2:$2,0),FALSE())/100,"")</f>
        <v/>
      </c>
      <c r="M609" s="10" t="str">
        <f aca="false">IFERROR(VLOOKUP(A609,'Dados-Status-Invest'!$1:$1000,MATCH(M$1,'Dados-Status-Invest'!$2:$2,0),FALSE())/100,"")</f>
        <v/>
      </c>
      <c r="N609" s="10" t="str">
        <f aca="false">IFERROR(VLOOKUP(A609,'Dados-Status-Invest'!$1:$1000,MATCH(N$1,'Dados-Status-Invest'!$2:$2,0),FALSE())/100,"")</f>
        <v/>
      </c>
      <c r="O609" s="10" t="str">
        <f aca="false">IFERROR(VLOOKUP(A609,'Dados-Status-Invest'!$1:$1000,MATCH(O$1,'Dados-Status-Invest'!$2:$2,0),FALSE())/100,"")</f>
        <v/>
      </c>
      <c r="P609" s="10" t="str">
        <f aca="false">IFERROR(VLOOKUP(A609,'Dados-Status-Invest'!$1:$1000,MATCH(P$1,'Dados-Status-Invest'!$2:$2,0),FALSE())/100,"")</f>
        <v/>
      </c>
      <c r="Q609" s="10" t="str">
        <f aca="false">IFERROR(VLOOKUP(A609,'Dados-Status-Invest'!$1:$1000,MATCH(Q$1,'Dados-Status-Invest'!$2:$2,0),FALSE())/100,"")</f>
        <v/>
      </c>
      <c r="R609" s="12" t="str">
        <f aca="false">IFERROR(VLOOKUP(A609,'Dados-Status-Invest'!$1:$1000,MATCH(R$1,'Dados-Status-Invest'!$2:$2,0),FALSE()),"")</f>
        <v/>
      </c>
      <c r="S609" s="12" t="str">
        <f aca="false">IFERROR(VLOOKUP(A609,'Dados-Status-Invest'!$1:$1000,MATCH(S$1,'Dados-Status-Invest'!$2:$2,0),FALSE()),"")</f>
        <v/>
      </c>
      <c r="T609" s="12" t="str">
        <f aca="false">IFERROR(VLOOKUP(A609,'Dados-Status-Invest'!$1:$1000,MATCH(T$1,'Dados-Status-Invest'!$2:$2,0),FALSE()),"")</f>
        <v/>
      </c>
      <c r="U609" s="12" t="str">
        <f aca="false">IFERROR(VLOOKUP(A609,'Dados-Status-Invest'!$1:$1000,MATCH(U$1,'Dados-Status-Invest'!$2:$2,0),FALSE()),"")</f>
        <v/>
      </c>
      <c r="V609" s="12" t="str">
        <f aca="false">IFERROR(VLOOKUP(A609,'Dados-Status-Invest'!$1:$1000,MATCH(V$1,'Dados-Status-Invest'!$2:$2,0),FALSE()),"")</f>
        <v/>
      </c>
      <c r="W609" s="10" t="str">
        <f aca="false">IFERROR(VLOOKUP(A609,'Dados-Status-Invest'!$1:$1000,MATCH(W$1,'Dados-Status-Invest'!$2:$2,0),FALSE())/100,"")</f>
        <v/>
      </c>
      <c r="X609" s="10" t="str">
        <f aca="false">IFERROR(VLOOKUP(A609,'Dados-Status-Invest'!$1:$1000,MATCH(X$1,'Dados-Status-Invest'!$2:$2,0),FALSE())/100,"")</f>
        <v/>
      </c>
    </row>
    <row r="610" customFormat="false" ht="15.75" hidden="false" customHeight="false" outlineLevel="0" collapsed="false">
      <c r="B610" s="7" t="str">
        <f aca="false">IFERROR(VLOOKUP(LEFT(A610,4),Setor!A:D,2,FALSE()),"")</f>
        <v/>
      </c>
      <c r="C610" s="8" t="str">
        <f aca="false">IFERROR(__xludf.dummyfunction("IFERROR(IFERROR(GOOGLEFINANCE(A616,""price""),VLOOKUP(A616,'Dados-Status-Invest'!A:B,2,FALSE)),"""")"),"")</f>
        <v/>
      </c>
      <c r="D610" s="8" t="str">
        <f aca="false">IFERROR(VLOOKUP(A610,'Dados-Status-Invest'!$1:$1000,MATCH(D$1,'Dados-Status-Invest'!$2:$2,0),FALSE()),"")</f>
        <v/>
      </c>
      <c r="E610" s="8" t="e">
        <f aca="false">IF(D610+H610&gt;0,D610+H610,"")</f>
        <v>#VALUE!</v>
      </c>
      <c r="F610" s="8" t="str">
        <f aca="false">IFERROR(D610/VLOOKUP(A610,'Dados-Status-Invest'!$1:$1000,5,FALSE()),"")</f>
        <v/>
      </c>
      <c r="G610" s="8" t="str">
        <f aca="false">IFERROR(D610/VLOOKUP(A610,'Dados-Status-Invest'!$1:$1000,6,FALSE()),"")</f>
        <v/>
      </c>
      <c r="H610" s="8" t="str">
        <f aca="false">IFERROR(VLOOKUP(A610,'Dados-Status-Invest'!$1:$1000,12,FALSE())*J610,"")</f>
        <v/>
      </c>
      <c r="I610" s="8" t="str">
        <f aca="false">IFERROR(D610/VLOOKUP(A610,'Dados-Status-Invest'!$1:$1000,14,FALSE()),"")</f>
        <v/>
      </c>
      <c r="J610" s="9" t="str">
        <f aca="false">IFERROR(D610/VLOOKUP(A610,'Dados-Status-Invest'!$1:$1000,10,FALSE()),"")</f>
        <v/>
      </c>
      <c r="K610" s="10" t="str">
        <f aca="false">IFERROR(VLOOKUP(A610,'Dados-Status-Invest'!$1:$1000,3,FALSE())/100,"")</f>
        <v/>
      </c>
      <c r="L610" s="11" t="str">
        <f aca="false">IFERROR(VLOOKUP(A610,'Dados-Status-Invest'!$1:$1000,MATCH(L$1,'Dados-Status-Invest'!$2:$2,0),FALSE())/100,"")</f>
        <v/>
      </c>
      <c r="M610" s="10" t="str">
        <f aca="false">IFERROR(VLOOKUP(A610,'Dados-Status-Invest'!$1:$1000,MATCH(M$1,'Dados-Status-Invest'!$2:$2,0),FALSE())/100,"")</f>
        <v/>
      </c>
      <c r="N610" s="10" t="str">
        <f aca="false">IFERROR(VLOOKUP(A610,'Dados-Status-Invest'!$1:$1000,MATCH(N$1,'Dados-Status-Invest'!$2:$2,0),FALSE())/100,"")</f>
        <v/>
      </c>
      <c r="O610" s="10" t="str">
        <f aca="false">IFERROR(VLOOKUP(A610,'Dados-Status-Invest'!$1:$1000,MATCH(O$1,'Dados-Status-Invest'!$2:$2,0),FALSE())/100,"")</f>
        <v/>
      </c>
      <c r="P610" s="10" t="str">
        <f aca="false">IFERROR(VLOOKUP(A610,'Dados-Status-Invest'!$1:$1000,MATCH(P$1,'Dados-Status-Invest'!$2:$2,0),FALSE())/100,"")</f>
        <v/>
      </c>
      <c r="Q610" s="10" t="str">
        <f aca="false">IFERROR(VLOOKUP(A610,'Dados-Status-Invest'!$1:$1000,MATCH(Q$1,'Dados-Status-Invest'!$2:$2,0),FALSE())/100,"")</f>
        <v/>
      </c>
      <c r="R610" s="12" t="str">
        <f aca="false">IFERROR(VLOOKUP(A610,'Dados-Status-Invest'!$1:$1000,MATCH(R$1,'Dados-Status-Invest'!$2:$2,0),FALSE()),"")</f>
        <v/>
      </c>
      <c r="S610" s="12" t="str">
        <f aca="false">IFERROR(VLOOKUP(A610,'Dados-Status-Invest'!$1:$1000,MATCH(S$1,'Dados-Status-Invest'!$2:$2,0),FALSE()),"")</f>
        <v/>
      </c>
      <c r="T610" s="12" t="str">
        <f aca="false">IFERROR(VLOOKUP(A610,'Dados-Status-Invest'!$1:$1000,MATCH(T$1,'Dados-Status-Invest'!$2:$2,0),FALSE()),"")</f>
        <v/>
      </c>
      <c r="U610" s="12" t="str">
        <f aca="false">IFERROR(VLOOKUP(A610,'Dados-Status-Invest'!$1:$1000,MATCH(U$1,'Dados-Status-Invest'!$2:$2,0),FALSE()),"")</f>
        <v/>
      </c>
      <c r="V610" s="12" t="str">
        <f aca="false">IFERROR(VLOOKUP(A610,'Dados-Status-Invest'!$1:$1000,MATCH(V$1,'Dados-Status-Invest'!$2:$2,0),FALSE()),"")</f>
        <v/>
      </c>
      <c r="W610" s="10" t="str">
        <f aca="false">IFERROR(VLOOKUP(A610,'Dados-Status-Invest'!$1:$1000,MATCH(W$1,'Dados-Status-Invest'!$2:$2,0),FALSE())/100,"")</f>
        <v/>
      </c>
      <c r="X610" s="10" t="str">
        <f aca="false">IFERROR(VLOOKUP(A610,'Dados-Status-Invest'!$1:$1000,MATCH(X$1,'Dados-Status-Invest'!$2:$2,0),FALSE())/100,"")</f>
        <v/>
      </c>
    </row>
    <row r="611" customFormat="false" ht="15.75" hidden="false" customHeight="false" outlineLevel="0" collapsed="false">
      <c r="B611" s="7" t="str">
        <f aca="false">IFERROR(VLOOKUP(LEFT(A611,4),Setor!A:D,2,FALSE()),"")</f>
        <v/>
      </c>
      <c r="C611" s="8" t="str">
        <f aca="false">IFERROR(__xludf.dummyfunction("IFERROR(IFERROR(GOOGLEFINANCE(A617,""price""),VLOOKUP(A617,'Dados-Status-Invest'!A:B,2,FALSE)),"""")"),"")</f>
        <v/>
      </c>
      <c r="D611" s="8" t="str">
        <f aca="false">IFERROR(VLOOKUP(A611,'Dados-Status-Invest'!$1:$1000,MATCH(D$1,'Dados-Status-Invest'!$2:$2,0),FALSE()),"")</f>
        <v/>
      </c>
      <c r="E611" s="8" t="e">
        <f aca="false">IF(D611+H611&gt;0,D611+H611,"")</f>
        <v>#VALUE!</v>
      </c>
      <c r="F611" s="8" t="str">
        <f aca="false">IFERROR(D611/VLOOKUP(A611,'Dados-Status-Invest'!$1:$1000,5,FALSE()),"")</f>
        <v/>
      </c>
      <c r="G611" s="8" t="str">
        <f aca="false">IFERROR(D611/VLOOKUP(A611,'Dados-Status-Invest'!$1:$1000,6,FALSE()),"")</f>
        <v/>
      </c>
      <c r="H611" s="8" t="str">
        <f aca="false">IFERROR(VLOOKUP(A611,'Dados-Status-Invest'!$1:$1000,12,FALSE())*J611,"")</f>
        <v/>
      </c>
      <c r="I611" s="8" t="str">
        <f aca="false">IFERROR(D611/VLOOKUP(A611,'Dados-Status-Invest'!$1:$1000,14,FALSE()),"")</f>
        <v/>
      </c>
      <c r="J611" s="9" t="str">
        <f aca="false">IFERROR(D611/VLOOKUP(A611,'Dados-Status-Invest'!$1:$1000,10,FALSE()),"")</f>
        <v/>
      </c>
      <c r="K611" s="10" t="str">
        <f aca="false">IFERROR(VLOOKUP(A611,'Dados-Status-Invest'!$1:$1000,3,FALSE())/100,"")</f>
        <v/>
      </c>
      <c r="L611" s="11" t="str">
        <f aca="false">IFERROR(VLOOKUP(A611,'Dados-Status-Invest'!$1:$1000,MATCH(L$1,'Dados-Status-Invest'!$2:$2,0),FALSE())/100,"")</f>
        <v/>
      </c>
      <c r="M611" s="10" t="str">
        <f aca="false">IFERROR(VLOOKUP(A611,'Dados-Status-Invest'!$1:$1000,MATCH(M$1,'Dados-Status-Invest'!$2:$2,0),FALSE())/100,"")</f>
        <v/>
      </c>
      <c r="N611" s="10" t="str">
        <f aca="false">IFERROR(VLOOKUP(A611,'Dados-Status-Invest'!$1:$1000,MATCH(N$1,'Dados-Status-Invest'!$2:$2,0),FALSE())/100,"")</f>
        <v/>
      </c>
      <c r="O611" s="10" t="str">
        <f aca="false">IFERROR(VLOOKUP(A611,'Dados-Status-Invest'!$1:$1000,MATCH(O$1,'Dados-Status-Invest'!$2:$2,0),FALSE())/100,"")</f>
        <v/>
      </c>
      <c r="P611" s="10" t="str">
        <f aca="false">IFERROR(VLOOKUP(A611,'Dados-Status-Invest'!$1:$1000,MATCH(P$1,'Dados-Status-Invest'!$2:$2,0),FALSE())/100,"")</f>
        <v/>
      </c>
      <c r="Q611" s="10" t="str">
        <f aca="false">IFERROR(VLOOKUP(A611,'Dados-Status-Invest'!$1:$1000,MATCH(Q$1,'Dados-Status-Invest'!$2:$2,0),FALSE())/100,"")</f>
        <v/>
      </c>
      <c r="R611" s="12" t="str">
        <f aca="false">IFERROR(VLOOKUP(A611,'Dados-Status-Invest'!$1:$1000,MATCH(R$1,'Dados-Status-Invest'!$2:$2,0),FALSE()),"")</f>
        <v/>
      </c>
      <c r="S611" s="12" t="str">
        <f aca="false">IFERROR(VLOOKUP(A611,'Dados-Status-Invest'!$1:$1000,MATCH(S$1,'Dados-Status-Invest'!$2:$2,0),FALSE()),"")</f>
        <v/>
      </c>
      <c r="T611" s="12" t="str">
        <f aca="false">IFERROR(VLOOKUP(A611,'Dados-Status-Invest'!$1:$1000,MATCH(T$1,'Dados-Status-Invest'!$2:$2,0),FALSE()),"")</f>
        <v/>
      </c>
      <c r="U611" s="12" t="str">
        <f aca="false">IFERROR(VLOOKUP(A611,'Dados-Status-Invest'!$1:$1000,MATCH(U$1,'Dados-Status-Invest'!$2:$2,0),FALSE()),"")</f>
        <v/>
      </c>
      <c r="V611" s="12" t="str">
        <f aca="false">IFERROR(VLOOKUP(A611,'Dados-Status-Invest'!$1:$1000,MATCH(V$1,'Dados-Status-Invest'!$2:$2,0),FALSE()),"")</f>
        <v/>
      </c>
      <c r="W611" s="10" t="str">
        <f aca="false">IFERROR(VLOOKUP(A611,'Dados-Status-Invest'!$1:$1000,MATCH(W$1,'Dados-Status-Invest'!$2:$2,0),FALSE())/100,"")</f>
        <v/>
      </c>
      <c r="X611" s="10" t="str">
        <f aca="false">IFERROR(VLOOKUP(A611,'Dados-Status-Invest'!$1:$1000,MATCH(X$1,'Dados-Status-Invest'!$2:$2,0),FALSE())/100,"")</f>
        <v/>
      </c>
    </row>
    <row r="612" customFormat="false" ht="15.75" hidden="false" customHeight="false" outlineLevel="0" collapsed="false">
      <c r="B612" s="7" t="str">
        <f aca="false">IFERROR(VLOOKUP(LEFT(A612,4),Setor!A:D,2,FALSE()),"")</f>
        <v/>
      </c>
      <c r="C612" s="8" t="str">
        <f aca="false">IFERROR(__xludf.dummyfunction("IFERROR(IFERROR(GOOGLEFINANCE(A618,""price""),VLOOKUP(A618,'Dados-Status-Invest'!A:B,2,FALSE)),"""")"),"")</f>
        <v/>
      </c>
      <c r="D612" s="8" t="str">
        <f aca="false">IFERROR(VLOOKUP(A612,'Dados-Status-Invest'!$1:$1000,MATCH(D$1,'Dados-Status-Invest'!$2:$2,0),FALSE()),"")</f>
        <v/>
      </c>
      <c r="E612" s="8" t="e">
        <f aca="false">IF(D612+H612&gt;0,D612+H612,"")</f>
        <v>#VALUE!</v>
      </c>
      <c r="F612" s="8" t="str">
        <f aca="false">IFERROR(D612/VLOOKUP(A612,'Dados-Status-Invest'!$1:$1000,5,FALSE()),"")</f>
        <v/>
      </c>
      <c r="G612" s="8" t="str">
        <f aca="false">IFERROR(D612/VLOOKUP(A612,'Dados-Status-Invest'!$1:$1000,6,FALSE()),"")</f>
        <v/>
      </c>
      <c r="H612" s="8" t="str">
        <f aca="false">IFERROR(VLOOKUP(A612,'Dados-Status-Invest'!$1:$1000,12,FALSE())*J612,"")</f>
        <v/>
      </c>
      <c r="I612" s="8" t="str">
        <f aca="false">IFERROR(D612/VLOOKUP(A612,'Dados-Status-Invest'!$1:$1000,14,FALSE()),"")</f>
        <v/>
      </c>
      <c r="J612" s="9" t="str">
        <f aca="false">IFERROR(D612/VLOOKUP(A612,'Dados-Status-Invest'!$1:$1000,10,FALSE()),"")</f>
        <v/>
      </c>
      <c r="K612" s="10" t="str">
        <f aca="false">IFERROR(VLOOKUP(A612,'Dados-Status-Invest'!$1:$1000,3,FALSE())/100,"")</f>
        <v/>
      </c>
      <c r="L612" s="11" t="str">
        <f aca="false">IFERROR(VLOOKUP(A612,'Dados-Status-Invest'!$1:$1000,MATCH(L$1,'Dados-Status-Invest'!$2:$2,0),FALSE())/100,"")</f>
        <v/>
      </c>
      <c r="M612" s="10" t="str">
        <f aca="false">IFERROR(VLOOKUP(A612,'Dados-Status-Invest'!$1:$1000,MATCH(M$1,'Dados-Status-Invest'!$2:$2,0),FALSE())/100,"")</f>
        <v/>
      </c>
      <c r="N612" s="10" t="str">
        <f aca="false">IFERROR(VLOOKUP(A612,'Dados-Status-Invest'!$1:$1000,MATCH(N$1,'Dados-Status-Invest'!$2:$2,0),FALSE())/100,"")</f>
        <v/>
      </c>
      <c r="O612" s="10" t="str">
        <f aca="false">IFERROR(VLOOKUP(A612,'Dados-Status-Invest'!$1:$1000,MATCH(O$1,'Dados-Status-Invest'!$2:$2,0),FALSE())/100,"")</f>
        <v/>
      </c>
      <c r="P612" s="10" t="str">
        <f aca="false">IFERROR(VLOOKUP(A612,'Dados-Status-Invest'!$1:$1000,MATCH(P$1,'Dados-Status-Invest'!$2:$2,0),FALSE())/100,"")</f>
        <v/>
      </c>
      <c r="Q612" s="10" t="str">
        <f aca="false">IFERROR(VLOOKUP(A612,'Dados-Status-Invest'!$1:$1000,MATCH(Q$1,'Dados-Status-Invest'!$2:$2,0),FALSE())/100,"")</f>
        <v/>
      </c>
      <c r="R612" s="12" t="str">
        <f aca="false">IFERROR(VLOOKUP(A612,'Dados-Status-Invest'!$1:$1000,MATCH(R$1,'Dados-Status-Invest'!$2:$2,0),FALSE()),"")</f>
        <v/>
      </c>
      <c r="S612" s="12" t="str">
        <f aca="false">IFERROR(VLOOKUP(A612,'Dados-Status-Invest'!$1:$1000,MATCH(S$1,'Dados-Status-Invest'!$2:$2,0),FALSE()),"")</f>
        <v/>
      </c>
      <c r="T612" s="12" t="str">
        <f aca="false">IFERROR(VLOOKUP(A612,'Dados-Status-Invest'!$1:$1000,MATCH(T$1,'Dados-Status-Invest'!$2:$2,0),FALSE()),"")</f>
        <v/>
      </c>
      <c r="U612" s="12" t="str">
        <f aca="false">IFERROR(VLOOKUP(A612,'Dados-Status-Invest'!$1:$1000,MATCH(U$1,'Dados-Status-Invest'!$2:$2,0),FALSE()),"")</f>
        <v/>
      </c>
      <c r="V612" s="12" t="str">
        <f aca="false">IFERROR(VLOOKUP(A612,'Dados-Status-Invest'!$1:$1000,MATCH(V$1,'Dados-Status-Invest'!$2:$2,0),FALSE()),"")</f>
        <v/>
      </c>
      <c r="W612" s="10" t="str">
        <f aca="false">IFERROR(VLOOKUP(A612,'Dados-Status-Invest'!$1:$1000,MATCH(W$1,'Dados-Status-Invest'!$2:$2,0),FALSE())/100,"")</f>
        <v/>
      </c>
      <c r="X612" s="10" t="str">
        <f aca="false">IFERROR(VLOOKUP(A612,'Dados-Status-Invest'!$1:$1000,MATCH(X$1,'Dados-Status-Invest'!$2:$2,0),FALSE())/100,"")</f>
        <v/>
      </c>
    </row>
    <row r="613" customFormat="false" ht="15.75" hidden="false" customHeight="false" outlineLevel="0" collapsed="false">
      <c r="B613" s="7" t="str">
        <f aca="false">IFERROR(VLOOKUP(LEFT(A613,4),Setor!A:D,2,FALSE()),"")</f>
        <v/>
      </c>
      <c r="C613" s="8" t="str">
        <f aca="false">IFERROR(__xludf.dummyfunction("IFERROR(IFERROR(GOOGLEFINANCE(A619,""price""),VLOOKUP(A619,'Dados-Status-Invest'!A:B,2,FALSE)),"""")"),"")</f>
        <v/>
      </c>
      <c r="D613" s="8" t="str">
        <f aca="false">IFERROR(VLOOKUP(A613,'Dados-Status-Invest'!$1:$1000,MATCH(D$1,'Dados-Status-Invest'!$2:$2,0),FALSE()),"")</f>
        <v/>
      </c>
      <c r="E613" s="8" t="e">
        <f aca="false">IF(D613+H613&gt;0,D613+H613,"")</f>
        <v>#VALUE!</v>
      </c>
      <c r="F613" s="8" t="str">
        <f aca="false">IFERROR(D613/VLOOKUP(A613,'Dados-Status-Invest'!$1:$1000,5,FALSE()),"")</f>
        <v/>
      </c>
      <c r="G613" s="8" t="str">
        <f aca="false">IFERROR(D613/VLOOKUP(A613,'Dados-Status-Invest'!$1:$1000,6,FALSE()),"")</f>
        <v/>
      </c>
      <c r="H613" s="8" t="str">
        <f aca="false">IFERROR(VLOOKUP(A613,'Dados-Status-Invest'!$1:$1000,12,FALSE())*J613,"")</f>
        <v/>
      </c>
      <c r="I613" s="8" t="str">
        <f aca="false">IFERROR(D613/VLOOKUP(A613,'Dados-Status-Invest'!$1:$1000,14,FALSE()),"")</f>
        <v/>
      </c>
      <c r="J613" s="9" t="str">
        <f aca="false">IFERROR(D613/VLOOKUP(A613,'Dados-Status-Invest'!$1:$1000,10,FALSE()),"")</f>
        <v/>
      </c>
      <c r="K613" s="10" t="str">
        <f aca="false">IFERROR(VLOOKUP(A613,'Dados-Status-Invest'!$1:$1000,3,FALSE())/100,"")</f>
        <v/>
      </c>
      <c r="L613" s="11" t="str">
        <f aca="false">IFERROR(VLOOKUP(A613,'Dados-Status-Invest'!$1:$1000,MATCH(L$1,'Dados-Status-Invest'!$2:$2,0),FALSE())/100,"")</f>
        <v/>
      </c>
      <c r="M613" s="10" t="str">
        <f aca="false">IFERROR(VLOOKUP(A613,'Dados-Status-Invest'!$1:$1000,MATCH(M$1,'Dados-Status-Invest'!$2:$2,0),FALSE())/100,"")</f>
        <v/>
      </c>
      <c r="N613" s="10" t="str">
        <f aca="false">IFERROR(VLOOKUP(A613,'Dados-Status-Invest'!$1:$1000,MATCH(N$1,'Dados-Status-Invest'!$2:$2,0),FALSE())/100,"")</f>
        <v/>
      </c>
      <c r="O613" s="10" t="str">
        <f aca="false">IFERROR(VLOOKUP(A613,'Dados-Status-Invest'!$1:$1000,MATCH(O$1,'Dados-Status-Invest'!$2:$2,0),FALSE())/100,"")</f>
        <v/>
      </c>
      <c r="P613" s="10" t="str">
        <f aca="false">IFERROR(VLOOKUP(A613,'Dados-Status-Invest'!$1:$1000,MATCH(P$1,'Dados-Status-Invest'!$2:$2,0),FALSE())/100,"")</f>
        <v/>
      </c>
      <c r="Q613" s="10" t="str">
        <f aca="false">IFERROR(VLOOKUP(A613,'Dados-Status-Invest'!$1:$1000,MATCH(Q$1,'Dados-Status-Invest'!$2:$2,0),FALSE())/100,"")</f>
        <v/>
      </c>
      <c r="R613" s="12" t="str">
        <f aca="false">IFERROR(VLOOKUP(A613,'Dados-Status-Invest'!$1:$1000,MATCH(R$1,'Dados-Status-Invest'!$2:$2,0),FALSE()),"")</f>
        <v/>
      </c>
      <c r="S613" s="12" t="str">
        <f aca="false">IFERROR(VLOOKUP(A613,'Dados-Status-Invest'!$1:$1000,MATCH(S$1,'Dados-Status-Invest'!$2:$2,0),FALSE()),"")</f>
        <v/>
      </c>
      <c r="T613" s="12" t="str">
        <f aca="false">IFERROR(VLOOKUP(A613,'Dados-Status-Invest'!$1:$1000,MATCH(T$1,'Dados-Status-Invest'!$2:$2,0),FALSE()),"")</f>
        <v/>
      </c>
      <c r="U613" s="12" t="str">
        <f aca="false">IFERROR(VLOOKUP(A613,'Dados-Status-Invest'!$1:$1000,MATCH(U$1,'Dados-Status-Invest'!$2:$2,0),FALSE()),"")</f>
        <v/>
      </c>
      <c r="V613" s="12" t="str">
        <f aca="false">IFERROR(VLOOKUP(A613,'Dados-Status-Invest'!$1:$1000,MATCH(V$1,'Dados-Status-Invest'!$2:$2,0),FALSE()),"")</f>
        <v/>
      </c>
      <c r="W613" s="10" t="str">
        <f aca="false">IFERROR(VLOOKUP(A613,'Dados-Status-Invest'!$1:$1000,MATCH(W$1,'Dados-Status-Invest'!$2:$2,0),FALSE())/100,"")</f>
        <v/>
      </c>
      <c r="X613" s="10" t="str">
        <f aca="false">IFERROR(VLOOKUP(A613,'Dados-Status-Invest'!$1:$1000,MATCH(X$1,'Dados-Status-Invest'!$2:$2,0),FALSE())/100,"")</f>
        <v/>
      </c>
    </row>
    <row r="614" customFormat="false" ht="15.75" hidden="false" customHeight="false" outlineLevel="0" collapsed="false">
      <c r="B614" s="7" t="str">
        <f aca="false">IFERROR(VLOOKUP(LEFT(A614,4),Setor!A:D,2,FALSE()),"")</f>
        <v/>
      </c>
      <c r="C614" s="8" t="str">
        <f aca="false">IFERROR(__xludf.dummyfunction("IFERROR(IFERROR(GOOGLEFINANCE(A620,""price""),VLOOKUP(A620,'Dados-Status-Invest'!A:B,2,FALSE)),"""")"),"")</f>
        <v/>
      </c>
      <c r="D614" s="8" t="str">
        <f aca="false">IFERROR(VLOOKUP(A614,'Dados-Status-Invest'!$1:$1000,MATCH(D$1,'Dados-Status-Invest'!$2:$2,0),FALSE()),"")</f>
        <v/>
      </c>
      <c r="E614" s="8" t="e">
        <f aca="false">IF(D614+H614&gt;0,D614+H614,"")</f>
        <v>#VALUE!</v>
      </c>
      <c r="F614" s="8" t="str">
        <f aca="false">IFERROR(D614/VLOOKUP(A614,'Dados-Status-Invest'!$1:$1000,5,FALSE()),"")</f>
        <v/>
      </c>
      <c r="G614" s="8" t="str">
        <f aca="false">IFERROR(D614/VLOOKUP(A614,'Dados-Status-Invest'!$1:$1000,6,FALSE()),"")</f>
        <v/>
      </c>
      <c r="H614" s="8" t="str">
        <f aca="false">IFERROR(VLOOKUP(A614,'Dados-Status-Invest'!$1:$1000,12,FALSE())*J614,"")</f>
        <v/>
      </c>
      <c r="I614" s="8" t="str">
        <f aca="false">IFERROR(D614/VLOOKUP(A614,'Dados-Status-Invest'!$1:$1000,14,FALSE()),"")</f>
        <v/>
      </c>
      <c r="J614" s="9" t="str">
        <f aca="false">IFERROR(D614/VLOOKUP(A614,'Dados-Status-Invest'!$1:$1000,10,FALSE()),"")</f>
        <v/>
      </c>
      <c r="K614" s="10" t="str">
        <f aca="false">IFERROR(VLOOKUP(A614,'Dados-Status-Invest'!$1:$1000,3,FALSE())/100,"")</f>
        <v/>
      </c>
      <c r="L614" s="11" t="str">
        <f aca="false">IFERROR(VLOOKUP(A614,'Dados-Status-Invest'!$1:$1000,MATCH(L$1,'Dados-Status-Invest'!$2:$2,0),FALSE())/100,"")</f>
        <v/>
      </c>
      <c r="M614" s="10" t="str">
        <f aca="false">IFERROR(VLOOKUP(A614,'Dados-Status-Invest'!$1:$1000,MATCH(M$1,'Dados-Status-Invest'!$2:$2,0),FALSE())/100,"")</f>
        <v/>
      </c>
      <c r="N614" s="10" t="str">
        <f aca="false">IFERROR(VLOOKUP(A614,'Dados-Status-Invest'!$1:$1000,MATCH(N$1,'Dados-Status-Invest'!$2:$2,0),FALSE())/100,"")</f>
        <v/>
      </c>
      <c r="O614" s="10" t="str">
        <f aca="false">IFERROR(VLOOKUP(A614,'Dados-Status-Invest'!$1:$1000,MATCH(O$1,'Dados-Status-Invest'!$2:$2,0),FALSE())/100,"")</f>
        <v/>
      </c>
      <c r="P614" s="10" t="str">
        <f aca="false">IFERROR(VLOOKUP(A614,'Dados-Status-Invest'!$1:$1000,MATCH(P$1,'Dados-Status-Invest'!$2:$2,0),FALSE())/100,"")</f>
        <v/>
      </c>
      <c r="Q614" s="10" t="str">
        <f aca="false">IFERROR(VLOOKUP(A614,'Dados-Status-Invest'!$1:$1000,MATCH(Q$1,'Dados-Status-Invest'!$2:$2,0),FALSE())/100,"")</f>
        <v/>
      </c>
      <c r="R614" s="12" t="str">
        <f aca="false">IFERROR(VLOOKUP(A614,'Dados-Status-Invest'!$1:$1000,MATCH(R$1,'Dados-Status-Invest'!$2:$2,0),FALSE()),"")</f>
        <v/>
      </c>
      <c r="S614" s="12" t="str">
        <f aca="false">IFERROR(VLOOKUP(A614,'Dados-Status-Invest'!$1:$1000,MATCH(S$1,'Dados-Status-Invest'!$2:$2,0),FALSE()),"")</f>
        <v/>
      </c>
      <c r="T614" s="12" t="str">
        <f aca="false">IFERROR(VLOOKUP(A614,'Dados-Status-Invest'!$1:$1000,MATCH(T$1,'Dados-Status-Invest'!$2:$2,0),FALSE()),"")</f>
        <v/>
      </c>
      <c r="U614" s="12" t="str">
        <f aca="false">IFERROR(VLOOKUP(A614,'Dados-Status-Invest'!$1:$1000,MATCH(U$1,'Dados-Status-Invest'!$2:$2,0),FALSE()),"")</f>
        <v/>
      </c>
      <c r="V614" s="12" t="str">
        <f aca="false">IFERROR(VLOOKUP(A614,'Dados-Status-Invest'!$1:$1000,MATCH(V$1,'Dados-Status-Invest'!$2:$2,0),FALSE()),"")</f>
        <v/>
      </c>
      <c r="W614" s="10" t="str">
        <f aca="false">IFERROR(VLOOKUP(A614,'Dados-Status-Invest'!$1:$1000,MATCH(W$1,'Dados-Status-Invest'!$2:$2,0),FALSE())/100,"")</f>
        <v/>
      </c>
      <c r="X614" s="10" t="str">
        <f aca="false">IFERROR(VLOOKUP(A614,'Dados-Status-Invest'!$1:$1000,MATCH(X$1,'Dados-Status-Invest'!$2:$2,0),FALSE())/100,"")</f>
        <v/>
      </c>
    </row>
    <row r="615" customFormat="false" ht="15.75" hidden="false" customHeight="false" outlineLevel="0" collapsed="false">
      <c r="B615" s="7" t="str">
        <f aca="false">IFERROR(VLOOKUP(LEFT(A615,4),Setor!A:D,2,FALSE()),"")</f>
        <v/>
      </c>
      <c r="C615" s="8" t="str">
        <f aca="false">IFERROR(__xludf.dummyfunction("IFERROR(IFERROR(GOOGLEFINANCE(A621,""price""),VLOOKUP(A621,'Dados-Status-Invest'!A:B,2,FALSE)),"""")"),"")</f>
        <v/>
      </c>
      <c r="D615" s="8" t="str">
        <f aca="false">IFERROR(VLOOKUP(A615,'Dados-Status-Invest'!$1:$1000,MATCH(D$1,'Dados-Status-Invest'!$2:$2,0),FALSE()),"")</f>
        <v/>
      </c>
      <c r="E615" s="8" t="e">
        <f aca="false">IF(D615+H615&gt;0,D615+H615,"")</f>
        <v>#VALUE!</v>
      </c>
      <c r="F615" s="8" t="str">
        <f aca="false">IFERROR(D615/VLOOKUP(A615,'Dados-Status-Invest'!$1:$1000,5,FALSE()),"")</f>
        <v/>
      </c>
      <c r="G615" s="8" t="str">
        <f aca="false">IFERROR(D615/VLOOKUP(A615,'Dados-Status-Invest'!$1:$1000,6,FALSE()),"")</f>
        <v/>
      </c>
      <c r="H615" s="8" t="str">
        <f aca="false">IFERROR(VLOOKUP(A615,'Dados-Status-Invest'!$1:$1000,12,FALSE())*J615,"")</f>
        <v/>
      </c>
      <c r="I615" s="8" t="str">
        <f aca="false">IFERROR(D615/VLOOKUP(A615,'Dados-Status-Invest'!$1:$1000,14,FALSE()),"")</f>
        <v/>
      </c>
      <c r="J615" s="9" t="str">
        <f aca="false">IFERROR(D615/VLOOKUP(A615,'Dados-Status-Invest'!$1:$1000,10,FALSE()),"")</f>
        <v/>
      </c>
      <c r="K615" s="10" t="str">
        <f aca="false">IFERROR(VLOOKUP(A615,'Dados-Status-Invest'!$1:$1000,3,FALSE())/100,"")</f>
        <v/>
      </c>
      <c r="L615" s="11" t="str">
        <f aca="false">IFERROR(VLOOKUP(A615,'Dados-Status-Invest'!$1:$1000,MATCH(L$1,'Dados-Status-Invest'!$2:$2,0),FALSE())/100,"")</f>
        <v/>
      </c>
      <c r="M615" s="10" t="str">
        <f aca="false">IFERROR(VLOOKUP(A615,'Dados-Status-Invest'!$1:$1000,MATCH(M$1,'Dados-Status-Invest'!$2:$2,0),FALSE())/100,"")</f>
        <v/>
      </c>
      <c r="N615" s="10" t="str">
        <f aca="false">IFERROR(VLOOKUP(A615,'Dados-Status-Invest'!$1:$1000,MATCH(N$1,'Dados-Status-Invest'!$2:$2,0),FALSE())/100,"")</f>
        <v/>
      </c>
      <c r="O615" s="10" t="str">
        <f aca="false">IFERROR(VLOOKUP(A615,'Dados-Status-Invest'!$1:$1000,MATCH(O$1,'Dados-Status-Invest'!$2:$2,0),FALSE())/100,"")</f>
        <v/>
      </c>
      <c r="P615" s="10" t="str">
        <f aca="false">IFERROR(VLOOKUP(A615,'Dados-Status-Invest'!$1:$1000,MATCH(P$1,'Dados-Status-Invest'!$2:$2,0),FALSE())/100,"")</f>
        <v/>
      </c>
      <c r="Q615" s="10" t="str">
        <f aca="false">IFERROR(VLOOKUP(A615,'Dados-Status-Invest'!$1:$1000,MATCH(Q$1,'Dados-Status-Invest'!$2:$2,0),FALSE())/100,"")</f>
        <v/>
      </c>
      <c r="R615" s="12" t="str">
        <f aca="false">IFERROR(VLOOKUP(A615,'Dados-Status-Invest'!$1:$1000,MATCH(R$1,'Dados-Status-Invest'!$2:$2,0),FALSE()),"")</f>
        <v/>
      </c>
      <c r="S615" s="12" t="str">
        <f aca="false">IFERROR(VLOOKUP(A615,'Dados-Status-Invest'!$1:$1000,MATCH(S$1,'Dados-Status-Invest'!$2:$2,0),FALSE()),"")</f>
        <v/>
      </c>
      <c r="T615" s="12" t="str">
        <f aca="false">IFERROR(VLOOKUP(A615,'Dados-Status-Invest'!$1:$1000,MATCH(T$1,'Dados-Status-Invest'!$2:$2,0),FALSE()),"")</f>
        <v/>
      </c>
      <c r="U615" s="12" t="str">
        <f aca="false">IFERROR(VLOOKUP(A615,'Dados-Status-Invest'!$1:$1000,MATCH(U$1,'Dados-Status-Invest'!$2:$2,0),FALSE()),"")</f>
        <v/>
      </c>
      <c r="V615" s="12" t="str">
        <f aca="false">IFERROR(VLOOKUP(A615,'Dados-Status-Invest'!$1:$1000,MATCH(V$1,'Dados-Status-Invest'!$2:$2,0),FALSE()),"")</f>
        <v/>
      </c>
      <c r="W615" s="10" t="str">
        <f aca="false">IFERROR(VLOOKUP(A615,'Dados-Status-Invest'!$1:$1000,MATCH(W$1,'Dados-Status-Invest'!$2:$2,0),FALSE())/100,"")</f>
        <v/>
      </c>
      <c r="X615" s="10" t="str">
        <f aca="false">IFERROR(VLOOKUP(A615,'Dados-Status-Invest'!$1:$1000,MATCH(X$1,'Dados-Status-Invest'!$2:$2,0),FALSE())/100,"")</f>
        <v/>
      </c>
    </row>
    <row r="616" customFormat="false" ht="15.75" hidden="false" customHeight="false" outlineLevel="0" collapsed="false">
      <c r="B616" s="7" t="str">
        <f aca="false">IFERROR(VLOOKUP(LEFT(A616,4),Setor!A:D,2,FALSE()),"")</f>
        <v/>
      </c>
      <c r="C616" s="8" t="str">
        <f aca="false">IFERROR(__xludf.dummyfunction("IFERROR(IFERROR(GOOGLEFINANCE(A622,""price""),VLOOKUP(A622,'Dados-Status-Invest'!A:B,2,FALSE)),"""")"),"")</f>
        <v/>
      </c>
      <c r="D616" s="8" t="str">
        <f aca="false">IFERROR(VLOOKUP(A616,'Dados-Status-Invest'!$1:$1000,MATCH(D$1,'Dados-Status-Invest'!$2:$2,0),FALSE()),"")</f>
        <v/>
      </c>
      <c r="E616" s="8" t="e">
        <f aca="false">IF(D616+H616&gt;0,D616+H616,"")</f>
        <v>#VALUE!</v>
      </c>
      <c r="F616" s="8" t="str">
        <f aca="false">IFERROR(D616/VLOOKUP(A616,'Dados-Status-Invest'!$1:$1000,5,FALSE()),"")</f>
        <v/>
      </c>
      <c r="G616" s="8" t="str">
        <f aca="false">IFERROR(D616/VLOOKUP(A616,'Dados-Status-Invest'!$1:$1000,6,FALSE()),"")</f>
        <v/>
      </c>
      <c r="H616" s="8" t="str">
        <f aca="false">IFERROR(VLOOKUP(A616,'Dados-Status-Invest'!$1:$1000,12,FALSE())*J616,"")</f>
        <v/>
      </c>
      <c r="I616" s="8" t="str">
        <f aca="false">IFERROR(D616/VLOOKUP(A616,'Dados-Status-Invest'!$1:$1000,14,FALSE()),"")</f>
        <v/>
      </c>
      <c r="J616" s="9" t="str">
        <f aca="false">IFERROR(D616/VLOOKUP(A616,'Dados-Status-Invest'!$1:$1000,10,FALSE()),"")</f>
        <v/>
      </c>
      <c r="K616" s="10" t="str">
        <f aca="false">IFERROR(VLOOKUP(A616,'Dados-Status-Invest'!$1:$1000,3,FALSE())/100,"")</f>
        <v/>
      </c>
      <c r="L616" s="11" t="str">
        <f aca="false">IFERROR(VLOOKUP(A616,'Dados-Status-Invest'!$1:$1000,MATCH(L$1,'Dados-Status-Invest'!$2:$2,0),FALSE())/100,"")</f>
        <v/>
      </c>
      <c r="M616" s="10" t="str">
        <f aca="false">IFERROR(VLOOKUP(A616,'Dados-Status-Invest'!$1:$1000,MATCH(M$1,'Dados-Status-Invest'!$2:$2,0),FALSE())/100,"")</f>
        <v/>
      </c>
      <c r="N616" s="10" t="str">
        <f aca="false">IFERROR(VLOOKUP(A616,'Dados-Status-Invest'!$1:$1000,MATCH(N$1,'Dados-Status-Invest'!$2:$2,0),FALSE())/100,"")</f>
        <v/>
      </c>
      <c r="O616" s="10" t="str">
        <f aca="false">IFERROR(VLOOKUP(A616,'Dados-Status-Invest'!$1:$1000,MATCH(O$1,'Dados-Status-Invest'!$2:$2,0),FALSE())/100,"")</f>
        <v/>
      </c>
      <c r="P616" s="10" t="str">
        <f aca="false">IFERROR(VLOOKUP(A616,'Dados-Status-Invest'!$1:$1000,MATCH(P$1,'Dados-Status-Invest'!$2:$2,0),FALSE())/100,"")</f>
        <v/>
      </c>
      <c r="Q616" s="10" t="str">
        <f aca="false">IFERROR(VLOOKUP(A616,'Dados-Status-Invest'!$1:$1000,MATCH(Q$1,'Dados-Status-Invest'!$2:$2,0),FALSE())/100,"")</f>
        <v/>
      </c>
      <c r="R616" s="12" t="str">
        <f aca="false">IFERROR(VLOOKUP(A616,'Dados-Status-Invest'!$1:$1000,MATCH(R$1,'Dados-Status-Invest'!$2:$2,0),FALSE()),"")</f>
        <v/>
      </c>
      <c r="S616" s="12" t="str">
        <f aca="false">IFERROR(VLOOKUP(A616,'Dados-Status-Invest'!$1:$1000,MATCH(S$1,'Dados-Status-Invest'!$2:$2,0),FALSE()),"")</f>
        <v/>
      </c>
      <c r="T616" s="12" t="str">
        <f aca="false">IFERROR(VLOOKUP(A616,'Dados-Status-Invest'!$1:$1000,MATCH(T$1,'Dados-Status-Invest'!$2:$2,0),FALSE()),"")</f>
        <v/>
      </c>
      <c r="U616" s="12" t="str">
        <f aca="false">IFERROR(VLOOKUP(A616,'Dados-Status-Invest'!$1:$1000,MATCH(U$1,'Dados-Status-Invest'!$2:$2,0),FALSE()),"")</f>
        <v/>
      </c>
      <c r="V616" s="12" t="str">
        <f aca="false">IFERROR(VLOOKUP(A616,'Dados-Status-Invest'!$1:$1000,MATCH(V$1,'Dados-Status-Invest'!$2:$2,0),FALSE()),"")</f>
        <v/>
      </c>
      <c r="W616" s="10" t="str">
        <f aca="false">IFERROR(VLOOKUP(A616,'Dados-Status-Invest'!$1:$1000,MATCH(W$1,'Dados-Status-Invest'!$2:$2,0),FALSE())/100,"")</f>
        <v/>
      </c>
      <c r="X616" s="10" t="str">
        <f aca="false">IFERROR(VLOOKUP(A616,'Dados-Status-Invest'!$1:$1000,MATCH(X$1,'Dados-Status-Invest'!$2:$2,0),FALSE())/100,"")</f>
        <v/>
      </c>
    </row>
    <row r="617" customFormat="false" ht="15.75" hidden="false" customHeight="false" outlineLevel="0" collapsed="false">
      <c r="B617" s="7" t="str">
        <f aca="false">IFERROR(VLOOKUP(LEFT(A617,4),Setor!A:D,2,FALSE()),"")</f>
        <v/>
      </c>
      <c r="C617" s="8" t="str">
        <f aca="false">IFERROR(__xludf.dummyfunction("IFERROR(IFERROR(GOOGLEFINANCE(A623,""price""),VLOOKUP(A623,'Dados-Status-Invest'!A:B,2,FALSE)),"""")"),"")</f>
        <v/>
      </c>
      <c r="D617" s="8" t="str">
        <f aca="false">IFERROR(VLOOKUP(A617,'Dados-Status-Invest'!$1:$1000,MATCH(D$1,'Dados-Status-Invest'!$2:$2,0),FALSE()),"")</f>
        <v/>
      </c>
      <c r="E617" s="8" t="e">
        <f aca="false">IF(D617+H617&gt;0,D617+H617,"")</f>
        <v>#VALUE!</v>
      </c>
      <c r="F617" s="8" t="str">
        <f aca="false">IFERROR(D617/VLOOKUP(A617,'Dados-Status-Invest'!$1:$1000,5,FALSE()),"")</f>
        <v/>
      </c>
      <c r="G617" s="8" t="str">
        <f aca="false">IFERROR(D617/VLOOKUP(A617,'Dados-Status-Invest'!$1:$1000,6,FALSE()),"")</f>
        <v/>
      </c>
      <c r="H617" s="8" t="str">
        <f aca="false">IFERROR(VLOOKUP(A617,'Dados-Status-Invest'!$1:$1000,12,FALSE())*J617,"")</f>
        <v/>
      </c>
      <c r="I617" s="8" t="str">
        <f aca="false">IFERROR(D617/VLOOKUP(A617,'Dados-Status-Invest'!$1:$1000,14,FALSE()),"")</f>
        <v/>
      </c>
      <c r="J617" s="9" t="str">
        <f aca="false">IFERROR(D617/VLOOKUP(A617,'Dados-Status-Invest'!$1:$1000,10,FALSE()),"")</f>
        <v/>
      </c>
      <c r="K617" s="10" t="str">
        <f aca="false">IFERROR(VLOOKUP(A617,'Dados-Status-Invest'!$1:$1000,3,FALSE())/100,"")</f>
        <v/>
      </c>
      <c r="L617" s="11" t="str">
        <f aca="false">IFERROR(VLOOKUP(A617,'Dados-Status-Invest'!$1:$1000,MATCH(L$1,'Dados-Status-Invest'!$2:$2,0),FALSE())/100,"")</f>
        <v/>
      </c>
      <c r="M617" s="10" t="str">
        <f aca="false">IFERROR(VLOOKUP(A617,'Dados-Status-Invest'!$1:$1000,MATCH(M$1,'Dados-Status-Invest'!$2:$2,0),FALSE())/100,"")</f>
        <v/>
      </c>
      <c r="N617" s="10" t="str">
        <f aca="false">IFERROR(VLOOKUP(A617,'Dados-Status-Invest'!$1:$1000,MATCH(N$1,'Dados-Status-Invest'!$2:$2,0),FALSE())/100,"")</f>
        <v/>
      </c>
      <c r="O617" s="10" t="str">
        <f aca="false">IFERROR(VLOOKUP(A617,'Dados-Status-Invest'!$1:$1000,MATCH(O$1,'Dados-Status-Invest'!$2:$2,0),FALSE())/100,"")</f>
        <v/>
      </c>
      <c r="P617" s="10" t="str">
        <f aca="false">IFERROR(VLOOKUP(A617,'Dados-Status-Invest'!$1:$1000,MATCH(P$1,'Dados-Status-Invest'!$2:$2,0),FALSE())/100,"")</f>
        <v/>
      </c>
      <c r="Q617" s="10" t="str">
        <f aca="false">IFERROR(VLOOKUP(A617,'Dados-Status-Invest'!$1:$1000,MATCH(Q$1,'Dados-Status-Invest'!$2:$2,0),FALSE())/100,"")</f>
        <v/>
      </c>
      <c r="R617" s="12" t="str">
        <f aca="false">IFERROR(VLOOKUP(A617,'Dados-Status-Invest'!$1:$1000,MATCH(R$1,'Dados-Status-Invest'!$2:$2,0),FALSE()),"")</f>
        <v/>
      </c>
      <c r="S617" s="12" t="str">
        <f aca="false">IFERROR(VLOOKUP(A617,'Dados-Status-Invest'!$1:$1000,MATCH(S$1,'Dados-Status-Invest'!$2:$2,0),FALSE()),"")</f>
        <v/>
      </c>
      <c r="T617" s="12" t="str">
        <f aca="false">IFERROR(VLOOKUP(A617,'Dados-Status-Invest'!$1:$1000,MATCH(T$1,'Dados-Status-Invest'!$2:$2,0),FALSE()),"")</f>
        <v/>
      </c>
      <c r="U617" s="12" t="str">
        <f aca="false">IFERROR(VLOOKUP(A617,'Dados-Status-Invest'!$1:$1000,MATCH(U$1,'Dados-Status-Invest'!$2:$2,0),FALSE()),"")</f>
        <v/>
      </c>
      <c r="V617" s="12" t="str">
        <f aca="false">IFERROR(VLOOKUP(A617,'Dados-Status-Invest'!$1:$1000,MATCH(V$1,'Dados-Status-Invest'!$2:$2,0),FALSE()),"")</f>
        <v/>
      </c>
      <c r="W617" s="10" t="str">
        <f aca="false">IFERROR(VLOOKUP(A617,'Dados-Status-Invest'!$1:$1000,MATCH(W$1,'Dados-Status-Invest'!$2:$2,0),FALSE())/100,"")</f>
        <v/>
      </c>
      <c r="X617" s="10" t="str">
        <f aca="false">IFERROR(VLOOKUP(A617,'Dados-Status-Invest'!$1:$1000,MATCH(X$1,'Dados-Status-Invest'!$2:$2,0),FALSE())/100,"")</f>
        <v/>
      </c>
    </row>
    <row r="618" customFormat="false" ht="15.75" hidden="false" customHeight="false" outlineLevel="0" collapsed="false">
      <c r="B618" s="7" t="str">
        <f aca="false">IFERROR(VLOOKUP(LEFT(A618,4),Setor!A:D,2,FALSE()),"")</f>
        <v/>
      </c>
      <c r="C618" s="8" t="str">
        <f aca="false">IFERROR(__xludf.dummyfunction("IFERROR(IFERROR(GOOGLEFINANCE(A624,""price""),VLOOKUP(A624,'Dados-Status-Invest'!A:B,2,FALSE)),"""")"),"")</f>
        <v/>
      </c>
      <c r="D618" s="8" t="str">
        <f aca="false">IFERROR(VLOOKUP(A618,'Dados-Status-Invest'!$1:$1000,MATCH(D$1,'Dados-Status-Invest'!$2:$2,0),FALSE()),"")</f>
        <v/>
      </c>
      <c r="E618" s="8" t="e">
        <f aca="false">IF(D618+H618&gt;0,D618+H618,"")</f>
        <v>#VALUE!</v>
      </c>
      <c r="F618" s="8" t="str">
        <f aca="false">IFERROR(D618/VLOOKUP(A618,'Dados-Status-Invest'!$1:$1000,5,FALSE()),"")</f>
        <v/>
      </c>
      <c r="G618" s="8" t="str">
        <f aca="false">IFERROR(D618/VLOOKUP(A618,'Dados-Status-Invest'!$1:$1000,6,FALSE()),"")</f>
        <v/>
      </c>
      <c r="H618" s="8" t="str">
        <f aca="false">IFERROR(VLOOKUP(A618,'Dados-Status-Invest'!$1:$1000,12,FALSE())*J618,"")</f>
        <v/>
      </c>
      <c r="I618" s="8" t="str">
        <f aca="false">IFERROR(D618/VLOOKUP(A618,'Dados-Status-Invest'!$1:$1000,14,FALSE()),"")</f>
        <v/>
      </c>
      <c r="J618" s="9" t="str">
        <f aca="false">IFERROR(D618/VLOOKUP(A618,'Dados-Status-Invest'!$1:$1000,10,FALSE()),"")</f>
        <v/>
      </c>
      <c r="K618" s="10" t="str">
        <f aca="false">IFERROR(VLOOKUP(A618,'Dados-Status-Invest'!$1:$1000,3,FALSE())/100,"")</f>
        <v/>
      </c>
      <c r="L618" s="11" t="str">
        <f aca="false">IFERROR(VLOOKUP(A618,'Dados-Status-Invest'!$1:$1000,MATCH(L$1,'Dados-Status-Invest'!$2:$2,0),FALSE())/100,"")</f>
        <v/>
      </c>
      <c r="M618" s="10" t="str">
        <f aca="false">IFERROR(VLOOKUP(A618,'Dados-Status-Invest'!$1:$1000,MATCH(M$1,'Dados-Status-Invest'!$2:$2,0),FALSE())/100,"")</f>
        <v/>
      </c>
      <c r="N618" s="10" t="str">
        <f aca="false">IFERROR(VLOOKUP(A618,'Dados-Status-Invest'!$1:$1000,MATCH(N$1,'Dados-Status-Invest'!$2:$2,0),FALSE())/100,"")</f>
        <v/>
      </c>
      <c r="O618" s="10" t="str">
        <f aca="false">IFERROR(VLOOKUP(A618,'Dados-Status-Invest'!$1:$1000,MATCH(O$1,'Dados-Status-Invest'!$2:$2,0),FALSE())/100,"")</f>
        <v/>
      </c>
      <c r="P618" s="10" t="str">
        <f aca="false">IFERROR(VLOOKUP(A618,'Dados-Status-Invest'!$1:$1000,MATCH(P$1,'Dados-Status-Invest'!$2:$2,0),FALSE())/100,"")</f>
        <v/>
      </c>
      <c r="Q618" s="10" t="str">
        <f aca="false">IFERROR(VLOOKUP(A618,'Dados-Status-Invest'!$1:$1000,MATCH(Q$1,'Dados-Status-Invest'!$2:$2,0),FALSE())/100,"")</f>
        <v/>
      </c>
      <c r="R618" s="12" t="str">
        <f aca="false">IFERROR(VLOOKUP(A618,'Dados-Status-Invest'!$1:$1000,MATCH(R$1,'Dados-Status-Invest'!$2:$2,0),FALSE()),"")</f>
        <v/>
      </c>
      <c r="S618" s="12" t="str">
        <f aca="false">IFERROR(VLOOKUP(A618,'Dados-Status-Invest'!$1:$1000,MATCH(S$1,'Dados-Status-Invest'!$2:$2,0),FALSE()),"")</f>
        <v/>
      </c>
      <c r="T618" s="12" t="str">
        <f aca="false">IFERROR(VLOOKUP(A618,'Dados-Status-Invest'!$1:$1000,MATCH(T$1,'Dados-Status-Invest'!$2:$2,0),FALSE()),"")</f>
        <v/>
      </c>
      <c r="U618" s="12" t="str">
        <f aca="false">IFERROR(VLOOKUP(A618,'Dados-Status-Invest'!$1:$1000,MATCH(U$1,'Dados-Status-Invest'!$2:$2,0),FALSE()),"")</f>
        <v/>
      </c>
      <c r="V618" s="12" t="str">
        <f aca="false">IFERROR(VLOOKUP(A618,'Dados-Status-Invest'!$1:$1000,MATCH(V$1,'Dados-Status-Invest'!$2:$2,0),FALSE()),"")</f>
        <v/>
      </c>
      <c r="W618" s="10" t="str">
        <f aca="false">IFERROR(VLOOKUP(A618,'Dados-Status-Invest'!$1:$1000,MATCH(W$1,'Dados-Status-Invest'!$2:$2,0),FALSE())/100,"")</f>
        <v/>
      </c>
      <c r="X618" s="10" t="str">
        <f aca="false">IFERROR(VLOOKUP(A618,'Dados-Status-Invest'!$1:$1000,MATCH(X$1,'Dados-Status-Invest'!$2:$2,0),FALSE())/100,"")</f>
        <v/>
      </c>
    </row>
    <row r="619" customFormat="false" ht="15.75" hidden="false" customHeight="false" outlineLevel="0" collapsed="false">
      <c r="B619" s="7" t="str">
        <f aca="false">IFERROR(VLOOKUP(LEFT(A619,4),Setor!A:D,2,FALSE()),"")</f>
        <v/>
      </c>
      <c r="C619" s="8" t="str">
        <f aca="false">IFERROR(__xludf.dummyfunction("IFERROR(IFERROR(GOOGLEFINANCE(A625,""price""),VLOOKUP(A625,'Dados-Status-Invest'!A:B,2,FALSE)),"""")"),"")</f>
        <v/>
      </c>
      <c r="D619" s="8" t="str">
        <f aca="false">IFERROR(VLOOKUP(A619,'Dados-Status-Invest'!$1:$1000,MATCH(D$1,'Dados-Status-Invest'!$2:$2,0),FALSE()),"")</f>
        <v/>
      </c>
      <c r="E619" s="8" t="e">
        <f aca="false">IF(D619+H619&gt;0,D619+H619,"")</f>
        <v>#VALUE!</v>
      </c>
      <c r="F619" s="8" t="str">
        <f aca="false">IFERROR(D619/VLOOKUP(A619,'Dados-Status-Invest'!$1:$1000,5,FALSE()),"")</f>
        <v/>
      </c>
      <c r="G619" s="8" t="str">
        <f aca="false">IFERROR(D619/VLOOKUP(A619,'Dados-Status-Invest'!$1:$1000,6,FALSE()),"")</f>
        <v/>
      </c>
      <c r="H619" s="8" t="str">
        <f aca="false">IFERROR(VLOOKUP(A619,'Dados-Status-Invest'!$1:$1000,12,FALSE())*J619,"")</f>
        <v/>
      </c>
      <c r="I619" s="8" t="str">
        <f aca="false">IFERROR(D619/VLOOKUP(A619,'Dados-Status-Invest'!$1:$1000,14,FALSE()),"")</f>
        <v/>
      </c>
      <c r="J619" s="9" t="str">
        <f aca="false">IFERROR(D619/VLOOKUP(A619,'Dados-Status-Invest'!$1:$1000,10,FALSE()),"")</f>
        <v/>
      </c>
      <c r="K619" s="10" t="str">
        <f aca="false">IFERROR(VLOOKUP(A619,'Dados-Status-Invest'!$1:$1000,3,FALSE())/100,"")</f>
        <v/>
      </c>
      <c r="L619" s="11" t="str">
        <f aca="false">IFERROR(VLOOKUP(A619,'Dados-Status-Invest'!$1:$1000,MATCH(L$1,'Dados-Status-Invest'!$2:$2,0),FALSE())/100,"")</f>
        <v/>
      </c>
      <c r="M619" s="10" t="str">
        <f aca="false">IFERROR(VLOOKUP(A619,'Dados-Status-Invest'!$1:$1000,MATCH(M$1,'Dados-Status-Invest'!$2:$2,0),FALSE())/100,"")</f>
        <v/>
      </c>
      <c r="N619" s="10" t="str">
        <f aca="false">IFERROR(VLOOKUP(A619,'Dados-Status-Invest'!$1:$1000,MATCH(N$1,'Dados-Status-Invest'!$2:$2,0),FALSE())/100,"")</f>
        <v/>
      </c>
      <c r="O619" s="10" t="str">
        <f aca="false">IFERROR(VLOOKUP(A619,'Dados-Status-Invest'!$1:$1000,MATCH(O$1,'Dados-Status-Invest'!$2:$2,0),FALSE())/100,"")</f>
        <v/>
      </c>
      <c r="P619" s="10" t="str">
        <f aca="false">IFERROR(VLOOKUP(A619,'Dados-Status-Invest'!$1:$1000,MATCH(P$1,'Dados-Status-Invest'!$2:$2,0),FALSE())/100,"")</f>
        <v/>
      </c>
      <c r="Q619" s="10" t="str">
        <f aca="false">IFERROR(VLOOKUP(A619,'Dados-Status-Invest'!$1:$1000,MATCH(Q$1,'Dados-Status-Invest'!$2:$2,0),FALSE())/100,"")</f>
        <v/>
      </c>
      <c r="R619" s="12" t="str">
        <f aca="false">IFERROR(VLOOKUP(A619,'Dados-Status-Invest'!$1:$1000,MATCH(R$1,'Dados-Status-Invest'!$2:$2,0),FALSE()),"")</f>
        <v/>
      </c>
      <c r="S619" s="12" t="str">
        <f aca="false">IFERROR(VLOOKUP(A619,'Dados-Status-Invest'!$1:$1000,MATCH(S$1,'Dados-Status-Invest'!$2:$2,0),FALSE()),"")</f>
        <v/>
      </c>
      <c r="T619" s="12" t="str">
        <f aca="false">IFERROR(VLOOKUP(A619,'Dados-Status-Invest'!$1:$1000,MATCH(T$1,'Dados-Status-Invest'!$2:$2,0),FALSE()),"")</f>
        <v/>
      </c>
      <c r="U619" s="12" t="str">
        <f aca="false">IFERROR(VLOOKUP(A619,'Dados-Status-Invest'!$1:$1000,MATCH(U$1,'Dados-Status-Invest'!$2:$2,0),FALSE()),"")</f>
        <v/>
      </c>
      <c r="V619" s="12" t="str">
        <f aca="false">IFERROR(VLOOKUP(A619,'Dados-Status-Invest'!$1:$1000,MATCH(V$1,'Dados-Status-Invest'!$2:$2,0),FALSE()),"")</f>
        <v/>
      </c>
      <c r="W619" s="10" t="str">
        <f aca="false">IFERROR(VLOOKUP(A619,'Dados-Status-Invest'!$1:$1000,MATCH(W$1,'Dados-Status-Invest'!$2:$2,0),FALSE())/100,"")</f>
        <v/>
      </c>
      <c r="X619" s="10" t="str">
        <f aca="false">IFERROR(VLOOKUP(A619,'Dados-Status-Invest'!$1:$1000,MATCH(X$1,'Dados-Status-Invest'!$2:$2,0),FALSE())/100,"")</f>
        <v/>
      </c>
    </row>
    <row r="620" customFormat="false" ht="15.75" hidden="false" customHeight="false" outlineLevel="0" collapsed="false">
      <c r="B620" s="7" t="str">
        <f aca="false">IFERROR(VLOOKUP(LEFT(A620,4),Setor!A:D,2,FALSE()),"")</f>
        <v/>
      </c>
      <c r="C620" s="8" t="str">
        <f aca="false">IFERROR(__xludf.dummyfunction("IFERROR(IFERROR(GOOGLEFINANCE(A626,""price""),VLOOKUP(A626,'Dados-Status-Invest'!A:B,2,FALSE)),"""")"),"")</f>
        <v/>
      </c>
      <c r="D620" s="8" t="str">
        <f aca="false">IFERROR(VLOOKUP(A620,'Dados-Status-Invest'!$1:$1000,MATCH(D$1,'Dados-Status-Invest'!$2:$2,0),FALSE()),"")</f>
        <v/>
      </c>
      <c r="E620" s="8" t="e">
        <f aca="false">IF(D620+H620&gt;0,D620+H620,"")</f>
        <v>#VALUE!</v>
      </c>
      <c r="F620" s="8" t="str">
        <f aca="false">IFERROR(D620/VLOOKUP(A620,'Dados-Status-Invest'!$1:$1000,5,FALSE()),"")</f>
        <v/>
      </c>
      <c r="G620" s="8" t="str">
        <f aca="false">IFERROR(D620/VLOOKUP(A620,'Dados-Status-Invest'!$1:$1000,6,FALSE()),"")</f>
        <v/>
      </c>
      <c r="H620" s="8" t="str">
        <f aca="false">IFERROR(VLOOKUP(A620,'Dados-Status-Invest'!$1:$1000,12,FALSE())*J620,"")</f>
        <v/>
      </c>
      <c r="I620" s="8" t="str">
        <f aca="false">IFERROR(D620/VLOOKUP(A620,'Dados-Status-Invest'!$1:$1000,14,FALSE()),"")</f>
        <v/>
      </c>
      <c r="J620" s="9" t="str">
        <f aca="false">IFERROR(D620/VLOOKUP(A620,'Dados-Status-Invest'!$1:$1000,10,FALSE()),"")</f>
        <v/>
      </c>
      <c r="K620" s="10" t="str">
        <f aca="false">IFERROR(VLOOKUP(A620,'Dados-Status-Invest'!$1:$1000,3,FALSE())/100,"")</f>
        <v/>
      </c>
      <c r="L620" s="11" t="str">
        <f aca="false">IFERROR(VLOOKUP(A620,'Dados-Status-Invest'!$1:$1000,MATCH(L$1,'Dados-Status-Invest'!$2:$2,0),FALSE())/100,"")</f>
        <v/>
      </c>
      <c r="M620" s="10" t="str">
        <f aca="false">IFERROR(VLOOKUP(A620,'Dados-Status-Invest'!$1:$1000,MATCH(M$1,'Dados-Status-Invest'!$2:$2,0),FALSE())/100,"")</f>
        <v/>
      </c>
      <c r="N620" s="10" t="str">
        <f aca="false">IFERROR(VLOOKUP(A620,'Dados-Status-Invest'!$1:$1000,MATCH(N$1,'Dados-Status-Invest'!$2:$2,0),FALSE())/100,"")</f>
        <v/>
      </c>
      <c r="O620" s="10" t="str">
        <f aca="false">IFERROR(VLOOKUP(A620,'Dados-Status-Invest'!$1:$1000,MATCH(O$1,'Dados-Status-Invest'!$2:$2,0),FALSE())/100,"")</f>
        <v/>
      </c>
      <c r="P620" s="10" t="str">
        <f aca="false">IFERROR(VLOOKUP(A620,'Dados-Status-Invest'!$1:$1000,MATCH(P$1,'Dados-Status-Invest'!$2:$2,0),FALSE())/100,"")</f>
        <v/>
      </c>
      <c r="Q620" s="10" t="str">
        <f aca="false">IFERROR(VLOOKUP(A620,'Dados-Status-Invest'!$1:$1000,MATCH(Q$1,'Dados-Status-Invest'!$2:$2,0),FALSE())/100,"")</f>
        <v/>
      </c>
      <c r="R620" s="12" t="str">
        <f aca="false">IFERROR(VLOOKUP(A620,'Dados-Status-Invest'!$1:$1000,MATCH(R$1,'Dados-Status-Invest'!$2:$2,0),FALSE()),"")</f>
        <v/>
      </c>
      <c r="S620" s="12" t="str">
        <f aca="false">IFERROR(VLOOKUP(A620,'Dados-Status-Invest'!$1:$1000,MATCH(S$1,'Dados-Status-Invest'!$2:$2,0),FALSE()),"")</f>
        <v/>
      </c>
      <c r="T620" s="12" t="str">
        <f aca="false">IFERROR(VLOOKUP(A620,'Dados-Status-Invest'!$1:$1000,MATCH(T$1,'Dados-Status-Invest'!$2:$2,0),FALSE()),"")</f>
        <v/>
      </c>
      <c r="U620" s="12" t="str">
        <f aca="false">IFERROR(VLOOKUP(A620,'Dados-Status-Invest'!$1:$1000,MATCH(U$1,'Dados-Status-Invest'!$2:$2,0),FALSE()),"")</f>
        <v/>
      </c>
      <c r="V620" s="12" t="str">
        <f aca="false">IFERROR(VLOOKUP(A620,'Dados-Status-Invest'!$1:$1000,MATCH(V$1,'Dados-Status-Invest'!$2:$2,0),FALSE()),"")</f>
        <v/>
      </c>
      <c r="W620" s="10" t="str">
        <f aca="false">IFERROR(VLOOKUP(A620,'Dados-Status-Invest'!$1:$1000,MATCH(W$1,'Dados-Status-Invest'!$2:$2,0),FALSE())/100,"")</f>
        <v/>
      </c>
      <c r="X620" s="10" t="str">
        <f aca="false">IFERROR(VLOOKUP(A620,'Dados-Status-Invest'!$1:$1000,MATCH(X$1,'Dados-Status-Invest'!$2:$2,0),FALSE())/100,"")</f>
        <v/>
      </c>
    </row>
    <row r="621" customFormat="false" ht="15.75" hidden="false" customHeight="false" outlineLevel="0" collapsed="false">
      <c r="B621" s="7" t="str">
        <f aca="false">IFERROR(VLOOKUP(LEFT(A621,4),Setor!A:D,2,FALSE()),"")</f>
        <v/>
      </c>
      <c r="C621" s="8" t="str">
        <f aca="false">IFERROR(__xludf.dummyfunction("IFERROR(IFERROR(GOOGLEFINANCE(A627,""price""),VLOOKUP(A627,'Dados-Status-Invest'!A:B,2,FALSE)),"""")"),"")</f>
        <v/>
      </c>
      <c r="D621" s="8" t="str">
        <f aca="false">IFERROR(VLOOKUP(A621,'Dados-Status-Invest'!$1:$1000,MATCH(D$1,'Dados-Status-Invest'!$2:$2,0),FALSE()),"")</f>
        <v/>
      </c>
      <c r="E621" s="8" t="e">
        <f aca="false">IF(D621+H621&gt;0,D621+H621,"")</f>
        <v>#VALUE!</v>
      </c>
      <c r="F621" s="8" t="str">
        <f aca="false">IFERROR(D621/VLOOKUP(A621,'Dados-Status-Invest'!$1:$1000,5,FALSE()),"")</f>
        <v/>
      </c>
      <c r="G621" s="8" t="str">
        <f aca="false">IFERROR(D621/VLOOKUP(A621,'Dados-Status-Invest'!$1:$1000,6,FALSE()),"")</f>
        <v/>
      </c>
      <c r="H621" s="8" t="str">
        <f aca="false">IFERROR(VLOOKUP(A621,'Dados-Status-Invest'!$1:$1000,12,FALSE())*J621,"")</f>
        <v/>
      </c>
      <c r="I621" s="8" t="str">
        <f aca="false">IFERROR(D621/VLOOKUP(A621,'Dados-Status-Invest'!$1:$1000,14,FALSE()),"")</f>
        <v/>
      </c>
      <c r="J621" s="9" t="str">
        <f aca="false">IFERROR(D621/VLOOKUP(A621,'Dados-Status-Invest'!$1:$1000,10,FALSE()),"")</f>
        <v/>
      </c>
      <c r="K621" s="10" t="str">
        <f aca="false">IFERROR(VLOOKUP(A621,'Dados-Status-Invest'!$1:$1000,3,FALSE())/100,"")</f>
        <v/>
      </c>
      <c r="L621" s="11" t="str">
        <f aca="false">IFERROR(VLOOKUP(A621,'Dados-Status-Invest'!$1:$1000,MATCH(L$1,'Dados-Status-Invest'!$2:$2,0),FALSE())/100,"")</f>
        <v/>
      </c>
      <c r="M621" s="10" t="str">
        <f aca="false">IFERROR(VLOOKUP(A621,'Dados-Status-Invest'!$1:$1000,MATCH(M$1,'Dados-Status-Invest'!$2:$2,0),FALSE())/100,"")</f>
        <v/>
      </c>
      <c r="N621" s="10" t="str">
        <f aca="false">IFERROR(VLOOKUP(A621,'Dados-Status-Invest'!$1:$1000,MATCH(N$1,'Dados-Status-Invest'!$2:$2,0),FALSE())/100,"")</f>
        <v/>
      </c>
      <c r="O621" s="10" t="str">
        <f aca="false">IFERROR(VLOOKUP(A621,'Dados-Status-Invest'!$1:$1000,MATCH(O$1,'Dados-Status-Invest'!$2:$2,0),FALSE())/100,"")</f>
        <v/>
      </c>
      <c r="P621" s="10" t="str">
        <f aca="false">IFERROR(VLOOKUP(A621,'Dados-Status-Invest'!$1:$1000,MATCH(P$1,'Dados-Status-Invest'!$2:$2,0),FALSE())/100,"")</f>
        <v/>
      </c>
      <c r="Q621" s="10" t="str">
        <f aca="false">IFERROR(VLOOKUP(A621,'Dados-Status-Invest'!$1:$1000,MATCH(Q$1,'Dados-Status-Invest'!$2:$2,0),FALSE())/100,"")</f>
        <v/>
      </c>
      <c r="R621" s="12" t="str">
        <f aca="false">IFERROR(VLOOKUP(A621,'Dados-Status-Invest'!$1:$1000,MATCH(R$1,'Dados-Status-Invest'!$2:$2,0),FALSE()),"")</f>
        <v/>
      </c>
      <c r="S621" s="12" t="str">
        <f aca="false">IFERROR(VLOOKUP(A621,'Dados-Status-Invest'!$1:$1000,MATCH(S$1,'Dados-Status-Invest'!$2:$2,0),FALSE()),"")</f>
        <v/>
      </c>
      <c r="T621" s="12" t="str">
        <f aca="false">IFERROR(VLOOKUP(A621,'Dados-Status-Invest'!$1:$1000,MATCH(T$1,'Dados-Status-Invest'!$2:$2,0),FALSE()),"")</f>
        <v/>
      </c>
      <c r="U621" s="12" t="str">
        <f aca="false">IFERROR(VLOOKUP(A621,'Dados-Status-Invest'!$1:$1000,MATCH(U$1,'Dados-Status-Invest'!$2:$2,0),FALSE()),"")</f>
        <v/>
      </c>
      <c r="V621" s="12" t="str">
        <f aca="false">IFERROR(VLOOKUP(A621,'Dados-Status-Invest'!$1:$1000,MATCH(V$1,'Dados-Status-Invest'!$2:$2,0),FALSE()),"")</f>
        <v/>
      </c>
      <c r="W621" s="10" t="str">
        <f aca="false">IFERROR(VLOOKUP(A621,'Dados-Status-Invest'!$1:$1000,MATCH(W$1,'Dados-Status-Invest'!$2:$2,0),FALSE())/100,"")</f>
        <v/>
      </c>
      <c r="X621" s="10" t="str">
        <f aca="false">IFERROR(VLOOKUP(A621,'Dados-Status-Invest'!$1:$1000,MATCH(X$1,'Dados-Status-Invest'!$2:$2,0),FALSE())/100,"")</f>
        <v/>
      </c>
    </row>
    <row r="622" customFormat="false" ht="15.75" hidden="false" customHeight="false" outlineLevel="0" collapsed="false">
      <c r="B622" s="7" t="str">
        <f aca="false">IFERROR(VLOOKUP(LEFT(A622,4),Setor!A:D,2,FALSE()),"")</f>
        <v/>
      </c>
      <c r="C622" s="8" t="str">
        <f aca="false">IFERROR(__xludf.dummyfunction("IFERROR(IFERROR(GOOGLEFINANCE(A628,""price""),VLOOKUP(A628,'Dados-Status-Invest'!A:B,2,FALSE)),"""")"),"")</f>
        <v/>
      </c>
      <c r="D622" s="8" t="str">
        <f aca="false">IFERROR(VLOOKUP(A622,'Dados-Status-Invest'!$1:$1000,MATCH(D$1,'Dados-Status-Invest'!$2:$2,0),FALSE()),"")</f>
        <v/>
      </c>
      <c r="E622" s="8" t="e">
        <f aca="false">IF(D622+H622&gt;0,D622+H622,"")</f>
        <v>#VALUE!</v>
      </c>
      <c r="F622" s="8" t="str">
        <f aca="false">IFERROR(D622/VLOOKUP(A622,'Dados-Status-Invest'!$1:$1000,5,FALSE()),"")</f>
        <v/>
      </c>
      <c r="G622" s="8" t="str">
        <f aca="false">IFERROR(D622/VLOOKUP(A622,'Dados-Status-Invest'!$1:$1000,6,FALSE()),"")</f>
        <v/>
      </c>
      <c r="H622" s="8" t="str">
        <f aca="false">IFERROR(VLOOKUP(A622,'Dados-Status-Invest'!$1:$1000,12,FALSE())*J622,"")</f>
        <v/>
      </c>
      <c r="I622" s="8" t="str">
        <f aca="false">IFERROR(D622/VLOOKUP(A622,'Dados-Status-Invest'!$1:$1000,14,FALSE()),"")</f>
        <v/>
      </c>
      <c r="J622" s="9" t="str">
        <f aca="false">IFERROR(D622/VLOOKUP(A622,'Dados-Status-Invest'!$1:$1000,10,FALSE()),"")</f>
        <v/>
      </c>
      <c r="K622" s="10" t="str">
        <f aca="false">IFERROR(VLOOKUP(A622,'Dados-Status-Invest'!$1:$1000,3,FALSE())/100,"")</f>
        <v/>
      </c>
      <c r="L622" s="11" t="str">
        <f aca="false">IFERROR(VLOOKUP(A622,'Dados-Status-Invest'!$1:$1000,MATCH(L$1,'Dados-Status-Invest'!$2:$2,0),FALSE())/100,"")</f>
        <v/>
      </c>
      <c r="M622" s="10" t="str">
        <f aca="false">IFERROR(VLOOKUP(A622,'Dados-Status-Invest'!$1:$1000,MATCH(M$1,'Dados-Status-Invest'!$2:$2,0),FALSE())/100,"")</f>
        <v/>
      </c>
      <c r="N622" s="10" t="str">
        <f aca="false">IFERROR(VLOOKUP(A622,'Dados-Status-Invest'!$1:$1000,MATCH(N$1,'Dados-Status-Invest'!$2:$2,0),FALSE())/100,"")</f>
        <v/>
      </c>
      <c r="O622" s="10" t="str">
        <f aca="false">IFERROR(VLOOKUP(A622,'Dados-Status-Invest'!$1:$1000,MATCH(O$1,'Dados-Status-Invest'!$2:$2,0),FALSE())/100,"")</f>
        <v/>
      </c>
      <c r="P622" s="10" t="str">
        <f aca="false">IFERROR(VLOOKUP(A622,'Dados-Status-Invest'!$1:$1000,MATCH(P$1,'Dados-Status-Invest'!$2:$2,0),FALSE())/100,"")</f>
        <v/>
      </c>
      <c r="Q622" s="10" t="str">
        <f aca="false">IFERROR(VLOOKUP(A622,'Dados-Status-Invest'!$1:$1000,MATCH(Q$1,'Dados-Status-Invest'!$2:$2,0),FALSE())/100,"")</f>
        <v/>
      </c>
      <c r="R622" s="12" t="str">
        <f aca="false">IFERROR(VLOOKUP(A622,'Dados-Status-Invest'!$1:$1000,MATCH(R$1,'Dados-Status-Invest'!$2:$2,0),FALSE()),"")</f>
        <v/>
      </c>
      <c r="S622" s="12" t="str">
        <f aca="false">IFERROR(VLOOKUP(A622,'Dados-Status-Invest'!$1:$1000,MATCH(S$1,'Dados-Status-Invest'!$2:$2,0),FALSE()),"")</f>
        <v/>
      </c>
      <c r="T622" s="12" t="str">
        <f aca="false">IFERROR(VLOOKUP(A622,'Dados-Status-Invest'!$1:$1000,MATCH(T$1,'Dados-Status-Invest'!$2:$2,0),FALSE()),"")</f>
        <v/>
      </c>
      <c r="U622" s="12" t="str">
        <f aca="false">IFERROR(VLOOKUP(A622,'Dados-Status-Invest'!$1:$1000,MATCH(U$1,'Dados-Status-Invest'!$2:$2,0),FALSE()),"")</f>
        <v/>
      </c>
      <c r="V622" s="12" t="str">
        <f aca="false">IFERROR(VLOOKUP(A622,'Dados-Status-Invest'!$1:$1000,MATCH(V$1,'Dados-Status-Invest'!$2:$2,0),FALSE()),"")</f>
        <v/>
      </c>
      <c r="W622" s="10" t="str">
        <f aca="false">IFERROR(VLOOKUP(A622,'Dados-Status-Invest'!$1:$1000,MATCH(W$1,'Dados-Status-Invest'!$2:$2,0),FALSE())/100,"")</f>
        <v/>
      </c>
      <c r="X622" s="10" t="str">
        <f aca="false">IFERROR(VLOOKUP(A622,'Dados-Status-Invest'!$1:$1000,MATCH(X$1,'Dados-Status-Invest'!$2:$2,0),FALSE())/100,"")</f>
        <v/>
      </c>
    </row>
    <row r="623" customFormat="false" ht="15.75" hidden="false" customHeight="false" outlineLevel="0" collapsed="false">
      <c r="B623" s="7" t="str">
        <f aca="false">IFERROR(VLOOKUP(LEFT(A623,4),Setor!A:D,2,FALSE()),"")</f>
        <v/>
      </c>
      <c r="C623" s="8" t="str">
        <f aca="false">IFERROR(__xludf.dummyfunction("IFERROR(IFERROR(GOOGLEFINANCE(A629,""price""),VLOOKUP(A629,'Dados-Status-Invest'!A:B,2,FALSE)),"""")"),"")</f>
        <v/>
      </c>
      <c r="D623" s="8" t="str">
        <f aca="false">IFERROR(VLOOKUP(A623,'Dados-Status-Invest'!$1:$1000,MATCH(D$1,'Dados-Status-Invest'!$2:$2,0),FALSE()),"")</f>
        <v/>
      </c>
      <c r="E623" s="8" t="e">
        <f aca="false">IF(D623+H623&gt;0,D623+H623,"")</f>
        <v>#VALUE!</v>
      </c>
      <c r="F623" s="8" t="str">
        <f aca="false">IFERROR(D623/VLOOKUP(A623,'Dados-Status-Invest'!$1:$1000,5,FALSE()),"")</f>
        <v/>
      </c>
      <c r="G623" s="8" t="str">
        <f aca="false">IFERROR(D623/VLOOKUP(A623,'Dados-Status-Invest'!$1:$1000,6,FALSE()),"")</f>
        <v/>
      </c>
      <c r="H623" s="8" t="str">
        <f aca="false">IFERROR(VLOOKUP(A623,'Dados-Status-Invest'!$1:$1000,12,FALSE())*J623,"")</f>
        <v/>
      </c>
      <c r="I623" s="8" t="str">
        <f aca="false">IFERROR(D623/VLOOKUP(A623,'Dados-Status-Invest'!$1:$1000,14,FALSE()),"")</f>
        <v/>
      </c>
      <c r="J623" s="9" t="str">
        <f aca="false">IFERROR(D623/VLOOKUP(A623,'Dados-Status-Invest'!$1:$1000,10,FALSE()),"")</f>
        <v/>
      </c>
      <c r="K623" s="10" t="str">
        <f aca="false">IFERROR(VLOOKUP(A623,'Dados-Status-Invest'!$1:$1000,3,FALSE())/100,"")</f>
        <v/>
      </c>
      <c r="L623" s="11" t="str">
        <f aca="false">IFERROR(VLOOKUP(A623,'Dados-Status-Invest'!$1:$1000,MATCH(L$1,'Dados-Status-Invest'!$2:$2,0),FALSE())/100,"")</f>
        <v/>
      </c>
      <c r="M623" s="10" t="str">
        <f aca="false">IFERROR(VLOOKUP(A623,'Dados-Status-Invest'!$1:$1000,MATCH(M$1,'Dados-Status-Invest'!$2:$2,0),FALSE())/100,"")</f>
        <v/>
      </c>
      <c r="N623" s="10" t="str">
        <f aca="false">IFERROR(VLOOKUP(A623,'Dados-Status-Invest'!$1:$1000,MATCH(N$1,'Dados-Status-Invest'!$2:$2,0),FALSE())/100,"")</f>
        <v/>
      </c>
      <c r="O623" s="10" t="str">
        <f aca="false">IFERROR(VLOOKUP(A623,'Dados-Status-Invest'!$1:$1000,MATCH(O$1,'Dados-Status-Invest'!$2:$2,0),FALSE())/100,"")</f>
        <v/>
      </c>
      <c r="P623" s="10" t="str">
        <f aca="false">IFERROR(VLOOKUP(A623,'Dados-Status-Invest'!$1:$1000,MATCH(P$1,'Dados-Status-Invest'!$2:$2,0),FALSE())/100,"")</f>
        <v/>
      </c>
      <c r="Q623" s="10" t="str">
        <f aca="false">IFERROR(VLOOKUP(A623,'Dados-Status-Invest'!$1:$1000,MATCH(Q$1,'Dados-Status-Invest'!$2:$2,0),FALSE())/100,"")</f>
        <v/>
      </c>
      <c r="R623" s="12" t="str">
        <f aca="false">IFERROR(VLOOKUP(A623,'Dados-Status-Invest'!$1:$1000,MATCH(R$1,'Dados-Status-Invest'!$2:$2,0),FALSE()),"")</f>
        <v/>
      </c>
      <c r="S623" s="12" t="str">
        <f aca="false">IFERROR(VLOOKUP(A623,'Dados-Status-Invest'!$1:$1000,MATCH(S$1,'Dados-Status-Invest'!$2:$2,0),FALSE()),"")</f>
        <v/>
      </c>
      <c r="T623" s="12" t="str">
        <f aca="false">IFERROR(VLOOKUP(A623,'Dados-Status-Invest'!$1:$1000,MATCH(T$1,'Dados-Status-Invest'!$2:$2,0),FALSE()),"")</f>
        <v/>
      </c>
      <c r="U623" s="12" t="str">
        <f aca="false">IFERROR(VLOOKUP(A623,'Dados-Status-Invest'!$1:$1000,MATCH(U$1,'Dados-Status-Invest'!$2:$2,0),FALSE()),"")</f>
        <v/>
      </c>
      <c r="V623" s="12" t="str">
        <f aca="false">IFERROR(VLOOKUP(A623,'Dados-Status-Invest'!$1:$1000,MATCH(V$1,'Dados-Status-Invest'!$2:$2,0),FALSE()),"")</f>
        <v/>
      </c>
      <c r="W623" s="10" t="str">
        <f aca="false">IFERROR(VLOOKUP(A623,'Dados-Status-Invest'!$1:$1000,MATCH(W$1,'Dados-Status-Invest'!$2:$2,0),FALSE())/100,"")</f>
        <v/>
      </c>
      <c r="X623" s="10" t="str">
        <f aca="false">IFERROR(VLOOKUP(A623,'Dados-Status-Invest'!$1:$1000,MATCH(X$1,'Dados-Status-Invest'!$2:$2,0),FALSE())/100,"")</f>
        <v/>
      </c>
    </row>
    <row r="624" customFormat="false" ht="15.75" hidden="false" customHeight="false" outlineLevel="0" collapsed="false">
      <c r="B624" s="7" t="str">
        <f aca="false">IFERROR(VLOOKUP(LEFT(A624,4),Setor!A:D,2,FALSE()),"")</f>
        <v/>
      </c>
      <c r="C624" s="8" t="str">
        <f aca="false">IFERROR(__xludf.dummyfunction("IFERROR(IFERROR(GOOGLEFINANCE(A630,""price""),VLOOKUP(A630,'Dados-Status-Invest'!A:B,2,FALSE)),"""")"),"")</f>
        <v/>
      </c>
      <c r="D624" s="8" t="str">
        <f aca="false">IFERROR(VLOOKUP(A624,'Dados-Status-Invest'!$1:$1000,MATCH(D$1,'Dados-Status-Invest'!$2:$2,0),FALSE()),"")</f>
        <v/>
      </c>
      <c r="E624" s="8" t="e">
        <f aca="false">IF(D624+H624&gt;0,D624+H624,"")</f>
        <v>#VALUE!</v>
      </c>
      <c r="F624" s="8" t="str">
        <f aca="false">IFERROR(D624/VLOOKUP(A624,'Dados-Status-Invest'!$1:$1000,5,FALSE()),"")</f>
        <v/>
      </c>
      <c r="G624" s="8" t="str">
        <f aca="false">IFERROR(D624/VLOOKUP(A624,'Dados-Status-Invest'!$1:$1000,6,FALSE()),"")</f>
        <v/>
      </c>
      <c r="H624" s="8" t="str">
        <f aca="false">IFERROR(VLOOKUP(A624,'Dados-Status-Invest'!$1:$1000,12,FALSE())*J624,"")</f>
        <v/>
      </c>
      <c r="I624" s="8" t="str">
        <f aca="false">IFERROR(D624/VLOOKUP(A624,'Dados-Status-Invest'!$1:$1000,14,FALSE()),"")</f>
        <v/>
      </c>
      <c r="J624" s="9" t="str">
        <f aca="false">IFERROR(D624/VLOOKUP(A624,'Dados-Status-Invest'!$1:$1000,10,FALSE()),"")</f>
        <v/>
      </c>
      <c r="K624" s="10" t="str">
        <f aca="false">IFERROR(VLOOKUP(A624,'Dados-Status-Invest'!$1:$1000,3,FALSE())/100,"")</f>
        <v/>
      </c>
      <c r="L624" s="11" t="str">
        <f aca="false">IFERROR(VLOOKUP(A624,'Dados-Status-Invest'!$1:$1000,MATCH(L$1,'Dados-Status-Invest'!$2:$2,0),FALSE())/100,"")</f>
        <v/>
      </c>
      <c r="M624" s="10" t="str">
        <f aca="false">IFERROR(VLOOKUP(A624,'Dados-Status-Invest'!$1:$1000,MATCH(M$1,'Dados-Status-Invest'!$2:$2,0),FALSE())/100,"")</f>
        <v/>
      </c>
      <c r="N624" s="10" t="str">
        <f aca="false">IFERROR(VLOOKUP(A624,'Dados-Status-Invest'!$1:$1000,MATCH(N$1,'Dados-Status-Invest'!$2:$2,0),FALSE())/100,"")</f>
        <v/>
      </c>
      <c r="O624" s="10" t="str">
        <f aca="false">IFERROR(VLOOKUP(A624,'Dados-Status-Invest'!$1:$1000,MATCH(O$1,'Dados-Status-Invest'!$2:$2,0),FALSE())/100,"")</f>
        <v/>
      </c>
      <c r="P624" s="10" t="str">
        <f aca="false">IFERROR(VLOOKUP(A624,'Dados-Status-Invest'!$1:$1000,MATCH(P$1,'Dados-Status-Invest'!$2:$2,0),FALSE())/100,"")</f>
        <v/>
      </c>
      <c r="Q624" s="10" t="str">
        <f aca="false">IFERROR(VLOOKUP(A624,'Dados-Status-Invest'!$1:$1000,MATCH(Q$1,'Dados-Status-Invest'!$2:$2,0),FALSE())/100,"")</f>
        <v/>
      </c>
      <c r="R624" s="12" t="str">
        <f aca="false">IFERROR(VLOOKUP(A624,'Dados-Status-Invest'!$1:$1000,MATCH(R$1,'Dados-Status-Invest'!$2:$2,0),FALSE()),"")</f>
        <v/>
      </c>
      <c r="S624" s="12" t="str">
        <f aca="false">IFERROR(VLOOKUP(A624,'Dados-Status-Invest'!$1:$1000,MATCH(S$1,'Dados-Status-Invest'!$2:$2,0),FALSE()),"")</f>
        <v/>
      </c>
      <c r="T624" s="12" t="str">
        <f aca="false">IFERROR(VLOOKUP(A624,'Dados-Status-Invest'!$1:$1000,MATCH(T$1,'Dados-Status-Invest'!$2:$2,0),FALSE()),"")</f>
        <v/>
      </c>
      <c r="U624" s="12" t="str">
        <f aca="false">IFERROR(VLOOKUP(A624,'Dados-Status-Invest'!$1:$1000,MATCH(U$1,'Dados-Status-Invest'!$2:$2,0),FALSE()),"")</f>
        <v/>
      </c>
      <c r="V624" s="12" t="str">
        <f aca="false">IFERROR(VLOOKUP(A624,'Dados-Status-Invest'!$1:$1000,MATCH(V$1,'Dados-Status-Invest'!$2:$2,0),FALSE()),"")</f>
        <v/>
      </c>
      <c r="W624" s="10" t="str">
        <f aca="false">IFERROR(VLOOKUP(A624,'Dados-Status-Invest'!$1:$1000,MATCH(W$1,'Dados-Status-Invest'!$2:$2,0),FALSE())/100,"")</f>
        <v/>
      </c>
      <c r="X624" s="10" t="str">
        <f aca="false">IFERROR(VLOOKUP(A624,'Dados-Status-Invest'!$1:$1000,MATCH(X$1,'Dados-Status-Invest'!$2:$2,0),FALSE())/100,"")</f>
        <v/>
      </c>
    </row>
    <row r="625" customFormat="false" ht="15.75" hidden="false" customHeight="false" outlineLevel="0" collapsed="false">
      <c r="B625" s="7" t="str">
        <f aca="false">IFERROR(VLOOKUP(LEFT(A625,4),Setor!A:D,2,FALSE()),"")</f>
        <v/>
      </c>
      <c r="C625" s="8" t="str">
        <f aca="false">IFERROR(__xludf.dummyfunction("IFERROR(IFERROR(GOOGLEFINANCE(A631,""price""),VLOOKUP(A631,'Dados-Status-Invest'!A:B,2,FALSE)),"""")"),"")</f>
        <v/>
      </c>
      <c r="D625" s="8" t="str">
        <f aca="false">IFERROR(VLOOKUP(A625,'Dados-Status-Invest'!$1:$1000,MATCH(D$1,'Dados-Status-Invest'!$2:$2,0),FALSE()),"")</f>
        <v/>
      </c>
      <c r="E625" s="8" t="e">
        <f aca="false">IF(D625+H625&gt;0,D625+H625,"")</f>
        <v>#VALUE!</v>
      </c>
      <c r="F625" s="8" t="str">
        <f aca="false">IFERROR(D625/VLOOKUP(A625,'Dados-Status-Invest'!$1:$1000,5,FALSE()),"")</f>
        <v/>
      </c>
      <c r="G625" s="8" t="str">
        <f aca="false">IFERROR(D625/VLOOKUP(A625,'Dados-Status-Invest'!$1:$1000,6,FALSE()),"")</f>
        <v/>
      </c>
      <c r="H625" s="8" t="str">
        <f aca="false">IFERROR(VLOOKUP(A625,'Dados-Status-Invest'!$1:$1000,12,FALSE())*J625,"")</f>
        <v/>
      </c>
      <c r="I625" s="8" t="str">
        <f aca="false">IFERROR(D625/VLOOKUP(A625,'Dados-Status-Invest'!$1:$1000,14,FALSE()),"")</f>
        <v/>
      </c>
      <c r="J625" s="9" t="str">
        <f aca="false">IFERROR(D625/VLOOKUP(A625,'Dados-Status-Invest'!$1:$1000,10,FALSE()),"")</f>
        <v/>
      </c>
      <c r="K625" s="10" t="str">
        <f aca="false">IFERROR(VLOOKUP(A625,'Dados-Status-Invest'!$1:$1000,3,FALSE())/100,"")</f>
        <v/>
      </c>
      <c r="L625" s="11" t="str">
        <f aca="false">IFERROR(VLOOKUP(A625,'Dados-Status-Invest'!$1:$1000,MATCH(L$1,'Dados-Status-Invest'!$2:$2,0),FALSE())/100,"")</f>
        <v/>
      </c>
      <c r="M625" s="10" t="str">
        <f aca="false">IFERROR(VLOOKUP(A625,'Dados-Status-Invest'!$1:$1000,MATCH(M$1,'Dados-Status-Invest'!$2:$2,0),FALSE())/100,"")</f>
        <v/>
      </c>
      <c r="N625" s="10" t="str">
        <f aca="false">IFERROR(VLOOKUP(A625,'Dados-Status-Invest'!$1:$1000,MATCH(N$1,'Dados-Status-Invest'!$2:$2,0),FALSE())/100,"")</f>
        <v/>
      </c>
      <c r="O625" s="10" t="str">
        <f aca="false">IFERROR(VLOOKUP(A625,'Dados-Status-Invest'!$1:$1000,MATCH(O$1,'Dados-Status-Invest'!$2:$2,0),FALSE())/100,"")</f>
        <v/>
      </c>
      <c r="P625" s="10" t="str">
        <f aca="false">IFERROR(VLOOKUP(A625,'Dados-Status-Invest'!$1:$1000,MATCH(P$1,'Dados-Status-Invest'!$2:$2,0),FALSE())/100,"")</f>
        <v/>
      </c>
      <c r="Q625" s="10" t="str">
        <f aca="false">IFERROR(VLOOKUP(A625,'Dados-Status-Invest'!$1:$1000,MATCH(Q$1,'Dados-Status-Invest'!$2:$2,0),FALSE())/100,"")</f>
        <v/>
      </c>
      <c r="R625" s="12" t="str">
        <f aca="false">IFERROR(VLOOKUP(A625,'Dados-Status-Invest'!$1:$1000,MATCH(R$1,'Dados-Status-Invest'!$2:$2,0),FALSE()),"")</f>
        <v/>
      </c>
      <c r="S625" s="12" t="str">
        <f aca="false">IFERROR(VLOOKUP(A625,'Dados-Status-Invest'!$1:$1000,MATCH(S$1,'Dados-Status-Invest'!$2:$2,0),FALSE()),"")</f>
        <v/>
      </c>
      <c r="T625" s="12" t="str">
        <f aca="false">IFERROR(VLOOKUP(A625,'Dados-Status-Invest'!$1:$1000,MATCH(T$1,'Dados-Status-Invest'!$2:$2,0),FALSE()),"")</f>
        <v/>
      </c>
      <c r="U625" s="12" t="str">
        <f aca="false">IFERROR(VLOOKUP(A625,'Dados-Status-Invest'!$1:$1000,MATCH(U$1,'Dados-Status-Invest'!$2:$2,0),FALSE()),"")</f>
        <v/>
      </c>
      <c r="V625" s="12" t="str">
        <f aca="false">IFERROR(VLOOKUP(A625,'Dados-Status-Invest'!$1:$1000,MATCH(V$1,'Dados-Status-Invest'!$2:$2,0),FALSE()),"")</f>
        <v/>
      </c>
      <c r="W625" s="10" t="str">
        <f aca="false">IFERROR(VLOOKUP(A625,'Dados-Status-Invest'!$1:$1000,MATCH(W$1,'Dados-Status-Invest'!$2:$2,0),FALSE())/100,"")</f>
        <v/>
      </c>
      <c r="X625" s="10" t="str">
        <f aca="false">IFERROR(VLOOKUP(A625,'Dados-Status-Invest'!$1:$1000,MATCH(X$1,'Dados-Status-Invest'!$2:$2,0),FALSE())/100,"")</f>
        <v/>
      </c>
    </row>
    <row r="626" customFormat="false" ht="15.75" hidden="false" customHeight="false" outlineLevel="0" collapsed="false">
      <c r="B626" s="7" t="str">
        <f aca="false">IFERROR(VLOOKUP(LEFT(A626,4),Setor!A:D,2,FALSE()),"")</f>
        <v/>
      </c>
      <c r="C626" s="8" t="str">
        <f aca="false">IFERROR(__xludf.dummyfunction("IFERROR(IFERROR(GOOGLEFINANCE(A632,""price""),VLOOKUP(A632,'Dados-Status-Invest'!A:B,2,FALSE)),"""")"),"")</f>
        <v/>
      </c>
      <c r="D626" s="8" t="str">
        <f aca="false">IFERROR(VLOOKUP(A626,'Dados-Status-Invest'!$1:$1000,MATCH(D$1,'Dados-Status-Invest'!$2:$2,0),FALSE()),"")</f>
        <v/>
      </c>
      <c r="E626" s="8" t="e">
        <f aca="false">IF(D626+H626&gt;0,D626+H626,"")</f>
        <v>#VALUE!</v>
      </c>
      <c r="F626" s="8" t="str">
        <f aca="false">IFERROR(D626/VLOOKUP(A626,'Dados-Status-Invest'!$1:$1000,5,FALSE()),"")</f>
        <v/>
      </c>
      <c r="G626" s="8" t="str">
        <f aca="false">IFERROR(D626/VLOOKUP(A626,'Dados-Status-Invest'!$1:$1000,6,FALSE()),"")</f>
        <v/>
      </c>
      <c r="H626" s="8" t="str">
        <f aca="false">IFERROR(VLOOKUP(A626,'Dados-Status-Invest'!$1:$1000,12,FALSE())*J626,"")</f>
        <v/>
      </c>
      <c r="I626" s="8" t="str">
        <f aca="false">IFERROR(D626/VLOOKUP(A626,'Dados-Status-Invest'!$1:$1000,14,FALSE()),"")</f>
        <v/>
      </c>
      <c r="J626" s="9" t="str">
        <f aca="false">IFERROR(D626/VLOOKUP(A626,'Dados-Status-Invest'!$1:$1000,10,FALSE()),"")</f>
        <v/>
      </c>
      <c r="K626" s="10" t="str">
        <f aca="false">IFERROR(VLOOKUP(A626,'Dados-Status-Invest'!$1:$1000,3,FALSE())/100,"")</f>
        <v/>
      </c>
      <c r="L626" s="11" t="str">
        <f aca="false">IFERROR(VLOOKUP(A626,'Dados-Status-Invest'!$1:$1000,MATCH(L$1,'Dados-Status-Invest'!$2:$2,0),FALSE())/100,"")</f>
        <v/>
      </c>
      <c r="M626" s="10" t="str">
        <f aca="false">IFERROR(VLOOKUP(A626,'Dados-Status-Invest'!$1:$1000,MATCH(M$1,'Dados-Status-Invest'!$2:$2,0),FALSE())/100,"")</f>
        <v/>
      </c>
      <c r="N626" s="10" t="str">
        <f aca="false">IFERROR(VLOOKUP(A626,'Dados-Status-Invest'!$1:$1000,MATCH(N$1,'Dados-Status-Invest'!$2:$2,0),FALSE())/100,"")</f>
        <v/>
      </c>
      <c r="O626" s="10" t="str">
        <f aca="false">IFERROR(VLOOKUP(A626,'Dados-Status-Invest'!$1:$1000,MATCH(O$1,'Dados-Status-Invest'!$2:$2,0),FALSE())/100,"")</f>
        <v/>
      </c>
      <c r="P626" s="10" t="str">
        <f aca="false">IFERROR(VLOOKUP(A626,'Dados-Status-Invest'!$1:$1000,MATCH(P$1,'Dados-Status-Invest'!$2:$2,0),FALSE())/100,"")</f>
        <v/>
      </c>
      <c r="Q626" s="10" t="str">
        <f aca="false">IFERROR(VLOOKUP(A626,'Dados-Status-Invest'!$1:$1000,MATCH(Q$1,'Dados-Status-Invest'!$2:$2,0),FALSE())/100,"")</f>
        <v/>
      </c>
      <c r="R626" s="12" t="str">
        <f aca="false">IFERROR(VLOOKUP(A626,'Dados-Status-Invest'!$1:$1000,MATCH(R$1,'Dados-Status-Invest'!$2:$2,0),FALSE()),"")</f>
        <v/>
      </c>
      <c r="S626" s="12" t="str">
        <f aca="false">IFERROR(VLOOKUP(A626,'Dados-Status-Invest'!$1:$1000,MATCH(S$1,'Dados-Status-Invest'!$2:$2,0),FALSE()),"")</f>
        <v/>
      </c>
      <c r="T626" s="12" t="str">
        <f aca="false">IFERROR(VLOOKUP(A626,'Dados-Status-Invest'!$1:$1000,MATCH(T$1,'Dados-Status-Invest'!$2:$2,0),FALSE()),"")</f>
        <v/>
      </c>
      <c r="U626" s="12" t="str">
        <f aca="false">IFERROR(VLOOKUP(A626,'Dados-Status-Invest'!$1:$1000,MATCH(U$1,'Dados-Status-Invest'!$2:$2,0),FALSE()),"")</f>
        <v/>
      </c>
      <c r="V626" s="12" t="str">
        <f aca="false">IFERROR(VLOOKUP(A626,'Dados-Status-Invest'!$1:$1000,MATCH(V$1,'Dados-Status-Invest'!$2:$2,0),FALSE()),"")</f>
        <v/>
      </c>
      <c r="W626" s="10" t="str">
        <f aca="false">IFERROR(VLOOKUP(A626,'Dados-Status-Invest'!$1:$1000,MATCH(W$1,'Dados-Status-Invest'!$2:$2,0),FALSE())/100,"")</f>
        <v/>
      </c>
      <c r="X626" s="10" t="str">
        <f aca="false">IFERROR(VLOOKUP(A626,'Dados-Status-Invest'!$1:$1000,MATCH(X$1,'Dados-Status-Invest'!$2:$2,0),FALSE())/100,"")</f>
        <v/>
      </c>
    </row>
    <row r="627" customFormat="false" ht="15.75" hidden="false" customHeight="false" outlineLevel="0" collapsed="false">
      <c r="B627" s="7" t="str">
        <f aca="false">IFERROR(VLOOKUP(LEFT(A627,4),Setor!A:D,2,FALSE()),"")</f>
        <v/>
      </c>
      <c r="C627" s="8" t="str">
        <f aca="false">IFERROR(__xludf.dummyfunction("IFERROR(IFERROR(GOOGLEFINANCE(A633,""price""),VLOOKUP(A633,'Dados-Status-Invest'!A:B,2,FALSE)),"""")"),"")</f>
        <v/>
      </c>
      <c r="D627" s="8" t="str">
        <f aca="false">IFERROR(VLOOKUP(A627,'Dados-Status-Invest'!$1:$1000,MATCH(D$1,'Dados-Status-Invest'!$2:$2,0),FALSE()),"")</f>
        <v/>
      </c>
      <c r="E627" s="8" t="e">
        <f aca="false">IF(D627+H627&gt;0,D627+H627,"")</f>
        <v>#VALUE!</v>
      </c>
      <c r="F627" s="8" t="str">
        <f aca="false">IFERROR(D627/VLOOKUP(A627,'Dados-Status-Invest'!$1:$1000,5,FALSE()),"")</f>
        <v/>
      </c>
      <c r="G627" s="8" t="str">
        <f aca="false">IFERROR(D627/VLOOKUP(A627,'Dados-Status-Invest'!$1:$1000,6,FALSE()),"")</f>
        <v/>
      </c>
      <c r="H627" s="8" t="str">
        <f aca="false">IFERROR(VLOOKUP(A627,'Dados-Status-Invest'!$1:$1000,12,FALSE())*J627,"")</f>
        <v/>
      </c>
      <c r="I627" s="8" t="str">
        <f aca="false">IFERROR(D627/VLOOKUP(A627,'Dados-Status-Invest'!$1:$1000,14,FALSE()),"")</f>
        <v/>
      </c>
      <c r="J627" s="9" t="str">
        <f aca="false">IFERROR(D627/VLOOKUP(A627,'Dados-Status-Invest'!$1:$1000,10,FALSE()),"")</f>
        <v/>
      </c>
      <c r="K627" s="10" t="str">
        <f aca="false">IFERROR(VLOOKUP(A627,'Dados-Status-Invest'!$1:$1000,3,FALSE())/100,"")</f>
        <v/>
      </c>
      <c r="L627" s="11" t="str">
        <f aca="false">IFERROR(VLOOKUP(A627,'Dados-Status-Invest'!$1:$1000,MATCH(L$1,'Dados-Status-Invest'!$2:$2,0),FALSE())/100,"")</f>
        <v/>
      </c>
      <c r="M627" s="10" t="str">
        <f aca="false">IFERROR(VLOOKUP(A627,'Dados-Status-Invest'!$1:$1000,MATCH(M$1,'Dados-Status-Invest'!$2:$2,0),FALSE())/100,"")</f>
        <v/>
      </c>
      <c r="N627" s="10" t="str">
        <f aca="false">IFERROR(VLOOKUP(A627,'Dados-Status-Invest'!$1:$1000,MATCH(N$1,'Dados-Status-Invest'!$2:$2,0),FALSE())/100,"")</f>
        <v/>
      </c>
      <c r="O627" s="10" t="str">
        <f aca="false">IFERROR(VLOOKUP(A627,'Dados-Status-Invest'!$1:$1000,MATCH(O$1,'Dados-Status-Invest'!$2:$2,0),FALSE())/100,"")</f>
        <v/>
      </c>
      <c r="P627" s="10" t="str">
        <f aca="false">IFERROR(VLOOKUP(A627,'Dados-Status-Invest'!$1:$1000,MATCH(P$1,'Dados-Status-Invest'!$2:$2,0),FALSE())/100,"")</f>
        <v/>
      </c>
      <c r="Q627" s="10" t="str">
        <f aca="false">IFERROR(VLOOKUP(A627,'Dados-Status-Invest'!$1:$1000,MATCH(Q$1,'Dados-Status-Invest'!$2:$2,0),FALSE())/100,"")</f>
        <v/>
      </c>
      <c r="R627" s="12" t="str">
        <f aca="false">IFERROR(VLOOKUP(A627,'Dados-Status-Invest'!$1:$1000,MATCH(R$1,'Dados-Status-Invest'!$2:$2,0),FALSE()),"")</f>
        <v/>
      </c>
      <c r="S627" s="12" t="str">
        <f aca="false">IFERROR(VLOOKUP(A627,'Dados-Status-Invest'!$1:$1000,MATCH(S$1,'Dados-Status-Invest'!$2:$2,0),FALSE()),"")</f>
        <v/>
      </c>
      <c r="T627" s="12" t="str">
        <f aca="false">IFERROR(VLOOKUP(A627,'Dados-Status-Invest'!$1:$1000,MATCH(T$1,'Dados-Status-Invest'!$2:$2,0),FALSE()),"")</f>
        <v/>
      </c>
      <c r="U627" s="12" t="str">
        <f aca="false">IFERROR(VLOOKUP(A627,'Dados-Status-Invest'!$1:$1000,MATCH(U$1,'Dados-Status-Invest'!$2:$2,0),FALSE()),"")</f>
        <v/>
      </c>
      <c r="V627" s="12" t="str">
        <f aca="false">IFERROR(VLOOKUP(A627,'Dados-Status-Invest'!$1:$1000,MATCH(V$1,'Dados-Status-Invest'!$2:$2,0),FALSE()),"")</f>
        <v/>
      </c>
      <c r="W627" s="10" t="str">
        <f aca="false">IFERROR(VLOOKUP(A627,'Dados-Status-Invest'!$1:$1000,MATCH(W$1,'Dados-Status-Invest'!$2:$2,0),FALSE())/100,"")</f>
        <v/>
      </c>
      <c r="X627" s="10" t="str">
        <f aca="false">IFERROR(VLOOKUP(A627,'Dados-Status-Invest'!$1:$1000,MATCH(X$1,'Dados-Status-Invest'!$2:$2,0),FALSE())/100,"")</f>
        <v/>
      </c>
    </row>
    <row r="628" customFormat="false" ht="15.75" hidden="false" customHeight="false" outlineLevel="0" collapsed="false">
      <c r="B628" s="7" t="str">
        <f aca="false">IFERROR(VLOOKUP(LEFT(A628,4),Setor!A:D,2,FALSE()),"")</f>
        <v/>
      </c>
      <c r="C628" s="8" t="str">
        <f aca="false">IFERROR(__xludf.dummyfunction("IFERROR(IFERROR(GOOGLEFINANCE(A634,""price""),VLOOKUP(A634,'Dados-Status-Invest'!A:B,2,FALSE)),"""")"),"")</f>
        <v/>
      </c>
      <c r="D628" s="8" t="str">
        <f aca="false">IFERROR(VLOOKUP(A628,'Dados-Status-Invest'!$1:$1000,MATCH(D$1,'Dados-Status-Invest'!$2:$2,0),FALSE()),"")</f>
        <v/>
      </c>
      <c r="E628" s="8" t="e">
        <f aca="false">IF(D628+H628&gt;0,D628+H628,"")</f>
        <v>#VALUE!</v>
      </c>
      <c r="F628" s="8" t="str">
        <f aca="false">IFERROR(D628/VLOOKUP(A628,'Dados-Status-Invest'!$1:$1000,5,FALSE()),"")</f>
        <v/>
      </c>
      <c r="G628" s="8" t="str">
        <f aca="false">IFERROR(D628/VLOOKUP(A628,'Dados-Status-Invest'!$1:$1000,6,FALSE()),"")</f>
        <v/>
      </c>
      <c r="H628" s="8" t="str">
        <f aca="false">IFERROR(VLOOKUP(A628,'Dados-Status-Invest'!$1:$1000,12,FALSE())*J628,"")</f>
        <v/>
      </c>
      <c r="I628" s="8" t="str">
        <f aca="false">IFERROR(D628/VLOOKUP(A628,'Dados-Status-Invest'!$1:$1000,14,FALSE()),"")</f>
        <v/>
      </c>
      <c r="J628" s="9" t="str">
        <f aca="false">IFERROR(D628/VLOOKUP(A628,'Dados-Status-Invest'!$1:$1000,10,FALSE()),"")</f>
        <v/>
      </c>
      <c r="K628" s="10" t="str">
        <f aca="false">IFERROR(VLOOKUP(A628,'Dados-Status-Invest'!$1:$1000,3,FALSE())/100,"")</f>
        <v/>
      </c>
      <c r="L628" s="11" t="str">
        <f aca="false">IFERROR(VLOOKUP(A628,'Dados-Status-Invest'!$1:$1000,MATCH(L$1,'Dados-Status-Invest'!$2:$2,0),FALSE())/100,"")</f>
        <v/>
      </c>
      <c r="M628" s="10" t="str">
        <f aca="false">IFERROR(VLOOKUP(A628,'Dados-Status-Invest'!$1:$1000,MATCH(M$1,'Dados-Status-Invest'!$2:$2,0),FALSE())/100,"")</f>
        <v/>
      </c>
      <c r="N628" s="10" t="str">
        <f aca="false">IFERROR(VLOOKUP(A628,'Dados-Status-Invest'!$1:$1000,MATCH(N$1,'Dados-Status-Invest'!$2:$2,0),FALSE())/100,"")</f>
        <v/>
      </c>
      <c r="O628" s="10" t="str">
        <f aca="false">IFERROR(VLOOKUP(A628,'Dados-Status-Invest'!$1:$1000,MATCH(O$1,'Dados-Status-Invest'!$2:$2,0),FALSE())/100,"")</f>
        <v/>
      </c>
      <c r="P628" s="10" t="str">
        <f aca="false">IFERROR(VLOOKUP(A628,'Dados-Status-Invest'!$1:$1000,MATCH(P$1,'Dados-Status-Invest'!$2:$2,0),FALSE())/100,"")</f>
        <v/>
      </c>
      <c r="Q628" s="10" t="str">
        <f aca="false">IFERROR(VLOOKUP(A628,'Dados-Status-Invest'!$1:$1000,MATCH(Q$1,'Dados-Status-Invest'!$2:$2,0),FALSE())/100,"")</f>
        <v/>
      </c>
      <c r="R628" s="12" t="str">
        <f aca="false">IFERROR(VLOOKUP(A628,'Dados-Status-Invest'!$1:$1000,MATCH(R$1,'Dados-Status-Invest'!$2:$2,0),FALSE()),"")</f>
        <v/>
      </c>
      <c r="S628" s="12" t="str">
        <f aca="false">IFERROR(VLOOKUP(A628,'Dados-Status-Invest'!$1:$1000,MATCH(S$1,'Dados-Status-Invest'!$2:$2,0),FALSE()),"")</f>
        <v/>
      </c>
      <c r="T628" s="12" t="str">
        <f aca="false">IFERROR(VLOOKUP(A628,'Dados-Status-Invest'!$1:$1000,MATCH(T$1,'Dados-Status-Invest'!$2:$2,0),FALSE()),"")</f>
        <v/>
      </c>
      <c r="U628" s="12" t="str">
        <f aca="false">IFERROR(VLOOKUP(A628,'Dados-Status-Invest'!$1:$1000,MATCH(U$1,'Dados-Status-Invest'!$2:$2,0),FALSE()),"")</f>
        <v/>
      </c>
      <c r="V628" s="12" t="str">
        <f aca="false">IFERROR(VLOOKUP(A628,'Dados-Status-Invest'!$1:$1000,MATCH(V$1,'Dados-Status-Invest'!$2:$2,0),FALSE()),"")</f>
        <v/>
      </c>
      <c r="W628" s="10" t="str">
        <f aca="false">IFERROR(VLOOKUP(A628,'Dados-Status-Invest'!$1:$1000,MATCH(W$1,'Dados-Status-Invest'!$2:$2,0),FALSE())/100,"")</f>
        <v/>
      </c>
      <c r="X628" s="10" t="str">
        <f aca="false">IFERROR(VLOOKUP(A628,'Dados-Status-Invest'!$1:$1000,MATCH(X$1,'Dados-Status-Invest'!$2:$2,0),FALSE())/100,"")</f>
        <v/>
      </c>
    </row>
    <row r="629" customFormat="false" ht="15.75" hidden="false" customHeight="false" outlineLevel="0" collapsed="false">
      <c r="B629" s="7" t="str">
        <f aca="false">IFERROR(VLOOKUP(LEFT(A629,4),Setor!A:D,2,FALSE()),"")</f>
        <v/>
      </c>
      <c r="C629" s="8" t="str">
        <f aca="false">IFERROR(__xludf.dummyfunction("IFERROR(IFERROR(GOOGLEFINANCE(A635,""price""),VLOOKUP(A635,'Dados-Status-Invest'!A:B,2,FALSE)),"""")"),"")</f>
        <v/>
      </c>
      <c r="D629" s="8" t="str">
        <f aca="false">IFERROR(VLOOKUP(A629,'Dados-Status-Invest'!$1:$1000,MATCH(D$1,'Dados-Status-Invest'!$2:$2,0),FALSE()),"")</f>
        <v/>
      </c>
      <c r="E629" s="8" t="e">
        <f aca="false">IF(D629+H629&gt;0,D629+H629,"")</f>
        <v>#VALUE!</v>
      </c>
      <c r="F629" s="8" t="str">
        <f aca="false">IFERROR(D629/VLOOKUP(A629,'Dados-Status-Invest'!$1:$1000,5,FALSE()),"")</f>
        <v/>
      </c>
      <c r="G629" s="8" t="str">
        <f aca="false">IFERROR(D629/VLOOKUP(A629,'Dados-Status-Invest'!$1:$1000,6,FALSE()),"")</f>
        <v/>
      </c>
      <c r="H629" s="8" t="str">
        <f aca="false">IFERROR(VLOOKUP(A629,'Dados-Status-Invest'!$1:$1000,12,FALSE())*J629,"")</f>
        <v/>
      </c>
      <c r="I629" s="8" t="str">
        <f aca="false">IFERROR(D629/VLOOKUP(A629,'Dados-Status-Invest'!$1:$1000,14,FALSE()),"")</f>
        <v/>
      </c>
      <c r="J629" s="9" t="str">
        <f aca="false">IFERROR(D629/VLOOKUP(A629,'Dados-Status-Invest'!$1:$1000,10,FALSE()),"")</f>
        <v/>
      </c>
      <c r="K629" s="10" t="str">
        <f aca="false">IFERROR(VLOOKUP(A629,'Dados-Status-Invest'!$1:$1000,3,FALSE())/100,"")</f>
        <v/>
      </c>
      <c r="L629" s="11" t="str">
        <f aca="false">IFERROR(VLOOKUP(A629,'Dados-Status-Invest'!$1:$1000,MATCH(L$1,'Dados-Status-Invest'!$2:$2,0),FALSE())/100,"")</f>
        <v/>
      </c>
      <c r="M629" s="10" t="str">
        <f aca="false">IFERROR(VLOOKUP(A629,'Dados-Status-Invest'!$1:$1000,MATCH(M$1,'Dados-Status-Invest'!$2:$2,0),FALSE())/100,"")</f>
        <v/>
      </c>
      <c r="N629" s="10" t="str">
        <f aca="false">IFERROR(VLOOKUP(A629,'Dados-Status-Invest'!$1:$1000,MATCH(N$1,'Dados-Status-Invest'!$2:$2,0),FALSE())/100,"")</f>
        <v/>
      </c>
      <c r="O629" s="10" t="str">
        <f aca="false">IFERROR(VLOOKUP(A629,'Dados-Status-Invest'!$1:$1000,MATCH(O$1,'Dados-Status-Invest'!$2:$2,0),FALSE())/100,"")</f>
        <v/>
      </c>
      <c r="P629" s="10" t="str">
        <f aca="false">IFERROR(VLOOKUP(A629,'Dados-Status-Invest'!$1:$1000,MATCH(P$1,'Dados-Status-Invest'!$2:$2,0),FALSE())/100,"")</f>
        <v/>
      </c>
      <c r="Q629" s="10" t="str">
        <f aca="false">IFERROR(VLOOKUP(A629,'Dados-Status-Invest'!$1:$1000,MATCH(Q$1,'Dados-Status-Invest'!$2:$2,0),FALSE())/100,"")</f>
        <v/>
      </c>
      <c r="R629" s="12" t="str">
        <f aca="false">IFERROR(VLOOKUP(A629,'Dados-Status-Invest'!$1:$1000,MATCH(R$1,'Dados-Status-Invest'!$2:$2,0),FALSE()),"")</f>
        <v/>
      </c>
      <c r="S629" s="12" t="str">
        <f aca="false">IFERROR(VLOOKUP(A629,'Dados-Status-Invest'!$1:$1000,MATCH(S$1,'Dados-Status-Invest'!$2:$2,0),FALSE()),"")</f>
        <v/>
      </c>
      <c r="T629" s="12" t="str">
        <f aca="false">IFERROR(VLOOKUP(A629,'Dados-Status-Invest'!$1:$1000,MATCH(T$1,'Dados-Status-Invest'!$2:$2,0),FALSE()),"")</f>
        <v/>
      </c>
      <c r="U629" s="12" t="str">
        <f aca="false">IFERROR(VLOOKUP(A629,'Dados-Status-Invest'!$1:$1000,MATCH(U$1,'Dados-Status-Invest'!$2:$2,0),FALSE()),"")</f>
        <v/>
      </c>
      <c r="V629" s="12" t="str">
        <f aca="false">IFERROR(VLOOKUP(A629,'Dados-Status-Invest'!$1:$1000,MATCH(V$1,'Dados-Status-Invest'!$2:$2,0),FALSE()),"")</f>
        <v/>
      </c>
      <c r="W629" s="10" t="str">
        <f aca="false">IFERROR(VLOOKUP(A629,'Dados-Status-Invest'!$1:$1000,MATCH(W$1,'Dados-Status-Invest'!$2:$2,0),FALSE())/100,"")</f>
        <v/>
      </c>
      <c r="X629" s="10" t="str">
        <f aca="false">IFERROR(VLOOKUP(A629,'Dados-Status-Invest'!$1:$1000,MATCH(X$1,'Dados-Status-Invest'!$2:$2,0),FALSE())/100,"")</f>
        <v/>
      </c>
    </row>
    <row r="630" customFormat="false" ht="15.75" hidden="false" customHeight="false" outlineLevel="0" collapsed="false">
      <c r="B630" s="7" t="str">
        <f aca="false">IFERROR(VLOOKUP(LEFT(A630,4),Setor!A:D,2,FALSE()),"")</f>
        <v/>
      </c>
      <c r="C630" s="8" t="str">
        <f aca="false">IFERROR(__xludf.dummyfunction("IFERROR(IFERROR(GOOGLEFINANCE(A636,""price""),VLOOKUP(A636,'Dados-Status-Invest'!A:B,2,FALSE)),"""")"),"")</f>
        <v/>
      </c>
      <c r="D630" s="8" t="str">
        <f aca="false">IFERROR(VLOOKUP(A630,'Dados-Status-Invest'!$1:$1000,MATCH(D$1,'Dados-Status-Invest'!$2:$2,0),FALSE()),"")</f>
        <v/>
      </c>
      <c r="E630" s="8" t="e">
        <f aca="false">IF(D630+H630&gt;0,D630+H630,"")</f>
        <v>#VALUE!</v>
      </c>
      <c r="F630" s="8" t="str">
        <f aca="false">IFERROR(D630/VLOOKUP(A630,'Dados-Status-Invest'!$1:$1000,5,FALSE()),"")</f>
        <v/>
      </c>
      <c r="G630" s="8" t="str">
        <f aca="false">IFERROR(D630/VLOOKUP(A630,'Dados-Status-Invest'!$1:$1000,6,FALSE()),"")</f>
        <v/>
      </c>
      <c r="H630" s="8" t="str">
        <f aca="false">IFERROR(VLOOKUP(A630,'Dados-Status-Invest'!$1:$1000,12,FALSE())*J630,"")</f>
        <v/>
      </c>
      <c r="I630" s="8" t="str">
        <f aca="false">IFERROR(D630/VLOOKUP(A630,'Dados-Status-Invest'!$1:$1000,14,FALSE()),"")</f>
        <v/>
      </c>
      <c r="J630" s="9" t="str">
        <f aca="false">IFERROR(D630/VLOOKUP(A630,'Dados-Status-Invest'!$1:$1000,10,FALSE()),"")</f>
        <v/>
      </c>
      <c r="K630" s="10" t="str">
        <f aca="false">IFERROR(VLOOKUP(A630,'Dados-Status-Invest'!$1:$1000,3,FALSE())/100,"")</f>
        <v/>
      </c>
      <c r="L630" s="11" t="str">
        <f aca="false">IFERROR(VLOOKUP(A630,'Dados-Status-Invest'!$1:$1000,MATCH(L$1,'Dados-Status-Invest'!$2:$2,0),FALSE())/100,"")</f>
        <v/>
      </c>
      <c r="M630" s="10" t="str">
        <f aca="false">IFERROR(VLOOKUP(A630,'Dados-Status-Invest'!$1:$1000,MATCH(M$1,'Dados-Status-Invest'!$2:$2,0),FALSE())/100,"")</f>
        <v/>
      </c>
      <c r="N630" s="10" t="str">
        <f aca="false">IFERROR(VLOOKUP(A630,'Dados-Status-Invest'!$1:$1000,MATCH(N$1,'Dados-Status-Invest'!$2:$2,0),FALSE())/100,"")</f>
        <v/>
      </c>
      <c r="O630" s="10" t="str">
        <f aca="false">IFERROR(VLOOKUP(A630,'Dados-Status-Invest'!$1:$1000,MATCH(O$1,'Dados-Status-Invest'!$2:$2,0),FALSE())/100,"")</f>
        <v/>
      </c>
      <c r="P630" s="10" t="str">
        <f aca="false">IFERROR(VLOOKUP(A630,'Dados-Status-Invest'!$1:$1000,MATCH(P$1,'Dados-Status-Invest'!$2:$2,0),FALSE())/100,"")</f>
        <v/>
      </c>
      <c r="Q630" s="10" t="str">
        <f aca="false">IFERROR(VLOOKUP(A630,'Dados-Status-Invest'!$1:$1000,MATCH(Q$1,'Dados-Status-Invest'!$2:$2,0),FALSE())/100,"")</f>
        <v/>
      </c>
      <c r="R630" s="12" t="str">
        <f aca="false">IFERROR(VLOOKUP(A630,'Dados-Status-Invest'!$1:$1000,MATCH(R$1,'Dados-Status-Invest'!$2:$2,0),FALSE()),"")</f>
        <v/>
      </c>
      <c r="S630" s="12" t="str">
        <f aca="false">IFERROR(VLOOKUP(A630,'Dados-Status-Invest'!$1:$1000,MATCH(S$1,'Dados-Status-Invest'!$2:$2,0),FALSE()),"")</f>
        <v/>
      </c>
      <c r="T630" s="12" t="str">
        <f aca="false">IFERROR(VLOOKUP(A630,'Dados-Status-Invest'!$1:$1000,MATCH(T$1,'Dados-Status-Invest'!$2:$2,0),FALSE()),"")</f>
        <v/>
      </c>
      <c r="U630" s="12" t="str">
        <f aca="false">IFERROR(VLOOKUP(A630,'Dados-Status-Invest'!$1:$1000,MATCH(U$1,'Dados-Status-Invest'!$2:$2,0),FALSE()),"")</f>
        <v/>
      </c>
      <c r="V630" s="12" t="str">
        <f aca="false">IFERROR(VLOOKUP(A630,'Dados-Status-Invest'!$1:$1000,MATCH(V$1,'Dados-Status-Invest'!$2:$2,0),FALSE()),"")</f>
        <v/>
      </c>
      <c r="W630" s="10" t="str">
        <f aca="false">IFERROR(VLOOKUP(A630,'Dados-Status-Invest'!$1:$1000,MATCH(W$1,'Dados-Status-Invest'!$2:$2,0),FALSE())/100,"")</f>
        <v/>
      </c>
      <c r="X630" s="10" t="str">
        <f aca="false">IFERROR(VLOOKUP(A630,'Dados-Status-Invest'!$1:$1000,MATCH(X$1,'Dados-Status-Invest'!$2:$2,0),FALSE())/100,"")</f>
        <v/>
      </c>
    </row>
    <row r="631" customFormat="false" ht="15.75" hidden="false" customHeight="false" outlineLevel="0" collapsed="false">
      <c r="B631" s="7" t="str">
        <f aca="false">IFERROR(VLOOKUP(LEFT(A631,4),Setor!A:D,2,FALSE()),"")</f>
        <v/>
      </c>
      <c r="C631" s="8" t="str">
        <f aca="false">IFERROR(__xludf.dummyfunction("IFERROR(IFERROR(GOOGLEFINANCE(A637,""price""),VLOOKUP(A637,'Dados-Status-Invest'!A:B,2,FALSE)),"""")"),"")</f>
        <v/>
      </c>
      <c r="D631" s="8" t="str">
        <f aca="false">IFERROR(VLOOKUP(A631,'Dados-Status-Invest'!$1:$1000,MATCH(D$1,'Dados-Status-Invest'!$2:$2,0),FALSE()),"")</f>
        <v/>
      </c>
      <c r="E631" s="8" t="e">
        <f aca="false">IF(D631+H631&gt;0,D631+H631,"")</f>
        <v>#VALUE!</v>
      </c>
      <c r="F631" s="8" t="str">
        <f aca="false">IFERROR(D631/VLOOKUP(A631,'Dados-Status-Invest'!$1:$1000,5,FALSE()),"")</f>
        <v/>
      </c>
      <c r="G631" s="8" t="str">
        <f aca="false">IFERROR(D631/VLOOKUP(A631,'Dados-Status-Invest'!$1:$1000,6,FALSE()),"")</f>
        <v/>
      </c>
      <c r="H631" s="8" t="str">
        <f aca="false">IFERROR(VLOOKUP(A631,'Dados-Status-Invest'!$1:$1000,12,FALSE())*J631,"")</f>
        <v/>
      </c>
      <c r="I631" s="8" t="str">
        <f aca="false">IFERROR(D631/VLOOKUP(A631,'Dados-Status-Invest'!$1:$1000,14,FALSE()),"")</f>
        <v/>
      </c>
      <c r="J631" s="9" t="str">
        <f aca="false">IFERROR(D631/VLOOKUP(A631,'Dados-Status-Invest'!$1:$1000,10,FALSE()),"")</f>
        <v/>
      </c>
      <c r="K631" s="10" t="str">
        <f aca="false">IFERROR(VLOOKUP(A631,'Dados-Status-Invest'!$1:$1000,3,FALSE())/100,"")</f>
        <v/>
      </c>
      <c r="L631" s="11" t="str">
        <f aca="false">IFERROR(VLOOKUP(A631,'Dados-Status-Invest'!$1:$1000,MATCH(L$1,'Dados-Status-Invest'!$2:$2,0),FALSE())/100,"")</f>
        <v/>
      </c>
      <c r="M631" s="10" t="str">
        <f aca="false">IFERROR(VLOOKUP(A631,'Dados-Status-Invest'!$1:$1000,MATCH(M$1,'Dados-Status-Invest'!$2:$2,0),FALSE())/100,"")</f>
        <v/>
      </c>
      <c r="N631" s="10" t="str">
        <f aca="false">IFERROR(VLOOKUP(A631,'Dados-Status-Invest'!$1:$1000,MATCH(N$1,'Dados-Status-Invest'!$2:$2,0),FALSE())/100,"")</f>
        <v/>
      </c>
      <c r="O631" s="10" t="str">
        <f aca="false">IFERROR(VLOOKUP(A631,'Dados-Status-Invest'!$1:$1000,MATCH(O$1,'Dados-Status-Invest'!$2:$2,0),FALSE())/100,"")</f>
        <v/>
      </c>
      <c r="P631" s="10" t="str">
        <f aca="false">IFERROR(VLOOKUP(A631,'Dados-Status-Invest'!$1:$1000,MATCH(P$1,'Dados-Status-Invest'!$2:$2,0),FALSE())/100,"")</f>
        <v/>
      </c>
      <c r="Q631" s="10" t="str">
        <f aca="false">IFERROR(VLOOKUP(A631,'Dados-Status-Invest'!$1:$1000,MATCH(Q$1,'Dados-Status-Invest'!$2:$2,0),FALSE())/100,"")</f>
        <v/>
      </c>
      <c r="R631" s="12" t="str">
        <f aca="false">IFERROR(VLOOKUP(A631,'Dados-Status-Invest'!$1:$1000,MATCH(R$1,'Dados-Status-Invest'!$2:$2,0),FALSE()),"")</f>
        <v/>
      </c>
      <c r="S631" s="12" t="str">
        <f aca="false">IFERROR(VLOOKUP(A631,'Dados-Status-Invest'!$1:$1000,MATCH(S$1,'Dados-Status-Invest'!$2:$2,0),FALSE()),"")</f>
        <v/>
      </c>
      <c r="T631" s="12" t="str">
        <f aca="false">IFERROR(VLOOKUP(A631,'Dados-Status-Invest'!$1:$1000,MATCH(T$1,'Dados-Status-Invest'!$2:$2,0),FALSE()),"")</f>
        <v/>
      </c>
      <c r="U631" s="12" t="str">
        <f aca="false">IFERROR(VLOOKUP(A631,'Dados-Status-Invest'!$1:$1000,MATCH(U$1,'Dados-Status-Invest'!$2:$2,0),FALSE()),"")</f>
        <v/>
      </c>
      <c r="V631" s="12" t="str">
        <f aca="false">IFERROR(VLOOKUP(A631,'Dados-Status-Invest'!$1:$1000,MATCH(V$1,'Dados-Status-Invest'!$2:$2,0),FALSE()),"")</f>
        <v/>
      </c>
      <c r="W631" s="10" t="str">
        <f aca="false">IFERROR(VLOOKUP(A631,'Dados-Status-Invest'!$1:$1000,MATCH(W$1,'Dados-Status-Invest'!$2:$2,0),FALSE())/100,"")</f>
        <v/>
      </c>
      <c r="X631" s="10" t="str">
        <f aca="false">IFERROR(VLOOKUP(A631,'Dados-Status-Invest'!$1:$1000,MATCH(X$1,'Dados-Status-Invest'!$2:$2,0),FALSE())/100,"")</f>
        <v/>
      </c>
    </row>
    <row r="632" customFormat="false" ht="15.75" hidden="false" customHeight="false" outlineLevel="0" collapsed="false">
      <c r="B632" s="7" t="str">
        <f aca="false">IFERROR(VLOOKUP(LEFT(A632,4),Setor!A:D,2,FALSE()),"")</f>
        <v/>
      </c>
      <c r="C632" s="8" t="str">
        <f aca="false">IFERROR(__xludf.dummyfunction("IFERROR(IFERROR(GOOGLEFINANCE(A638,""price""),VLOOKUP(A638,'Dados-Status-Invest'!A:B,2,FALSE)),"""")"),"")</f>
        <v/>
      </c>
      <c r="D632" s="8" t="str">
        <f aca="false">IFERROR(VLOOKUP(A632,'Dados-Status-Invest'!$1:$1000,MATCH(D$1,'Dados-Status-Invest'!$2:$2,0),FALSE()),"")</f>
        <v/>
      </c>
      <c r="E632" s="8" t="e">
        <f aca="false">IF(D632+H632&gt;0,D632+H632,"")</f>
        <v>#VALUE!</v>
      </c>
      <c r="F632" s="8" t="str">
        <f aca="false">IFERROR(D632/VLOOKUP(A632,'Dados-Status-Invest'!$1:$1000,5,FALSE()),"")</f>
        <v/>
      </c>
      <c r="G632" s="8" t="str">
        <f aca="false">IFERROR(D632/VLOOKUP(A632,'Dados-Status-Invest'!$1:$1000,6,FALSE()),"")</f>
        <v/>
      </c>
      <c r="H632" s="8" t="str">
        <f aca="false">IFERROR(VLOOKUP(A632,'Dados-Status-Invest'!$1:$1000,12,FALSE())*J632,"")</f>
        <v/>
      </c>
      <c r="I632" s="8" t="str">
        <f aca="false">IFERROR(D632/VLOOKUP(A632,'Dados-Status-Invest'!$1:$1000,14,FALSE()),"")</f>
        <v/>
      </c>
      <c r="J632" s="9" t="str">
        <f aca="false">IFERROR(D632/VLOOKUP(A632,'Dados-Status-Invest'!$1:$1000,10,FALSE()),"")</f>
        <v/>
      </c>
      <c r="K632" s="10" t="str">
        <f aca="false">IFERROR(VLOOKUP(A632,'Dados-Status-Invest'!$1:$1000,3,FALSE())/100,"")</f>
        <v/>
      </c>
      <c r="L632" s="11" t="str">
        <f aca="false">IFERROR(VLOOKUP(A632,'Dados-Status-Invest'!$1:$1000,MATCH(L$1,'Dados-Status-Invest'!$2:$2,0),FALSE())/100,"")</f>
        <v/>
      </c>
      <c r="M632" s="10" t="str">
        <f aca="false">IFERROR(VLOOKUP(A632,'Dados-Status-Invest'!$1:$1000,MATCH(M$1,'Dados-Status-Invest'!$2:$2,0),FALSE())/100,"")</f>
        <v/>
      </c>
      <c r="N632" s="10" t="str">
        <f aca="false">IFERROR(VLOOKUP(A632,'Dados-Status-Invest'!$1:$1000,MATCH(N$1,'Dados-Status-Invest'!$2:$2,0),FALSE())/100,"")</f>
        <v/>
      </c>
      <c r="O632" s="10" t="str">
        <f aca="false">IFERROR(VLOOKUP(A632,'Dados-Status-Invest'!$1:$1000,MATCH(O$1,'Dados-Status-Invest'!$2:$2,0),FALSE())/100,"")</f>
        <v/>
      </c>
      <c r="P632" s="10" t="str">
        <f aca="false">IFERROR(VLOOKUP(A632,'Dados-Status-Invest'!$1:$1000,MATCH(P$1,'Dados-Status-Invest'!$2:$2,0),FALSE())/100,"")</f>
        <v/>
      </c>
      <c r="Q632" s="10" t="str">
        <f aca="false">IFERROR(VLOOKUP(A632,'Dados-Status-Invest'!$1:$1000,MATCH(Q$1,'Dados-Status-Invest'!$2:$2,0),FALSE())/100,"")</f>
        <v/>
      </c>
      <c r="R632" s="12" t="str">
        <f aca="false">IFERROR(VLOOKUP(A632,'Dados-Status-Invest'!$1:$1000,MATCH(R$1,'Dados-Status-Invest'!$2:$2,0),FALSE()),"")</f>
        <v/>
      </c>
      <c r="S632" s="12" t="str">
        <f aca="false">IFERROR(VLOOKUP(A632,'Dados-Status-Invest'!$1:$1000,MATCH(S$1,'Dados-Status-Invest'!$2:$2,0),FALSE()),"")</f>
        <v/>
      </c>
      <c r="T632" s="12" t="str">
        <f aca="false">IFERROR(VLOOKUP(A632,'Dados-Status-Invest'!$1:$1000,MATCH(T$1,'Dados-Status-Invest'!$2:$2,0),FALSE()),"")</f>
        <v/>
      </c>
      <c r="U632" s="12" t="str">
        <f aca="false">IFERROR(VLOOKUP(A632,'Dados-Status-Invest'!$1:$1000,MATCH(U$1,'Dados-Status-Invest'!$2:$2,0),FALSE()),"")</f>
        <v/>
      </c>
      <c r="V632" s="12" t="str">
        <f aca="false">IFERROR(VLOOKUP(A632,'Dados-Status-Invest'!$1:$1000,MATCH(V$1,'Dados-Status-Invest'!$2:$2,0),FALSE()),"")</f>
        <v/>
      </c>
      <c r="W632" s="10" t="str">
        <f aca="false">IFERROR(VLOOKUP(A632,'Dados-Status-Invest'!$1:$1000,MATCH(W$1,'Dados-Status-Invest'!$2:$2,0),FALSE())/100,"")</f>
        <v/>
      </c>
      <c r="X632" s="10" t="str">
        <f aca="false">IFERROR(VLOOKUP(A632,'Dados-Status-Invest'!$1:$1000,MATCH(X$1,'Dados-Status-Invest'!$2:$2,0),FALSE())/100,"")</f>
        <v/>
      </c>
    </row>
    <row r="633" customFormat="false" ht="15.75" hidden="false" customHeight="false" outlineLevel="0" collapsed="false">
      <c r="B633" s="7" t="str">
        <f aca="false">IFERROR(VLOOKUP(LEFT(A633,4),Setor!A:D,2,FALSE()),"")</f>
        <v/>
      </c>
      <c r="C633" s="8" t="str">
        <f aca="false">IFERROR(__xludf.dummyfunction("IFERROR(IFERROR(GOOGLEFINANCE(A639,""price""),VLOOKUP(A639,'Dados-Status-Invest'!A:B,2,FALSE)),"""")"),"")</f>
        <v/>
      </c>
      <c r="D633" s="8" t="str">
        <f aca="false">IFERROR(VLOOKUP(A633,'Dados-Status-Invest'!$1:$1000,MATCH(D$1,'Dados-Status-Invest'!$2:$2,0),FALSE()),"")</f>
        <v/>
      </c>
      <c r="E633" s="8" t="e">
        <f aca="false">IF(D633+H633&gt;0,D633+H633,"")</f>
        <v>#VALUE!</v>
      </c>
      <c r="F633" s="8" t="str">
        <f aca="false">IFERROR(D633/VLOOKUP(A633,'Dados-Status-Invest'!$1:$1000,5,FALSE()),"")</f>
        <v/>
      </c>
      <c r="G633" s="8" t="str">
        <f aca="false">IFERROR(D633/VLOOKUP(A633,'Dados-Status-Invest'!$1:$1000,6,FALSE()),"")</f>
        <v/>
      </c>
      <c r="H633" s="8" t="str">
        <f aca="false">IFERROR(VLOOKUP(A633,'Dados-Status-Invest'!$1:$1000,12,FALSE())*J633,"")</f>
        <v/>
      </c>
      <c r="I633" s="8" t="str">
        <f aca="false">IFERROR(D633/VLOOKUP(A633,'Dados-Status-Invest'!$1:$1000,14,FALSE()),"")</f>
        <v/>
      </c>
      <c r="J633" s="9" t="str">
        <f aca="false">IFERROR(D633/VLOOKUP(A633,'Dados-Status-Invest'!$1:$1000,10,FALSE()),"")</f>
        <v/>
      </c>
      <c r="K633" s="10" t="str">
        <f aca="false">IFERROR(VLOOKUP(A633,'Dados-Status-Invest'!$1:$1000,3,FALSE())/100,"")</f>
        <v/>
      </c>
      <c r="L633" s="11" t="str">
        <f aca="false">IFERROR(VLOOKUP(A633,'Dados-Status-Invest'!$1:$1000,MATCH(L$1,'Dados-Status-Invest'!$2:$2,0),FALSE())/100,"")</f>
        <v/>
      </c>
      <c r="M633" s="10" t="str">
        <f aca="false">IFERROR(VLOOKUP(A633,'Dados-Status-Invest'!$1:$1000,MATCH(M$1,'Dados-Status-Invest'!$2:$2,0),FALSE())/100,"")</f>
        <v/>
      </c>
      <c r="N633" s="10" t="str">
        <f aca="false">IFERROR(VLOOKUP(A633,'Dados-Status-Invest'!$1:$1000,MATCH(N$1,'Dados-Status-Invest'!$2:$2,0),FALSE())/100,"")</f>
        <v/>
      </c>
      <c r="O633" s="10" t="str">
        <f aca="false">IFERROR(VLOOKUP(A633,'Dados-Status-Invest'!$1:$1000,MATCH(O$1,'Dados-Status-Invest'!$2:$2,0),FALSE())/100,"")</f>
        <v/>
      </c>
      <c r="P633" s="10" t="str">
        <f aca="false">IFERROR(VLOOKUP(A633,'Dados-Status-Invest'!$1:$1000,MATCH(P$1,'Dados-Status-Invest'!$2:$2,0),FALSE())/100,"")</f>
        <v/>
      </c>
      <c r="Q633" s="10" t="str">
        <f aca="false">IFERROR(VLOOKUP(A633,'Dados-Status-Invest'!$1:$1000,MATCH(Q$1,'Dados-Status-Invest'!$2:$2,0),FALSE())/100,"")</f>
        <v/>
      </c>
      <c r="R633" s="12" t="str">
        <f aca="false">IFERROR(VLOOKUP(A633,'Dados-Status-Invest'!$1:$1000,MATCH(R$1,'Dados-Status-Invest'!$2:$2,0),FALSE()),"")</f>
        <v/>
      </c>
      <c r="S633" s="12" t="str">
        <f aca="false">IFERROR(VLOOKUP(A633,'Dados-Status-Invest'!$1:$1000,MATCH(S$1,'Dados-Status-Invest'!$2:$2,0),FALSE()),"")</f>
        <v/>
      </c>
      <c r="T633" s="12" t="str">
        <f aca="false">IFERROR(VLOOKUP(A633,'Dados-Status-Invest'!$1:$1000,MATCH(T$1,'Dados-Status-Invest'!$2:$2,0),FALSE()),"")</f>
        <v/>
      </c>
      <c r="U633" s="12" t="str">
        <f aca="false">IFERROR(VLOOKUP(A633,'Dados-Status-Invest'!$1:$1000,MATCH(U$1,'Dados-Status-Invest'!$2:$2,0),FALSE()),"")</f>
        <v/>
      </c>
      <c r="V633" s="12" t="str">
        <f aca="false">IFERROR(VLOOKUP(A633,'Dados-Status-Invest'!$1:$1000,MATCH(V$1,'Dados-Status-Invest'!$2:$2,0),FALSE()),"")</f>
        <v/>
      </c>
      <c r="W633" s="10" t="str">
        <f aca="false">IFERROR(VLOOKUP(A633,'Dados-Status-Invest'!$1:$1000,MATCH(W$1,'Dados-Status-Invest'!$2:$2,0),FALSE())/100,"")</f>
        <v/>
      </c>
      <c r="X633" s="10" t="str">
        <f aca="false">IFERROR(VLOOKUP(A633,'Dados-Status-Invest'!$1:$1000,MATCH(X$1,'Dados-Status-Invest'!$2:$2,0),FALSE())/100,"")</f>
        <v/>
      </c>
    </row>
    <row r="634" customFormat="false" ht="15.75" hidden="false" customHeight="false" outlineLevel="0" collapsed="false">
      <c r="B634" s="7" t="str">
        <f aca="false">IFERROR(VLOOKUP(LEFT(A634,4),Setor!A:D,2,FALSE()),"")</f>
        <v/>
      </c>
      <c r="C634" s="8" t="str">
        <f aca="false">IFERROR(__xludf.dummyfunction("IFERROR(IFERROR(GOOGLEFINANCE(A640,""price""),VLOOKUP(A640,'Dados-Status-Invest'!A:B,2,FALSE)),"""")"),"")</f>
        <v/>
      </c>
      <c r="D634" s="8" t="str">
        <f aca="false">IFERROR(VLOOKUP(A634,'Dados-Status-Invest'!$1:$1000,MATCH(D$1,'Dados-Status-Invest'!$2:$2,0),FALSE()),"")</f>
        <v/>
      </c>
      <c r="E634" s="8" t="e">
        <f aca="false">IF(D634+H634&gt;0,D634+H634,"")</f>
        <v>#VALUE!</v>
      </c>
      <c r="F634" s="8" t="str">
        <f aca="false">IFERROR(D634/VLOOKUP(A634,'Dados-Status-Invest'!$1:$1000,5,FALSE()),"")</f>
        <v/>
      </c>
      <c r="G634" s="8" t="str">
        <f aca="false">IFERROR(D634/VLOOKUP(A634,'Dados-Status-Invest'!$1:$1000,6,FALSE()),"")</f>
        <v/>
      </c>
      <c r="H634" s="8" t="str">
        <f aca="false">IFERROR(VLOOKUP(A634,'Dados-Status-Invest'!$1:$1000,12,FALSE())*J634,"")</f>
        <v/>
      </c>
      <c r="I634" s="8" t="str">
        <f aca="false">IFERROR(D634/VLOOKUP(A634,'Dados-Status-Invest'!$1:$1000,14,FALSE()),"")</f>
        <v/>
      </c>
      <c r="J634" s="9" t="str">
        <f aca="false">IFERROR(D634/VLOOKUP(A634,'Dados-Status-Invest'!$1:$1000,10,FALSE()),"")</f>
        <v/>
      </c>
      <c r="K634" s="10" t="str">
        <f aca="false">IFERROR(VLOOKUP(A634,'Dados-Status-Invest'!$1:$1000,3,FALSE())/100,"")</f>
        <v/>
      </c>
      <c r="L634" s="11" t="str">
        <f aca="false">IFERROR(VLOOKUP(A634,'Dados-Status-Invest'!$1:$1000,MATCH(L$1,'Dados-Status-Invest'!$2:$2,0),FALSE())/100,"")</f>
        <v/>
      </c>
      <c r="M634" s="10" t="str">
        <f aca="false">IFERROR(VLOOKUP(A634,'Dados-Status-Invest'!$1:$1000,MATCH(M$1,'Dados-Status-Invest'!$2:$2,0),FALSE())/100,"")</f>
        <v/>
      </c>
      <c r="N634" s="10" t="str">
        <f aca="false">IFERROR(VLOOKUP(A634,'Dados-Status-Invest'!$1:$1000,MATCH(N$1,'Dados-Status-Invest'!$2:$2,0),FALSE())/100,"")</f>
        <v/>
      </c>
      <c r="O634" s="10" t="str">
        <f aca="false">IFERROR(VLOOKUP(A634,'Dados-Status-Invest'!$1:$1000,MATCH(O$1,'Dados-Status-Invest'!$2:$2,0),FALSE())/100,"")</f>
        <v/>
      </c>
      <c r="P634" s="10" t="str">
        <f aca="false">IFERROR(VLOOKUP(A634,'Dados-Status-Invest'!$1:$1000,MATCH(P$1,'Dados-Status-Invest'!$2:$2,0),FALSE())/100,"")</f>
        <v/>
      </c>
      <c r="Q634" s="10" t="str">
        <f aca="false">IFERROR(VLOOKUP(A634,'Dados-Status-Invest'!$1:$1000,MATCH(Q$1,'Dados-Status-Invest'!$2:$2,0),FALSE())/100,"")</f>
        <v/>
      </c>
      <c r="R634" s="12" t="str">
        <f aca="false">IFERROR(VLOOKUP(A634,'Dados-Status-Invest'!$1:$1000,MATCH(R$1,'Dados-Status-Invest'!$2:$2,0),FALSE()),"")</f>
        <v/>
      </c>
      <c r="S634" s="12" t="str">
        <f aca="false">IFERROR(VLOOKUP(A634,'Dados-Status-Invest'!$1:$1000,MATCH(S$1,'Dados-Status-Invest'!$2:$2,0),FALSE()),"")</f>
        <v/>
      </c>
      <c r="T634" s="12" t="str">
        <f aca="false">IFERROR(VLOOKUP(A634,'Dados-Status-Invest'!$1:$1000,MATCH(T$1,'Dados-Status-Invest'!$2:$2,0),FALSE()),"")</f>
        <v/>
      </c>
      <c r="U634" s="12" t="str">
        <f aca="false">IFERROR(VLOOKUP(A634,'Dados-Status-Invest'!$1:$1000,MATCH(U$1,'Dados-Status-Invest'!$2:$2,0),FALSE()),"")</f>
        <v/>
      </c>
      <c r="V634" s="12" t="str">
        <f aca="false">IFERROR(VLOOKUP(A634,'Dados-Status-Invest'!$1:$1000,MATCH(V$1,'Dados-Status-Invest'!$2:$2,0),FALSE()),"")</f>
        <v/>
      </c>
      <c r="W634" s="10" t="str">
        <f aca="false">IFERROR(VLOOKUP(A634,'Dados-Status-Invest'!$1:$1000,MATCH(W$1,'Dados-Status-Invest'!$2:$2,0),FALSE())/100,"")</f>
        <v/>
      </c>
      <c r="X634" s="10" t="str">
        <f aca="false">IFERROR(VLOOKUP(A634,'Dados-Status-Invest'!$1:$1000,MATCH(X$1,'Dados-Status-Invest'!$2:$2,0),FALSE())/100,"")</f>
        <v/>
      </c>
    </row>
    <row r="635" customFormat="false" ht="15.75" hidden="false" customHeight="false" outlineLevel="0" collapsed="false">
      <c r="B635" s="7" t="str">
        <f aca="false">IFERROR(VLOOKUP(LEFT(A635,4),Setor!A:D,2,FALSE()),"")</f>
        <v/>
      </c>
      <c r="C635" s="8" t="str">
        <f aca="false">IFERROR(__xludf.dummyfunction("IFERROR(IFERROR(GOOGLEFINANCE(A641,""price""),VLOOKUP(A641,'Dados-Status-Invest'!A:B,2,FALSE)),"""")"),"")</f>
        <v/>
      </c>
      <c r="D635" s="8" t="str">
        <f aca="false">IFERROR(VLOOKUP(A635,'Dados-Status-Invest'!$1:$1000,MATCH(D$1,'Dados-Status-Invest'!$2:$2,0),FALSE()),"")</f>
        <v/>
      </c>
      <c r="E635" s="8" t="e">
        <f aca="false">IF(D635+H635&gt;0,D635+H635,"")</f>
        <v>#VALUE!</v>
      </c>
      <c r="F635" s="8" t="str">
        <f aca="false">IFERROR(D635/VLOOKUP(A635,'Dados-Status-Invest'!$1:$1000,5,FALSE()),"")</f>
        <v/>
      </c>
      <c r="G635" s="8" t="str">
        <f aca="false">IFERROR(D635/VLOOKUP(A635,'Dados-Status-Invest'!$1:$1000,6,FALSE()),"")</f>
        <v/>
      </c>
      <c r="H635" s="8" t="str">
        <f aca="false">IFERROR(VLOOKUP(A635,'Dados-Status-Invest'!$1:$1000,12,FALSE())*J635,"")</f>
        <v/>
      </c>
      <c r="I635" s="8" t="str">
        <f aca="false">IFERROR(D635/VLOOKUP(A635,'Dados-Status-Invest'!$1:$1000,14,FALSE()),"")</f>
        <v/>
      </c>
      <c r="J635" s="9" t="str">
        <f aca="false">IFERROR(D635/VLOOKUP(A635,'Dados-Status-Invest'!$1:$1000,10,FALSE()),"")</f>
        <v/>
      </c>
      <c r="K635" s="10" t="str">
        <f aca="false">IFERROR(VLOOKUP(A635,'Dados-Status-Invest'!$1:$1000,3,FALSE())/100,"")</f>
        <v/>
      </c>
      <c r="L635" s="11" t="str">
        <f aca="false">IFERROR(VLOOKUP(A635,'Dados-Status-Invest'!$1:$1000,MATCH(L$1,'Dados-Status-Invest'!$2:$2,0),FALSE())/100,"")</f>
        <v/>
      </c>
      <c r="M635" s="10" t="str">
        <f aca="false">IFERROR(VLOOKUP(A635,'Dados-Status-Invest'!$1:$1000,MATCH(M$1,'Dados-Status-Invest'!$2:$2,0),FALSE())/100,"")</f>
        <v/>
      </c>
      <c r="N635" s="10" t="str">
        <f aca="false">IFERROR(VLOOKUP(A635,'Dados-Status-Invest'!$1:$1000,MATCH(N$1,'Dados-Status-Invest'!$2:$2,0),FALSE())/100,"")</f>
        <v/>
      </c>
      <c r="O635" s="10" t="str">
        <f aca="false">IFERROR(VLOOKUP(A635,'Dados-Status-Invest'!$1:$1000,MATCH(O$1,'Dados-Status-Invest'!$2:$2,0),FALSE())/100,"")</f>
        <v/>
      </c>
      <c r="P635" s="10" t="str">
        <f aca="false">IFERROR(VLOOKUP(A635,'Dados-Status-Invest'!$1:$1000,MATCH(P$1,'Dados-Status-Invest'!$2:$2,0),FALSE())/100,"")</f>
        <v/>
      </c>
      <c r="Q635" s="10" t="str">
        <f aca="false">IFERROR(VLOOKUP(A635,'Dados-Status-Invest'!$1:$1000,MATCH(Q$1,'Dados-Status-Invest'!$2:$2,0),FALSE())/100,"")</f>
        <v/>
      </c>
      <c r="R635" s="12" t="str">
        <f aca="false">IFERROR(VLOOKUP(A635,'Dados-Status-Invest'!$1:$1000,MATCH(R$1,'Dados-Status-Invest'!$2:$2,0),FALSE()),"")</f>
        <v/>
      </c>
      <c r="S635" s="12" t="str">
        <f aca="false">IFERROR(VLOOKUP(A635,'Dados-Status-Invest'!$1:$1000,MATCH(S$1,'Dados-Status-Invest'!$2:$2,0),FALSE()),"")</f>
        <v/>
      </c>
      <c r="T635" s="12" t="str">
        <f aca="false">IFERROR(VLOOKUP(A635,'Dados-Status-Invest'!$1:$1000,MATCH(T$1,'Dados-Status-Invest'!$2:$2,0),FALSE()),"")</f>
        <v/>
      </c>
      <c r="U635" s="12" t="str">
        <f aca="false">IFERROR(VLOOKUP(A635,'Dados-Status-Invest'!$1:$1000,MATCH(U$1,'Dados-Status-Invest'!$2:$2,0),FALSE()),"")</f>
        <v/>
      </c>
      <c r="V635" s="12" t="str">
        <f aca="false">IFERROR(VLOOKUP(A635,'Dados-Status-Invest'!$1:$1000,MATCH(V$1,'Dados-Status-Invest'!$2:$2,0),FALSE()),"")</f>
        <v/>
      </c>
      <c r="W635" s="10" t="str">
        <f aca="false">IFERROR(VLOOKUP(A635,'Dados-Status-Invest'!$1:$1000,MATCH(W$1,'Dados-Status-Invest'!$2:$2,0),FALSE())/100,"")</f>
        <v/>
      </c>
      <c r="X635" s="10" t="str">
        <f aca="false">IFERROR(VLOOKUP(A635,'Dados-Status-Invest'!$1:$1000,MATCH(X$1,'Dados-Status-Invest'!$2:$2,0),FALSE())/100,"")</f>
        <v/>
      </c>
    </row>
    <row r="636" customFormat="false" ht="15.75" hidden="false" customHeight="false" outlineLevel="0" collapsed="false">
      <c r="B636" s="7" t="str">
        <f aca="false">IFERROR(VLOOKUP(LEFT(A636,4),Setor!A:D,2,FALSE()),"")</f>
        <v/>
      </c>
      <c r="C636" s="8" t="str">
        <f aca="false">IFERROR(__xludf.dummyfunction("IFERROR(IFERROR(GOOGLEFINANCE(A642,""price""),VLOOKUP(A642,'Dados-Status-Invest'!A:B,2,FALSE)),"""")"),"")</f>
        <v/>
      </c>
      <c r="D636" s="8" t="str">
        <f aca="false">IFERROR(VLOOKUP(A636,'Dados-Status-Invest'!$1:$1000,MATCH(D$1,'Dados-Status-Invest'!$2:$2,0),FALSE()),"")</f>
        <v/>
      </c>
      <c r="E636" s="8" t="e">
        <f aca="false">IF(D636+H636&gt;0,D636+H636,"")</f>
        <v>#VALUE!</v>
      </c>
      <c r="F636" s="8" t="str">
        <f aca="false">IFERROR(D636/VLOOKUP(A636,'Dados-Status-Invest'!$1:$1000,5,FALSE()),"")</f>
        <v/>
      </c>
      <c r="G636" s="8" t="str">
        <f aca="false">IFERROR(D636/VLOOKUP(A636,'Dados-Status-Invest'!$1:$1000,6,FALSE()),"")</f>
        <v/>
      </c>
      <c r="H636" s="8" t="str">
        <f aca="false">IFERROR(VLOOKUP(A636,'Dados-Status-Invest'!$1:$1000,12,FALSE())*J636,"")</f>
        <v/>
      </c>
      <c r="I636" s="8" t="str">
        <f aca="false">IFERROR(D636/VLOOKUP(A636,'Dados-Status-Invest'!$1:$1000,14,FALSE()),"")</f>
        <v/>
      </c>
      <c r="J636" s="9" t="str">
        <f aca="false">IFERROR(D636/VLOOKUP(A636,'Dados-Status-Invest'!$1:$1000,10,FALSE()),"")</f>
        <v/>
      </c>
      <c r="K636" s="10" t="str">
        <f aca="false">IFERROR(VLOOKUP(A636,'Dados-Status-Invest'!$1:$1000,3,FALSE())/100,"")</f>
        <v/>
      </c>
      <c r="L636" s="11" t="str">
        <f aca="false">IFERROR(VLOOKUP(A636,'Dados-Status-Invest'!$1:$1000,MATCH(L$1,'Dados-Status-Invest'!$2:$2,0),FALSE())/100,"")</f>
        <v/>
      </c>
      <c r="M636" s="10" t="str">
        <f aca="false">IFERROR(VLOOKUP(A636,'Dados-Status-Invest'!$1:$1000,MATCH(M$1,'Dados-Status-Invest'!$2:$2,0),FALSE())/100,"")</f>
        <v/>
      </c>
      <c r="N636" s="10" t="str">
        <f aca="false">IFERROR(VLOOKUP(A636,'Dados-Status-Invest'!$1:$1000,MATCH(N$1,'Dados-Status-Invest'!$2:$2,0),FALSE())/100,"")</f>
        <v/>
      </c>
      <c r="O636" s="10" t="str">
        <f aca="false">IFERROR(VLOOKUP(A636,'Dados-Status-Invest'!$1:$1000,MATCH(O$1,'Dados-Status-Invest'!$2:$2,0),FALSE())/100,"")</f>
        <v/>
      </c>
      <c r="P636" s="10" t="str">
        <f aca="false">IFERROR(VLOOKUP(A636,'Dados-Status-Invest'!$1:$1000,MATCH(P$1,'Dados-Status-Invest'!$2:$2,0),FALSE())/100,"")</f>
        <v/>
      </c>
      <c r="Q636" s="10" t="str">
        <f aca="false">IFERROR(VLOOKUP(A636,'Dados-Status-Invest'!$1:$1000,MATCH(Q$1,'Dados-Status-Invest'!$2:$2,0),FALSE())/100,"")</f>
        <v/>
      </c>
      <c r="R636" s="12" t="str">
        <f aca="false">IFERROR(VLOOKUP(A636,'Dados-Status-Invest'!$1:$1000,MATCH(R$1,'Dados-Status-Invest'!$2:$2,0),FALSE()),"")</f>
        <v/>
      </c>
      <c r="S636" s="12" t="str">
        <f aca="false">IFERROR(VLOOKUP(A636,'Dados-Status-Invest'!$1:$1000,MATCH(S$1,'Dados-Status-Invest'!$2:$2,0),FALSE()),"")</f>
        <v/>
      </c>
      <c r="T636" s="12" t="str">
        <f aca="false">IFERROR(VLOOKUP(A636,'Dados-Status-Invest'!$1:$1000,MATCH(T$1,'Dados-Status-Invest'!$2:$2,0),FALSE()),"")</f>
        <v/>
      </c>
      <c r="U636" s="12" t="str">
        <f aca="false">IFERROR(VLOOKUP(A636,'Dados-Status-Invest'!$1:$1000,MATCH(U$1,'Dados-Status-Invest'!$2:$2,0),FALSE()),"")</f>
        <v/>
      </c>
      <c r="V636" s="12" t="str">
        <f aca="false">IFERROR(VLOOKUP(A636,'Dados-Status-Invest'!$1:$1000,MATCH(V$1,'Dados-Status-Invest'!$2:$2,0),FALSE()),"")</f>
        <v/>
      </c>
      <c r="W636" s="10" t="str">
        <f aca="false">IFERROR(VLOOKUP(A636,'Dados-Status-Invest'!$1:$1000,MATCH(W$1,'Dados-Status-Invest'!$2:$2,0),FALSE())/100,"")</f>
        <v/>
      </c>
      <c r="X636" s="10" t="str">
        <f aca="false">IFERROR(VLOOKUP(A636,'Dados-Status-Invest'!$1:$1000,MATCH(X$1,'Dados-Status-Invest'!$2:$2,0),FALSE())/100,"")</f>
        <v/>
      </c>
    </row>
    <row r="637" customFormat="false" ht="15.75" hidden="false" customHeight="false" outlineLevel="0" collapsed="false">
      <c r="B637" s="7" t="str">
        <f aca="false">IFERROR(VLOOKUP(LEFT(A637,4),Setor!A:D,2,FALSE()),"")</f>
        <v/>
      </c>
      <c r="C637" s="8" t="str">
        <f aca="false">IFERROR(__xludf.dummyfunction("IFERROR(IFERROR(GOOGLEFINANCE(A643,""price""),VLOOKUP(A643,'Dados-Status-Invest'!A:B,2,FALSE)),"""")"),"")</f>
        <v/>
      </c>
      <c r="D637" s="8" t="str">
        <f aca="false">IFERROR(VLOOKUP(A637,'Dados-Status-Invest'!$1:$1000,MATCH(D$1,'Dados-Status-Invest'!$2:$2,0),FALSE()),"")</f>
        <v/>
      </c>
      <c r="E637" s="8" t="e">
        <f aca="false">IF(D637+H637&gt;0,D637+H637,"")</f>
        <v>#VALUE!</v>
      </c>
      <c r="F637" s="8" t="str">
        <f aca="false">IFERROR(D637/VLOOKUP(A637,'Dados-Status-Invest'!$1:$1000,5,FALSE()),"")</f>
        <v/>
      </c>
      <c r="G637" s="8" t="str">
        <f aca="false">IFERROR(D637/VLOOKUP(A637,'Dados-Status-Invest'!$1:$1000,6,FALSE()),"")</f>
        <v/>
      </c>
      <c r="H637" s="8" t="str">
        <f aca="false">IFERROR(VLOOKUP(A637,'Dados-Status-Invest'!$1:$1000,12,FALSE())*J637,"")</f>
        <v/>
      </c>
      <c r="I637" s="8" t="str">
        <f aca="false">IFERROR(D637/VLOOKUP(A637,'Dados-Status-Invest'!$1:$1000,14,FALSE()),"")</f>
        <v/>
      </c>
      <c r="J637" s="9" t="str">
        <f aca="false">IFERROR(D637/VLOOKUP(A637,'Dados-Status-Invest'!$1:$1000,10,FALSE()),"")</f>
        <v/>
      </c>
      <c r="K637" s="10" t="str">
        <f aca="false">IFERROR(VLOOKUP(A637,'Dados-Status-Invest'!$1:$1000,3,FALSE())/100,"")</f>
        <v/>
      </c>
      <c r="L637" s="11" t="str">
        <f aca="false">IFERROR(VLOOKUP(A637,'Dados-Status-Invest'!$1:$1000,MATCH(L$1,'Dados-Status-Invest'!$2:$2,0),FALSE())/100,"")</f>
        <v/>
      </c>
      <c r="M637" s="10" t="str">
        <f aca="false">IFERROR(VLOOKUP(A637,'Dados-Status-Invest'!$1:$1000,MATCH(M$1,'Dados-Status-Invest'!$2:$2,0),FALSE())/100,"")</f>
        <v/>
      </c>
      <c r="N637" s="10" t="str">
        <f aca="false">IFERROR(VLOOKUP(A637,'Dados-Status-Invest'!$1:$1000,MATCH(N$1,'Dados-Status-Invest'!$2:$2,0),FALSE())/100,"")</f>
        <v/>
      </c>
      <c r="O637" s="10" t="str">
        <f aca="false">IFERROR(VLOOKUP(A637,'Dados-Status-Invest'!$1:$1000,MATCH(O$1,'Dados-Status-Invest'!$2:$2,0),FALSE())/100,"")</f>
        <v/>
      </c>
      <c r="P637" s="10" t="str">
        <f aca="false">IFERROR(VLOOKUP(A637,'Dados-Status-Invest'!$1:$1000,MATCH(P$1,'Dados-Status-Invest'!$2:$2,0),FALSE())/100,"")</f>
        <v/>
      </c>
      <c r="Q637" s="10" t="str">
        <f aca="false">IFERROR(VLOOKUP(A637,'Dados-Status-Invest'!$1:$1000,MATCH(Q$1,'Dados-Status-Invest'!$2:$2,0),FALSE())/100,"")</f>
        <v/>
      </c>
      <c r="R637" s="12" t="str">
        <f aca="false">IFERROR(VLOOKUP(A637,'Dados-Status-Invest'!$1:$1000,MATCH(R$1,'Dados-Status-Invest'!$2:$2,0),FALSE()),"")</f>
        <v/>
      </c>
      <c r="S637" s="12" t="str">
        <f aca="false">IFERROR(VLOOKUP(A637,'Dados-Status-Invest'!$1:$1000,MATCH(S$1,'Dados-Status-Invest'!$2:$2,0),FALSE()),"")</f>
        <v/>
      </c>
      <c r="T637" s="12" t="str">
        <f aca="false">IFERROR(VLOOKUP(A637,'Dados-Status-Invest'!$1:$1000,MATCH(T$1,'Dados-Status-Invest'!$2:$2,0),FALSE()),"")</f>
        <v/>
      </c>
      <c r="U637" s="12" t="str">
        <f aca="false">IFERROR(VLOOKUP(A637,'Dados-Status-Invest'!$1:$1000,MATCH(U$1,'Dados-Status-Invest'!$2:$2,0),FALSE()),"")</f>
        <v/>
      </c>
      <c r="V637" s="12" t="str">
        <f aca="false">IFERROR(VLOOKUP(A637,'Dados-Status-Invest'!$1:$1000,MATCH(V$1,'Dados-Status-Invest'!$2:$2,0),FALSE()),"")</f>
        <v/>
      </c>
      <c r="W637" s="10" t="str">
        <f aca="false">IFERROR(VLOOKUP(A637,'Dados-Status-Invest'!$1:$1000,MATCH(W$1,'Dados-Status-Invest'!$2:$2,0),FALSE())/100,"")</f>
        <v/>
      </c>
      <c r="X637" s="10" t="str">
        <f aca="false">IFERROR(VLOOKUP(A637,'Dados-Status-Invest'!$1:$1000,MATCH(X$1,'Dados-Status-Invest'!$2:$2,0),FALSE())/100,"")</f>
        <v/>
      </c>
    </row>
    <row r="638" customFormat="false" ht="15.75" hidden="false" customHeight="false" outlineLevel="0" collapsed="false">
      <c r="B638" s="7" t="str">
        <f aca="false">IFERROR(VLOOKUP(LEFT(A638,4),Setor!A:D,2,FALSE()),"")</f>
        <v/>
      </c>
      <c r="C638" s="8" t="str">
        <f aca="false">IFERROR(__xludf.dummyfunction("IFERROR(IFERROR(GOOGLEFINANCE(A644,""price""),VLOOKUP(A644,'Dados-Status-Invest'!A:B,2,FALSE)),"""")"),"")</f>
        <v/>
      </c>
      <c r="D638" s="8" t="str">
        <f aca="false">IFERROR(VLOOKUP(A638,'Dados-Status-Invest'!$1:$1000,MATCH(D$1,'Dados-Status-Invest'!$2:$2,0),FALSE()),"")</f>
        <v/>
      </c>
      <c r="E638" s="8" t="e">
        <f aca="false">IF(D638+H638&gt;0,D638+H638,"")</f>
        <v>#VALUE!</v>
      </c>
      <c r="F638" s="8" t="str">
        <f aca="false">IFERROR(D638/VLOOKUP(A638,'Dados-Status-Invest'!$1:$1000,5,FALSE()),"")</f>
        <v/>
      </c>
      <c r="G638" s="8" t="str">
        <f aca="false">IFERROR(D638/VLOOKUP(A638,'Dados-Status-Invest'!$1:$1000,6,FALSE()),"")</f>
        <v/>
      </c>
      <c r="H638" s="8" t="str">
        <f aca="false">IFERROR(VLOOKUP(A638,'Dados-Status-Invest'!$1:$1000,12,FALSE())*J638,"")</f>
        <v/>
      </c>
      <c r="I638" s="8" t="str">
        <f aca="false">IFERROR(D638/VLOOKUP(A638,'Dados-Status-Invest'!$1:$1000,14,FALSE()),"")</f>
        <v/>
      </c>
      <c r="J638" s="9" t="str">
        <f aca="false">IFERROR(D638/VLOOKUP(A638,'Dados-Status-Invest'!$1:$1000,10,FALSE()),"")</f>
        <v/>
      </c>
      <c r="K638" s="10" t="str">
        <f aca="false">IFERROR(VLOOKUP(A638,'Dados-Status-Invest'!$1:$1000,3,FALSE())/100,"")</f>
        <v/>
      </c>
      <c r="L638" s="11" t="str">
        <f aca="false">IFERROR(VLOOKUP(A638,'Dados-Status-Invest'!$1:$1000,MATCH(L$1,'Dados-Status-Invest'!$2:$2,0),FALSE())/100,"")</f>
        <v/>
      </c>
      <c r="M638" s="10" t="str">
        <f aca="false">IFERROR(VLOOKUP(A638,'Dados-Status-Invest'!$1:$1000,MATCH(M$1,'Dados-Status-Invest'!$2:$2,0),FALSE())/100,"")</f>
        <v/>
      </c>
      <c r="N638" s="10" t="str">
        <f aca="false">IFERROR(VLOOKUP(A638,'Dados-Status-Invest'!$1:$1000,MATCH(N$1,'Dados-Status-Invest'!$2:$2,0),FALSE())/100,"")</f>
        <v/>
      </c>
      <c r="O638" s="10" t="str">
        <f aca="false">IFERROR(VLOOKUP(A638,'Dados-Status-Invest'!$1:$1000,MATCH(O$1,'Dados-Status-Invest'!$2:$2,0),FALSE())/100,"")</f>
        <v/>
      </c>
      <c r="P638" s="10" t="str">
        <f aca="false">IFERROR(VLOOKUP(A638,'Dados-Status-Invest'!$1:$1000,MATCH(P$1,'Dados-Status-Invest'!$2:$2,0),FALSE())/100,"")</f>
        <v/>
      </c>
      <c r="Q638" s="10" t="str">
        <f aca="false">IFERROR(VLOOKUP(A638,'Dados-Status-Invest'!$1:$1000,MATCH(Q$1,'Dados-Status-Invest'!$2:$2,0),FALSE())/100,"")</f>
        <v/>
      </c>
      <c r="R638" s="12" t="str">
        <f aca="false">IFERROR(VLOOKUP(A638,'Dados-Status-Invest'!$1:$1000,MATCH(R$1,'Dados-Status-Invest'!$2:$2,0),FALSE()),"")</f>
        <v/>
      </c>
      <c r="S638" s="12" t="str">
        <f aca="false">IFERROR(VLOOKUP(A638,'Dados-Status-Invest'!$1:$1000,MATCH(S$1,'Dados-Status-Invest'!$2:$2,0),FALSE()),"")</f>
        <v/>
      </c>
      <c r="T638" s="12" t="str">
        <f aca="false">IFERROR(VLOOKUP(A638,'Dados-Status-Invest'!$1:$1000,MATCH(T$1,'Dados-Status-Invest'!$2:$2,0),FALSE()),"")</f>
        <v/>
      </c>
      <c r="U638" s="12" t="str">
        <f aca="false">IFERROR(VLOOKUP(A638,'Dados-Status-Invest'!$1:$1000,MATCH(U$1,'Dados-Status-Invest'!$2:$2,0),FALSE()),"")</f>
        <v/>
      </c>
      <c r="V638" s="12" t="str">
        <f aca="false">IFERROR(VLOOKUP(A638,'Dados-Status-Invest'!$1:$1000,MATCH(V$1,'Dados-Status-Invest'!$2:$2,0),FALSE()),"")</f>
        <v/>
      </c>
      <c r="W638" s="10" t="str">
        <f aca="false">IFERROR(VLOOKUP(A638,'Dados-Status-Invest'!$1:$1000,MATCH(W$1,'Dados-Status-Invest'!$2:$2,0),FALSE())/100,"")</f>
        <v/>
      </c>
      <c r="X638" s="10" t="str">
        <f aca="false">IFERROR(VLOOKUP(A638,'Dados-Status-Invest'!$1:$1000,MATCH(X$1,'Dados-Status-Invest'!$2:$2,0),FALSE())/100,"")</f>
        <v/>
      </c>
    </row>
    <row r="639" customFormat="false" ht="15.75" hidden="false" customHeight="false" outlineLevel="0" collapsed="false">
      <c r="B639" s="7" t="str">
        <f aca="false">IFERROR(VLOOKUP(LEFT(A639,4),Setor!A:D,2,FALSE()),"")</f>
        <v/>
      </c>
      <c r="C639" s="8" t="str">
        <f aca="false">IFERROR(__xludf.dummyfunction("IFERROR(IFERROR(GOOGLEFINANCE(A645,""price""),VLOOKUP(A645,'Dados-Status-Invest'!A:B,2,FALSE)),"""")"),"")</f>
        <v/>
      </c>
      <c r="D639" s="8" t="str">
        <f aca="false">IFERROR(VLOOKUP(A639,'Dados-Status-Invest'!$1:$1000,MATCH(D$1,'Dados-Status-Invest'!$2:$2,0),FALSE()),"")</f>
        <v/>
      </c>
      <c r="E639" s="8" t="e">
        <f aca="false">IF(D639+H639&gt;0,D639+H639,"")</f>
        <v>#VALUE!</v>
      </c>
      <c r="F639" s="8" t="str">
        <f aca="false">IFERROR(D639/VLOOKUP(A639,'Dados-Status-Invest'!$1:$1000,5,FALSE()),"")</f>
        <v/>
      </c>
      <c r="G639" s="8" t="str">
        <f aca="false">IFERROR(D639/VLOOKUP(A639,'Dados-Status-Invest'!$1:$1000,6,FALSE()),"")</f>
        <v/>
      </c>
      <c r="H639" s="8" t="str">
        <f aca="false">IFERROR(VLOOKUP(A639,'Dados-Status-Invest'!$1:$1000,12,FALSE())*J639,"")</f>
        <v/>
      </c>
      <c r="I639" s="8" t="str">
        <f aca="false">IFERROR(D639/VLOOKUP(A639,'Dados-Status-Invest'!$1:$1000,14,FALSE()),"")</f>
        <v/>
      </c>
      <c r="J639" s="9" t="str">
        <f aca="false">IFERROR(D639/VLOOKUP(A639,'Dados-Status-Invest'!$1:$1000,10,FALSE()),"")</f>
        <v/>
      </c>
      <c r="K639" s="10" t="str">
        <f aca="false">IFERROR(VLOOKUP(A639,'Dados-Status-Invest'!$1:$1000,3,FALSE())/100,"")</f>
        <v/>
      </c>
      <c r="L639" s="11" t="str">
        <f aca="false">IFERROR(VLOOKUP(A639,'Dados-Status-Invest'!$1:$1000,MATCH(L$1,'Dados-Status-Invest'!$2:$2,0),FALSE())/100,"")</f>
        <v/>
      </c>
      <c r="M639" s="10" t="str">
        <f aca="false">IFERROR(VLOOKUP(A639,'Dados-Status-Invest'!$1:$1000,MATCH(M$1,'Dados-Status-Invest'!$2:$2,0),FALSE())/100,"")</f>
        <v/>
      </c>
      <c r="N639" s="10" t="str">
        <f aca="false">IFERROR(VLOOKUP(A639,'Dados-Status-Invest'!$1:$1000,MATCH(N$1,'Dados-Status-Invest'!$2:$2,0),FALSE())/100,"")</f>
        <v/>
      </c>
      <c r="O639" s="10" t="str">
        <f aca="false">IFERROR(VLOOKUP(A639,'Dados-Status-Invest'!$1:$1000,MATCH(O$1,'Dados-Status-Invest'!$2:$2,0),FALSE())/100,"")</f>
        <v/>
      </c>
      <c r="P639" s="10" t="str">
        <f aca="false">IFERROR(VLOOKUP(A639,'Dados-Status-Invest'!$1:$1000,MATCH(P$1,'Dados-Status-Invest'!$2:$2,0),FALSE())/100,"")</f>
        <v/>
      </c>
      <c r="Q639" s="10" t="str">
        <f aca="false">IFERROR(VLOOKUP(A639,'Dados-Status-Invest'!$1:$1000,MATCH(Q$1,'Dados-Status-Invest'!$2:$2,0),FALSE())/100,"")</f>
        <v/>
      </c>
      <c r="R639" s="12" t="str">
        <f aca="false">IFERROR(VLOOKUP(A639,'Dados-Status-Invest'!$1:$1000,MATCH(R$1,'Dados-Status-Invest'!$2:$2,0),FALSE()),"")</f>
        <v/>
      </c>
      <c r="S639" s="12" t="str">
        <f aca="false">IFERROR(VLOOKUP(A639,'Dados-Status-Invest'!$1:$1000,MATCH(S$1,'Dados-Status-Invest'!$2:$2,0),FALSE()),"")</f>
        <v/>
      </c>
      <c r="T639" s="12" t="str">
        <f aca="false">IFERROR(VLOOKUP(A639,'Dados-Status-Invest'!$1:$1000,MATCH(T$1,'Dados-Status-Invest'!$2:$2,0),FALSE()),"")</f>
        <v/>
      </c>
      <c r="U639" s="12" t="str">
        <f aca="false">IFERROR(VLOOKUP(A639,'Dados-Status-Invest'!$1:$1000,MATCH(U$1,'Dados-Status-Invest'!$2:$2,0),FALSE()),"")</f>
        <v/>
      </c>
      <c r="V639" s="12" t="str">
        <f aca="false">IFERROR(VLOOKUP(A639,'Dados-Status-Invest'!$1:$1000,MATCH(V$1,'Dados-Status-Invest'!$2:$2,0),FALSE()),"")</f>
        <v/>
      </c>
      <c r="W639" s="10" t="str">
        <f aca="false">IFERROR(VLOOKUP(A639,'Dados-Status-Invest'!$1:$1000,MATCH(W$1,'Dados-Status-Invest'!$2:$2,0),FALSE())/100,"")</f>
        <v/>
      </c>
      <c r="X639" s="10" t="str">
        <f aca="false">IFERROR(VLOOKUP(A639,'Dados-Status-Invest'!$1:$1000,MATCH(X$1,'Dados-Status-Invest'!$2:$2,0),FALSE())/100,"")</f>
        <v/>
      </c>
    </row>
    <row r="640" customFormat="false" ht="15.75" hidden="false" customHeight="false" outlineLevel="0" collapsed="false">
      <c r="B640" s="7" t="str">
        <f aca="false">IFERROR(VLOOKUP(LEFT(A640,4),Setor!A:D,2,FALSE()),"")</f>
        <v/>
      </c>
      <c r="C640" s="8" t="str">
        <f aca="false">IFERROR(__xludf.dummyfunction("IFERROR(IFERROR(GOOGLEFINANCE(A646,""price""),VLOOKUP(A646,'Dados-Status-Invest'!A:B,2,FALSE)),"""")"),"")</f>
        <v/>
      </c>
      <c r="D640" s="8" t="str">
        <f aca="false">IFERROR(VLOOKUP(A640,'Dados-Status-Invest'!$1:$1000,MATCH(D$1,'Dados-Status-Invest'!$2:$2,0),FALSE()),"")</f>
        <v/>
      </c>
      <c r="E640" s="8" t="e">
        <f aca="false">IF(D640+H640&gt;0,D640+H640,"")</f>
        <v>#VALUE!</v>
      </c>
      <c r="F640" s="8" t="str">
        <f aca="false">IFERROR(D640/VLOOKUP(A640,'Dados-Status-Invest'!$1:$1000,5,FALSE()),"")</f>
        <v/>
      </c>
      <c r="G640" s="8" t="str">
        <f aca="false">IFERROR(D640/VLOOKUP(A640,'Dados-Status-Invest'!$1:$1000,6,FALSE()),"")</f>
        <v/>
      </c>
      <c r="H640" s="8" t="str">
        <f aca="false">IFERROR(VLOOKUP(A640,'Dados-Status-Invest'!$1:$1000,12,FALSE())*J640,"")</f>
        <v/>
      </c>
      <c r="I640" s="8" t="str">
        <f aca="false">IFERROR(D640/VLOOKUP(A640,'Dados-Status-Invest'!$1:$1000,14,FALSE()),"")</f>
        <v/>
      </c>
      <c r="J640" s="9" t="str">
        <f aca="false">IFERROR(D640/VLOOKUP(A640,'Dados-Status-Invest'!$1:$1000,10,FALSE()),"")</f>
        <v/>
      </c>
      <c r="K640" s="10" t="str">
        <f aca="false">IFERROR(VLOOKUP(A640,'Dados-Status-Invest'!$1:$1000,3,FALSE())/100,"")</f>
        <v/>
      </c>
      <c r="L640" s="11" t="str">
        <f aca="false">IFERROR(VLOOKUP(A640,'Dados-Status-Invest'!$1:$1000,MATCH(L$1,'Dados-Status-Invest'!$2:$2,0),FALSE())/100,"")</f>
        <v/>
      </c>
      <c r="M640" s="10" t="str">
        <f aca="false">IFERROR(VLOOKUP(A640,'Dados-Status-Invest'!$1:$1000,MATCH(M$1,'Dados-Status-Invest'!$2:$2,0),FALSE())/100,"")</f>
        <v/>
      </c>
      <c r="N640" s="10" t="str">
        <f aca="false">IFERROR(VLOOKUP(A640,'Dados-Status-Invest'!$1:$1000,MATCH(N$1,'Dados-Status-Invest'!$2:$2,0),FALSE())/100,"")</f>
        <v/>
      </c>
      <c r="O640" s="10" t="str">
        <f aca="false">IFERROR(VLOOKUP(A640,'Dados-Status-Invest'!$1:$1000,MATCH(O$1,'Dados-Status-Invest'!$2:$2,0),FALSE())/100,"")</f>
        <v/>
      </c>
      <c r="P640" s="10" t="str">
        <f aca="false">IFERROR(VLOOKUP(A640,'Dados-Status-Invest'!$1:$1000,MATCH(P$1,'Dados-Status-Invest'!$2:$2,0),FALSE())/100,"")</f>
        <v/>
      </c>
      <c r="Q640" s="10" t="str">
        <f aca="false">IFERROR(VLOOKUP(A640,'Dados-Status-Invest'!$1:$1000,MATCH(Q$1,'Dados-Status-Invest'!$2:$2,0),FALSE())/100,"")</f>
        <v/>
      </c>
      <c r="R640" s="12" t="str">
        <f aca="false">IFERROR(VLOOKUP(A640,'Dados-Status-Invest'!$1:$1000,MATCH(R$1,'Dados-Status-Invest'!$2:$2,0),FALSE()),"")</f>
        <v/>
      </c>
      <c r="S640" s="12" t="str">
        <f aca="false">IFERROR(VLOOKUP(A640,'Dados-Status-Invest'!$1:$1000,MATCH(S$1,'Dados-Status-Invest'!$2:$2,0),FALSE()),"")</f>
        <v/>
      </c>
      <c r="T640" s="12" t="str">
        <f aca="false">IFERROR(VLOOKUP(A640,'Dados-Status-Invest'!$1:$1000,MATCH(T$1,'Dados-Status-Invest'!$2:$2,0),FALSE()),"")</f>
        <v/>
      </c>
      <c r="U640" s="12" t="str">
        <f aca="false">IFERROR(VLOOKUP(A640,'Dados-Status-Invest'!$1:$1000,MATCH(U$1,'Dados-Status-Invest'!$2:$2,0),FALSE()),"")</f>
        <v/>
      </c>
      <c r="V640" s="12" t="str">
        <f aca="false">IFERROR(VLOOKUP(A640,'Dados-Status-Invest'!$1:$1000,MATCH(V$1,'Dados-Status-Invest'!$2:$2,0),FALSE()),"")</f>
        <v/>
      </c>
      <c r="W640" s="10" t="str">
        <f aca="false">IFERROR(VLOOKUP(A640,'Dados-Status-Invest'!$1:$1000,MATCH(W$1,'Dados-Status-Invest'!$2:$2,0),FALSE())/100,"")</f>
        <v/>
      </c>
      <c r="X640" s="10" t="str">
        <f aca="false">IFERROR(VLOOKUP(A640,'Dados-Status-Invest'!$1:$1000,MATCH(X$1,'Dados-Status-Invest'!$2:$2,0),FALSE())/100,"")</f>
        <v/>
      </c>
    </row>
    <row r="641" customFormat="false" ht="15.75" hidden="false" customHeight="false" outlineLevel="0" collapsed="false">
      <c r="B641" s="7" t="str">
        <f aca="false">IFERROR(VLOOKUP(LEFT(A641,4),Setor!A:D,2,FALSE()),"")</f>
        <v/>
      </c>
      <c r="C641" s="8" t="str">
        <f aca="false">IFERROR(__xludf.dummyfunction("IFERROR(IFERROR(GOOGLEFINANCE(A647,""price""),VLOOKUP(A647,'Dados-Status-Invest'!A:B,2,FALSE)),"""")"),"")</f>
        <v/>
      </c>
      <c r="D641" s="8" t="str">
        <f aca="false">IFERROR(VLOOKUP(A641,'Dados-Status-Invest'!$1:$1000,MATCH(D$1,'Dados-Status-Invest'!$2:$2,0),FALSE()),"")</f>
        <v/>
      </c>
      <c r="E641" s="8" t="e">
        <f aca="false">IF(D641+H641&gt;0,D641+H641,"")</f>
        <v>#VALUE!</v>
      </c>
      <c r="F641" s="8" t="str">
        <f aca="false">IFERROR(D641/VLOOKUP(A641,'Dados-Status-Invest'!$1:$1000,5,FALSE()),"")</f>
        <v/>
      </c>
      <c r="G641" s="8" t="str">
        <f aca="false">IFERROR(D641/VLOOKUP(A641,'Dados-Status-Invest'!$1:$1000,6,FALSE()),"")</f>
        <v/>
      </c>
      <c r="H641" s="8" t="str">
        <f aca="false">IFERROR(VLOOKUP(A641,'Dados-Status-Invest'!$1:$1000,12,FALSE())*J641,"")</f>
        <v/>
      </c>
      <c r="I641" s="8" t="str">
        <f aca="false">IFERROR(D641/VLOOKUP(A641,'Dados-Status-Invest'!$1:$1000,14,FALSE()),"")</f>
        <v/>
      </c>
      <c r="J641" s="9" t="str">
        <f aca="false">IFERROR(D641/VLOOKUP(A641,'Dados-Status-Invest'!$1:$1000,10,FALSE()),"")</f>
        <v/>
      </c>
      <c r="K641" s="10" t="str">
        <f aca="false">IFERROR(VLOOKUP(A641,'Dados-Status-Invest'!$1:$1000,3,FALSE())/100,"")</f>
        <v/>
      </c>
      <c r="L641" s="11" t="str">
        <f aca="false">IFERROR(VLOOKUP(A641,'Dados-Status-Invest'!$1:$1000,MATCH(L$1,'Dados-Status-Invest'!$2:$2,0),FALSE())/100,"")</f>
        <v/>
      </c>
      <c r="M641" s="10" t="str">
        <f aca="false">IFERROR(VLOOKUP(A641,'Dados-Status-Invest'!$1:$1000,MATCH(M$1,'Dados-Status-Invest'!$2:$2,0),FALSE())/100,"")</f>
        <v/>
      </c>
      <c r="N641" s="10" t="str">
        <f aca="false">IFERROR(VLOOKUP(A641,'Dados-Status-Invest'!$1:$1000,MATCH(N$1,'Dados-Status-Invest'!$2:$2,0),FALSE())/100,"")</f>
        <v/>
      </c>
      <c r="O641" s="10" t="str">
        <f aca="false">IFERROR(VLOOKUP(A641,'Dados-Status-Invest'!$1:$1000,MATCH(O$1,'Dados-Status-Invest'!$2:$2,0),FALSE())/100,"")</f>
        <v/>
      </c>
      <c r="P641" s="10" t="str">
        <f aca="false">IFERROR(VLOOKUP(A641,'Dados-Status-Invest'!$1:$1000,MATCH(P$1,'Dados-Status-Invest'!$2:$2,0),FALSE())/100,"")</f>
        <v/>
      </c>
      <c r="Q641" s="10" t="str">
        <f aca="false">IFERROR(VLOOKUP(A641,'Dados-Status-Invest'!$1:$1000,MATCH(Q$1,'Dados-Status-Invest'!$2:$2,0),FALSE())/100,"")</f>
        <v/>
      </c>
      <c r="R641" s="12" t="str">
        <f aca="false">IFERROR(VLOOKUP(A641,'Dados-Status-Invest'!$1:$1000,MATCH(R$1,'Dados-Status-Invest'!$2:$2,0),FALSE()),"")</f>
        <v/>
      </c>
      <c r="S641" s="12" t="str">
        <f aca="false">IFERROR(VLOOKUP(A641,'Dados-Status-Invest'!$1:$1000,MATCH(S$1,'Dados-Status-Invest'!$2:$2,0),FALSE()),"")</f>
        <v/>
      </c>
      <c r="T641" s="12" t="str">
        <f aca="false">IFERROR(VLOOKUP(A641,'Dados-Status-Invest'!$1:$1000,MATCH(T$1,'Dados-Status-Invest'!$2:$2,0),FALSE()),"")</f>
        <v/>
      </c>
      <c r="U641" s="12" t="str">
        <f aca="false">IFERROR(VLOOKUP(A641,'Dados-Status-Invest'!$1:$1000,MATCH(U$1,'Dados-Status-Invest'!$2:$2,0),FALSE()),"")</f>
        <v/>
      </c>
      <c r="V641" s="12" t="str">
        <f aca="false">IFERROR(VLOOKUP(A641,'Dados-Status-Invest'!$1:$1000,MATCH(V$1,'Dados-Status-Invest'!$2:$2,0),FALSE()),"")</f>
        <v/>
      </c>
      <c r="W641" s="10" t="str">
        <f aca="false">IFERROR(VLOOKUP(A641,'Dados-Status-Invest'!$1:$1000,MATCH(W$1,'Dados-Status-Invest'!$2:$2,0),FALSE())/100,"")</f>
        <v/>
      </c>
      <c r="X641" s="10" t="str">
        <f aca="false">IFERROR(VLOOKUP(A641,'Dados-Status-Invest'!$1:$1000,MATCH(X$1,'Dados-Status-Invest'!$2:$2,0),FALSE())/100,"")</f>
        <v/>
      </c>
    </row>
    <row r="642" customFormat="false" ht="15.75" hidden="false" customHeight="false" outlineLevel="0" collapsed="false">
      <c r="B642" s="7" t="str">
        <f aca="false">IFERROR(VLOOKUP(LEFT(A642,4),Setor!A:D,2,FALSE()),"")</f>
        <v/>
      </c>
      <c r="C642" s="8" t="str">
        <f aca="false">IFERROR(__xludf.dummyfunction("IFERROR(IFERROR(GOOGLEFINANCE(A648,""price""),VLOOKUP(A648,'Dados-Status-Invest'!A:B,2,FALSE)),"""")"),"")</f>
        <v/>
      </c>
      <c r="D642" s="8" t="str">
        <f aca="false">IFERROR(VLOOKUP(A642,'Dados-Status-Invest'!$1:$1000,MATCH(D$1,'Dados-Status-Invest'!$2:$2,0),FALSE()),"")</f>
        <v/>
      </c>
      <c r="E642" s="8" t="e">
        <f aca="false">IF(D642+H642&gt;0,D642+H642,"")</f>
        <v>#VALUE!</v>
      </c>
      <c r="F642" s="8" t="str">
        <f aca="false">IFERROR(D642/VLOOKUP(A642,'Dados-Status-Invest'!$1:$1000,5,FALSE()),"")</f>
        <v/>
      </c>
      <c r="G642" s="8" t="str">
        <f aca="false">IFERROR(D642/VLOOKUP(A642,'Dados-Status-Invest'!$1:$1000,6,FALSE()),"")</f>
        <v/>
      </c>
      <c r="H642" s="8" t="str">
        <f aca="false">IFERROR(VLOOKUP(A642,'Dados-Status-Invest'!$1:$1000,12,FALSE())*J642,"")</f>
        <v/>
      </c>
      <c r="I642" s="8" t="str">
        <f aca="false">IFERROR(D642/VLOOKUP(A642,'Dados-Status-Invest'!$1:$1000,14,FALSE()),"")</f>
        <v/>
      </c>
      <c r="J642" s="9" t="str">
        <f aca="false">IFERROR(D642/VLOOKUP(A642,'Dados-Status-Invest'!$1:$1000,10,FALSE()),"")</f>
        <v/>
      </c>
      <c r="K642" s="10" t="str">
        <f aca="false">IFERROR(VLOOKUP(A642,'Dados-Status-Invest'!$1:$1000,3,FALSE())/100,"")</f>
        <v/>
      </c>
      <c r="L642" s="11" t="str">
        <f aca="false">IFERROR(VLOOKUP(A642,'Dados-Status-Invest'!$1:$1000,MATCH(L$1,'Dados-Status-Invest'!$2:$2,0),FALSE())/100,"")</f>
        <v/>
      </c>
      <c r="M642" s="10" t="str">
        <f aca="false">IFERROR(VLOOKUP(A642,'Dados-Status-Invest'!$1:$1000,MATCH(M$1,'Dados-Status-Invest'!$2:$2,0),FALSE())/100,"")</f>
        <v/>
      </c>
      <c r="N642" s="10" t="str">
        <f aca="false">IFERROR(VLOOKUP(A642,'Dados-Status-Invest'!$1:$1000,MATCH(N$1,'Dados-Status-Invest'!$2:$2,0),FALSE())/100,"")</f>
        <v/>
      </c>
      <c r="O642" s="10" t="str">
        <f aca="false">IFERROR(VLOOKUP(A642,'Dados-Status-Invest'!$1:$1000,MATCH(O$1,'Dados-Status-Invest'!$2:$2,0),FALSE())/100,"")</f>
        <v/>
      </c>
      <c r="P642" s="10" t="str">
        <f aca="false">IFERROR(VLOOKUP(A642,'Dados-Status-Invest'!$1:$1000,MATCH(P$1,'Dados-Status-Invest'!$2:$2,0),FALSE())/100,"")</f>
        <v/>
      </c>
      <c r="Q642" s="10" t="str">
        <f aca="false">IFERROR(VLOOKUP(A642,'Dados-Status-Invest'!$1:$1000,MATCH(Q$1,'Dados-Status-Invest'!$2:$2,0),FALSE())/100,"")</f>
        <v/>
      </c>
      <c r="R642" s="12" t="str">
        <f aca="false">IFERROR(VLOOKUP(A642,'Dados-Status-Invest'!$1:$1000,MATCH(R$1,'Dados-Status-Invest'!$2:$2,0),FALSE()),"")</f>
        <v/>
      </c>
      <c r="S642" s="12" t="str">
        <f aca="false">IFERROR(VLOOKUP(A642,'Dados-Status-Invest'!$1:$1000,MATCH(S$1,'Dados-Status-Invest'!$2:$2,0),FALSE()),"")</f>
        <v/>
      </c>
      <c r="T642" s="12" t="str">
        <f aca="false">IFERROR(VLOOKUP(A642,'Dados-Status-Invest'!$1:$1000,MATCH(T$1,'Dados-Status-Invest'!$2:$2,0),FALSE()),"")</f>
        <v/>
      </c>
      <c r="U642" s="12" t="str">
        <f aca="false">IFERROR(VLOOKUP(A642,'Dados-Status-Invest'!$1:$1000,MATCH(U$1,'Dados-Status-Invest'!$2:$2,0),FALSE()),"")</f>
        <v/>
      </c>
      <c r="V642" s="12" t="str">
        <f aca="false">IFERROR(VLOOKUP(A642,'Dados-Status-Invest'!$1:$1000,MATCH(V$1,'Dados-Status-Invest'!$2:$2,0),FALSE()),"")</f>
        <v/>
      </c>
      <c r="W642" s="10" t="str">
        <f aca="false">IFERROR(VLOOKUP(A642,'Dados-Status-Invest'!$1:$1000,MATCH(W$1,'Dados-Status-Invest'!$2:$2,0),FALSE())/100,"")</f>
        <v/>
      </c>
      <c r="X642" s="10" t="str">
        <f aca="false">IFERROR(VLOOKUP(A642,'Dados-Status-Invest'!$1:$1000,MATCH(X$1,'Dados-Status-Invest'!$2:$2,0),FALSE())/100,"")</f>
        <v/>
      </c>
    </row>
    <row r="643" customFormat="false" ht="15.75" hidden="false" customHeight="false" outlineLevel="0" collapsed="false">
      <c r="B643" s="7" t="str">
        <f aca="false">IFERROR(VLOOKUP(LEFT(A643,4),Setor!A:D,2,FALSE()),"")</f>
        <v/>
      </c>
      <c r="C643" s="8" t="str">
        <f aca="false">IFERROR(__xludf.dummyfunction("IFERROR(IFERROR(GOOGLEFINANCE(A649,""price""),VLOOKUP(A649,'Dados-Status-Invest'!A:B,2,FALSE)),"""")"),"")</f>
        <v/>
      </c>
      <c r="D643" s="8" t="str">
        <f aca="false">IFERROR(VLOOKUP(A643,'Dados-Status-Invest'!$1:$1000,MATCH(D$1,'Dados-Status-Invest'!$2:$2,0),FALSE()),"")</f>
        <v/>
      </c>
      <c r="E643" s="8" t="e">
        <f aca="false">IF(D643+H643&gt;0,D643+H643,"")</f>
        <v>#VALUE!</v>
      </c>
      <c r="F643" s="8" t="str">
        <f aca="false">IFERROR(D643/VLOOKUP(A643,'Dados-Status-Invest'!$1:$1000,5,FALSE()),"")</f>
        <v/>
      </c>
      <c r="G643" s="8" t="str">
        <f aca="false">IFERROR(D643/VLOOKUP(A643,'Dados-Status-Invest'!$1:$1000,6,FALSE()),"")</f>
        <v/>
      </c>
      <c r="H643" s="8" t="str">
        <f aca="false">IFERROR(VLOOKUP(A643,'Dados-Status-Invest'!$1:$1000,12,FALSE())*J643,"")</f>
        <v/>
      </c>
      <c r="I643" s="8" t="str">
        <f aca="false">IFERROR(D643/VLOOKUP(A643,'Dados-Status-Invest'!$1:$1000,14,FALSE()),"")</f>
        <v/>
      </c>
      <c r="J643" s="9" t="str">
        <f aca="false">IFERROR(D643/VLOOKUP(A643,'Dados-Status-Invest'!$1:$1000,10,FALSE()),"")</f>
        <v/>
      </c>
      <c r="K643" s="10" t="str">
        <f aca="false">IFERROR(VLOOKUP(A643,'Dados-Status-Invest'!$1:$1000,3,FALSE())/100,"")</f>
        <v/>
      </c>
      <c r="L643" s="11" t="str">
        <f aca="false">IFERROR(VLOOKUP(A643,'Dados-Status-Invest'!$1:$1000,MATCH(L$1,'Dados-Status-Invest'!$2:$2,0),FALSE())/100,"")</f>
        <v/>
      </c>
      <c r="M643" s="10" t="str">
        <f aca="false">IFERROR(VLOOKUP(A643,'Dados-Status-Invest'!$1:$1000,MATCH(M$1,'Dados-Status-Invest'!$2:$2,0),FALSE())/100,"")</f>
        <v/>
      </c>
      <c r="N643" s="10" t="str">
        <f aca="false">IFERROR(VLOOKUP(A643,'Dados-Status-Invest'!$1:$1000,MATCH(N$1,'Dados-Status-Invest'!$2:$2,0),FALSE())/100,"")</f>
        <v/>
      </c>
      <c r="O643" s="10" t="str">
        <f aca="false">IFERROR(VLOOKUP(A643,'Dados-Status-Invest'!$1:$1000,MATCH(O$1,'Dados-Status-Invest'!$2:$2,0),FALSE())/100,"")</f>
        <v/>
      </c>
      <c r="P643" s="10" t="str">
        <f aca="false">IFERROR(VLOOKUP(A643,'Dados-Status-Invest'!$1:$1000,MATCH(P$1,'Dados-Status-Invest'!$2:$2,0),FALSE())/100,"")</f>
        <v/>
      </c>
      <c r="Q643" s="10" t="str">
        <f aca="false">IFERROR(VLOOKUP(A643,'Dados-Status-Invest'!$1:$1000,MATCH(Q$1,'Dados-Status-Invest'!$2:$2,0),FALSE())/100,"")</f>
        <v/>
      </c>
      <c r="R643" s="12" t="str">
        <f aca="false">IFERROR(VLOOKUP(A643,'Dados-Status-Invest'!$1:$1000,MATCH(R$1,'Dados-Status-Invest'!$2:$2,0),FALSE()),"")</f>
        <v/>
      </c>
      <c r="S643" s="12" t="str">
        <f aca="false">IFERROR(VLOOKUP(A643,'Dados-Status-Invest'!$1:$1000,MATCH(S$1,'Dados-Status-Invest'!$2:$2,0),FALSE()),"")</f>
        <v/>
      </c>
      <c r="T643" s="12" t="str">
        <f aca="false">IFERROR(VLOOKUP(A643,'Dados-Status-Invest'!$1:$1000,MATCH(T$1,'Dados-Status-Invest'!$2:$2,0),FALSE()),"")</f>
        <v/>
      </c>
      <c r="U643" s="12" t="str">
        <f aca="false">IFERROR(VLOOKUP(A643,'Dados-Status-Invest'!$1:$1000,MATCH(U$1,'Dados-Status-Invest'!$2:$2,0),FALSE()),"")</f>
        <v/>
      </c>
      <c r="V643" s="12" t="str">
        <f aca="false">IFERROR(VLOOKUP(A643,'Dados-Status-Invest'!$1:$1000,MATCH(V$1,'Dados-Status-Invest'!$2:$2,0),FALSE()),"")</f>
        <v/>
      </c>
      <c r="W643" s="10" t="str">
        <f aca="false">IFERROR(VLOOKUP(A643,'Dados-Status-Invest'!$1:$1000,MATCH(W$1,'Dados-Status-Invest'!$2:$2,0),FALSE())/100,"")</f>
        <v/>
      </c>
      <c r="X643" s="10" t="str">
        <f aca="false">IFERROR(VLOOKUP(A643,'Dados-Status-Invest'!$1:$1000,MATCH(X$1,'Dados-Status-Invest'!$2:$2,0),FALSE())/100,"")</f>
        <v/>
      </c>
    </row>
    <row r="644" customFormat="false" ht="15.75" hidden="false" customHeight="false" outlineLevel="0" collapsed="false">
      <c r="B644" s="7" t="str">
        <f aca="false">IFERROR(VLOOKUP(LEFT(A644,4),Setor!A:D,2,FALSE()),"")</f>
        <v/>
      </c>
      <c r="C644" s="8" t="str">
        <f aca="false">IFERROR(__xludf.dummyfunction("IFERROR(IFERROR(GOOGLEFINANCE(A650,""price""),VLOOKUP(A650,'Dados-Status-Invest'!A:B,2,FALSE)),"""")"),"")</f>
        <v/>
      </c>
      <c r="D644" s="8" t="str">
        <f aca="false">IFERROR(VLOOKUP(A644,'Dados-Status-Invest'!$1:$1000,MATCH(D$1,'Dados-Status-Invest'!$2:$2,0),FALSE()),"")</f>
        <v/>
      </c>
      <c r="E644" s="8" t="e">
        <f aca="false">IF(D644+H644&gt;0,D644+H644,"")</f>
        <v>#VALUE!</v>
      </c>
      <c r="F644" s="8" t="str">
        <f aca="false">IFERROR(D644/VLOOKUP(A644,'Dados-Status-Invest'!$1:$1000,5,FALSE()),"")</f>
        <v/>
      </c>
      <c r="G644" s="8" t="str">
        <f aca="false">IFERROR(D644/VLOOKUP(A644,'Dados-Status-Invest'!$1:$1000,6,FALSE()),"")</f>
        <v/>
      </c>
      <c r="H644" s="8" t="str">
        <f aca="false">IFERROR(VLOOKUP(A644,'Dados-Status-Invest'!$1:$1000,12,FALSE())*J644,"")</f>
        <v/>
      </c>
      <c r="I644" s="8" t="str">
        <f aca="false">IFERROR(D644/VLOOKUP(A644,'Dados-Status-Invest'!$1:$1000,14,FALSE()),"")</f>
        <v/>
      </c>
      <c r="J644" s="9" t="str">
        <f aca="false">IFERROR(D644/VLOOKUP(A644,'Dados-Status-Invest'!$1:$1000,10,FALSE()),"")</f>
        <v/>
      </c>
      <c r="K644" s="10" t="str">
        <f aca="false">IFERROR(VLOOKUP(A644,'Dados-Status-Invest'!$1:$1000,3,FALSE())/100,"")</f>
        <v/>
      </c>
      <c r="L644" s="11" t="str">
        <f aca="false">IFERROR(VLOOKUP(A644,'Dados-Status-Invest'!$1:$1000,MATCH(L$1,'Dados-Status-Invest'!$2:$2,0),FALSE())/100,"")</f>
        <v/>
      </c>
      <c r="M644" s="10" t="str">
        <f aca="false">IFERROR(VLOOKUP(A644,'Dados-Status-Invest'!$1:$1000,MATCH(M$1,'Dados-Status-Invest'!$2:$2,0),FALSE())/100,"")</f>
        <v/>
      </c>
      <c r="N644" s="10" t="str">
        <f aca="false">IFERROR(VLOOKUP(A644,'Dados-Status-Invest'!$1:$1000,MATCH(N$1,'Dados-Status-Invest'!$2:$2,0),FALSE())/100,"")</f>
        <v/>
      </c>
      <c r="O644" s="10" t="str">
        <f aca="false">IFERROR(VLOOKUP(A644,'Dados-Status-Invest'!$1:$1000,MATCH(O$1,'Dados-Status-Invest'!$2:$2,0),FALSE())/100,"")</f>
        <v/>
      </c>
      <c r="P644" s="10" t="str">
        <f aca="false">IFERROR(VLOOKUP(A644,'Dados-Status-Invest'!$1:$1000,MATCH(P$1,'Dados-Status-Invest'!$2:$2,0),FALSE())/100,"")</f>
        <v/>
      </c>
      <c r="Q644" s="10" t="str">
        <f aca="false">IFERROR(VLOOKUP(A644,'Dados-Status-Invest'!$1:$1000,MATCH(Q$1,'Dados-Status-Invest'!$2:$2,0),FALSE())/100,"")</f>
        <v/>
      </c>
      <c r="R644" s="12" t="str">
        <f aca="false">IFERROR(VLOOKUP(A644,'Dados-Status-Invest'!$1:$1000,MATCH(R$1,'Dados-Status-Invest'!$2:$2,0),FALSE()),"")</f>
        <v/>
      </c>
      <c r="S644" s="12" t="str">
        <f aca="false">IFERROR(VLOOKUP(A644,'Dados-Status-Invest'!$1:$1000,MATCH(S$1,'Dados-Status-Invest'!$2:$2,0),FALSE()),"")</f>
        <v/>
      </c>
      <c r="T644" s="12" t="str">
        <f aca="false">IFERROR(VLOOKUP(A644,'Dados-Status-Invest'!$1:$1000,MATCH(T$1,'Dados-Status-Invest'!$2:$2,0),FALSE()),"")</f>
        <v/>
      </c>
      <c r="U644" s="12" t="str">
        <f aca="false">IFERROR(VLOOKUP(A644,'Dados-Status-Invest'!$1:$1000,MATCH(U$1,'Dados-Status-Invest'!$2:$2,0),FALSE()),"")</f>
        <v/>
      </c>
      <c r="V644" s="12" t="str">
        <f aca="false">IFERROR(VLOOKUP(A644,'Dados-Status-Invest'!$1:$1000,MATCH(V$1,'Dados-Status-Invest'!$2:$2,0),FALSE()),"")</f>
        <v/>
      </c>
      <c r="W644" s="10" t="str">
        <f aca="false">IFERROR(VLOOKUP(A644,'Dados-Status-Invest'!$1:$1000,MATCH(W$1,'Dados-Status-Invest'!$2:$2,0),FALSE())/100,"")</f>
        <v/>
      </c>
      <c r="X644" s="10" t="str">
        <f aca="false">IFERROR(VLOOKUP(A644,'Dados-Status-Invest'!$1:$1000,MATCH(X$1,'Dados-Status-Invest'!$2:$2,0),FALSE())/100,"")</f>
        <v/>
      </c>
    </row>
    <row r="645" customFormat="false" ht="15.75" hidden="false" customHeight="false" outlineLevel="0" collapsed="false">
      <c r="B645" s="7" t="str">
        <f aca="false">IFERROR(VLOOKUP(LEFT(A645,4),Setor!A:D,2,FALSE()),"")</f>
        <v/>
      </c>
      <c r="C645" s="8" t="str">
        <f aca="false">IFERROR(__xludf.dummyfunction("IFERROR(IFERROR(GOOGLEFINANCE(A651,""price""),VLOOKUP(A651,'Dados-Status-Invest'!A:B,2,FALSE)),"""")"),"")</f>
        <v/>
      </c>
      <c r="D645" s="8" t="str">
        <f aca="false">IFERROR(VLOOKUP(A645,'Dados-Status-Invest'!$1:$1000,MATCH(D$1,'Dados-Status-Invest'!$2:$2,0),FALSE()),"")</f>
        <v/>
      </c>
      <c r="E645" s="8" t="e">
        <f aca="false">IF(D645+H645&gt;0,D645+H645,"")</f>
        <v>#VALUE!</v>
      </c>
      <c r="F645" s="8" t="str">
        <f aca="false">IFERROR(D645/VLOOKUP(A645,'Dados-Status-Invest'!$1:$1000,5,FALSE()),"")</f>
        <v/>
      </c>
      <c r="G645" s="8" t="str">
        <f aca="false">IFERROR(D645/VLOOKUP(A645,'Dados-Status-Invest'!$1:$1000,6,FALSE()),"")</f>
        <v/>
      </c>
      <c r="H645" s="8" t="str">
        <f aca="false">IFERROR(VLOOKUP(A645,'Dados-Status-Invest'!$1:$1000,12,FALSE())*J645,"")</f>
        <v/>
      </c>
      <c r="I645" s="8" t="str">
        <f aca="false">IFERROR(D645/VLOOKUP(A645,'Dados-Status-Invest'!$1:$1000,14,FALSE()),"")</f>
        <v/>
      </c>
      <c r="J645" s="9" t="str">
        <f aca="false">IFERROR(D645/VLOOKUP(A645,'Dados-Status-Invest'!$1:$1000,10,FALSE()),"")</f>
        <v/>
      </c>
      <c r="K645" s="10" t="str">
        <f aca="false">IFERROR(VLOOKUP(A645,'Dados-Status-Invest'!$1:$1000,3,FALSE())/100,"")</f>
        <v/>
      </c>
      <c r="L645" s="11" t="str">
        <f aca="false">IFERROR(VLOOKUP(A645,'Dados-Status-Invest'!$1:$1000,MATCH(L$1,'Dados-Status-Invest'!$2:$2,0),FALSE())/100,"")</f>
        <v/>
      </c>
      <c r="M645" s="10" t="str">
        <f aca="false">IFERROR(VLOOKUP(A645,'Dados-Status-Invest'!$1:$1000,MATCH(M$1,'Dados-Status-Invest'!$2:$2,0),FALSE())/100,"")</f>
        <v/>
      </c>
      <c r="N645" s="10" t="str">
        <f aca="false">IFERROR(VLOOKUP(A645,'Dados-Status-Invest'!$1:$1000,MATCH(N$1,'Dados-Status-Invest'!$2:$2,0),FALSE())/100,"")</f>
        <v/>
      </c>
      <c r="O645" s="10" t="str">
        <f aca="false">IFERROR(VLOOKUP(A645,'Dados-Status-Invest'!$1:$1000,MATCH(O$1,'Dados-Status-Invest'!$2:$2,0),FALSE())/100,"")</f>
        <v/>
      </c>
      <c r="P645" s="10" t="str">
        <f aca="false">IFERROR(VLOOKUP(A645,'Dados-Status-Invest'!$1:$1000,MATCH(P$1,'Dados-Status-Invest'!$2:$2,0),FALSE())/100,"")</f>
        <v/>
      </c>
      <c r="Q645" s="10" t="str">
        <f aca="false">IFERROR(VLOOKUP(A645,'Dados-Status-Invest'!$1:$1000,MATCH(Q$1,'Dados-Status-Invest'!$2:$2,0),FALSE())/100,"")</f>
        <v/>
      </c>
      <c r="R645" s="12" t="str">
        <f aca="false">IFERROR(VLOOKUP(A645,'Dados-Status-Invest'!$1:$1000,MATCH(R$1,'Dados-Status-Invest'!$2:$2,0),FALSE()),"")</f>
        <v/>
      </c>
      <c r="S645" s="12" t="str">
        <f aca="false">IFERROR(VLOOKUP(A645,'Dados-Status-Invest'!$1:$1000,MATCH(S$1,'Dados-Status-Invest'!$2:$2,0),FALSE()),"")</f>
        <v/>
      </c>
      <c r="T645" s="12" t="str">
        <f aca="false">IFERROR(VLOOKUP(A645,'Dados-Status-Invest'!$1:$1000,MATCH(T$1,'Dados-Status-Invest'!$2:$2,0),FALSE()),"")</f>
        <v/>
      </c>
      <c r="U645" s="12" t="str">
        <f aca="false">IFERROR(VLOOKUP(A645,'Dados-Status-Invest'!$1:$1000,MATCH(U$1,'Dados-Status-Invest'!$2:$2,0),FALSE()),"")</f>
        <v/>
      </c>
      <c r="V645" s="12" t="str">
        <f aca="false">IFERROR(VLOOKUP(A645,'Dados-Status-Invest'!$1:$1000,MATCH(V$1,'Dados-Status-Invest'!$2:$2,0),FALSE()),"")</f>
        <v/>
      </c>
      <c r="W645" s="10" t="str">
        <f aca="false">IFERROR(VLOOKUP(A645,'Dados-Status-Invest'!$1:$1000,MATCH(W$1,'Dados-Status-Invest'!$2:$2,0),FALSE())/100,"")</f>
        <v/>
      </c>
      <c r="X645" s="10" t="str">
        <f aca="false">IFERROR(VLOOKUP(A645,'Dados-Status-Invest'!$1:$1000,MATCH(X$1,'Dados-Status-Invest'!$2:$2,0),FALSE())/100,"")</f>
        <v/>
      </c>
    </row>
    <row r="646" customFormat="false" ht="15.75" hidden="false" customHeight="false" outlineLevel="0" collapsed="false">
      <c r="B646" s="7" t="str">
        <f aca="false">IFERROR(VLOOKUP(LEFT(A646,4),Setor!A:D,2,FALSE()),"")</f>
        <v/>
      </c>
      <c r="C646" s="8" t="str">
        <f aca="false">IFERROR(__xludf.dummyfunction("IFERROR(IFERROR(GOOGLEFINANCE(A652,""price""),VLOOKUP(A652,'Dados-Status-Invest'!A:B,2,FALSE)),"""")"),"")</f>
        <v/>
      </c>
      <c r="D646" s="8" t="str">
        <f aca="false">IFERROR(VLOOKUP(A646,'Dados-Status-Invest'!$1:$1000,MATCH(D$1,'Dados-Status-Invest'!$2:$2,0),FALSE()),"")</f>
        <v/>
      </c>
      <c r="E646" s="8" t="e">
        <f aca="false">IF(D646+H646&gt;0,D646+H646,"")</f>
        <v>#VALUE!</v>
      </c>
      <c r="F646" s="8" t="str">
        <f aca="false">IFERROR(D646/VLOOKUP(A646,'Dados-Status-Invest'!$1:$1000,5,FALSE()),"")</f>
        <v/>
      </c>
      <c r="G646" s="8" t="str">
        <f aca="false">IFERROR(D646/VLOOKUP(A646,'Dados-Status-Invest'!$1:$1000,6,FALSE()),"")</f>
        <v/>
      </c>
      <c r="H646" s="8" t="str">
        <f aca="false">IFERROR(VLOOKUP(A646,'Dados-Status-Invest'!$1:$1000,12,FALSE())*J646,"")</f>
        <v/>
      </c>
      <c r="I646" s="8" t="str">
        <f aca="false">IFERROR(D646/VLOOKUP(A646,'Dados-Status-Invest'!$1:$1000,14,FALSE()),"")</f>
        <v/>
      </c>
      <c r="J646" s="9" t="str">
        <f aca="false">IFERROR(D646/VLOOKUP(A646,'Dados-Status-Invest'!$1:$1000,10,FALSE()),"")</f>
        <v/>
      </c>
      <c r="K646" s="10" t="str">
        <f aca="false">IFERROR(VLOOKUP(A646,'Dados-Status-Invest'!$1:$1000,3,FALSE())/100,"")</f>
        <v/>
      </c>
      <c r="L646" s="11" t="str">
        <f aca="false">IFERROR(VLOOKUP(A646,'Dados-Status-Invest'!$1:$1000,MATCH(L$1,'Dados-Status-Invest'!$2:$2,0),FALSE())/100,"")</f>
        <v/>
      </c>
      <c r="M646" s="10" t="str">
        <f aca="false">IFERROR(VLOOKUP(A646,'Dados-Status-Invest'!$1:$1000,MATCH(M$1,'Dados-Status-Invest'!$2:$2,0),FALSE())/100,"")</f>
        <v/>
      </c>
      <c r="N646" s="10" t="str">
        <f aca="false">IFERROR(VLOOKUP(A646,'Dados-Status-Invest'!$1:$1000,MATCH(N$1,'Dados-Status-Invest'!$2:$2,0),FALSE())/100,"")</f>
        <v/>
      </c>
      <c r="O646" s="10" t="str">
        <f aca="false">IFERROR(VLOOKUP(A646,'Dados-Status-Invest'!$1:$1000,MATCH(O$1,'Dados-Status-Invest'!$2:$2,0),FALSE())/100,"")</f>
        <v/>
      </c>
      <c r="P646" s="10" t="str">
        <f aca="false">IFERROR(VLOOKUP(A646,'Dados-Status-Invest'!$1:$1000,MATCH(P$1,'Dados-Status-Invest'!$2:$2,0),FALSE())/100,"")</f>
        <v/>
      </c>
      <c r="Q646" s="10" t="str">
        <f aca="false">IFERROR(VLOOKUP(A646,'Dados-Status-Invest'!$1:$1000,MATCH(Q$1,'Dados-Status-Invest'!$2:$2,0),FALSE())/100,"")</f>
        <v/>
      </c>
      <c r="R646" s="12" t="str">
        <f aca="false">IFERROR(VLOOKUP(A646,'Dados-Status-Invest'!$1:$1000,MATCH(R$1,'Dados-Status-Invest'!$2:$2,0),FALSE()),"")</f>
        <v/>
      </c>
      <c r="S646" s="12" t="str">
        <f aca="false">IFERROR(VLOOKUP(A646,'Dados-Status-Invest'!$1:$1000,MATCH(S$1,'Dados-Status-Invest'!$2:$2,0),FALSE()),"")</f>
        <v/>
      </c>
      <c r="T646" s="12" t="str">
        <f aca="false">IFERROR(VLOOKUP(A646,'Dados-Status-Invest'!$1:$1000,MATCH(T$1,'Dados-Status-Invest'!$2:$2,0),FALSE()),"")</f>
        <v/>
      </c>
      <c r="U646" s="12" t="str">
        <f aca="false">IFERROR(VLOOKUP(A646,'Dados-Status-Invest'!$1:$1000,MATCH(U$1,'Dados-Status-Invest'!$2:$2,0),FALSE()),"")</f>
        <v/>
      </c>
      <c r="V646" s="12" t="str">
        <f aca="false">IFERROR(VLOOKUP(A646,'Dados-Status-Invest'!$1:$1000,MATCH(V$1,'Dados-Status-Invest'!$2:$2,0),FALSE()),"")</f>
        <v/>
      </c>
      <c r="W646" s="10" t="str">
        <f aca="false">IFERROR(VLOOKUP(A646,'Dados-Status-Invest'!$1:$1000,MATCH(W$1,'Dados-Status-Invest'!$2:$2,0),FALSE())/100,"")</f>
        <v/>
      </c>
      <c r="X646" s="10" t="str">
        <f aca="false">IFERROR(VLOOKUP(A646,'Dados-Status-Invest'!$1:$1000,MATCH(X$1,'Dados-Status-Invest'!$2:$2,0),FALSE())/100,"")</f>
        <v/>
      </c>
    </row>
    <row r="647" customFormat="false" ht="15.75" hidden="false" customHeight="false" outlineLevel="0" collapsed="false">
      <c r="B647" s="7" t="str">
        <f aca="false">IFERROR(VLOOKUP(LEFT(A647,4),Setor!A:D,2,FALSE()),"")</f>
        <v/>
      </c>
      <c r="C647" s="8" t="str">
        <f aca="false">IFERROR(__xludf.dummyfunction("IFERROR(IFERROR(GOOGLEFINANCE(A653,""price""),VLOOKUP(A653,'Dados-Status-Invest'!A:B,2,FALSE)),"""")"),"")</f>
        <v/>
      </c>
      <c r="D647" s="8" t="str">
        <f aca="false">IFERROR(VLOOKUP(A647,'Dados-Status-Invest'!$1:$1000,MATCH(D$1,'Dados-Status-Invest'!$2:$2,0),FALSE()),"")</f>
        <v/>
      </c>
      <c r="E647" s="8" t="e">
        <f aca="false">IF(D647+H647&gt;0,D647+H647,"")</f>
        <v>#VALUE!</v>
      </c>
      <c r="F647" s="8" t="str">
        <f aca="false">IFERROR(D647/VLOOKUP(A647,'Dados-Status-Invest'!$1:$1000,5,FALSE()),"")</f>
        <v/>
      </c>
      <c r="G647" s="8" t="str">
        <f aca="false">IFERROR(D647/VLOOKUP(A647,'Dados-Status-Invest'!$1:$1000,6,FALSE()),"")</f>
        <v/>
      </c>
      <c r="H647" s="8" t="str">
        <f aca="false">IFERROR(VLOOKUP(A647,'Dados-Status-Invest'!$1:$1000,12,FALSE())*J647,"")</f>
        <v/>
      </c>
      <c r="I647" s="8" t="str">
        <f aca="false">IFERROR(D647/VLOOKUP(A647,'Dados-Status-Invest'!$1:$1000,14,FALSE()),"")</f>
        <v/>
      </c>
      <c r="J647" s="9" t="str">
        <f aca="false">IFERROR(D647/VLOOKUP(A647,'Dados-Status-Invest'!$1:$1000,10,FALSE()),"")</f>
        <v/>
      </c>
      <c r="K647" s="10" t="str">
        <f aca="false">IFERROR(VLOOKUP(A647,'Dados-Status-Invest'!$1:$1000,3,FALSE())/100,"")</f>
        <v/>
      </c>
      <c r="L647" s="11" t="str">
        <f aca="false">IFERROR(VLOOKUP(A647,'Dados-Status-Invest'!$1:$1000,MATCH(L$1,'Dados-Status-Invest'!$2:$2,0),FALSE())/100,"")</f>
        <v/>
      </c>
      <c r="M647" s="10" t="str">
        <f aca="false">IFERROR(VLOOKUP(A647,'Dados-Status-Invest'!$1:$1000,MATCH(M$1,'Dados-Status-Invest'!$2:$2,0),FALSE())/100,"")</f>
        <v/>
      </c>
      <c r="N647" s="10" t="str">
        <f aca="false">IFERROR(VLOOKUP(A647,'Dados-Status-Invest'!$1:$1000,MATCH(N$1,'Dados-Status-Invest'!$2:$2,0),FALSE())/100,"")</f>
        <v/>
      </c>
      <c r="O647" s="10" t="str">
        <f aca="false">IFERROR(VLOOKUP(A647,'Dados-Status-Invest'!$1:$1000,MATCH(O$1,'Dados-Status-Invest'!$2:$2,0),FALSE())/100,"")</f>
        <v/>
      </c>
      <c r="P647" s="10" t="str">
        <f aca="false">IFERROR(VLOOKUP(A647,'Dados-Status-Invest'!$1:$1000,MATCH(P$1,'Dados-Status-Invest'!$2:$2,0),FALSE())/100,"")</f>
        <v/>
      </c>
      <c r="Q647" s="10" t="str">
        <f aca="false">IFERROR(VLOOKUP(A647,'Dados-Status-Invest'!$1:$1000,MATCH(Q$1,'Dados-Status-Invest'!$2:$2,0),FALSE())/100,"")</f>
        <v/>
      </c>
      <c r="R647" s="12" t="str">
        <f aca="false">IFERROR(VLOOKUP(A647,'Dados-Status-Invest'!$1:$1000,MATCH(R$1,'Dados-Status-Invest'!$2:$2,0),FALSE()),"")</f>
        <v/>
      </c>
      <c r="S647" s="12" t="str">
        <f aca="false">IFERROR(VLOOKUP(A647,'Dados-Status-Invest'!$1:$1000,MATCH(S$1,'Dados-Status-Invest'!$2:$2,0),FALSE()),"")</f>
        <v/>
      </c>
      <c r="T647" s="12" t="str">
        <f aca="false">IFERROR(VLOOKUP(A647,'Dados-Status-Invest'!$1:$1000,MATCH(T$1,'Dados-Status-Invest'!$2:$2,0),FALSE()),"")</f>
        <v/>
      </c>
      <c r="U647" s="12" t="str">
        <f aca="false">IFERROR(VLOOKUP(A647,'Dados-Status-Invest'!$1:$1000,MATCH(U$1,'Dados-Status-Invest'!$2:$2,0),FALSE()),"")</f>
        <v/>
      </c>
      <c r="V647" s="12" t="str">
        <f aca="false">IFERROR(VLOOKUP(A647,'Dados-Status-Invest'!$1:$1000,MATCH(V$1,'Dados-Status-Invest'!$2:$2,0),FALSE()),"")</f>
        <v/>
      </c>
      <c r="W647" s="10" t="str">
        <f aca="false">IFERROR(VLOOKUP(A647,'Dados-Status-Invest'!$1:$1000,MATCH(W$1,'Dados-Status-Invest'!$2:$2,0),FALSE())/100,"")</f>
        <v/>
      </c>
      <c r="X647" s="10" t="str">
        <f aca="false">IFERROR(VLOOKUP(A647,'Dados-Status-Invest'!$1:$1000,MATCH(X$1,'Dados-Status-Invest'!$2:$2,0),FALSE())/100,"")</f>
        <v/>
      </c>
    </row>
    <row r="648" customFormat="false" ht="15.75" hidden="false" customHeight="false" outlineLevel="0" collapsed="false">
      <c r="B648" s="7" t="str">
        <f aca="false">IFERROR(VLOOKUP(LEFT(A648,4),Setor!A:D,2,FALSE()),"")</f>
        <v/>
      </c>
      <c r="C648" s="8" t="str">
        <f aca="false">IFERROR(__xludf.dummyfunction("IFERROR(IFERROR(GOOGLEFINANCE(A654,""price""),VLOOKUP(A654,'Dados-Status-Invest'!A:B,2,FALSE)),"""")"),"")</f>
        <v/>
      </c>
      <c r="D648" s="8" t="str">
        <f aca="false">IFERROR(VLOOKUP(A648,'Dados-Status-Invest'!$1:$1000,MATCH(D$1,'Dados-Status-Invest'!$2:$2,0),FALSE()),"")</f>
        <v/>
      </c>
      <c r="E648" s="8" t="e">
        <f aca="false">IF(D648+H648&gt;0,D648+H648,"")</f>
        <v>#VALUE!</v>
      </c>
      <c r="F648" s="8" t="str">
        <f aca="false">IFERROR(D648/VLOOKUP(A648,'Dados-Status-Invest'!$1:$1000,5,FALSE()),"")</f>
        <v/>
      </c>
      <c r="G648" s="8" t="str">
        <f aca="false">IFERROR(D648/VLOOKUP(A648,'Dados-Status-Invest'!$1:$1000,6,FALSE()),"")</f>
        <v/>
      </c>
      <c r="H648" s="8" t="str">
        <f aca="false">IFERROR(VLOOKUP(A648,'Dados-Status-Invest'!$1:$1000,12,FALSE())*J648,"")</f>
        <v/>
      </c>
      <c r="I648" s="8" t="str">
        <f aca="false">IFERROR(D648/VLOOKUP(A648,'Dados-Status-Invest'!$1:$1000,14,FALSE()),"")</f>
        <v/>
      </c>
      <c r="J648" s="9" t="str">
        <f aca="false">IFERROR(D648/VLOOKUP(A648,'Dados-Status-Invest'!$1:$1000,10,FALSE()),"")</f>
        <v/>
      </c>
      <c r="K648" s="10" t="str">
        <f aca="false">IFERROR(VLOOKUP(A648,'Dados-Status-Invest'!$1:$1000,3,FALSE())/100,"")</f>
        <v/>
      </c>
      <c r="L648" s="11" t="str">
        <f aca="false">IFERROR(VLOOKUP(A648,'Dados-Status-Invest'!$1:$1000,MATCH(L$1,'Dados-Status-Invest'!$2:$2,0),FALSE())/100,"")</f>
        <v/>
      </c>
      <c r="M648" s="10" t="str">
        <f aca="false">IFERROR(VLOOKUP(A648,'Dados-Status-Invest'!$1:$1000,MATCH(M$1,'Dados-Status-Invest'!$2:$2,0),FALSE())/100,"")</f>
        <v/>
      </c>
      <c r="N648" s="10" t="str">
        <f aca="false">IFERROR(VLOOKUP(A648,'Dados-Status-Invest'!$1:$1000,MATCH(N$1,'Dados-Status-Invest'!$2:$2,0),FALSE())/100,"")</f>
        <v/>
      </c>
      <c r="O648" s="10" t="str">
        <f aca="false">IFERROR(VLOOKUP(A648,'Dados-Status-Invest'!$1:$1000,MATCH(O$1,'Dados-Status-Invest'!$2:$2,0),FALSE())/100,"")</f>
        <v/>
      </c>
      <c r="P648" s="10" t="str">
        <f aca="false">IFERROR(VLOOKUP(A648,'Dados-Status-Invest'!$1:$1000,MATCH(P$1,'Dados-Status-Invest'!$2:$2,0),FALSE())/100,"")</f>
        <v/>
      </c>
      <c r="Q648" s="10" t="str">
        <f aca="false">IFERROR(VLOOKUP(A648,'Dados-Status-Invest'!$1:$1000,MATCH(Q$1,'Dados-Status-Invest'!$2:$2,0),FALSE())/100,"")</f>
        <v/>
      </c>
      <c r="R648" s="12" t="str">
        <f aca="false">IFERROR(VLOOKUP(A648,'Dados-Status-Invest'!$1:$1000,MATCH(R$1,'Dados-Status-Invest'!$2:$2,0),FALSE()),"")</f>
        <v/>
      </c>
      <c r="S648" s="12" t="str">
        <f aca="false">IFERROR(VLOOKUP(A648,'Dados-Status-Invest'!$1:$1000,MATCH(S$1,'Dados-Status-Invest'!$2:$2,0),FALSE()),"")</f>
        <v/>
      </c>
      <c r="T648" s="12" t="str">
        <f aca="false">IFERROR(VLOOKUP(A648,'Dados-Status-Invest'!$1:$1000,MATCH(T$1,'Dados-Status-Invest'!$2:$2,0),FALSE()),"")</f>
        <v/>
      </c>
      <c r="U648" s="12" t="str">
        <f aca="false">IFERROR(VLOOKUP(A648,'Dados-Status-Invest'!$1:$1000,MATCH(U$1,'Dados-Status-Invest'!$2:$2,0),FALSE()),"")</f>
        <v/>
      </c>
      <c r="V648" s="12" t="str">
        <f aca="false">IFERROR(VLOOKUP(A648,'Dados-Status-Invest'!$1:$1000,MATCH(V$1,'Dados-Status-Invest'!$2:$2,0),FALSE()),"")</f>
        <v/>
      </c>
      <c r="W648" s="10" t="str">
        <f aca="false">IFERROR(VLOOKUP(A648,'Dados-Status-Invest'!$1:$1000,MATCH(W$1,'Dados-Status-Invest'!$2:$2,0),FALSE())/100,"")</f>
        <v/>
      </c>
      <c r="X648" s="10" t="str">
        <f aca="false">IFERROR(VLOOKUP(A648,'Dados-Status-Invest'!$1:$1000,MATCH(X$1,'Dados-Status-Invest'!$2:$2,0),FALSE())/100,"")</f>
        <v/>
      </c>
    </row>
    <row r="649" customFormat="false" ht="15.75" hidden="false" customHeight="false" outlineLevel="0" collapsed="false">
      <c r="B649" s="7" t="str">
        <f aca="false">IFERROR(VLOOKUP(LEFT(A649,4),Setor!A:D,2,FALSE()),"")</f>
        <v/>
      </c>
      <c r="C649" s="8" t="str">
        <f aca="false">IFERROR(__xludf.dummyfunction("IFERROR(IFERROR(GOOGLEFINANCE(A655,""price""),VLOOKUP(A655,'Dados-Status-Invest'!A:B,2,FALSE)),"""")"),"")</f>
        <v/>
      </c>
      <c r="D649" s="8" t="str">
        <f aca="false">IFERROR(VLOOKUP(A649,'Dados-Status-Invest'!$1:$1000,MATCH(D$1,'Dados-Status-Invest'!$2:$2,0),FALSE()),"")</f>
        <v/>
      </c>
      <c r="E649" s="8" t="e">
        <f aca="false">IF(D649+H649&gt;0,D649+H649,"")</f>
        <v>#VALUE!</v>
      </c>
      <c r="F649" s="8" t="str">
        <f aca="false">IFERROR(D649/VLOOKUP(A649,'Dados-Status-Invest'!$1:$1000,5,FALSE()),"")</f>
        <v/>
      </c>
      <c r="G649" s="8" t="str">
        <f aca="false">IFERROR(D649/VLOOKUP(A649,'Dados-Status-Invest'!$1:$1000,6,FALSE()),"")</f>
        <v/>
      </c>
      <c r="H649" s="8" t="str">
        <f aca="false">IFERROR(VLOOKUP(A649,'Dados-Status-Invest'!$1:$1000,12,FALSE())*J649,"")</f>
        <v/>
      </c>
      <c r="I649" s="8" t="str">
        <f aca="false">IFERROR(D649/VLOOKUP(A649,'Dados-Status-Invest'!$1:$1000,14,FALSE()),"")</f>
        <v/>
      </c>
      <c r="J649" s="9" t="str">
        <f aca="false">IFERROR(D649/VLOOKUP(A649,'Dados-Status-Invest'!$1:$1000,10,FALSE()),"")</f>
        <v/>
      </c>
      <c r="K649" s="10" t="str">
        <f aca="false">IFERROR(VLOOKUP(A649,'Dados-Status-Invest'!$1:$1000,3,FALSE())/100,"")</f>
        <v/>
      </c>
      <c r="L649" s="11" t="str">
        <f aca="false">IFERROR(VLOOKUP(A649,'Dados-Status-Invest'!$1:$1000,MATCH(L$1,'Dados-Status-Invest'!$2:$2,0),FALSE())/100,"")</f>
        <v/>
      </c>
      <c r="M649" s="10" t="str">
        <f aca="false">IFERROR(VLOOKUP(A649,'Dados-Status-Invest'!$1:$1000,MATCH(M$1,'Dados-Status-Invest'!$2:$2,0),FALSE())/100,"")</f>
        <v/>
      </c>
      <c r="N649" s="10" t="str">
        <f aca="false">IFERROR(VLOOKUP(A649,'Dados-Status-Invest'!$1:$1000,MATCH(N$1,'Dados-Status-Invest'!$2:$2,0),FALSE())/100,"")</f>
        <v/>
      </c>
      <c r="O649" s="10" t="str">
        <f aca="false">IFERROR(VLOOKUP(A649,'Dados-Status-Invest'!$1:$1000,MATCH(O$1,'Dados-Status-Invest'!$2:$2,0),FALSE())/100,"")</f>
        <v/>
      </c>
      <c r="P649" s="10" t="str">
        <f aca="false">IFERROR(VLOOKUP(A649,'Dados-Status-Invest'!$1:$1000,MATCH(P$1,'Dados-Status-Invest'!$2:$2,0),FALSE())/100,"")</f>
        <v/>
      </c>
      <c r="Q649" s="10" t="str">
        <f aca="false">IFERROR(VLOOKUP(A649,'Dados-Status-Invest'!$1:$1000,MATCH(Q$1,'Dados-Status-Invest'!$2:$2,0),FALSE())/100,"")</f>
        <v/>
      </c>
      <c r="R649" s="12" t="str">
        <f aca="false">IFERROR(VLOOKUP(A649,'Dados-Status-Invest'!$1:$1000,MATCH(R$1,'Dados-Status-Invest'!$2:$2,0),FALSE()),"")</f>
        <v/>
      </c>
      <c r="S649" s="12" t="str">
        <f aca="false">IFERROR(VLOOKUP(A649,'Dados-Status-Invest'!$1:$1000,MATCH(S$1,'Dados-Status-Invest'!$2:$2,0),FALSE()),"")</f>
        <v/>
      </c>
      <c r="T649" s="12" t="str">
        <f aca="false">IFERROR(VLOOKUP(A649,'Dados-Status-Invest'!$1:$1000,MATCH(T$1,'Dados-Status-Invest'!$2:$2,0),FALSE()),"")</f>
        <v/>
      </c>
      <c r="U649" s="12" t="str">
        <f aca="false">IFERROR(VLOOKUP(A649,'Dados-Status-Invest'!$1:$1000,MATCH(U$1,'Dados-Status-Invest'!$2:$2,0),FALSE()),"")</f>
        <v/>
      </c>
      <c r="V649" s="12" t="str">
        <f aca="false">IFERROR(VLOOKUP(A649,'Dados-Status-Invest'!$1:$1000,MATCH(V$1,'Dados-Status-Invest'!$2:$2,0),FALSE()),"")</f>
        <v/>
      </c>
      <c r="W649" s="10" t="str">
        <f aca="false">IFERROR(VLOOKUP(A649,'Dados-Status-Invest'!$1:$1000,MATCH(W$1,'Dados-Status-Invest'!$2:$2,0),FALSE())/100,"")</f>
        <v/>
      </c>
      <c r="X649" s="10" t="str">
        <f aca="false">IFERROR(VLOOKUP(A649,'Dados-Status-Invest'!$1:$1000,MATCH(X$1,'Dados-Status-Invest'!$2:$2,0),FALSE())/100,"")</f>
        <v/>
      </c>
    </row>
    <row r="650" customFormat="false" ht="15.75" hidden="false" customHeight="false" outlineLevel="0" collapsed="false">
      <c r="B650" s="7" t="str">
        <f aca="false">IFERROR(VLOOKUP(LEFT(A650,4),Setor!A:D,2,FALSE()),"")</f>
        <v/>
      </c>
      <c r="C650" s="8" t="str">
        <f aca="false">IFERROR(__xludf.dummyfunction("IFERROR(IFERROR(GOOGLEFINANCE(A656,""price""),VLOOKUP(A656,'Dados-Status-Invest'!A:B,2,FALSE)),"""")"),"")</f>
        <v/>
      </c>
      <c r="D650" s="8" t="str">
        <f aca="false">IFERROR(VLOOKUP(A650,'Dados-Status-Invest'!$1:$1000,MATCH(D$1,'Dados-Status-Invest'!$2:$2,0),FALSE()),"")</f>
        <v/>
      </c>
      <c r="E650" s="8" t="e">
        <f aca="false">IF(D650+H650&gt;0,D650+H650,"")</f>
        <v>#VALUE!</v>
      </c>
      <c r="F650" s="8" t="str">
        <f aca="false">IFERROR(D650/VLOOKUP(A650,'Dados-Status-Invest'!$1:$1000,5,FALSE()),"")</f>
        <v/>
      </c>
      <c r="G650" s="8" t="str">
        <f aca="false">IFERROR(D650/VLOOKUP(A650,'Dados-Status-Invest'!$1:$1000,6,FALSE()),"")</f>
        <v/>
      </c>
      <c r="H650" s="8" t="str">
        <f aca="false">IFERROR(VLOOKUP(A650,'Dados-Status-Invest'!$1:$1000,12,FALSE())*J650,"")</f>
        <v/>
      </c>
      <c r="I650" s="8" t="str">
        <f aca="false">IFERROR(D650/VLOOKUP(A650,'Dados-Status-Invest'!$1:$1000,14,FALSE()),"")</f>
        <v/>
      </c>
      <c r="J650" s="9" t="str">
        <f aca="false">IFERROR(D650/VLOOKUP(A650,'Dados-Status-Invest'!$1:$1000,10,FALSE()),"")</f>
        <v/>
      </c>
      <c r="K650" s="10" t="str">
        <f aca="false">IFERROR(VLOOKUP(A650,'Dados-Status-Invest'!$1:$1000,3,FALSE())/100,"")</f>
        <v/>
      </c>
      <c r="L650" s="11" t="str">
        <f aca="false">IFERROR(VLOOKUP(A650,'Dados-Status-Invest'!$1:$1000,MATCH(L$1,'Dados-Status-Invest'!$2:$2,0),FALSE())/100,"")</f>
        <v/>
      </c>
      <c r="M650" s="10" t="str">
        <f aca="false">IFERROR(VLOOKUP(A650,'Dados-Status-Invest'!$1:$1000,MATCH(M$1,'Dados-Status-Invest'!$2:$2,0),FALSE())/100,"")</f>
        <v/>
      </c>
      <c r="N650" s="10" t="str">
        <f aca="false">IFERROR(VLOOKUP(A650,'Dados-Status-Invest'!$1:$1000,MATCH(N$1,'Dados-Status-Invest'!$2:$2,0),FALSE())/100,"")</f>
        <v/>
      </c>
      <c r="O650" s="10" t="str">
        <f aca="false">IFERROR(VLOOKUP(A650,'Dados-Status-Invest'!$1:$1000,MATCH(O$1,'Dados-Status-Invest'!$2:$2,0),FALSE())/100,"")</f>
        <v/>
      </c>
      <c r="P650" s="10" t="str">
        <f aca="false">IFERROR(VLOOKUP(A650,'Dados-Status-Invest'!$1:$1000,MATCH(P$1,'Dados-Status-Invest'!$2:$2,0),FALSE())/100,"")</f>
        <v/>
      </c>
      <c r="Q650" s="10" t="str">
        <f aca="false">IFERROR(VLOOKUP(A650,'Dados-Status-Invest'!$1:$1000,MATCH(Q$1,'Dados-Status-Invest'!$2:$2,0),FALSE())/100,"")</f>
        <v/>
      </c>
      <c r="R650" s="12" t="str">
        <f aca="false">IFERROR(VLOOKUP(A650,'Dados-Status-Invest'!$1:$1000,MATCH(R$1,'Dados-Status-Invest'!$2:$2,0),FALSE()),"")</f>
        <v/>
      </c>
      <c r="S650" s="12" t="str">
        <f aca="false">IFERROR(VLOOKUP(A650,'Dados-Status-Invest'!$1:$1000,MATCH(S$1,'Dados-Status-Invest'!$2:$2,0),FALSE()),"")</f>
        <v/>
      </c>
      <c r="T650" s="12" t="str">
        <f aca="false">IFERROR(VLOOKUP(A650,'Dados-Status-Invest'!$1:$1000,MATCH(T$1,'Dados-Status-Invest'!$2:$2,0),FALSE()),"")</f>
        <v/>
      </c>
      <c r="U650" s="12" t="str">
        <f aca="false">IFERROR(VLOOKUP(A650,'Dados-Status-Invest'!$1:$1000,MATCH(U$1,'Dados-Status-Invest'!$2:$2,0),FALSE()),"")</f>
        <v/>
      </c>
      <c r="V650" s="12" t="str">
        <f aca="false">IFERROR(VLOOKUP(A650,'Dados-Status-Invest'!$1:$1000,MATCH(V$1,'Dados-Status-Invest'!$2:$2,0),FALSE()),"")</f>
        <v/>
      </c>
      <c r="W650" s="10" t="str">
        <f aca="false">IFERROR(VLOOKUP(A650,'Dados-Status-Invest'!$1:$1000,MATCH(W$1,'Dados-Status-Invest'!$2:$2,0),FALSE())/100,"")</f>
        <v/>
      </c>
      <c r="X650" s="10" t="str">
        <f aca="false">IFERROR(VLOOKUP(A650,'Dados-Status-Invest'!$1:$1000,MATCH(X$1,'Dados-Status-Invest'!$2:$2,0),FALSE())/100,"")</f>
        <v/>
      </c>
    </row>
    <row r="651" customFormat="false" ht="15.75" hidden="false" customHeight="false" outlineLevel="0" collapsed="false">
      <c r="B651" s="7" t="str">
        <f aca="false">IFERROR(VLOOKUP(LEFT(A651,4),Setor!A:D,2,FALSE()),"")</f>
        <v/>
      </c>
      <c r="C651" s="8" t="str">
        <f aca="false">IFERROR(__xludf.dummyfunction("IFERROR(IFERROR(GOOGLEFINANCE(A657,""price""),VLOOKUP(A657,'Dados-Status-Invest'!A:B,2,FALSE)),"""")"),"")</f>
        <v/>
      </c>
      <c r="D651" s="8" t="str">
        <f aca="false">IFERROR(VLOOKUP(A651,'Dados-Status-Invest'!$1:$1000,MATCH(D$1,'Dados-Status-Invest'!$2:$2,0),FALSE()),"")</f>
        <v/>
      </c>
      <c r="E651" s="8" t="e">
        <f aca="false">IF(D651+H651&gt;0,D651+H651,"")</f>
        <v>#VALUE!</v>
      </c>
      <c r="F651" s="8" t="str">
        <f aca="false">IFERROR(D651/VLOOKUP(A651,'Dados-Status-Invest'!$1:$1000,5,FALSE()),"")</f>
        <v/>
      </c>
      <c r="G651" s="8" t="str">
        <f aca="false">IFERROR(D651/VLOOKUP(A651,'Dados-Status-Invest'!$1:$1000,6,FALSE()),"")</f>
        <v/>
      </c>
      <c r="H651" s="8" t="str">
        <f aca="false">IFERROR(VLOOKUP(A651,'Dados-Status-Invest'!$1:$1000,12,FALSE())*J651,"")</f>
        <v/>
      </c>
      <c r="I651" s="8" t="str">
        <f aca="false">IFERROR(D651/VLOOKUP(A651,'Dados-Status-Invest'!$1:$1000,14,FALSE()),"")</f>
        <v/>
      </c>
      <c r="J651" s="9" t="str">
        <f aca="false">IFERROR(D651/VLOOKUP(A651,'Dados-Status-Invest'!$1:$1000,10,FALSE()),"")</f>
        <v/>
      </c>
      <c r="K651" s="10" t="str">
        <f aca="false">IFERROR(VLOOKUP(A651,'Dados-Status-Invest'!$1:$1000,3,FALSE())/100,"")</f>
        <v/>
      </c>
      <c r="L651" s="11" t="str">
        <f aca="false">IFERROR(VLOOKUP(A651,'Dados-Status-Invest'!$1:$1000,MATCH(L$1,'Dados-Status-Invest'!$2:$2,0),FALSE())/100,"")</f>
        <v/>
      </c>
      <c r="M651" s="10" t="str">
        <f aca="false">IFERROR(VLOOKUP(A651,'Dados-Status-Invest'!$1:$1000,MATCH(M$1,'Dados-Status-Invest'!$2:$2,0),FALSE())/100,"")</f>
        <v/>
      </c>
      <c r="N651" s="10" t="str">
        <f aca="false">IFERROR(VLOOKUP(A651,'Dados-Status-Invest'!$1:$1000,MATCH(N$1,'Dados-Status-Invest'!$2:$2,0),FALSE())/100,"")</f>
        <v/>
      </c>
      <c r="O651" s="10" t="str">
        <f aca="false">IFERROR(VLOOKUP(A651,'Dados-Status-Invest'!$1:$1000,MATCH(O$1,'Dados-Status-Invest'!$2:$2,0),FALSE())/100,"")</f>
        <v/>
      </c>
      <c r="P651" s="10" t="str">
        <f aca="false">IFERROR(VLOOKUP(A651,'Dados-Status-Invest'!$1:$1000,MATCH(P$1,'Dados-Status-Invest'!$2:$2,0),FALSE())/100,"")</f>
        <v/>
      </c>
      <c r="Q651" s="10" t="str">
        <f aca="false">IFERROR(VLOOKUP(A651,'Dados-Status-Invest'!$1:$1000,MATCH(Q$1,'Dados-Status-Invest'!$2:$2,0),FALSE())/100,"")</f>
        <v/>
      </c>
      <c r="R651" s="12" t="str">
        <f aca="false">IFERROR(VLOOKUP(A651,'Dados-Status-Invest'!$1:$1000,MATCH(R$1,'Dados-Status-Invest'!$2:$2,0),FALSE()),"")</f>
        <v/>
      </c>
      <c r="S651" s="12" t="str">
        <f aca="false">IFERROR(VLOOKUP(A651,'Dados-Status-Invest'!$1:$1000,MATCH(S$1,'Dados-Status-Invest'!$2:$2,0),FALSE()),"")</f>
        <v/>
      </c>
      <c r="T651" s="12" t="str">
        <f aca="false">IFERROR(VLOOKUP(A651,'Dados-Status-Invest'!$1:$1000,MATCH(T$1,'Dados-Status-Invest'!$2:$2,0),FALSE()),"")</f>
        <v/>
      </c>
      <c r="U651" s="12" t="str">
        <f aca="false">IFERROR(VLOOKUP(A651,'Dados-Status-Invest'!$1:$1000,MATCH(U$1,'Dados-Status-Invest'!$2:$2,0),FALSE()),"")</f>
        <v/>
      </c>
      <c r="V651" s="12" t="str">
        <f aca="false">IFERROR(VLOOKUP(A651,'Dados-Status-Invest'!$1:$1000,MATCH(V$1,'Dados-Status-Invest'!$2:$2,0),FALSE()),"")</f>
        <v/>
      </c>
      <c r="W651" s="10" t="str">
        <f aca="false">IFERROR(VLOOKUP(A651,'Dados-Status-Invest'!$1:$1000,MATCH(W$1,'Dados-Status-Invest'!$2:$2,0),FALSE())/100,"")</f>
        <v/>
      </c>
      <c r="X651" s="10" t="str">
        <f aca="false">IFERROR(VLOOKUP(A651,'Dados-Status-Invest'!$1:$1000,MATCH(X$1,'Dados-Status-Invest'!$2:$2,0),FALSE())/100,"")</f>
        <v/>
      </c>
    </row>
    <row r="652" customFormat="false" ht="15.75" hidden="false" customHeight="false" outlineLevel="0" collapsed="false">
      <c r="B652" s="7" t="str">
        <f aca="false">IFERROR(VLOOKUP(LEFT(A652,4),Setor!A:D,2,FALSE()),"")</f>
        <v/>
      </c>
      <c r="C652" s="8" t="str">
        <f aca="false">IFERROR(__xludf.dummyfunction("IFERROR(IFERROR(GOOGLEFINANCE(A658,""price""),VLOOKUP(A658,'Dados-Status-Invest'!A:B,2,FALSE)),"""")"),"")</f>
        <v/>
      </c>
      <c r="D652" s="8" t="str">
        <f aca="false">IFERROR(VLOOKUP(A652,'Dados-Status-Invest'!$1:$1000,MATCH(D$1,'Dados-Status-Invest'!$2:$2,0),FALSE()),"")</f>
        <v/>
      </c>
      <c r="E652" s="8" t="e">
        <f aca="false">IF(D652+H652&gt;0,D652+H652,"")</f>
        <v>#VALUE!</v>
      </c>
      <c r="F652" s="8" t="str">
        <f aca="false">IFERROR(D652/VLOOKUP(A652,'Dados-Status-Invest'!$1:$1000,5,FALSE()),"")</f>
        <v/>
      </c>
      <c r="G652" s="8" t="str">
        <f aca="false">IFERROR(D652/VLOOKUP(A652,'Dados-Status-Invest'!$1:$1000,6,FALSE()),"")</f>
        <v/>
      </c>
      <c r="H652" s="8" t="str">
        <f aca="false">IFERROR(VLOOKUP(A652,'Dados-Status-Invest'!$1:$1000,12,FALSE())*J652,"")</f>
        <v/>
      </c>
      <c r="I652" s="8" t="str">
        <f aca="false">IFERROR(D652/VLOOKUP(A652,'Dados-Status-Invest'!$1:$1000,14,FALSE()),"")</f>
        <v/>
      </c>
      <c r="J652" s="9" t="str">
        <f aca="false">IFERROR(D652/VLOOKUP(A652,'Dados-Status-Invest'!$1:$1000,10,FALSE()),"")</f>
        <v/>
      </c>
      <c r="K652" s="10" t="str">
        <f aca="false">IFERROR(VLOOKUP(A652,'Dados-Status-Invest'!$1:$1000,3,FALSE())/100,"")</f>
        <v/>
      </c>
      <c r="L652" s="11" t="str">
        <f aca="false">IFERROR(VLOOKUP(A652,'Dados-Status-Invest'!$1:$1000,MATCH(L$1,'Dados-Status-Invest'!$2:$2,0),FALSE())/100,"")</f>
        <v/>
      </c>
      <c r="M652" s="10" t="str">
        <f aca="false">IFERROR(VLOOKUP(A652,'Dados-Status-Invest'!$1:$1000,MATCH(M$1,'Dados-Status-Invest'!$2:$2,0),FALSE())/100,"")</f>
        <v/>
      </c>
      <c r="N652" s="10" t="str">
        <f aca="false">IFERROR(VLOOKUP(A652,'Dados-Status-Invest'!$1:$1000,MATCH(N$1,'Dados-Status-Invest'!$2:$2,0),FALSE())/100,"")</f>
        <v/>
      </c>
      <c r="O652" s="10" t="str">
        <f aca="false">IFERROR(VLOOKUP(A652,'Dados-Status-Invest'!$1:$1000,MATCH(O$1,'Dados-Status-Invest'!$2:$2,0),FALSE())/100,"")</f>
        <v/>
      </c>
      <c r="P652" s="10" t="str">
        <f aca="false">IFERROR(VLOOKUP(A652,'Dados-Status-Invest'!$1:$1000,MATCH(P$1,'Dados-Status-Invest'!$2:$2,0),FALSE())/100,"")</f>
        <v/>
      </c>
      <c r="Q652" s="10" t="str">
        <f aca="false">IFERROR(VLOOKUP(A652,'Dados-Status-Invest'!$1:$1000,MATCH(Q$1,'Dados-Status-Invest'!$2:$2,0),FALSE())/100,"")</f>
        <v/>
      </c>
      <c r="R652" s="12" t="str">
        <f aca="false">IFERROR(VLOOKUP(A652,'Dados-Status-Invest'!$1:$1000,MATCH(R$1,'Dados-Status-Invest'!$2:$2,0),FALSE()),"")</f>
        <v/>
      </c>
      <c r="S652" s="12" t="str">
        <f aca="false">IFERROR(VLOOKUP(A652,'Dados-Status-Invest'!$1:$1000,MATCH(S$1,'Dados-Status-Invest'!$2:$2,0),FALSE()),"")</f>
        <v/>
      </c>
      <c r="T652" s="12" t="str">
        <f aca="false">IFERROR(VLOOKUP(A652,'Dados-Status-Invest'!$1:$1000,MATCH(T$1,'Dados-Status-Invest'!$2:$2,0),FALSE()),"")</f>
        <v/>
      </c>
      <c r="U652" s="12" t="str">
        <f aca="false">IFERROR(VLOOKUP(A652,'Dados-Status-Invest'!$1:$1000,MATCH(U$1,'Dados-Status-Invest'!$2:$2,0),FALSE()),"")</f>
        <v/>
      </c>
      <c r="V652" s="12" t="str">
        <f aca="false">IFERROR(VLOOKUP(A652,'Dados-Status-Invest'!$1:$1000,MATCH(V$1,'Dados-Status-Invest'!$2:$2,0),FALSE()),"")</f>
        <v/>
      </c>
      <c r="W652" s="10" t="str">
        <f aca="false">IFERROR(VLOOKUP(A652,'Dados-Status-Invest'!$1:$1000,MATCH(W$1,'Dados-Status-Invest'!$2:$2,0),FALSE())/100,"")</f>
        <v/>
      </c>
      <c r="X652" s="10" t="str">
        <f aca="false">IFERROR(VLOOKUP(A652,'Dados-Status-Invest'!$1:$1000,MATCH(X$1,'Dados-Status-Invest'!$2:$2,0),FALSE())/100,"")</f>
        <v/>
      </c>
    </row>
    <row r="653" customFormat="false" ht="15.75" hidden="false" customHeight="false" outlineLevel="0" collapsed="false">
      <c r="B653" s="7" t="str">
        <f aca="false">IFERROR(VLOOKUP(LEFT(A653,4),Setor!A:D,2,FALSE()),"")</f>
        <v/>
      </c>
      <c r="C653" s="8" t="str">
        <f aca="false">IFERROR(__xludf.dummyfunction("IFERROR(IFERROR(GOOGLEFINANCE(A659,""price""),VLOOKUP(A659,'Dados-Status-Invest'!A:B,2,FALSE)),"""")"),"")</f>
        <v/>
      </c>
      <c r="D653" s="8" t="str">
        <f aca="false">IFERROR(VLOOKUP(A653,'Dados-Status-Invest'!$1:$1000,MATCH(D$1,'Dados-Status-Invest'!$2:$2,0),FALSE()),"")</f>
        <v/>
      </c>
      <c r="E653" s="8" t="e">
        <f aca="false">IF(D653+H653&gt;0,D653+H653,"")</f>
        <v>#VALUE!</v>
      </c>
      <c r="F653" s="8" t="str">
        <f aca="false">IFERROR(D653/VLOOKUP(A653,'Dados-Status-Invest'!$1:$1000,5,FALSE()),"")</f>
        <v/>
      </c>
      <c r="G653" s="8" t="str">
        <f aca="false">IFERROR(D653/VLOOKUP(A653,'Dados-Status-Invest'!$1:$1000,6,FALSE()),"")</f>
        <v/>
      </c>
      <c r="H653" s="8" t="str">
        <f aca="false">IFERROR(VLOOKUP(A653,'Dados-Status-Invest'!$1:$1000,12,FALSE())*J653,"")</f>
        <v/>
      </c>
      <c r="I653" s="8" t="str">
        <f aca="false">IFERROR(D653/VLOOKUP(A653,'Dados-Status-Invest'!$1:$1000,14,FALSE()),"")</f>
        <v/>
      </c>
      <c r="J653" s="9" t="str">
        <f aca="false">IFERROR(D653/VLOOKUP(A653,'Dados-Status-Invest'!$1:$1000,10,FALSE()),"")</f>
        <v/>
      </c>
      <c r="K653" s="10" t="str">
        <f aca="false">IFERROR(VLOOKUP(A653,'Dados-Status-Invest'!$1:$1000,3,FALSE())/100,"")</f>
        <v/>
      </c>
      <c r="L653" s="11" t="str">
        <f aca="false">IFERROR(VLOOKUP(A653,'Dados-Status-Invest'!$1:$1000,MATCH(L$1,'Dados-Status-Invest'!$2:$2,0),FALSE())/100,"")</f>
        <v/>
      </c>
      <c r="M653" s="10" t="str">
        <f aca="false">IFERROR(VLOOKUP(A653,'Dados-Status-Invest'!$1:$1000,MATCH(M$1,'Dados-Status-Invest'!$2:$2,0),FALSE())/100,"")</f>
        <v/>
      </c>
      <c r="N653" s="10" t="str">
        <f aca="false">IFERROR(VLOOKUP(A653,'Dados-Status-Invest'!$1:$1000,MATCH(N$1,'Dados-Status-Invest'!$2:$2,0),FALSE())/100,"")</f>
        <v/>
      </c>
      <c r="O653" s="10" t="str">
        <f aca="false">IFERROR(VLOOKUP(A653,'Dados-Status-Invest'!$1:$1000,MATCH(O$1,'Dados-Status-Invest'!$2:$2,0),FALSE())/100,"")</f>
        <v/>
      </c>
      <c r="P653" s="10" t="str">
        <f aca="false">IFERROR(VLOOKUP(A653,'Dados-Status-Invest'!$1:$1000,MATCH(P$1,'Dados-Status-Invest'!$2:$2,0),FALSE())/100,"")</f>
        <v/>
      </c>
      <c r="Q653" s="10" t="str">
        <f aca="false">IFERROR(VLOOKUP(A653,'Dados-Status-Invest'!$1:$1000,MATCH(Q$1,'Dados-Status-Invest'!$2:$2,0),FALSE())/100,"")</f>
        <v/>
      </c>
      <c r="R653" s="12" t="str">
        <f aca="false">IFERROR(VLOOKUP(A653,'Dados-Status-Invest'!$1:$1000,MATCH(R$1,'Dados-Status-Invest'!$2:$2,0),FALSE()),"")</f>
        <v/>
      </c>
      <c r="S653" s="12" t="str">
        <f aca="false">IFERROR(VLOOKUP(A653,'Dados-Status-Invest'!$1:$1000,MATCH(S$1,'Dados-Status-Invest'!$2:$2,0),FALSE()),"")</f>
        <v/>
      </c>
      <c r="T653" s="12" t="str">
        <f aca="false">IFERROR(VLOOKUP(A653,'Dados-Status-Invest'!$1:$1000,MATCH(T$1,'Dados-Status-Invest'!$2:$2,0),FALSE()),"")</f>
        <v/>
      </c>
      <c r="U653" s="12" t="str">
        <f aca="false">IFERROR(VLOOKUP(A653,'Dados-Status-Invest'!$1:$1000,MATCH(U$1,'Dados-Status-Invest'!$2:$2,0),FALSE()),"")</f>
        <v/>
      </c>
      <c r="V653" s="12" t="str">
        <f aca="false">IFERROR(VLOOKUP(A653,'Dados-Status-Invest'!$1:$1000,MATCH(V$1,'Dados-Status-Invest'!$2:$2,0),FALSE()),"")</f>
        <v/>
      </c>
      <c r="W653" s="10" t="str">
        <f aca="false">IFERROR(VLOOKUP(A653,'Dados-Status-Invest'!$1:$1000,MATCH(W$1,'Dados-Status-Invest'!$2:$2,0),FALSE())/100,"")</f>
        <v/>
      </c>
      <c r="X653" s="10" t="str">
        <f aca="false">IFERROR(VLOOKUP(A653,'Dados-Status-Invest'!$1:$1000,MATCH(X$1,'Dados-Status-Invest'!$2:$2,0),FALSE())/100,"")</f>
        <v/>
      </c>
    </row>
    <row r="654" customFormat="false" ht="15.75" hidden="false" customHeight="false" outlineLevel="0" collapsed="false">
      <c r="B654" s="7" t="str">
        <f aca="false">IFERROR(VLOOKUP(LEFT(A654,4),Setor!A:D,2,FALSE()),"")</f>
        <v/>
      </c>
      <c r="C654" s="8" t="str">
        <f aca="false">IFERROR(__xludf.dummyfunction("IFERROR(IFERROR(GOOGLEFINANCE(A660,""price""),VLOOKUP(A660,'Dados-Status-Invest'!A:B,2,FALSE)),"""")"),"")</f>
        <v/>
      </c>
      <c r="D654" s="8" t="str">
        <f aca="false">IFERROR(VLOOKUP(A654,'Dados-Status-Invest'!$1:$1000,MATCH(D$1,'Dados-Status-Invest'!$2:$2,0),FALSE()),"")</f>
        <v/>
      </c>
      <c r="E654" s="8" t="e">
        <f aca="false">IF(D654+H654&gt;0,D654+H654,"")</f>
        <v>#VALUE!</v>
      </c>
      <c r="F654" s="8" t="str">
        <f aca="false">IFERROR(D654/VLOOKUP(A654,'Dados-Status-Invest'!$1:$1000,5,FALSE()),"")</f>
        <v/>
      </c>
      <c r="G654" s="8" t="str">
        <f aca="false">IFERROR(D654/VLOOKUP(A654,'Dados-Status-Invest'!$1:$1000,6,FALSE()),"")</f>
        <v/>
      </c>
      <c r="H654" s="8" t="str">
        <f aca="false">IFERROR(VLOOKUP(A654,'Dados-Status-Invest'!$1:$1000,12,FALSE())*J654,"")</f>
        <v/>
      </c>
      <c r="I654" s="8" t="str">
        <f aca="false">IFERROR(D654/VLOOKUP(A654,'Dados-Status-Invest'!$1:$1000,14,FALSE()),"")</f>
        <v/>
      </c>
      <c r="J654" s="9" t="str">
        <f aca="false">IFERROR(D654/VLOOKUP(A654,'Dados-Status-Invest'!$1:$1000,10,FALSE()),"")</f>
        <v/>
      </c>
      <c r="K654" s="10" t="str">
        <f aca="false">IFERROR(VLOOKUP(A654,'Dados-Status-Invest'!$1:$1000,3,FALSE())/100,"")</f>
        <v/>
      </c>
      <c r="L654" s="11" t="str">
        <f aca="false">IFERROR(VLOOKUP(A654,'Dados-Status-Invest'!$1:$1000,MATCH(L$1,'Dados-Status-Invest'!$2:$2,0),FALSE())/100,"")</f>
        <v/>
      </c>
      <c r="M654" s="10" t="str">
        <f aca="false">IFERROR(VLOOKUP(A654,'Dados-Status-Invest'!$1:$1000,MATCH(M$1,'Dados-Status-Invest'!$2:$2,0),FALSE())/100,"")</f>
        <v/>
      </c>
      <c r="N654" s="10" t="str">
        <f aca="false">IFERROR(VLOOKUP(A654,'Dados-Status-Invest'!$1:$1000,MATCH(N$1,'Dados-Status-Invest'!$2:$2,0),FALSE())/100,"")</f>
        <v/>
      </c>
      <c r="O654" s="10" t="str">
        <f aca="false">IFERROR(VLOOKUP(A654,'Dados-Status-Invest'!$1:$1000,MATCH(O$1,'Dados-Status-Invest'!$2:$2,0),FALSE())/100,"")</f>
        <v/>
      </c>
      <c r="P654" s="10" t="str">
        <f aca="false">IFERROR(VLOOKUP(A654,'Dados-Status-Invest'!$1:$1000,MATCH(P$1,'Dados-Status-Invest'!$2:$2,0),FALSE())/100,"")</f>
        <v/>
      </c>
      <c r="Q654" s="10" t="str">
        <f aca="false">IFERROR(VLOOKUP(A654,'Dados-Status-Invest'!$1:$1000,MATCH(Q$1,'Dados-Status-Invest'!$2:$2,0),FALSE())/100,"")</f>
        <v/>
      </c>
      <c r="R654" s="12" t="str">
        <f aca="false">IFERROR(VLOOKUP(A654,'Dados-Status-Invest'!$1:$1000,MATCH(R$1,'Dados-Status-Invest'!$2:$2,0),FALSE()),"")</f>
        <v/>
      </c>
      <c r="S654" s="12" t="str">
        <f aca="false">IFERROR(VLOOKUP(A654,'Dados-Status-Invest'!$1:$1000,MATCH(S$1,'Dados-Status-Invest'!$2:$2,0),FALSE()),"")</f>
        <v/>
      </c>
      <c r="T654" s="12" t="str">
        <f aca="false">IFERROR(VLOOKUP(A654,'Dados-Status-Invest'!$1:$1000,MATCH(T$1,'Dados-Status-Invest'!$2:$2,0),FALSE()),"")</f>
        <v/>
      </c>
      <c r="U654" s="12" t="str">
        <f aca="false">IFERROR(VLOOKUP(A654,'Dados-Status-Invest'!$1:$1000,MATCH(U$1,'Dados-Status-Invest'!$2:$2,0),FALSE()),"")</f>
        <v/>
      </c>
      <c r="V654" s="12" t="str">
        <f aca="false">IFERROR(VLOOKUP(A654,'Dados-Status-Invest'!$1:$1000,MATCH(V$1,'Dados-Status-Invest'!$2:$2,0),FALSE()),"")</f>
        <v/>
      </c>
      <c r="W654" s="10" t="str">
        <f aca="false">IFERROR(VLOOKUP(A654,'Dados-Status-Invest'!$1:$1000,MATCH(W$1,'Dados-Status-Invest'!$2:$2,0),FALSE())/100,"")</f>
        <v/>
      </c>
      <c r="X654" s="10" t="str">
        <f aca="false">IFERROR(VLOOKUP(A654,'Dados-Status-Invest'!$1:$1000,MATCH(X$1,'Dados-Status-Invest'!$2:$2,0),FALSE())/100,"")</f>
        <v/>
      </c>
    </row>
    <row r="655" customFormat="false" ht="15.75" hidden="false" customHeight="false" outlineLevel="0" collapsed="false">
      <c r="B655" s="7" t="str">
        <f aca="false">IFERROR(VLOOKUP(LEFT(A655,4),Setor!A:D,2,FALSE()),"")</f>
        <v/>
      </c>
      <c r="C655" s="8" t="str">
        <f aca="false">IFERROR(__xludf.dummyfunction("IFERROR(IFERROR(GOOGLEFINANCE(A661,""price""),VLOOKUP(A661,'Dados-Status-Invest'!A:B,2,FALSE)),"""")"),"")</f>
        <v/>
      </c>
      <c r="D655" s="8" t="str">
        <f aca="false">IFERROR(VLOOKUP(A655,'Dados-Status-Invest'!$1:$1000,MATCH(D$1,'Dados-Status-Invest'!$2:$2,0),FALSE()),"")</f>
        <v/>
      </c>
      <c r="E655" s="8" t="e">
        <f aca="false">IF(D655+H655&gt;0,D655+H655,"")</f>
        <v>#VALUE!</v>
      </c>
      <c r="F655" s="8" t="str">
        <f aca="false">IFERROR(D655/VLOOKUP(A655,'Dados-Status-Invest'!$1:$1000,5,FALSE()),"")</f>
        <v/>
      </c>
      <c r="G655" s="8" t="str">
        <f aca="false">IFERROR(D655/VLOOKUP(A655,'Dados-Status-Invest'!$1:$1000,6,FALSE()),"")</f>
        <v/>
      </c>
      <c r="H655" s="8" t="str">
        <f aca="false">IFERROR(VLOOKUP(A655,'Dados-Status-Invest'!$1:$1000,12,FALSE())*J655,"")</f>
        <v/>
      </c>
      <c r="I655" s="8" t="str">
        <f aca="false">IFERROR(D655/VLOOKUP(A655,'Dados-Status-Invest'!$1:$1000,14,FALSE()),"")</f>
        <v/>
      </c>
      <c r="J655" s="9" t="str">
        <f aca="false">IFERROR(D655/VLOOKUP(A655,'Dados-Status-Invest'!$1:$1000,10,FALSE()),"")</f>
        <v/>
      </c>
      <c r="K655" s="10" t="str">
        <f aca="false">IFERROR(VLOOKUP(A655,'Dados-Status-Invest'!$1:$1000,3,FALSE())/100,"")</f>
        <v/>
      </c>
      <c r="L655" s="11" t="str">
        <f aca="false">IFERROR(VLOOKUP(A655,'Dados-Status-Invest'!$1:$1000,MATCH(L$1,'Dados-Status-Invest'!$2:$2,0),FALSE())/100,"")</f>
        <v/>
      </c>
      <c r="M655" s="10" t="str">
        <f aca="false">IFERROR(VLOOKUP(A655,'Dados-Status-Invest'!$1:$1000,MATCH(M$1,'Dados-Status-Invest'!$2:$2,0),FALSE())/100,"")</f>
        <v/>
      </c>
      <c r="N655" s="10" t="str">
        <f aca="false">IFERROR(VLOOKUP(A655,'Dados-Status-Invest'!$1:$1000,MATCH(N$1,'Dados-Status-Invest'!$2:$2,0),FALSE())/100,"")</f>
        <v/>
      </c>
      <c r="O655" s="10" t="str">
        <f aca="false">IFERROR(VLOOKUP(A655,'Dados-Status-Invest'!$1:$1000,MATCH(O$1,'Dados-Status-Invest'!$2:$2,0),FALSE())/100,"")</f>
        <v/>
      </c>
      <c r="P655" s="10" t="str">
        <f aca="false">IFERROR(VLOOKUP(A655,'Dados-Status-Invest'!$1:$1000,MATCH(P$1,'Dados-Status-Invest'!$2:$2,0),FALSE())/100,"")</f>
        <v/>
      </c>
      <c r="Q655" s="10" t="str">
        <f aca="false">IFERROR(VLOOKUP(A655,'Dados-Status-Invest'!$1:$1000,MATCH(Q$1,'Dados-Status-Invest'!$2:$2,0),FALSE())/100,"")</f>
        <v/>
      </c>
      <c r="R655" s="12" t="str">
        <f aca="false">IFERROR(VLOOKUP(A655,'Dados-Status-Invest'!$1:$1000,MATCH(R$1,'Dados-Status-Invest'!$2:$2,0),FALSE()),"")</f>
        <v/>
      </c>
      <c r="S655" s="12" t="str">
        <f aca="false">IFERROR(VLOOKUP(A655,'Dados-Status-Invest'!$1:$1000,MATCH(S$1,'Dados-Status-Invest'!$2:$2,0),FALSE()),"")</f>
        <v/>
      </c>
      <c r="T655" s="12" t="str">
        <f aca="false">IFERROR(VLOOKUP(A655,'Dados-Status-Invest'!$1:$1000,MATCH(T$1,'Dados-Status-Invest'!$2:$2,0),FALSE()),"")</f>
        <v/>
      </c>
      <c r="U655" s="12" t="str">
        <f aca="false">IFERROR(VLOOKUP(A655,'Dados-Status-Invest'!$1:$1000,MATCH(U$1,'Dados-Status-Invest'!$2:$2,0),FALSE()),"")</f>
        <v/>
      </c>
      <c r="V655" s="12" t="str">
        <f aca="false">IFERROR(VLOOKUP(A655,'Dados-Status-Invest'!$1:$1000,MATCH(V$1,'Dados-Status-Invest'!$2:$2,0),FALSE()),"")</f>
        <v/>
      </c>
      <c r="W655" s="10" t="str">
        <f aca="false">IFERROR(VLOOKUP(A655,'Dados-Status-Invest'!$1:$1000,MATCH(W$1,'Dados-Status-Invest'!$2:$2,0),FALSE())/100,"")</f>
        <v/>
      </c>
      <c r="X655" s="10" t="str">
        <f aca="false">IFERROR(VLOOKUP(A655,'Dados-Status-Invest'!$1:$1000,MATCH(X$1,'Dados-Status-Invest'!$2:$2,0),FALSE())/100,"")</f>
        <v/>
      </c>
    </row>
    <row r="656" customFormat="false" ht="15.75" hidden="false" customHeight="false" outlineLevel="0" collapsed="false">
      <c r="B656" s="7" t="str">
        <f aca="false">IFERROR(VLOOKUP(LEFT(A656,4),Setor!A:D,2,FALSE()),"")</f>
        <v/>
      </c>
      <c r="C656" s="8" t="str">
        <f aca="false">IFERROR(__xludf.dummyfunction("IFERROR(IFERROR(GOOGLEFINANCE(A662,""price""),VLOOKUP(A662,'Dados-Status-Invest'!A:B,2,FALSE)),"""")"),"")</f>
        <v/>
      </c>
      <c r="D656" s="8" t="str">
        <f aca="false">IFERROR(VLOOKUP(A656,'Dados-Status-Invest'!$1:$1000,MATCH(D$1,'Dados-Status-Invest'!$2:$2,0),FALSE()),"")</f>
        <v/>
      </c>
      <c r="E656" s="8" t="e">
        <f aca="false">IF(D656+H656&gt;0,D656+H656,"")</f>
        <v>#VALUE!</v>
      </c>
      <c r="F656" s="8" t="str">
        <f aca="false">IFERROR(D656/VLOOKUP(A656,'Dados-Status-Invest'!$1:$1000,5,FALSE()),"")</f>
        <v/>
      </c>
      <c r="G656" s="8" t="str">
        <f aca="false">IFERROR(D656/VLOOKUP(A656,'Dados-Status-Invest'!$1:$1000,6,FALSE()),"")</f>
        <v/>
      </c>
      <c r="H656" s="8" t="str">
        <f aca="false">IFERROR(VLOOKUP(A656,'Dados-Status-Invest'!$1:$1000,12,FALSE())*J656,"")</f>
        <v/>
      </c>
      <c r="I656" s="8" t="str">
        <f aca="false">IFERROR(D656/VLOOKUP(A656,'Dados-Status-Invest'!$1:$1000,14,FALSE()),"")</f>
        <v/>
      </c>
      <c r="J656" s="9" t="str">
        <f aca="false">IFERROR(D656/VLOOKUP(A656,'Dados-Status-Invest'!$1:$1000,10,FALSE()),"")</f>
        <v/>
      </c>
      <c r="K656" s="10" t="str">
        <f aca="false">IFERROR(VLOOKUP(A656,'Dados-Status-Invest'!$1:$1000,3,FALSE())/100,"")</f>
        <v/>
      </c>
      <c r="L656" s="11" t="str">
        <f aca="false">IFERROR(VLOOKUP(A656,'Dados-Status-Invest'!$1:$1000,MATCH(L$1,'Dados-Status-Invest'!$2:$2,0),FALSE())/100,"")</f>
        <v/>
      </c>
      <c r="M656" s="10" t="str">
        <f aca="false">IFERROR(VLOOKUP(A656,'Dados-Status-Invest'!$1:$1000,MATCH(M$1,'Dados-Status-Invest'!$2:$2,0),FALSE())/100,"")</f>
        <v/>
      </c>
      <c r="N656" s="10" t="str">
        <f aca="false">IFERROR(VLOOKUP(A656,'Dados-Status-Invest'!$1:$1000,MATCH(N$1,'Dados-Status-Invest'!$2:$2,0),FALSE())/100,"")</f>
        <v/>
      </c>
      <c r="O656" s="10" t="str">
        <f aca="false">IFERROR(VLOOKUP(A656,'Dados-Status-Invest'!$1:$1000,MATCH(O$1,'Dados-Status-Invest'!$2:$2,0),FALSE())/100,"")</f>
        <v/>
      </c>
      <c r="P656" s="10" t="str">
        <f aca="false">IFERROR(VLOOKUP(A656,'Dados-Status-Invest'!$1:$1000,MATCH(P$1,'Dados-Status-Invest'!$2:$2,0),FALSE())/100,"")</f>
        <v/>
      </c>
      <c r="Q656" s="10" t="str">
        <f aca="false">IFERROR(VLOOKUP(A656,'Dados-Status-Invest'!$1:$1000,MATCH(Q$1,'Dados-Status-Invest'!$2:$2,0),FALSE())/100,"")</f>
        <v/>
      </c>
      <c r="R656" s="12" t="str">
        <f aca="false">IFERROR(VLOOKUP(A656,'Dados-Status-Invest'!$1:$1000,MATCH(R$1,'Dados-Status-Invest'!$2:$2,0),FALSE()),"")</f>
        <v/>
      </c>
      <c r="S656" s="12" t="str">
        <f aca="false">IFERROR(VLOOKUP(A656,'Dados-Status-Invest'!$1:$1000,MATCH(S$1,'Dados-Status-Invest'!$2:$2,0),FALSE()),"")</f>
        <v/>
      </c>
      <c r="T656" s="12" t="str">
        <f aca="false">IFERROR(VLOOKUP(A656,'Dados-Status-Invest'!$1:$1000,MATCH(T$1,'Dados-Status-Invest'!$2:$2,0),FALSE()),"")</f>
        <v/>
      </c>
      <c r="U656" s="12" t="str">
        <f aca="false">IFERROR(VLOOKUP(A656,'Dados-Status-Invest'!$1:$1000,MATCH(U$1,'Dados-Status-Invest'!$2:$2,0),FALSE()),"")</f>
        <v/>
      </c>
      <c r="V656" s="12" t="str">
        <f aca="false">IFERROR(VLOOKUP(A656,'Dados-Status-Invest'!$1:$1000,MATCH(V$1,'Dados-Status-Invest'!$2:$2,0),FALSE()),"")</f>
        <v/>
      </c>
      <c r="W656" s="10" t="str">
        <f aca="false">IFERROR(VLOOKUP(A656,'Dados-Status-Invest'!$1:$1000,MATCH(W$1,'Dados-Status-Invest'!$2:$2,0),FALSE())/100,"")</f>
        <v/>
      </c>
      <c r="X656" s="10" t="str">
        <f aca="false">IFERROR(VLOOKUP(A656,'Dados-Status-Invest'!$1:$1000,MATCH(X$1,'Dados-Status-Invest'!$2:$2,0),FALSE())/100,"")</f>
        <v/>
      </c>
    </row>
    <row r="657" customFormat="false" ht="15.75" hidden="false" customHeight="false" outlineLevel="0" collapsed="false">
      <c r="B657" s="7" t="str">
        <f aca="false">IFERROR(VLOOKUP(LEFT(A657,4),Setor!A:D,2,FALSE()),"")</f>
        <v/>
      </c>
      <c r="C657" s="8" t="str">
        <f aca="false">IFERROR(__xludf.dummyfunction("IFERROR(IFERROR(GOOGLEFINANCE(A663,""price""),VLOOKUP(A663,'Dados-Status-Invest'!A:B,2,FALSE)),"""")"),"")</f>
        <v/>
      </c>
      <c r="D657" s="8" t="str">
        <f aca="false">IFERROR(VLOOKUP(A657,'Dados-Status-Invest'!$1:$1000,MATCH(D$1,'Dados-Status-Invest'!$2:$2,0),FALSE()),"")</f>
        <v/>
      </c>
      <c r="E657" s="8" t="e">
        <f aca="false">IF(D657+H657&gt;0,D657+H657,"")</f>
        <v>#VALUE!</v>
      </c>
      <c r="F657" s="8" t="str">
        <f aca="false">IFERROR(D657/VLOOKUP(A657,'Dados-Status-Invest'!$1:$1000,5,FALSE()),"")</f>
        <v/>
      </c>
      <c r="G657" s="8" t="str">
        <f aca="false">IFERROR(D657/VLOOKUP(A657,'Dados-Status-Invest'!$1:$1000,6,FALSE()),"")</f>
        <v/>
      </c>
      <c r="H657" s="8" t="str">
        <f aca="false">IFERROR(VLOOKUP(A657,'Dados-Status-Invest'!$1:$1000,12,FALSE())*J657,"")</f>
        <v/>
      </c>
      <c r="I657" s="8" t="str">
        <f aca="false">IFERROR(D657/VLOOKUP(A657,'Dados-Status-Invest'!$1:$1000,14,FALSE()),"")</f>
        <v/>
      </c>
      <c r="J657" s="9" t="str">
        <f aca="false">IFERROR(D657/VLOOKUP(A657,'Dados-Status-Invest'!$1:$1000,10,FALSE()),"")</f>
        <v/>
      </c>
      <c r="K657" s="10" t="str">
        <f aca="false">IFERROR(VLOOKUP(A657,'Dados-Status-Invest'!$1:$1000,3,FALSE())/100,"")</f>
        <v/>
      </c>
      <c r="L657" s="11" t="str">
        <f aca="false">IFERROR(VLOOKUP(A657,'Dados-Status-Invest'!$1:$1000,MATCH(L$1,'Dados-Status-Invest'!$2:$2,0),FALSE())/100,"")</f>
        <v/>
      </c>
      <c r="M657" s="10" t="str">
        <f aca="false">IFERROR(VLOOKUP(A657,'Dados-Status-Invest'!$1:$1000,MATCH(M$1,'Dados-Status-Invest'!$2:$2,0),FALSE())/100,"")</f>
        <v/>
      </c>
      <c r="N657" s="10" t="str">
        <f aca="false">IFERROR(VLOOKUP(A657,'Dados-Status-Invest'!$1:$1000,MATCH(N$1,'Dados-Status-Invest'!$2:$2,0),FALSE())/100,"")</f>
        <v/>
      </c>
      <c r="O657" s="10" t="str">
        <f aca="false">IFERROR(VLOOKUP(A657,'Dados-Status-Invest'!$1:$1000,MATCH(O$1,'Dados-Status-Invest'!$2:$2,0),FALSE())/100,"")</f>
        <v/>
      </c>
      <c r="P657" s="10" t="str">
        <f aca="false">IFERROR(VLOOKUP(A657,'Dados-Status-Invest'!$1:$1000,MATCH(P$1,'Dados-Status-Invest'!$2:$2,0),FALSE())/100,"")</f>
        <v/>
      </c>
      <c r="Q657" s="10" t="str">
        <f aca="false">IFERROR(VLOOKUP(A657,'Dados-Status-Invest'!$1:$1000,MATCH(Q$1,'Dados-Status-Invest'!$2:$2,0),FALSE())/100,"")</f>
        <v/>
      </c>
      <c r="R657" s="12" t="str">
        <f aca="false">IFERROR(VLOOKUP(A657,'Dados-Status-Invest'!$1:$1000,MATCH(R$1,'Dados-Status-Invest'!$2:$2,0),FALSE()),"")</f>
        <v/>
      </c>
      <c r="S657" s="12" t="str">
        <f aca="false">IFERROR(VLOOKUP(A657,'Dados-Status-Invest'!$1:$1000,MATCH(S$1,'Dados-Status-Invest'!$2:$2,0),FALSE()),"")</f>
        <v/>
      </c>
      <c r="T657" s="12" t="str">
        <f aca="false">IFERROR(VLOOKUP(A657,'Dados-Status-Invest'!$1:$1000,MATCH(T$1,'Dados-Status-Invest'!$2:$2,0),FALSE()),"")</f>
        <v/>
      </c>
      <c r="U657" s="12" t="str">
        <f aca="false">IFERROR(VLOOKUP(A657,'Dados-Status-Invest'!$1:$1000,MATCH(U$1,'Dados-Status-Invest'!$2:$2,0),FALSE()),"")</f>
        <v/>
      </c>
      <c r="V657" s="12" t="str">
        <f aca="false">IFERROR(VLOOKUP(A657,'Dados-Status-Invest'!$1:$1000,MATCH(V$1,'Dados-Status-Invest'!$2:$2,0),FALSE()),"")</f>
        <v/>
      </c>
      <c r="W657" s="10" t="str">
        <f aca="false">IFERROR(VLOOKUP(A657,'Dados-Status-Invest'!$1:$1000,MATCH(W$1,'Dados-Status-Invest'!$2:$2,0),FALSE())/100,"")</f>
        <v/>
      </c>
      <c r="X657" s="10" t="str">
        <f aca="false">IFERROR(VLOOKUP(A657,'Dados-Status-Invest'!$1:$1000,MATCH(X$1,'Dados-Status-Invest'!$2:$2,0),FALSE())/100,"")</f>
        <v/>
      </c>
    </row>
    <row r="658" customFormat="false" ht="15.75" hidden="false" customHeight="false" outlineLevel="0" collapsed="false">
      <c r="B658" s="7" t="str">
        <f aca="false">IFERROR(VLOOKUP(LEFT(A658,4),Setor!A:D,2,FALSE()),"")</f>
        <v/>
      </c>
      <c r="C658" s="8" t="str">
        <f aca="false">IFERROR(__xludf.dummyfunction("IFERROR(IFERROR(GOOGLEFINANCE(A664,""price""),VLOOKUP(A664,'Dados-Status-Invest'!A:B,2,FALSE)),"""")"),"")</f>
        <v/>
      </c>
      <c r="D658" s="8" t="str">
        <f aca="false">IFERROR(VLOOKUP(A658,'Dados-Status-Invest'!$1:$1000,MATCH(D$1,'Dados-Status-Invest'!$2:$2,0),FALSE()),"")</f>
        <v/>
      </c>
      <c r="E658" s="8" t="e">
        <f aca="false">IF(D658+H658&gt;0,D658+H658,"")</f>
        <v>#VALUE!</v>
      </c>
      <c r="F658" s="8" t="str">
        <f aca="false">IFERROR(D658/VLOOKUP(A658,'Dados-Status-Invest'!$1:$1000,5,FALSE()),"")</f>
        <v/>
      </c>
      <c r="G658" s="8" t="str">
        <f aca="false">IFERROR(D658/VLOOKUP(A658,'Dados-Status-Invest'!$1:$1000,6,FALSE()),"")</f>
        <v/>
      </c>
      <c r="H658" s="8" t="str">
        <f aca="false">IFERROR(VLOOKUP(A658,'Dados-Status-Invest'!$1:$1000,12,FALSE())*J658,"")</f>
        <v/>
      </c>
      <c r="I658" s="8" t="str">
        <f aca="false">IFERROR(D658/VLOOKUP(A658,'Dados-Status-Invest'!$1:$1000,14,FALSE()),"")</f>
        <v/>
      </c>
      <c r="J658" s="9" t="str">
        <f aca="false">IFERROR(D658/VLOOKUP(A658,'Dados-Status-Invest'!$1:$1000,10,FALSE()),"")</f>
        <v/>
      </c>
      <c r="K658" s="10" t="str">
        <f aca="false">IFERROR(VLOOKUP(A658,'Dados-Status-Invest'!$1:$1000,3,FALSE())/100,"")</f>
        <v/>
      </c>
      <c r="L658" s="11" t="str">
        <f aca="false">IFERROR(VLOOKUP(A658,'Dados-Status-Invest'!$1:$1000,MATCH(L$1,'Dados-Status-Invest'!$2:$2,0),FALSE())/100,"")</f>
        <v/>
      </c>
      <c r="M658" s="10" t="str">
        <f aca="false">IFERROR(VLOOKUP(A658,'Dados-Status-Invest'!$1:$1000,MATCH(M$1,'Dados-Status-Invest'!$2:$2,0),FALSE())/100,"")</f>
        <v/>
      </c>
      <c r="N658" s="10" t="str">
        <f aca="false">IFERROR(VLOOKUP(A658,'Dados-Status-Invest'!$1:$1000,MATCH(N$1,'Dados-Status-Invest'!$2:$2,0),FALSE())/100,"")</f>
        <v/>
      </c>
      <c r="O658" s="10" t="str">
        <f aca="false">IFERROR(VLOOKUP(A658,'Dados-Status-Invest'!$1:$1000,MATCH(O$1,'Dados-Status-Invest'!$2:$2,0),FALSE())/100,"")</f>
        <v/>
      </c>
      <c r="P658" s="10" t="str">
        <f aca="false">IFERROR(VLOOKUP(A658,'Dados-Status-Invest'!$1:$1000,MATCH(P$1,'Dados-Status-Invest'!$2:$2,0),FALSE())/100,"")</f>
        <v/>
      </c>
      <c r="Q658" s="10" t="str">
        <f aca="false">IFERROR(VLOOKUP(A658,'Dados-Status-Invest'!$1:$1000,MATCH(Q$1,'Dados-Status-Invest'!$2:$2,0),FALSE())/100,"")</f>
        <v/>
      </c>
      <c r="R658" s="12" t="str">
        <f aca="false">IFERROR(VLOOKUP(A658,'Dados-Status-Invest'!$1:$1000,MATCH(R$1,'Dados-Status-Invest'!$2:$2,0),FALSE()),"")</f>
        <v/>
      </c>
      <c r="S658" s="12" t="str">
        <f aca="false">IFERROR(VLOOKUP(A658,'Dados-Status-Invest'!$1:$1000,MATCH(S$1,'Dados-Status-Invest'!$2:$2,0),FALSE()),"")</f>
        <v/>
      </c>
      <c r="T658" s="12" t="str">
        <f aca="false">IFERROR(VLOOKUP(A658,'Dados-Status-Invest'!$1:$1000,MATCH(T$1,'Dados-Status-Invest'!$2:$2,0),FALSE()),"")</f>
        <v/>
      </c>
      <c r="U658" s="12" t="str">
        <f aca="false">IFERROR(VLOOKUP(A658,'Dados-Status-Invest'!$1:$1000,MATCH(U$1,'Dados-Status-Invest'!$2:$2,0),FALSE()),"")</f>
        <v/>
      </c>
      <c r="V658" s="12" t="str">
        <f aca="false">IFERROR(VLOOKUP(A658,'Dados-Status-Invest'!$1:$1000,MATCH(V$1,'Dados-Status-Invest'!$2:$2,0),FALSE()),"")</f>
        <v/>
      </c>
      <c r="W658" s="10" t="str">
        <f aca="false">IFERROR(VLOOKUP(A658,'Dados-Status-Invest'!$1:$1000,MATCH(W$1,'Dados-Status-Invest'!$2:$2,0),FALSE())/100,"")</f>
        <v/>
      </c>
      <c r="X658" s="10" t="str">
        <f aca="false">IFERROR(VLOOKUP(A658,'Dados-Status-Invest'!$1:$1000,MATCH(X$1,'Dados-Status-Invest'!$2:$2,0),FALSE())/100,"")</f>
        <v/>
      </c>
    </row>
    <row r="659" customFormat="false" ht="15.75" hidden="false" customHeight="false" outlineLevel="0" collapsed="false">
      <c r="B659" s="7" t="str">
        <f aca="false">IFERROR(VLOOKUP(LEFT(A659,4),Setor!A:D,2,FALSE()),"")</f>
        <v/>
      </c>
      <c r="C659" s="8" t="str">
        <f aca="false">IFERROR(__xludf.dummyfunction("IFERROR(IFERROR(GOOGLEFINANCE(A665,""price""),VLOOKUP(A665,'Dados-Status-Invest'!A:B,2,FALSE)),"""")"),"")</f>
        <v/>
      </c>
      <c r="D659" s="8" t="str">
        <f aca="false">IFERROR(VLOOKUP(A659,'Dados-Status-Invest'!$1:$1000,MATCH(D$1,'Dados-Status-Invest'!$2:$2,0),FALSE()),"")</f>
        <v/>
      </c>
      <c r="E659" s="8" t="e">
        <f aca="false">IF(D659+H659&gt;0,D659+H659,"")</f>
        <v>#VALUE!</v>
      </c>
      <c r="F659" s="8" t="str">
        <f aca="false">IFERROR(D659/VLOOKUP(A659,'Dados-Status-Invest'!$1:$1000,5,FALSE()),"")</f>
        <v/>
      </c>
      <c r="G659" s="8" t="str">
        <f aca="false">IFERROR(D659/VLOOKUP(A659,'Dados-Status-Invest'!$1:$1000,6,FALSE()),"")</f>
        <v/>
      </c>
      <c r="H659" s="8" t="str">
        <f aca="false">IFERROR(VLOOKUP(A659,'Dados-Status-Invest'!$1:$1000,12,FALSE())*J659,"")</f>
        <v/>
      </c>
      <c r="I659" s="8" t="str">
        <f aca="false">IFERROR(D659/VLOOKUP(A659,'Dados-Status-Invest'!$1:$1000,14,FALSE()),"")</f>
        <v/>
      </c>
      <c r="J659" s="9" t="str">
        <f aca="false">IFERROR(D659/VLOOKUP(A659,'Dados-Status-Invest'!$1:$1000,10,FALSE()),"")</f>
        <v/>
      </c>
      <c r="K659" s="10" t="str">
        <f aca="false">IFERROR(VLOOKUP(A659,'Dados-Status-Invest'!$1:$1000,3,FALSE())/100,"")</f>
        <v/>
      </c>
      <c r="L659" s="11" t="str">
        <f aca="false">IFERROR(VLOOKUP(A659,'Dados-Status-Invest'!$1:$1000,MATCH(L$1,'Dados-Status-Invest'!$2:$2,0),FALSE())/100,"")</f>
        <v/>
      </c>
      <c r="M659" s="10" t="str">
        <f aca="false">IFERROR(VLOOKUP(A659,'Dados-Status-Invest'!$1:$1000,MATCH(M$1,'Dados-Status-Invest'!$2:$2,0),FALSE())/100,"")</f>
        <v/>
      </c>
      <c r="N659" s="10" t="str">
        <f aca="false">IFERROR(VLOOKUP(A659,'Dados-Status-Invest'!$1:$1000,MATCH(N$1,'Dados-Status-Invest'!$2:$2,0),FALSE())/100,"")</f>
        <v/>
      </c>
      <c r="O659" s="10" t="str">
        <f aca="false">IFERROR(VLOOKUP(A659,'Dados-Status-Invest'!$1:$1000,MATCH(O$1,'Dados-Status-Invest'!$2:$2,0),FALSE())/100,"")</f>
        <v/>
      </c>
      <c r="P659" s="10" t="str">
        <f aca="false">IFERROR(VLOOKUP(A659,'Dados-Status-Invest'!$1:$1000,MATCH(P$1,'Dados-Status-Invest'!$2:$2,0),FALSE())/100,"")</f>
        <v/>
      </c>
      <c r="Q659" s="10" t="str">
        <f aca="false">IFERROR(VLOOKUP(A659,'Dados-Status-Invest'!$1:$1000,MATCH(Q$1,'Dados-Status-Invest'!$2:$2,0),FALSE())/100,"")</f>
        <v/>
      </c>
      <c r="R659" s="12" t="str">
        <f aca="false">IFERROR(VLOOKUP(A659,'Dados-Status-Invest'!$1:$1000,MATCH(R$1,'Dados-Status-Invest'!$2:$2,0),FALSE()),"")</f>
        <v/>
      </c>
      <c r="S659" s="12" t="str">
        <f aca="false">IFERROR(VLOOKUP(A659,'Dados-Status-Invest'!$1:$1000,MATCH(S$1,'Dados-Status-Invest'!$2:$2,0),FALSE()),"")</f>
        <v/>
      </c>
      <c r="T659" s="12" t="str">
        <f aca="false">IFERROR(VLOOKUP(A659,'Dados-Status-Invest'!$1:$1000,MATCH(T$1,'Dados-Status-Invest'!$2:$2,0),FALSE()),"")</f>
        <v/>
      </c>
      <c r="U659" s="12" t="str">
        <f aca="false">IFERROR(VLOOKUP(A659,'Dados-Status-Invest'!$1:$1000,MATCH(U$1,'Dados-Status-Invest'!$2:$2,0),FALSE()),"")</f>
        <v/>
      </c>
      <c r="V659" s="12" t="str">
        <f aca="false">IFERROR(VLOOKUP(A659,'Dados-Status-Invest'!$1:$1000,MATCH(V$1,'Dados-Status-Invest'!$2:$2,0),FALSE()),"")</f>
        <v/>
      </c>
      <c r="W659" s="10" t="str">
        <f aca="false">IFERROR(VLOOKUP(A659,'Dados-Status-Invest'!$1:$1000,MATCH(W$1,'Dados-Status-Invest'!$2:$2,0),FALSE())/100,"")</f>
        <v/>
      </c>
      <c r="X659" s="10" t="str">
        <f aca="false">IFERROR(VLOOKUP(A659,'Dados-Status-Invest'!$1:$1000,MATCH(X$1,'Dados-Status-Invest'!$2:$2,0),FALSE())/100,"")</f>
        <v/>
      </c>
    </row>
    <row r="660" customFormat="false" ht="15.75" hidden="false" customHeight="false" outlineLevel="0" collapsed="false">
      <c r="B660" s="7" t="str">
        <f aca="false">IFERROR(VLOOKUP(LEFT(A660,4),Setor!A:D,2,FALSE()),"")</f>
        <v/>
      </c>
      <c r="C660" s="8" t="str">
        <f aca="false">IFERROR(__xludf.dummyfunction("IFERROR(IFERROR(GOOGLEFINANCE(A666,""price""),VLOOKUP(A666,'Dados-Status-Invest'!A:B,2,FALSE)),"""")"),"")</f>
        <v/>
      </c>
      <c r="D660" s="8" t="str">
        <f aca="false">IFERROR(VLOOKUP(A660,'Dados-Status-Invest'!$1:$1000,MATCH(D$1,'Dados-Status-Invest'!$2:$2,0),FALSE()),"")</f>
        <v/>
      </c>
      <c r="E660" s="8" t="e">
        <f aca="false">IF(D660+H660&gt;0,D660+H660,"")</f>
        <v>#VALUE!</v>
      </c>
      <c r="F660" s="8" t="str">
        <f aca="false">IFERROR(D660/VLOOKUP(A660,'Dados-Status-Invest'!$1:$1000,5,FALSE()),"")</f>
        <v/>
      </c>
      <c r="G660" s="8" t="str">
        <f aca="false">IFERROR(D660/VLOOKUP(A660,'Dados-Status-Invest'!$1:$1000,6,FALSE()),"")</f>
        <v/>
      </c>
      <c r="H660" s="8" t="str">
        <f aca="false">IFERROR(VLOOKUP(A660,'Dados-Status-Invest'!$1:$1000,12,FALSE())*J660,"")</f>
        <v/>
      </c>
      <c r="I660" s="8" t="str">
        <f aca="false">IFERROR(D660/VLOOKUP(A660,'Dados-Status-Invest'!$1:$1000,14,FALSE()),"")</f>
        <v/>
      </c>
      <c r="J660" s="9" t="str">
        <f aca="false">IFERROR(D660/VLOOKUP(A660,'Dados-Status-Invest'!$1:$1000,10,FALSE()),"")</f>
        <v/>
      </c>
      <c r="K660" s="10" t="str">
        <f aca="false">IFERROR(VLOOKUP(A660,'Dados-Status-Invest'!$1:$1000,3,FALSE())/100,"")</f>
        <v/>
      </c>
      <c r="L660" s="11" t="str">
        <f aca="false">IFERROR(VLOOKUP(A660,'Dados-Status-Invest'!$1:$1000,MATCH(L$1,'Dados-Status-Invest'!$2:$2,0),FALSE())/100,"")</f>
        <v/>
      </c>
      <c r="M660" s="10" t="str">
        <f aca="false">IFERROR(VLOOKUP(A660,'Dados-Status-Invest'!$1:$1000,MATCH(M$1,'Dados-Status-Invest'!$2:$2,0),FALSE())/100,"")</f>
        <v/>
      </c>
      <c r="N660" s="10" t="str">
        <f aca="false">IFERROR(VLOOKUP(A660,'Dados-Status-Invest'!$1:$1000,MATCH(N$1,'Dados-Status-Invest'!$2:$2,0),FALSE())/100,"")</f>
        <v/>
      </c>
      <c r="O660" s="10" t="str">
        <f aca="false">IFERROR(VLOOKUP(A660,'Dados-Status-Invest'!$1:$1000,MATCH(O$1,'Dados-Status-Invest'!$2:$2,0),FALSE())/100,"")</f>
        <v/>
      </c>
      <c r="P660" s="10" t="str">
        <f aca="false">IFERROR(VLOOKUP(A660,'Dados-Status-Invest'!$1:$1000,MATCH(P$1,'Dados-Status-Invest'!$2:$2,0),FALSE())/100,"")</f>
        <v/>
      </c>
      <c r="Q660" s="10" t="str">
        <f aca="false">IFERROR(VLOOKUP(A660,'Dados-Status-Invest'!$1:$1000,MATCH(Q$1,'Dados-Status-Invest'!$2:$2,0),FALSE())/100,"")</f>
        <v/>
      </c>
      <c r="R660" s="12" t="str">
        <f aca="false">IFERROR(VLOOKUP(A660,'Dados-Status-Invest'!$1:$1000,MATCH(R$1,'Dados-Status-Invest'!$2:$2,0),FALSE()),"")</f>
        <v/>
      </c>
      <c r="S660" s="12" t="str">
        <f aca="false">IFERROR(VLOOKUP(A660,'Dados-Status-Invest'!$1:$1000,MATCH(S$1,'Dados-Status-Invest'!$2:$2,0),FALSE()),"")</f>
        <v/>
      </c>
      <c r="T660" s="12" t="str">
        <f aca="false">IFERROR(VLOOKUP(A660,'Dados-Status-Invest'!$1:$1000,MATCH(T$1,'Dados-Status-Invest'!$2:$2,0),FALSE()),"")</f>
        <v/>
      </c>
      <c r="U660" s="12" t="str">
        <f aca="false">IFERROR(VLOOKUP(A660,'Dados-Status-Invest'!$1:$1000,MATCH(U$1,'Dados-Status-Invest'!$2:$2,0),FALSE()),"")</f>
        <v/>
      </c>
      <c r="V660" s="12" t="str">
        <f aca="false">IFERROR(VLOOKUP(A660,'Dados-Status-Invest'!$1:$1000,MATCH(V$1,'Dados-Status-Invest'!$2:$2,0),FALSE()),"")</f>
        <v/>
      </c>
      <c r="W660" s="10" t="str">
        <f aca="false">IFERROR(VLOOKUP(A660,'Dados-Status-Invest'!$1:$1000,MATCH(W$1,'Dados-Status-Invest'!$2:$2,0),FALSE())/100,"")</f>
        <v/>
      </c>
      <c r="X660" s="10" t="str">
        <f aca="false">IFERROR(VLOOKUP(A660,'Dados-Status-Invest'!$1:$1000,MATCH(X$1,'Dados-Status-Invest'!$2:$2,0),FALSE())/100,"")</f>
        <v/>
      </c>
    </row>
    <row r="661" customFormat="false" ht="15.75" hidden="false" customHeight="false" outlineLevel="0" collapsed="false">
      <c r="B661" s="7" t="str">
        <f aca="false">IFERROR(VLOOKUP(LEFT(A661,4),Setor!A:D,2,FALSE()),"")</f>
        <v/>
      </c>
      <c r="C661" s="8" t="str">
        <f aca="false">IFERROR(__xludf.dummyfunction("IFERROR(IFERROR(GOOGLEFINANCE(A667,""price""),VLOOKUP(A667,'Dados-Status-Invest'!A:B,2,FALSE)),"""")"),"")</f>
        <v/>
      </c>
      <c r="D661" s="8" t="str">
        <f aca="false">IFERROR(VLOOKUP(A661,'Dados-Status-Invest'!$1:$1000,MATCH(D$1,'Dados-Status-Invest'!$2:$2,0),FALSE()),"")</f>
        <v/>
      </c>
      <c r="E661" s="8" t="e">
        <f aca="false">IF(D661+H661&gt;0,D661+H661,"")</f>
        <v>#VALUE!</v>
      </c>
      <c r="F661" s="8" t="str">
        <f aca="false">IFERROR(D661/VLOOKUP(A661,'Dados-Status-Invest'!$1:$1000,5,FALSE()),"")</f>
        <v/>
      </c>
      <c r="G661" s="8" t="str">
        <f aca="false">IFERROR(D661/VLOOKUP(A661,'Dados-Status-Invest'!$1:$1000,6,FALSE()),"")</f>
        <v/>
      </c>
      <c r="H661" s="8" t="str">
        <f aca="false">IFERROR(VLOOKUP(A661,'Dados-Status-Invest'!$1:$1000,12,FALSE())*J661,"")</f>
        <v/>
      </c>
      <c r="I661" s="8" t="str">
        <f aca="false">IFERROR(D661/VLOOKUP(A661,'Dados-Status-Invest'!$1:$1000,14,FALSE()),"")</f>
        <v/>
      </c>
      <c r="J661" s="9" t="str">
        <f aca="false">IFERROR(D661/VLOOKUP(A661,'Dados-Status-Invest'!$1:$1000,10,FALSE()),"")</f>
        <v/>
      </c>
      <c r="K661" s="10" t="str">
        <f aca="false">IFERROR(VLOOKUP(A661,'Dados-Status-Invest'!$1:$1000,3,FALSE())/100,"")</f>
        <v/>
      </c>
      <c r="L661" s="11" t="str">
        <f aca="false">IFERROR(VLOOKUP(A661,'Dados-Status-Invest'!$1:$1000,MATCH(L$1,'Dados-Status-Invest'!$2:$2,0),FALSE())/100,"")</f>
        <v/>
      </c>
      <c r="M661" s="10" t="str">
        <f aca="false">IFERROR(VLOOKUP(A661,'Dados-Status-Invest'!$1:$1000,MATCH(M$1,'Dados-Status-Invest'!$2:$2,0),FALSE())/100,"")</f>
        <v/>
      </c>
      <c r="N661" s="10" t="str">
        <f aca="false">IFERROR(VLOOKUP(A661,'Dados-Status-Invest'!$1:$1000,MATCH(N$1,'Dados-Status-Invest'!$2:$2,0),FALSE())/100,"")</f>
        <v/>
      </c>
      <c r="O661" s="10" t="str">
        <f aca="false">IFERROR(VLOOKUP(A661,'Dados-Status-Invest'!$1:$1000,MATCH(O$1,'Dados-Status-Invest'!$2:$2,0),FALSE())/100,"")</f>
        <v/>
      </c>
      <c r="P661" s="10" t="str">
        <f aca="false">IFERROR(VLOOKUP(A661,'Dados-Status-Invest'!$1:$1000,MATCH(P$1,'Dados-Status-Invest'!$2:$2,0),FALSE())/100,"")</f>
        <v/>
      </c>
      <c r="Q661" s="10" t="str">
        <f aca="false">IFERROR(VLOOKUP(A661,'Dados-Status-Invest'!$1:$1000,MATCH(Q$1,'Dados-Status-Invest'!$2:$2,0),FALSE())/100,"")</f>
        <v/>
      </c>
      <c r="R661" s="12" t="str">
        <f aca="false">IFERROR(VLOOKUP(A661,'Dados-Status-Invest'!$1:$1000,MATCH(R$1,'Dados-Status-Invest'!$2:$2,0),FALSE()),"")</f>
        <v/>
      </c>
      <c r="S661" s="12" t="str">
        <f aca="false">IFERROR(VLOOKUP(A661,'Dados-Status-Invest'!$1:$1000,MATCH(S$1,'Dados-Status-Invest'!$2:$2,0),FALSE()),"")</f>
        <v/>
      </c>
      <c r="T661" s="12" t="str">
        <f aca="false">IFERROR(VLOOKUP(A661,'Dados-Status-Invest'!$1:$1000,MATCH(T$1,'Dados-Status-Invest'!$2:$2,0),FALSE()),"")</f>
        <v/>
      </c>
      <c r="U661" s="12" t="str">
        <f aca="false">IFERROR(VLOOKUP(A661,'Dados-Status-Invest'!$1:$1000,MATCH(U$1,'Dados-Status-Invest'!$2:$2,0),FALSE()),"")</f>
        <v/>
      </c>
      <c r="V661" s="12" t="str">
        <f aca="false">IFERROR(VLOOKUP(A661,'Dados-Status-Invest'!$1:$1000,MATCH(V$1,'Dados-Status-Invest'!$2:$2,0),FALSE()),"")</f>
        <v/>
      </c>
      <c r="W661" s="10" t="str">
        <f aca="false">IFERROR(VLOOKUP(A661,'Dados-Status-Invest'!$1:$1000,MATCH(W$1,'Dados-Status-Invest'!$2:$2,0),FALSE())/100,"")</f>
        <v/>
      </c>
      <c r="X661" s="10" t="str">
        <f aca="false">IFERROR(VLOOKUP(A661,'Dados-Status-Invest'!$1:$1000,MATCH(X$1,'Dados-Status-Invest'!$2:$2,0),FALSE())/100,"")</f>
        <v/>
      </c>
    </row>
    <row r="662" customFormat="false" ht="15.75" hidden="false" customHeight="false" outlineLevel="0" collapsed="false">
      <c r="B662" s="7" t="str">
        <f aca="false">IFERROR(VLOOKUP(LEFT(A662,4),Setor!A:D,2,FALSE()),"")</f>
        <v/>
      </c>
      <c r="C662" s="8" t="str">
        <f aca="false">IFERROR(__xludf.dummyfunction("IFERROR(IFERROR(GOOGLEFINANCE(A668,""price""),VLOOKUP(A668,'Dados-Status-Invest'!A:B,2,FALSE)),"""")"),"")</f>
        <v/>
      </c>
      <c r="D662" s="8" t="str">
        <f aca="false">IFERROR(VLOOKUP(A662,'Dados-Status-Invest'!$1:$1000,MATCH(D$1,'Dados-Status-Invest'!$2:$2,0),FALSE()),"")</f>
        <v/>
      </c>
      <c r="E662" s="8" t="e">
        <f aca="false">IF(D662+H662&gt;0,D662+H662,"")</f>
        <v>#VALUE!</v>
      </c>
      <c r="F662" s="8" t="str">
        <f aca="false">IFERROR(D662/VLOOKUP(A662,'Dados-Status-Invest'!$1:$1000,5,FALSE()),"")</f>
        <v/>
      </c>
      <c r="G662" s="8" t="str">
        <f aca="false">IFERROR(D662/VLOOKUP(A662,'Dados-Status-Invest'!$1:$1000,6,FALSE()),"")</f>
        <v/>
      </c>
      <c r="H662" s="8" t="str">
        <f aca="false">IFERROR(VLOOKUP(A662,'Dados-Status-Invest'!$1:$1000,12,FALSE())*J662,"")</f>
        <v/>
      </c>
      <c r="I662" s="8" t="str">
        <f aca="false">IFERROR(D662/VLOOKUP(A662,'Dados-Status-Invest'!$1:$1000,14,FALSE()),"")</f>
        <v/>
      </c>
      <c r="J662" s="9" t="str">
        <f aca="false">IFERROR(D662/VLOOKUP(A662,'Dados-Status-Invest'!$1:$1000,10,FALSE()),"")</f>
        <v/>
      </c>
      <c r="K662" s="10" t="str">
        <f aca="false">IFERROR(VLOOKUP(A662,'Dados-Status-Invest'!$1:$1000,3,FALSE())/100,"")</f>
        <v/>
      </c>
      <c r="L662" s="11" t="str">
        <f aca="false">IFERROR(VLOOKUP(A662,'Dados-Status-Invest'!$1:$1000,MATCH(L$1,'Dados-Status-Invest'!$2:$2,0),FALSE())/100,"")</f>
        <v/>
      </c>
      <c r="M662" s="10" t="str">
        <f aca="false">IFERROR(VLOOKUP(A662,'Dados-Status-Invest'!$1:$1000,MATCH(M$1,'Dados-Status-Invest'!$2:$2,0),FALSE())/100,"")</f>
        <v/>
      </c>
      <c r="N662" s="10" t="str">
        <f aca="false">IFERROR(VLOOKUP(A662,'Dados-Status-Invest'!$1:$1000,MATCH(N$1,'Dados-Status-Invest'!$2:$2,0),FALSE())/100,"")</f>
        <v/>
      </c>
      <c r="O662" s="10" t="str">
        <f aca="false">IFERROR(VLOOKUP(A662,'Dados-Status-Invest'!$1:$1000,MATCH(O$1,'Dados-Status-Invest'!$2:$2,0),FALSE())/100,"")</f>
        <v/>
      </c>
      <c r="P662" s="10" t="str">
        <f aca="false">IFERROR(VLOOKUP(A662,'Dados-Status-Invest'!$1:$1000,MATCH(P$1,'Dados-Status-Invest'!$2:$2,0),FALSE())/100,"")</f>
        <v/>
      </c>
      <c r="Q662" s="10" t="str">
        <f aca="false">IFERROR(VLOOKUP(A662,'Dados-Status-Invest'!$1:$1000,MATCH(Q$1,'Dados-Status-Invest'!$2:$2,0),FALSE())/100,"")</f>
        <v/>
      </c>
      <c r="R662" s="12" t="str">
        <f aca="false">IFERROR(VLOOKUP(A662,'Dados-Status-Invest'!$1:$1000,MATCH(R$1,'Dados-Status-Invest'!$2:$2,0),FALSE()),"")</f>
        <v/>
      </c>
      <c r="S662" s="12" t="str">
        <f aca="false">IFERROR(VLOOKUP(A662,'Dados-Status-Invest'!$1:$1000,MATCH(S$1,'Dados-Status-Invest'!$2:$2,0),FALSE()),"")</f>
        <v/>
      </c>
      <c r="T662" s="12" t="str">
        <f aca="false">IFERROR(VLOOKUP(A662,'Dados-Status-Invest'!$1:$1000,MATCH(T$1,'Dados-Status-Invest'!$2:$2,0),FALSE()),"")</f>
        <v/>
      </c>
      <c r="U662" s="12" t="str">
        <f aca="false">IFERROR(VLOOKUP(A662,'Dados-Status-Invest'!$1:$1000,MATCH(U$1,'Dados-Status-Invest'!$2:$2,0),FALSE()),"")</f>
        <v/>
      </c>
      <c r="V662" s="12" t="str">
        <f aca="false">IFERROR(VLOOKUP(A662,'Dados-Status-Invest'!$1:$1000,MATCH(V$1,'Dados-Status-Invest'!$2:$2,0),FALSE()),"")</f>
        <v/>
      </c>
      <c r="W662" s="10" t="str">
        <f aca="false">IFERROR(VLOOKUP(A662,'Dados-Status-Invest'!$1:$1000,MATCH(W$1,'Dados-Status-Invest'!$2:$2,0),FALSE())/100,"")</f>
        <v/>
      </c>
      <c r="X662" s="10" t="str">
        <f aca="false">IFERROR(VLOOKUP(A662,'Dados-Status-Invest'!$1:$1000,MATCH(X$1,'Dados-Status-Invest'!$2:$2,0),FALSE())/100,"")</f>
        <v/>
      </c>
    </row>
    <row r="663" customFormat="false" ht="15.75" hidden="false" customHeight="false" outlineLevel="0" collapsed="false">
      <c r="B663" s="7" t="str">
        <f aca="false">IFERROR(VLOOKUP(LEFT(A663,4),Setor!A:D,2,FALSE()),"")</f>
        <v/>
      </c>
      <c r="C663" s="8" t="str">
        <f aca="false">IFERROR(__xludf.dummyfunction("IFERROR(IFERROR(GOOGLEFINANCE(A669,""price""),VLOOKUP(A669,'Dados-Status-Invest'!A:B,2,FALSE)),"""")"),"")</f>
        <v/>
      </c>
      <c r="D663" s="8" t="str">
        <f aca="false">IFERROR(VLOOKUP(A663,'Dados-Status-Invest'!$1:$1000,MATCH(D$1,'Dados-Status-Invest'!$2:$2,0),FALSE()),"")</f>
        <v/>
      </c>
      <c r="E663" s="8" t="e">
        <f aca="false">IF(D663+H663&gt;0,D663+H663,"")</f>
        <v>#VALUE!</v>
      </c>
      <c r="F663" s="8" t="str">
        <f aca="false">IFERROR(D663/VLOOKUP(A663,'Dados-Status-Invest'!$1:$1000,5,FALSE()),"")</f>
        <v/>
      </c>
      <c r="G663" s="8" t="str">
        <f aca="false">IFERROR(D663/VLOOKUP(A663,'Dados-Status-Invest'!$1:$1000,6,FALSE()),"")</f>
        <v/>
      </c>
      <c r="H663" s="8" t="str">
        <f aca="false">IFERROR(VLOOKUP(A663,'Dados-Status-Invest'!$1:$1000,12,FALSE())*J663,"")</f>
        <v/>
      </c>
      <c r="I663" s="8" t="str">
        <f aca="false">IFERROR(D663/VLOOKUP(A663,'Dados-Status-Invest'!$1:$1000,14,FALSE()),"")</f>
        <v/>
      </c>
      <c r="J663" s="9" t="str">
        <f aca="false">IFERROR(D663/VLOOKUP(A663,'Dados-Status-Invest'!$1:$1000,10,FALSE()),"")</f>
        <v/>
      </c>
      <c r="K663" s="10" t="str">
        <f aca="false">IFERROR(VLOOKUP(A663,'Dados-Status-Invest'!$1:$1000,3,FALSE())/100,"")</f>
        <v/>
      </c>
      <c r="L663" s="11" t="str">
        <f aca="false">IFERROR(VLOOKUP(A663,'Dados-Status-Invest'!$1:$1000,MATCH(L$1,'Dados-Status-Invest'!$2:$2,0),FALSE())/100,"")</f>
        <v/>
      </c>
      <c r="M663" s="10" t="str">
        <f aca="false">IFERROR(VLOOKUP(A663,'Dados-Status-Invest'!$1:$1000,MATCH(M$1,'Dados-Status-Invest'!$2:$2,0),FALSE())/100,"")</f>
        <v/>
      </c>
      <c r="N663" s="10" t="str">
        <f aca="false">IFERROR(VLOOKUP(A663,'Dados-Status-Invest'!$1:$1000,MATCH(N$1,'Dados-Status-Invest'!$2:$2,0),FALSE())/100,"")</f>
        <v/>
      </c>
      <c r="O663" s="10" t="str">
        <f aca="false">IFERROR(VLOOKUP(A663,'Dados-Status-Invest'!$1:$1000,MATCH(O$1,'Dados-Status-Invest'!$2:$2,0),FALSE())/100,"")</f>
        <v/>
      </c>
      <c r="P663" s="10" t="str">
        <f aca="false">IFERROR(VLOOKUP(A663,'Dados-Status-Invest'!$1:$1000,MATCH(P$1,'Dados-Status-Invest'!$2:$2,0),FALSE())/100,"")</f>
        <v/>
      </c>
      <c r="Q663" s="10" t="str">
        <f aca="false">IFERROR(VLOOKUP(A663,'Dados-Status-Invest'!$1:$1000,MATCH(Q$1,'Dados-Status-Invest'!$2:$2,0),FALSE())/100,"")</f>
        <v/>
      </c>
      <c r="R663" s="12" t="str">
        <f aca="false">IFERROR(VLOOKUP(A663,'Dados-Status-Invest'!$1:$1000,MATCH(R$1,'Dados-Status-Invest'!$2:$2,0),FALSE()),"")</f>
        <v/>
      </c>
      <c r="S663" s="12" t="str">
        <f aca="false">IFERROR(VLOOKUP(A663,'Dados-Status-Invest'!$1:$1000,MATCH(S$1,'Dados-Status-Invest'!$2:$2,0),FALSE()),"")</f>
        <v/>
      </c>
      <c r="T663" s="12" t="str">
        <f aca="false">IFERROR(VLOOKUP(A663,'Dados-Status-Invest'!$1:$1000,MATCH(T$1,'Dados-Status-Invest'!$2:$2,0),FALSE()),"")</f>
        <v/>
      </c>
      <c r="U663" s="12" t="str">
        <f aca="false">IFERROR(VLOOKUP(A663,'Dados-Status-Invest'!$1:$1000,MATCH(U$1,'Dados-Status-Invest'!$2:$2,0),FALSE()),"")</f>
        <v/>
      </c>
      <c r="V663" s="12" t="str">
        <f aca="false">IFERROR(VLOOKUP(A663,'Dados-Status-Invest'!$1:$1000,MATCH(V$1,'Dados-Status-Invest'!$2:$2,0),FALSE()),"")</f>
        <v/>
      </c>
      <c r="W663" s="10" t="str">
        <f aca="false">IFERROR(VLOOKUP(A663,'Dados-Status-Invest'!$1:$1000,MATCH(W$1,'Dados-Status-Invest'!$2:$2,0),FALSE())/100,"")</f>
        <v/>
      </c>
      <c r="X663" s="10" t="str">
        <f aca="false">IFERROR(VLOOKUP(A663,'Dados-Status-Invest'!$1:$1000,MATCH(X$1,'Dados-Status-Invest'!$2:$2,0),FALSE())/100,"")</f>
        <v/>
      </c>
    </row>
    <row r="664" customFormat="false" ht="15.75" hidden="false" customHeight="false" outlineLevel="0" collapsed="false">
      <c r="B664" s="7" t="str">
        <f aca="false">IFERROR(VLOOKUP(LEFT(A664,4),Setor!A:D,2,FALSE()),"")</f>
        <v/>
      </c>
      <c r="C664" s="8" t="str">
        <f aca="false">IFERROR(__xludf.dummyfunction("IFERROR(IFERROR(GOOGLEFINANCE(A670,""price""),VLOOKUP(A670,'Dados-Status-Invest'!A:B,2,FALSE)),"""")"),"")</f>
        <v/>
      </c>
      <c r="D664" s="8" t="str">
        <f aca="false">IFERROR(VLOOKUP(A664,'Dados-Status-Invest'!$1:$1000,MATCH(D$1,'Dados-Status-Invest'!$2:$2,0),FALSE()),"")</f>
        <v/>
      </c>
      <c r="E664" s="8" t="e">
        <f aca="false">IF(D664+H664&gt;0,D664+H664,"")</f>
        <v>#VALUE!</v>
      </c>
      <c r="F664" s="8" t="str">
        <f aca="false">IFERROR(D664/VLOOKUP(A664,'Dados-Status-Invest'!$1:$1000,5,FALSE()),"")</f>
        <v/>
      </c>
      <c r="G664" s="8" t="str">
        <f aca="false">IFERROR(D664/VLOOKUP(A664,'Dados-Status-Invest'!$1:$1000,6,FALSE()),"")</f>
        <v/>
      </c>
      <c r="H664" s="8" t="str">
        <f aca="false">IFERROR(VLOOKUP(A664,'Dados-Status-Invest'!$1:$1000,12,FALSE())*J664,"")</f>
        <v/>
      </c>
      <c r="I664" s="8" t="str">
        <f aca="false">IFERROR(D664/VLOOKUP(A664,'Dados-Status-Invest'!$1:$1000,14,FALSE()),"")</f>
        <v/>
      </c>
      <c r="J664" s="9" t="str">
        <f aca="false">IFERROR(D664/VLOOKUP(A664,'Dados-Status-Invest'!$1:$1000,10,FALSE()),"")</f>
        <v/>
      </c>
      <c r="K664" s="10" t="str">
        <f aca="false">IFERROR(VLOOKUP(A664,'Dados-Status-Invest'!$1:$1000,3,FALSE())/100,"")</f>
        <v/>
      </c>
      <c r="L664" s="11" t="str">
        <f aca="false">IFERROR(VLOOKUP(A664,'Dados-Status-Invest'!$1:$1000,MATCH(L$1,'Dados-Status-Invest'!$2:$2,0),FALSE())/100,"")</f>
        <v/>
      </c>
      <c r="M664" s="10" t="str">
        <f aca="false">IFERROR(VLOOKUP(A664,'Dados-Status-Invest'!$1:$1000,MATCH(M$1,'Dados-Status-Invest'!$2:$2,0),FALSE())/100,"")</f>
        <v/>
      </c>
      <c r="N664" s="10" t="str">
        <f aca="false">IFERROR(VLOOKUP(A664,'Dados-Status-Invest'!$1:$1000,MATCH(N$1,'Dados-Status-Invest'!$2:$2,0),FALSE())/100,"")</f>
        <v/>
      </c>
      <c r="O664" s="10" t="str">
        <f aca="false">IFERROR(VLOOKUP(A664,'Dados-Status-Invest'!$1:$1000,MATCH(O$1,'Dados-Status-Invest'!$2:$2,0),FALSE())/100,"")</f>
        <v/>
      </c>
      <c r="P664" s="10" t="str">
        <f aca="false">IFERROR(VLOOKUP(A664,'Dados-Status-Invest'!$1:$1000,MATCH(P$1,'Dados-Status-Invest'!$2:$2,0),FALSE())/100,"")</f>
        <v/>
      </c>
      <c r="Q664" s="10" t="str">
        <f aca="false">IFERROR(VLOOKUP(A664,'Dados-Status-Invest'!$1:$1000,MATCH(Q$1,'Dados-Status-Invest'!$2:$2,0),FALSE())/100,"")</f>
        <v/>
      </c>
      <c r="R664" s="12" t="str">
        <f aca="false">IFERROR(VLOOKUP(A664,'Dados-Status-Invest'!$1:$1000,MATCH(R$1,'Dados-Status-Invest'!$2:$2,0),FALSE()),"")</f>
        <v/>
      </c>
      <c r="S664" s="12" t="str">
        <f aca="false">IFERROR(VLOOKUP(A664,'Dados-Status-Invest'!$1:$1000,MATCH(S$1,'Dados-Status-Invest'!$2:$2,0),FALSE()),"")</f>
        <v/>
      </c>
      <c r="T664" s="12" t="str">
        <f aca="false">IFERROR(VLOOKUP(A664,'Dados-Status-Invest'!$1:$1000,MATCH(T$1,'Dados-Status-Invest'!$2:$2,0),FALSE()),"")</f>
        <v/>
      </c>
      <c r="U664" s="12" t="str">
        <f aca="false">IFERROR(VLOOKUP(A664,'Dados-Status-Invest'!$1:$1000,MATCH(U$1,'Dados-Status-Invest'!$2:$2,0),FALSE()),"")</f>
        <v/>
      </c>
      <c r="V664" s="12" t="str">
        <f aca="false">IFERROR(VLOOKUP(A664,'Dados-Status-Invest'!$1:$1000,MATCH(V$1,'Dados-Status-Invest'!$2:$2,0),FALSE()),"")</f>
        <v/>
      </c>
      <c r="W664" s="10" t="str">
        <f aca="false">IFERROR(VLOOKUP(A664,'Dados-Status-Invest'!$1:$1000,MATCH(W$1,'Dados-Status-Invest'!$2:$2,0),FALSE())/100,"")</f>
        <v/>
      </c>
      <c r="X664" s="10" t="str">
        <f aca="false">IFERROR(VLOOKUP(A664,'Dados-Status-Invest'!$1:$1000,MATCH(X$1,'Dados-Status-Invest'!$2:$2,0),FALSE())/100,"")</f>
        <v/>
      </c>
    </row>
    <row r="665" customFormat="false" ht="15.75" hidden="false" customHeight="false" outlineLevel="0" collapsed="false">
      <c r="B665" s="7" t="str">
        <f aca="false">IFERROR(VLOOKUP(LEFT(A665,4),Setor!A:D,2,FALSE()),"")</f>
        <v/>
      </c>
      <c r="C665" s="8" t="str">
        <f aca="false">IFERROR(__xludf.dummyfunction("IFERROR(IFERROR(GOOGLEFINANCE(A671,""price""),VLOOKUP(A671,'Dados-Status-Invest'!A:B,2,FALSE)),"""")"),"")</f>
        <v/>
      </c>
      <c r="D665" s="8" t="str">
        <f aca="false">IFERROR(VLOOKUP(A665,'Dados-Status-Invest'!$1:$1000,MATCH(D$1,'Dados-Status-Invest'!$2:$2,0),FALSE()),"")</f>
        <v/>
      </c>
      <c r="E665" s="8" t="e">
        <f aca="false">IF(D665+H665&gt;0,D665+H665,"")</f>
        <v>#VALUE!</v>
      </c>
      <c r="F665" s="8" t="str">
        <f aca="false">IFERROR(D665/VLOOKUP(A665,'Dados-Status-Invest'!$1:$1000,5,FALSE()),"")</f>
        <v/>
      </c>
      <c r="G665" s="8" t="str">
        <f aca="false">IFERROR(D665/VLOOKUP(A665,'Dados-Status-Invest'!$1:$1000,6,FALSE()),"")</f>
        <v/>
      </c>
      <c r="H665" s="8" t="str">
        <f aca="false">IFERROR(VLOOKUP(A665,'Dados-Status-Invest'!$1:$1000,12,FALSE())*J665,"")</f>
        <v/>
      </c>
      <c r="I665" s="8" t="str">
        <f aca="false">IFERROR(D665/VLOOKUP(A665,'Dados-Status-Invest'!$1:$1000,14,FALSE()),"")</f>
        <v/>
      </c>
      <c r="J665" s="9" t="str">
        <f aca="false">IFERROR(D665/VLOOKUP(A665,'Dados-Status-Invest'!$1:$1000,10,FALSE()),"")</f>
        <v/>
      </c>
      <c r="K665" s="10" t="str">
        <f aca="false">IFERROR(VLOOKUP(A665,'Dados-Status-Invest'!$1:$1000,3,FALSE())/100,"")</f>
        <v/>
      </c>
      <c r="L665" s="11" t="str">
        <f aca="false">IFERROR(VLOOKUP(A665,'Dados-Status-Invest'!$1:$1000,MATCH(L$1,'Dados-Status-Invest'!$2:$2,0),FALSE())/100,"")</f>
        <v/>
      </c>
      <c r="M665" s="10" t="str">
        <f aca="false">IFERROR(VLOOKUP(A665,'Dados-Status-Invest'!$1:$1000,MATCH(M$1,'Dados-Status-Invest'!$2:$2,0),FALSE())/100,"")</f>
        <v/>
      </c>
      <c r="N665" s="10" t="str">
        <f aca="false">IFERROR(VLOOKUP(A665,'Dados-Status-Invest'!$1:$1000,MATCH(N$1,'Dados-Status-Invest'!$2:$2,0),FALSE())/100,"")</f>
        <v/>
      </c>
      <c r="O665" s="10" t="str">
        <f aca="false">IFERROR(VLOOKUP(A665,'Dados-Status-Invest'!$1:$1000,MATCH(O$1,'Dados-Status-Invest'!$2:$2,0),FALSE())/100,"")</f>
        <v/>
      </c>
      <c r="P665" s="10" t="str">
        <f aca="false">IFERROR(VLOOKUP(A665,'Dados-Status-Invest'!$1:$1000,MATCH(P$1,'Dados-Status-Invest'!$2:$2,0),FALSE())/100,"")</f>
        <v/>
      </c>
      <c r="Q665" s="10" t="str">
        <f aca="false">IFERROR(VLOOKUP(A665,'Dados-Status-Invest'!$1:$1000,MATCH(Q$1,'Dados-Status-Invest'!$2:$2,0),FALSE())/100,"")</f>
        <v/>
      </c>
      <c r="R665" s="12" t="str">
        <f aca="false">IFERROR(VLOOKUP(A665,'Dados-Status-Invest'!$1:$1000,MATCH(R$1,'Dados-Status-Invest'!$2:$2,0),FALSE()),"")</f>
        <v/>
      </c>
      <c r="S665" s="12" t="str">
        <f aca="false">IFERROR(VLOOKUP(A665,'Dados-Status-Invest'!$1:$1000,MATCH(S$1,'Dados-Status-Invest'!$2:$2,0),FALSE()),"")</f>
        <v/>
      </c>
      <c r="T665" s="12" t="str">
        <f aca="false">IFERROR(VLOOKUP(A665,'Dados-Status-Invest'!$1:$1000,MATCH(T$1,'Dados-Status-Invest'!$2:$2,0),FALSE()),"")</f>
        <v/>
      </c>
      <c r="U665" s="12" t="str">
        <f aca="false">IFERROR(VLOOKUP(A665,'Dados-Status-Invest'!$1:$1000,MATCH(U$1,'Dados-Status-Invest'!$2:$2,0),FALSE()),"")</f>
        <v/>
      </c>
      <c r="V665" s="12" t="str">
        <f aca="false">IFERROR(VLOOKUP(A665,'Dados-Status-Invest'!$1:$1000,MATCH(V$1,'Dados-Status-Invest'!$2:$2,0),FALSE()),"")</f>
        <v/>
      </c>
      <c r="W665" s="10" t="str">
        <f aca="false">IFERROR(VLOOKUP(A665,'Dados-Status-Invest'!$1:$1000,MATCH(W$1,'Dados-Status-Invest'!$2:$2,0),FALSE())/100,"")</f>
        <v/>
      </c>
      <c r="X665" s="10" t="str">
        <f aca="false">IFERROR(VLOOKUP(A665,'Dados-Status-Invest'!$1:$1000,MATCH(X$1,'Dados-Status-Invest'!$2:$2,0),FALSE())/100,"")</f>
        <v/>
      </c>
    </row>
    <row r="666" customFormat="false" ht="15.75" hidden="false" customHeight="false" outlineLevel="0" collapsed="false">
      <c r="B666" s="7" t="str">
        <f aca="false">IFERROR(VLOOKUP(LEFT(A666,4),Setor!A:D,2,FALSE()),"")</f>
        <v/>
      </c>
      <c r="C666" s="8" t="str">
        <f aca="false">IFERROR(__xludf.dummyfunction("IFERROR(IFERROR(GOOGLEFINANCE(A672,""price""),VLOOKUP(A672,'Dados-Status-Invest'!A:B,2,FALSE)),"""")"),"")</f>
        <v/>
      </c>
      <c r="D666" s="8" t="str">
        <f aca="false">IFERROR(VLOOKUP(A666,'Dados-Status-Invest'!$1:$1000,MATCH(D$1,'Dados-Status-Invest'!$2:$2,0),FALSE()),"")</f>
        <v/>
      </c>
      <c r="E666" s="8" t="e">
        <f aca="false">IF(D666+H666&gt;0,D666+H666,"")</f>
        <v>#VALUE!</v>
      </c>
      <c r="F666" s="8" t="str">
        <f aca="false">IFERROR(D666/VLOOKUP(A666,'Dados-Status-Invest'!$1:$1000,5,FALSE()),"")</f>
        <v/>
      </c>
      <c r="G666" s="8" t="str">
        <f aca="false">IFERROR(D666/VLOOKUP(A666,'Dados-Status-Invest'!$1:$1000,6,FALSE()),"")</f>
        <v/>
      </c>
      <c r="H666" s="8" t="str">
        <f aca="false">IFERROR(VLOOKUP(A666,'Dados-Status-Invest'!$1:$1000,12,FALSE())*J666,"")</f>
        <v/>
      </c>
      <c r="I666" s="8" t="str">
        <f aca="false">IFERROR(D666/VLOOKUP(A666,'Dados-Status-Invest'!$1:$1000,14,FALSE()),"")</f>
        <v/>
      </c>
      <c r="J666" s="9" t="str">
        <f aca="false">IFERROR(D666/VLOOKUP(A666,'Dados-Status-Invest'!$1:$1000,10,FALSE()),"")</f>
        <v/>
      </c>
      <c r="K666" s="10" t="str">
        <f aca="false">IFERROR(VLOOKUP(A666,'Dados-Status-Invest'!$1:$1000,3,FALSE())/100,"")</f>
        <v/>
      </c>
      <c r="L666" s="11" t="str">
        <f aca="false">IFERROR(VLOOKUP(A666,'Dados-Status-Invest'!$1:$1000,MATCH(L$1,'Dados-Status-Invest'!$2:$2,0),FALSE())/100,"")</f>
        <v/>
      </c>
      <c r="M666" s="10" t="str">
        <f aca="false">IFERROR(VLOOKUP(A666,'Dados-Status-Invest'!$1:$1000,MATCH(M$1,'Dados-Status-Invest'!$2:$2,0),FALSE())/100,"")</f>
        <v/>
      </c>
      <c r="N666" s="10" t="str">
        <f aca="false">IFERROR(VLOOKUP(A666,'Dados-Status-Invest'!$1:$1000,MATCH(N$1,'Dados-Status-Invest'!$2:$2,0),FALSE())/100,"")</f>
        <v/>
      </c>
      <c r="O666" s="10" t="str">
        <f aca="false">IFERROR(VLOOKUP(A666,'Dados-Status-Invest'!$1:$1000,MATCH(O$1,'Dados-Status-Invest'!$2:$2,0),FALSE())/100,"")</f>
        <v/>
      </c>
      <c r="P666" s="10" t="str">
        <f aca="false">IFERROR(VLOOKUP(A666,'Dados-Status-Invest'!$1:$1000,MATCH(P$1,'Dados-Status-Invest'!$2:$2,0),FALSE())/100,"")</f>
        <v/>
      </c>
      <c r="Q666" s="10" t="str">
        <f aca="false">IFERROR(VLOOKUP(A666,'Dados-Status-Invest'!$1:$1000,MATCH(Q$1,'Dados-Status-Invest'!$2:$2,0),FALSE())/100,"")</f>
        <v/>
      </c>
      <c r="R666" s="12" t="str">
        <f aca="false">IFERROR(VLOOKUP(A666,'Dados-Status-Invest'!$1:$1000,MATCH(R$1,'Dados-Status-Invest'!$2:$2,0),FALSE()),"")</f>
        <v/>
      </c>
      <c r="S666" s="12" t="str">
        <f aca="false">IFERROR(VLOOKUP(A666,'Dados-Status-Invest'!$1:$1000,MATCH(S$1,'Dados-Status-Invest'!$2:$2,0),FALSE()),"")</f>
        <v/>
      </c>
      <c r="T666" s="12" t="str">
        <f aca="false">IFERROR(VLOOKUP(A666,'Dados-Status-Invest'!$1:$1000,MATCH(T$1,'Dados-Status-Invest'!$2:$2,0),FALSE()),"")</f>
        <v/>
      </c>
      <c r="U666" s="12" t="str">
        <f aca="false">IFERROR(VLOOKUP(A666,'Dados-Status-Invest'!$1:$1000,MATCH(U$1,'Dados-Status-Invest'!$2:$2,0),FALSE()),"")</f>
        <v/>
      </c>
      <c r="V666" s="12" t="str">
        <f aca="false">IFERROR(VLOOKUP(A666,'Dados-Status-Invest'!$1:$1000,MATCH(V$1,'Dados-Status-Invest'!$2:$2,0),FALSE()),"")</f>
        <v/>
      </c>
      <c r="W666" s="10" t="str">
        <f aca="false">IFERROR(VLOOKUP(A666,'Dados-Status-Invest'!$1:$1000,MATCH(W$1,'Dados-Status-Invest'!$2:$2,0),FALSE())/100,"")</f>
        <v/>
      </c>
      <c r="X666" s="10" t="str">
        <f aca="false">IFERROR(VLOOKUP(A666,'Dados-Status-Invest'!$1:$1000,MATCH(X$1,'Dados-Status-Invest'!$2:$2,0),FALSE())/100,"")</f>
        <v/>
      </c>
    </row>
    <row r="667" customFormat="false" ht="15.75" hidden="false" customHeight="false" outlineLevel="0" collapsed="false">
      <c r="B667" s="7" t="str">
        <f aca="false">IFERROR(VLOOKUP(LEFT(A667,4),Setor!A:D,2,FALSE()),"")</f>
        <v/>
      </c>
      <c r="C667" s="8" t="str">
        <f aca="false">IFERROR(__xludf.dummyfunction("IFERROR(IFERROR(GOOGLEFINANCE(A673,""price""),VLOOKUP(A673,'Dados-Status-Invest'!A:B,2,FALSE)),"""")"),"")</f>
        <v/>
      </c>
      <c r="D667" s="8" t="str">
        <f aca="false">IFERROR(VLOOKUP(A667,'Dados-Status-Invest'!$1:$1000,MATCH(D$1,'Dados-Status-Invest'!$2:$2,0),FALSE()),"")</f>
        <v/>
      </c>
      <c r="E667" s="8" t="e">
        <f aca="false">IF(D667+H667&gt;0,D667+H667,"")</f>
        <v>#VALUE!</v>
      </c>
      <c r="F667" s="8" t="str">
        <f aca="false">IFERROR(D667/VLOOKUP(A667,'Dados-Status-Invest'!$1:$1000,5,FALSE()),"")</f>
        <v/>
      </c>
      <c r="G667" s="8" t="str">
        <f aca="false">IFERROR(D667/VLOOKUP(A667,'Dados-Status-Invest'!$1:$1000,6,FALSE()),"")</f>
        <v/>
      </c>
      <c r="H667" s="8" t="str">
        <f aca="false">IFERROR(VLOOKUP(A667,'Dados-Status-Invest'!$1:$1000,12,FALSE())*J667,"")</f>
        <v/>
      </c>
      <c r="I667" s="8" t="str">
        <f aca="false">IFERROR(D667/VLOOKUP(A667,'Dados-Status-Invest'!$1:$1000,14,FALSE()),"")</f>
        <v/>
      </c>
      <c r="J667" s="9" t="str">
        <f aca="false">IFERROR(D667/VLOOKUP(A667,'Dados-Status-Invest'!$1:$1000,10,FALSE()),"")</f>
        <v/>
      </c>
      <c r="K667" s="10" t="str">
        <f aca="false">IFERROR(VLOOKUP(A667,'Dados-Status-Invest'!$1:$1000,3,FALSE())/100,"")</f>
        <v/>
      </c>
      <c r="L667" s="11" t="str">
        <f aca="false">IFERROR(VLOOKUP(A667,'Dados-Status-Invest'!$1:$1000,MATCH(L$1,'Dados-Status-Invest'!$2:$2,0),FALSE())/100,"")</f>
        <v/>
      </c>
      <c r="M667" s="10" t="str">
        <f aca="false">IFERROR(VLOOKUP(A667,'Dados-Status-Invest'!$1:$1000,MATCH(M$1,'Dados-Status-Invest'!$2:$2,0),FALSE())/100,"")</f>
        <v/>
      </c>
      <c r="N667" s="10" t="str">
        <f aca="false">IFERROR(VLOOKUP(A667,'Dados-Status-Invest'!$1:$1000,MATCH(N$1,'Dados-Status-Invest'!$2:$2,0),FALSE())/100,"")</f>
        <v/>
      </c>
      <c r="O667" s="10" t="str">
        <f aca="false">IFERROR(VLOOKUP(A667,'Dados-Status-Invest'!$1:$1000,MATCH(O$1,'Dados-Status-Invest'!$2:$2,0),FALSE())/100,"")</f>
        <v/>
      </c>
      <c r="P667" s="10" t="str">
        <f aca="false">IFERROR(VLOOKUP(A667,'Dados-Status-Invest'!$1:$1000,MATCH(P$1,'Dados-Status-Invest'!$2:$2,0),FALSE())/100,"")</f>
        <v/>
      </c>
      <c r="Q667" s="10" t="str">
        <f aca="false">IFERROR(VLOOKUP(A667,'Dados-Status-Invest'!$1:$1000,MATCH(Q$1,'Dados-Status-Invest'!$2:$2,0),FALSE())/100,"")</f>
        <v/>
      </c>
      <c r="R667" s="12" t="str">
        <f aca="false">IFERROR(VLOOKUP(A667,'Dados-Status-Invest'!$1:$1000,MATCH(R$1,'Dados-Status-Invest'!$2:$2,0),FALSE()),"")</f>
        <v/>
      </c>
      <c r="S667" s="12" t="str">
        <f aca="false">IFERROR(VLOOKUP(A667,'Dados-Status-Invest'!$1:$1000,MATCH(S$1,'Dados-Status-Invest'!$2:$2,0),FALSE()),"")</f>
        <v/>
      </c>
      <c r="T667" s="12" t="str">
        <f aca="false">IFERROR(VLOOKUP(A667,'Dados-Status-Invest'!$1:$1000,MATCH(T$1,'Dados-Status-Invest'!$2:$2,0),FALSE()),"")</f>
        <v/>
      </c>
      <c r="U667" s="12" t="str">
        <f aca="false">IFERROR(VLOOKUP(A667,'Dados-Status-Invest'!$1:$1000,MATCH(U$1,'Dados-Status-Invest'!$2:$2,0),FALSE()),"")</f>
        <v/>
      </c>
      <c r="V667" s="12" t="str">
        <f aca="false">IFERROR(VLOOKUP(A667,'Dados-Status-Invest'!$1:$1000,MATCH(V$1,'Dados-Status-Invest'!$2:$2,0),FALSE()),"")</f>
        <v/>
      </c>
      <c r="W667" s="10" t="str">
        <f aca="false">IFERROR(VLOOKUP(A667,'Dados-Status-Invest'!$1:$1000,MATCH(W$1,'Dados-Status-Invest'!$2:$2,0),FALSE())/100,"")</f>
        <v/>
      </c>
      <c r="X667" s="10" t="str">
        <f aca="false">IFERROR(VLOOKUP(A667,'Dados-Status-Invest'!$1:$1000,MATCH(X$1,'Dados-Status-Invest'!$2:$2,0),FALSE())/100,"")</f>
        <v/>
      </c>
    </row>
    <row r="668" customFormat="false" ht="15.75" hidden="false" customHeight="false" outlineLevel="0" collapsed="false">
      <c r="B668" s="7" t="str">
        <f aca="false">IFERROR(VLOOKUP(LEFT(A668,4),Setor!A:D,2,FALSE()),"")</f>
        <v/>
      </c>
      <c r="C668" s="8" t="str">
        <f aca="false">IFERROR(__xludf.dummyfunction("IFERROR(IFERROR(GOOGLEFINANCE(A674,""price""),VLOOKUP(A674,'Dados-Status-Invest'!A:B,2,FALSE)),"""")"),"")</f>
        <v/>
      </c>
      <c r="D668" s="8" t="str">
        <f aca="false">IFERROR(VLOOKUP(A668,'Dados-Status-Invest'!$1:$1000,MATCH(D$1,'Dados-Status-Invest'!$2:$2,0),FALSE()),"")</f>
        <v/>
      </c>
      <c r="E668" s="8" t="e">
        <f aca="false">IF(D668+H668&gt;0,D668+H668,"")</f>
        <v>#VALUE!</v>
      </c>
      <c r="F668" s="8" t="str">
        <f aca="false">IFERROR(D668/VLOOKUP(A668,'Dados-Status-Invest'!$1:$1000,5,FALSE()),"")</f>
        <v/>
      </c>
      <c r="G668" s="8" t="str">
        <f aca="false">IFERROR(D668/VLOOKUP(A668,'Dados-Status-Invest'!$1:$1000,6,FALSE()),"")</f>
        <v/>
      </c>
      <c r="H668" s="8" t="str">
        <f aca="false">IFERROR(VLOOKUP(A668,'Dados-Status-Invest'!$1:$1000,12,FALSE())*J668,"")</f>
        <v/>
      </c>
      <c r="I668" s="8" t="str">
        <f aca="false">IFERROR(D668/VLOOKUP(A668,'Dados-Status-Invest'!$1:$1000,14,FALSE()),"")</f>
        <v/>
      </c>
      <c r="J668" s="9" t="str">
        <f aca="false">IFERROR(D668/VLOOKUP(A668,'Dados-Status-Invest'!$1:$1000,10,FALSE()),"")</f>
        <v/>
      </c>
      <c r="K668" s="10" t="str">
        <f aca="false">IFERROR(VLOOKUP(A668,'Dados-Status-Invest'!$1:$1000,3,FALSE())/100,"")</f>
        <v/>
      </c>
      <c r="L668" s="11" t="str">
        <f aca="false">IFERROR(VLOOKUP(A668,'Dados-Status-Invest'!$1:$1000,MATCH(L$1,'Dados-Status-Invest'!$2:$2,0),FALSE())/100,"")</f>
        <v/>
      </c>
      <c r="M668" s="10" t="str">
        <f aca="false">IFERROR(VLOOKUP(A668,'Dados-Status-Invest'!$1:$1000,MATCH(M$1,'Dados-Status-Invest'!$2:$2,0),FALSE())/100,"")</f>
        <v/>
      </c>
      <c r="N668" s="10" t="str">
        <f aca="false">IFERROR(VLOOKUP(A668,'Dados-Status-Invest'!$1:$1000,MATCH(N$1,'Dados-Status-Invest'!$2:$2,0),FALSE())/100,"")</f>
        <v/>
      </c>
      <c r="O668" s="10" t="str">
        <f aca="false">IFERROR(VLOOKUP(A668,'Dados-Status-Invest'!$1:$1000,MATCH(O$1,'Dados-Status-Invest'!$2:$2,0),FALSE())/100,"")</f>
        <v/>
      </c>
      <c r="P668" s="10" t="str">
        <f aca="false">IFERROR(VLOOKUP(A668,'Dados-Status-Invest'!$1:$1000,MATCH(P$1,'Dados-Status-Invest'!$2:$2,0),FALSE())/100,"")</f>
        <v/>
      </c>
      <c r="Q668" s="10" t="str">
        <f aca="false">IFERROR(VLOOKUP(A668,'Dados-Status-Invest'!$1:$1000,MATCH(Q$1,'Dados-Status-Invest'!$2:$2,0),FALSE())/100,"")</f>
        <v/>
      </c>
      <c r="R668" s="12" t="str">
        <f aca="false">IFERROR(VLOOKUP(A668,'Dados-Status-Invest'!$1:$1000,MATCH(R$1,'Dados-Status-Invest'!$2:$2,0),FALSE()),"")</f>
        <v/>
      </c>
      <c r="S668" s="12" t="str">
        <f aca="false">IFERROR(VLOOKUP(A668,'Dados-Status-Invest'!$1:$1000,MATCH(S$1,'Dados-Status-Invest'!$2:$2,0),FALSE()),"")</f>
        <v/>
      </c>
      <c r="T668" s="12" t="str">
        <f aca="false">IFERROR(VLOOKUP(A668,'Dados-Status-Invest'!$1:$1000,MATCH(T$1,'Dados-Status-Invest'!$2:$2,0),FALSE()),"")</f>
        <v/>
      </c>
      <c r="U668" s="12" t="str">
        <f aca="false">IFERROR(VLOOKUP(A668,'Dados-Status-Invest'!$1:$1000,MATCH(U$1,'Dados-Status-Invest'!$2:$2,0),FALSE()),"")</f>
        <v/>
      </c>
      <c r="V668" s="12" t="str">
        <f aca="false">IFERROR(VLOOKUP(A668,'Dados-Status-Invest'!$1:$1000,MATCH(V$1,'Dados-Status-Invest'!$2:$2,0),FALSE()),"")</f>
        <v/>
      </c>
      <c r="W668" s="10" t="str">
        <f aca="false">IFERROR(VLOOKUP(A668,'Dados-Status-Invest'!$1:$1000,MATCH(W$1,'Dados-Status-Invest'!$2:$2,0),FALSE())/100,"")</f>
        <v/>
      </c>
      <c r="X668" s="10" t="str">
        <f aca="false">IFERROR(VLOOKUP(A668,'Dados-Status-Invest'!$1:$1000,MATCH(X$1,'Dados-Status-Invest'!$2:$2,0),FALSE())/100,"")</f>
        <v/>
      </c>
    </row>
    <row r="669" customFormat="false" ht="15.75" hidden="false" customHeight="false" outlineLevel="0" collapsed="false">
      <c r="B669" s="7" t="str">
        <f aca="false">IFERROR(VLOOKUP(LEFT(A669,4),Setor!A:D,2,FALSE()),"")</f>
        <v/>
      </c>
      <c r="C669" s="8" t="str">
        <f aca="false">IFERROR(__xludf.dummyfunction("IFERROR(IFERROR(GOOGLEFINANCE(A675,""price""),VLOOKUP(A675,'Dados-Status-Invest'!A:B,2,FALSE)),"""")"),"")</f>
        <v/>
      </c>
      <c r="D669" s="8" t="str">
        <f aca="false">IFERROR(VLOOKUP(A669,'Dados-Status-Invest'!$1:$1000,MATCH(D$1,'Dados-Status-Invest'!$2:$2,0),FALSE()),"")</f>
        <v/>
      </c>
      <c r="E669" s="8" t="e">
        <f aca="false">IF(D669+H669&gt;0,D669+H669,"")</f>
        <v>#VALUE!</v>
      </c>
      <c r="F669" s="8" t="str">
        <f aca="false">IFERROR(D669/VLOOKUP(A669,'Dados-Status-Invest'!$1:$1000,5,FALSE()),"")</f>
        <v/>
      </c>
      <c r="G669" s="8" t="str">
        <f aca="false">IFERROR(D669/VLOOKUP(A669,'Dados-Status-Invest'!$1:$1000,6,FALSE()),"")</f>
        <v/>
      </c>
      <c r="H669" s="8" t="str">
        <f aca="false">IFERROR(VLOOKUP(A669,'Dados-Status-Invest'!$1:$1000,12,FALSE())*J669,"")</f>
        <v/>
      </c>
      <c r="I669" s="8" t="str">
        <f aca="false">IFERROR(D669/VLOOKUP(A669,'Dados-Status-Invest'!$1:$1000,14,FALSE()),"")</f>
        <v/>
      </c>
      <c r="J669" s="9" t="str">
        <f aca="false">IFERROR(D669/VLOOKUP(A669,'Dados-Status-Invest'!$1:$1000,10,FALSE()),"")</f>
        <v/>
      </c>
      <c r="K669" s="10" t="str">
        <f aca="false">IFERROR(VLOOKUP(A669,'Dados-Status-Invest'!$1:$1000,3,FALSE())/100,"")</f>
        <v/>
      </c>
      <c r="L669" s="11" t="str">
        <f aca="false">IFERROR(VLOOKUP(A669,'Dados-Status-Invest'!$1:$1000,MATCH(L$1,'Dados-Status-Invest'!$2:$2,0),FALSE())/100,"")</f>
        <v/>
      </c>
      <c r="M669" s="10" t="str">
        <f aca="false">IFERROR(VLOOKUP(A669,'Dados-Status-Invest'!$1:$1000,MATCH(M$1,'Dados-Status-Invest'!$2:$2,0),FALSE())/100,"")</f>
        <v/>
      </c>
      <c r="N669" s="10" t="str">
        <f aca="false">IFERROR(VLOOKUP(A669,'Dados-Status-Invest'!$1:$1000,MATCH(N$1,'Dados-Status-Invest'!$2:$2,0),FALSE())/100,"")</f>
        <v/>
      </c>
      <c r="O669" s="10" t="str">
        <f aca="false">IFERROR(VLOOKUP(A669,'Dados-Status-Invest'!$1:$1000,MATCH(O$1,'Dados-Status-Invest'!$2:$2,0),FALSE())/100,"")</f>
        <v/>
      </c>
      <c r="P669" s="10" t="str">
        <f aca="false">IFERROR(VLOOKUP(A669,'Dados-Status-Invest'!$1:$1000,MATCH(P$1,'Dados-Status-Invest'!$2:$2,0),FALSE())/100,"")</f>
        <v/>
      </c>
      <c r="Q669" s="10" t="str">
        <f aca="false">IFERROR(VLOOKUP(A669,'Dados-Status-Invest'!$1:$1000,MATCH(Q$1,'Dados-Status-Invest'!$2:$2,0),FALSE())/100,"")</f>
        <v/>
      </c>
      <c r="R669" s="12" t="str">
        <f aca="false">IFERROR(VLOOKUP(A669,'Dados-Status-Invest'!$1:$1000,MATCH(R$1,'Dados-Status-Invest'!$2:$2,0),FALSE()),"")</f>
        <v/>
      </c>
      <c r="S669" s="12" t="str">
        <f aca="false">IFERROR(VLOOKUP(A669,'Dados-Status-Invest'!$1:$1000,MATCH(S$1,'Dados-Status-Invest'!$2:$2,0),FALSE()),"")</f>
        <v/>
      </c>
      <c r="T669" s="12" t="str">
        <f aca="false">IFERROR(VLOOKUP(A669,'Dados-Status-Invest'!$1:$1000,MATCH(T$1,'Dados-Status-Invest'!$2:$2,0),FALSE()),"")</f>
        <v/>
      </c>
      <c r="U669" s="12" t="str">
        <f aca="false">IFERROR(VLOOKUP(A669,'Dados-Status-Invest'!$1:$1000,MATCH(U$1,'Dados-Status-Invest'!$2:$2,0),FALSE()),"")</f>
        <v/>
      </c>
      <c r="V669" s="12" t="str">
        <f aca="false">IFERROR(VLOOKUP(A669,'Dados-Status-Invest'!$1:$1000,MATCH(V$1,'Dados-Status-Invest'!$2:$2,0),FALSE()),"")</f>
        <v/>
      </c>
      <c r="W669" s="10" t="str">
        <f aca="false">IFERROR(VLOOKUP(A669,'Dados-Status-Invest'!$1:$1000,MATCH(W$1,'Dados-Status-Invest'!$2:$2,0),FALSE())/100,"")</f>
        <v/>
      </c>
      <c r="X669" s="10" t="str">
        <f aca="false">IFERROR(VLOOKUP(A669,'Dados-Status-Invest'!$1:$1000,MATCH(X$1,'Dados-Status-Invest'!$2:$2,0),FALSE())/100,"")</f>
        <v/>
      </c>
    </row>
    <row r="670" customFormat="false" ht="15.75" hidden="false" customHeight="false" outlineLevel="0" collapsed="false">
      <c r="B670" s="7" t="str">
        <f aca="false">IFERROR(VLOOKUP(LEFT(A670,4),Setor!A:D,2,FALSE()),"")</f>
        <v/>
      </c>
      <c r="C670" s="8" t="str">
        <f aca="false">IFERROR(__xludf.dummyfunction("IFERROR(IFERROR(GOOGLEFINANCE(A676,""price""),VLOOKUP(A676,'Dados-Status-Invest'!A:B,2,FALSE)),"""")"),"")</f>
        <v/>
      </c>
      <c r="D670" s="8" t="str">
        <f aca="false">IFERROR(VLOOKUP(A670,'Dados-Status-Invest'!$1:$1000,MATCH(D$1,'Dados-Status-Invest'!$2:$2,0),FALSE()),"")</f>
        <v/>
      </c>
      <c r="E670" s="8" t="e">
        <f aca="false">IF(D670+H670&gt;0,D670+H670,"")</f>
        <v>#VALUE!</v>
      </c>
      <c r="F670" s="8" t="str">
        <f aca="false">IFERROR(D670/VLOOKUP(A670,'Dados-Status-Invest'!$1:$1000,5,FALSE()),"")</f>
        <v/>
      </c>
      <c r="G670" s="8" t="str">
        <f aca="false">IFERROR(D670/VLOOKUP(A670,'Dados-Status-Invest'!$1:$1000,6,FALSE()),"")</f>
        <v/>
      </c>
      <c r="H670" s="8" t="str">
        <f aca="false">IFERROR(VLOOKUP(A670,'Dados-Status-Invest'!$1:$1000,12,FALSE())*J670,"")</f>
        <v/>
      </c>
      <c r="I670" s="8" t="str">
        <f aca="false">IFERROR(D670/VLOOKUP(A670,'Dados-Status-Invest'!$1:$1000,14,FALSE()),"")</f>
        <v/>
      </c>
      <c r="J670" s="9" t="str">
        <f aca="false">IFERROR(D670/VLOOKUP(A670,'Dados-Status-Invest'!$1:$1000,10,FALSE()),"")</f>
        <v/>
      </c>
      <c r="K670" s="10" t="str">
        <f aca="false">IFERROR(VLOOKUP(A670,'Dados-Status-Invest'!$1:$1000,3,FALSE())/100,"")</f>
        <v/>
      </c>
      <c r="L670" s="11" t="str">
        <f aca="false">IFERROR(VLOOKUP(A670,'Dados-Status-Invest'!$1:$1000,MATCH(L$1,'Dados-Status-Invest'!$2:$2,0),FALSE())/100,"")</f>
        <v/>
      </c>
      <c r="M670" s="10" t="str">
        <f aca="false">IFERROR(VLOOKUP(A670,'Dados-Status-Invest'!$1:$1000,MATCH(M$1,'Dados-Status-Invest'!$2:$2,0),FALSE())/100,"")</f>
        <v/>
      </c>
      <c r="N670" s="10" t="str">
        <f aca="false">IFERROR(VLOOKUP(A670,'Dados-Status-Invest'!$1:$1000,MATCH(N$1,'Dados-Status-Invest'!$2:$2,0),FALSE())/100,"")</f>
        <v/>
      </c>
      <c r="O670" s="10" t="str">
        <f aca="false">IFERROR(VLOOKUP(A670,'Dados-Status-Invest'!$1:$1000,MATCH(O$1,'Dados-Status-Invest'!$2:$2,0),FALSE())/100,"")</f>
        <v/>
      </c>
      <c r="P670" s="10" t="str">
        <f aca="false">IFERROR(VLOOKUP(A670,'Dados-Status-Invest'!$1:$1000,MATCH(P$1,'Dados-Status-Invest'!$2:$2,0),FALSE())/100,"")</f>
        <v/>
      </c>
      <c r="Q670" s="10" t="str">
        <f aca="false">IFERROR(VLOOKUP(A670,'Dados-Status-Invest'!$1:$1000,MATCH(Q$1,'Dados-Status-Invest'!$2:$2,0),FALSE())/100,"")</f>
        <v/>
      </c>
      <c r="R670" s="12" t="str">
        <f aca="false">IFERROR(VLOOKUP(A670,'Dados-Status-Invest'!$1:$1000,MATCH(R$1,'Dados-Status-Invest'!$2:$2,0),FALSE()),"")</f>
        <v/>
      </c>
      <c r="S670" s="12" t="str">
        <f aca="false">IFERROR(VLOOKUP(A670,'Dados-Status-Invest'!$1:$1000,MATCH(S$1,'Dados-Status-Invest'!$2:$2,0),FALSE()),"")</f>
        <v/>
      </c>
      <c r="T670" s="12" t="str">
        <f aca="false">IFERROR(VLOOKUP(A670,'Dados-Status-Invest'!$1:$1000,MATCH(T$1,'Dados-Status-Invest'!$2:$2,0),FALSE()),"")</f>
        <v/>
      </c>
      <c r="U670" s="12" t="str">
        <f aca="false">IFERROR(VLOOKUP(A670,'Dados-Status-Invest'!$1:$1000,MATCH(U$1,'Dados-Status-Invest'!$2:$2,0),FALSE()),"")</f>
        <v/>
      </c>
      <c r="V670" s="12" t="str">
        <f aca="false">IFERROR(VLOOKUP(A670,'Dados-Status-Invest'!$1:$1000,MATCH(V$1,'Dados-Status-Invest'!$2:$2,0),FALSE()),"")</f>
        <v/>
      </c>
      <c r="W670" s="10" t="str">
        <f aca="false">IFERROR(VLOOKUP(A670,'Dados-Status-Invest'!$1:$1000,MATCH(W$1,'Dados-Status-Invest'!$2:$2,0),FALSE())/100,"")</f>
        <v/>
      </c>
      <c r="X670" s="10" t="str">
        <f aca="false">IFERROR(VLOOKUP(A670,'Dados-Status-Invest'!$1:$1000,MATCH(X$1,'Dados-Status-Invest'!$2:$2,0),FALSE())/100,"")</f>
        <v/>
      </c>
    </row>
    <row r="671" customFormat="false" ht="15.75" hidden="false" customHeight="false" outlineLevel="0" collapsed="false">
      <c r="B671" s="7" t="str">
        <f aca="false">IFERROR(VLOOKUP(LEFT(A671,4),Setor!A:D,2,FALSE()),"")</f>
        <v/>
      </c>
      <c r="C671" s="8" t="str">
        <f aca="false">IFERROR(__xludf.dummyfunction("IFERROR(IFERROR(GOOGLEFINANCE(A677,""price""),VLOOKUP(A677,'Dados-Status-Invest'!A:B,2,FALSE)),"""")"),"")</f>
        <v/>
      </c>
      <c r="D671" s="8" t="str">
        <f aca="false">IFERROR(VLOOKUP(A671,'Dados-Status-Invest'!$1:$1000,MATCH(D$1,'Dados-Status-Invest'!$2:$2,0),FALSE()),"")</f>
        <v/>
      </c>
      <c r="E671" s="8" t="e">
        <f aca="false">IF(D671+H671&gt;0,D671+H671,"")</f>
        <v>#VALUE!</v>
      </c>
      <c r="F671" s="8" t="str">
        <f aca="false">IFERROR(D671/VLOOKUP(A671,'Dados-Status-Invest'!$1:$1000,5,FALSE()),"")</f>
        <v/>
      </c>
      <c r="G671" s="8" t="str">
        <f aca="false">IFERROR(D671/VLOOKUP(A671,'Dados-Status-Invest'!$1:$1000,6,FALSE()),"")</f>
        <v/>
      </c>
      <c r="H671" s="8" t="str">
        <f aca="false">IFERROR(VLOOKUP(A671,'Dados-Status-Invest'!$1:$1000,12,FALSE())*J671,"")</f>
        <v/>
      </c>
      <c r="I671" s="8" t="str">
        <f aca="false">IFERROR(D671/VLOOKUP(A671,'Dados-Status-Invest'!$1:$1000,14,FALSE()),"")</f>
        <v/>
      </c>
      <c r="J671" s="9" t="str">
        <f aca="false">IFERROR(D671/VLOOKUP(A671,'Dados-Status-Invest'!$1:$1000,10,FALSE()),"")</f>
        <v/>
      </c>
      <c r="K671" s="10" t="str">
        <f aca="false">IFERROR(VLOOKUP(A671,'Dados-Status-Invest'!$1:$1000,3,FALSE())/100,"")</f>
        <v/>
      </c>
      <c r="L671" s="11" t="str">
        <f aca="false">IFERROR(VLOOKUP(A671,'Dados-Status-Invest'!$1:$1000,MATCH(L$1,'Dados-Status-Invest'!$2:$2,0),FALSE())/100,"")</f>
        <v/>
      </c>
      <c r="M671" s="10" t="str">
        <f aca="false">IFERROR(VLOOKUP(A671,'Dados-Status-Invest'!$1:$1000,MATCH(M$1,'Dados-Status-Invest'!$2:$2,0),FALSE())/100,"")</f>
        <v/>
      </c>
      <c r="N671" s="10" t="str">
        <f aca="false">IFERROR(VLOOKUP(A671,'Dados-Status-Invest'!$1:$1000,MATCH(N$1,'Dados-Status-Invest'!$2:$2,0),FALSE())/100,"")</f>
        <v/>
      </c>
      <c r="O671" s="10" t="str">
        <f aca="false">IFERROR(VLOOKUP(A671,'Dados-Status-Invest'!$1:$1000,MATCH(O$1,'Dados-Status-Invest'!$2:$2,0),FALSE())/100,"")</f>
        <v/>
      </c>
      <c r="P671" s="10" t="str">
        <f aca="false">IFERROR(VLOOKUP(A671,'Dados-Status-Invest'!$1:$1000,MATCH(P$1,'Dados-Status-Invest'!$2:$2,0),FALSE())/100,"")</f>
        <v/>
      </c>
      <c r="Q671" s="10" t="str">
        <f aca="false">IFERROR(VLOOKUP(A671,'Dados-Status-Invest'!$1:$1000,MATCH(Q$1,'Dados-Status-Invest'!$2:$2,0),FALSE())/100,"")</f>
        <v/>
      </c>
      <c r="R671" s="12" t="str">
        <f aca="false">IFERROR(VLOOKUP(A671,'Dados-Status-Invest'!$1:$1000,MATCH(R$1,'Dados-Status-Invest'!$2:$2,0),FALSE()),"")</f>
        <v/>
      </c>
      <c r="S671" s="12" t="str">
        <f aca="false">IFERROR(VLOOKUP(A671,'Dados-Status-Invest'!$1:$1000,MATCH(S$1,'Dados-Status-Invest'!$2:$2,0),FALSE()),"")</f>
        <v/>
      </c>
      <c r="T671" s="12" t="str">
        <f aca="false">IFERROR(VLOOKUP(A671,'Dados-Status-Invest'!$1:$1000,MATCH(T$1,'Dados-Status-Invest'!$2:$2,0),FALSE()),"")</f>
        <v/>
      </c>
      <c r="U671" s="12" t="str">
        <f aca="false">IFERROR(VLOOKUP(A671,'Dados-Status-Invest'!$1:$1000,MATCH(U$1,'Dados-Status-Invest'!$2:$2,0),FALSE()),"")</f>
        <v/>
      </c>
      <c r="V671" s="12" t="str">
        <f aca="false">IFERROR(VLOOKUP(A671,'Dados-Status-Invest'!$1:$1000,MATCH(V$1,'Dados-Status-Invest'!$2:$2,0),FALSE()),"")</f>
        <v/>
      </c>
      <c r="W671" s="10" t="str">
        <f aca="false">IFERROR(VLOOKUP(A671,'Dados-Status-Invest'!$1:$1000,MATCH(W$1,'Dados-Status-Invest'!$2:$2,0),FALSE())/100,"")</f>
        <v/>
      </c>
      <c r="X671" s="10" t="str">
        <f aca="false">IFERROR(VLOOKUP(A671,'Dados-Status-Invest'!$1:$1000,MATCH(X$1,'Dados-Status-Invest'!$2:$2,0),FALSE())/100,"")</f>
        <v/>
      </c>
    </row>
    <row r="672" customFormat="false" ht="15.75" hidden="false" customHeight="false" outlineLevel="0" collapsed="false">
      <c r="B672" s="7" t="str">
        <f aca="false">IFERROR(VLOOKUP(LEFT(A672,4),Setor!A:D,2,FALSE()),"")</f>
        <v/>
      </c>
      <c r="C672" s="8" t="str">
        <f aca="false">IFERROR(__xludf.dummyfunction("IFERROR(IFERROR(GOOGLEFINANCE(A678,""price""),VLOOKUP(A678,'Dados-Status-Invest'!A:B,2,FALSE)),"""")"),"")</f>
        <v/>
      </c>
      <c r="D672" s="8" t="str">
        <f aca="false">IFERROR(VLOOKUP(A672,'Dados-Status-Invest'!$1:$1000,MATCH(D$1,'Dados-Status-Invest'!$2:$2,0),FALSE()),"")</f>
        <v/>
      </c>
      <c r="E672" s="8" t="e">
        <f aca="false">IF(D672+H672&gt;0,D672+H672,"")</f>
        <v>#VALUE!</v>
      </c>
      <c r="F672" s="8" t="str">
        <f aca="false">IFERROR(D672/VLOOKUP(A672,'Dados-Status-Invest'!$1:$1000,5,FALSE()),"")</f>
        <v/>
      </c>
      <c r="G672" s="8" t="str">
        <f aca="false">IFERROR(D672/VLOOKUP(A672,'Dados-Status-Invest'!$1:$1000,6,FALSE()),"")</f>
        <v/>
      </c>
      <c r="H672" s="8" t="str">
        <f aca="false">IFERROR(VLOOKUP(A672,'Dados-Status-Invest'!$1:$1000,12,FALSE())*J672,"")</f>
        <v/>
      </c>
      <c r="I672" s="8" t="str">
        <f aca="false">IFERROR(D672/VLOOKUP(A672,'Dados-Status-Invest'!$1:$1000,14,FALSE()),"")</f>
        <v/>
      </c>
      <c r="J672" s="9" t="str">
        <f aca="false">IFERROR(D672/VLOOKUP(A672,'Dados-Status-Invest'!$1:$1000,10,FALSE()),"")</f>
        <v/>
      </c>
      <c r="K672" s="10" t="str">
        <f aca="false">IFERROR(VLOOKUP(A672,'Dados-Status-Invest'!$1:$1000,3,FALSE())/100,"")</f>
        <v/>
      </c>
      <c r="L672" s="11" t="str">
        <f aca="false">IFERROR(VLOOKUP(A672,'Dados-Status-Invest'!$1:$1000,MATCH(L$1,'Dados-Status-Invest'!$2:$2,0),FALSE())/100,"")</f>
        <v/>
      </c>
      <c r="M672" s="10" t="str">
        <f aca="false">IFERROR(VLOOKUP(A672,'Dados-Status-Invest'!$1:$1000,MATCH(M$1,'Dados-Status-Invest'!$2:$2,0),FALSE())/100,"")</f>
        <v/>
      </c>
      <c r="N672" s="10" t="str">
        <f aca="false">IFERROR(VLOOKUP(A672,'Dados-Status-Invest'!$1:$1000,MATCH(N$1,'Dados-Status-Invest'!$2:$2,0),FALSE())/100,"")</f>
        <v/>
      </c>
      <c r="O672" s="10" t="str">
        <f aca="false">IFERROR(VLOOKUP(A672,'Dados-Status-Invest'!$1:$1000,MATCH(O$1,'Dados-Status-Invest'!$2:$2,0),FALSE())/100,"")</f>
        <v/>
      </c>
      <c r="P672" s="10" t="str">
        <f aca="false">IFERROR(VLOOKUP(A672,'Dados-Status-Invest'!$1:$1000,MATCH(P$1,'Dados-Status-Invest'!$2:$2,0),FALSE())/100,"")</f>
        <v/>
      </c>
      <c r="Q672" s="10" t="str">
        <f aca="false">IFERROR(VLOOKUP(A672,'Dados-Status-Invest'!$1:$1000,MATCH(Q$1,'Dados-Status-Invest'!$2:$2,0),FALSE())/100,"")</f>
        <v/>
      </c>
      <c r="R672" s="12" t="str">
        <f aca="false">IFERROR(VLOOKUP(A672,'Dados-Status-Invest'!$1:$1000,MATCH(R$1,'Dados-Status-Invest'!$2:$2,0),FALSE()),"")</f>
        <v/>
      </c>
      <c r="S672" s="12" t="str">
        <f aca="false">IFERROR(VLOOKUP(A672,'Dados-Status-Invest'!$1:$1000,MATCH(S$1,'Dados-Status-Invest'!$2:$2,0),FALSE()),"")</f>
        <v/>
      </c>
      <c r="T672" s="12" t="str">
        <f aca="false">IFERROR(VLOOKUP(A672,'Dados-Status-Invest'!$1:$1000,MATCH(T$1,'Dados-Status-Invest'!$2:$2,0),FALSE()),"")</f>
        <v/>
      </c>
      <c r="U672" s="12" t="str">
        <f aca="false">IFERROR(VLOOKUP(A672,'Dados-Status-Invest'!$1:$1000,MATCH(U$1,'Dados-Status-Invest'!$2:$2,0),FALSE()),"")</f>
        <v/>
      </c>
      <c r="V672" s="12" t="str">
        <f aca="false">IFERROR(VLOOKUP(A672,'Dados-Status-Invest'!$1:$1000,MATCH(V$1,'Dados-Status-Invest'!$2:$2,0),FALSE()),"")</f>
        <v/>
      </c>
      <c r="W672" s="10" t="str">
        <f aca="false">IFERROR(VLOOKUP(A672,'Dados-Status-Invest'!$1:$1000,MATCH(W$1,'Dados-Status-Invest'!$2:$2,0),FALSE())/100,"")</f>
        <v/>
      </c>
      <c r="X672" s="10" t="str">
        <f aca="false">IFERROR(VLOOKUP(A672,'Dados-Status-Invest'!$1:$1000,MATCH(X$1,'Dados-Status-Invest'!$2:$2,0),FALSE())/100,"")</f>
        <v/>
      </c>
    </row>
    <row r="673" customFormat="false" ht="15.75" hidden="false" customHeight="false" outlineLevel="0" collapsed="false">
      <c r="B673" s="7" t="str">
        <f aca="false">IFERROR(VLOOKUP(LEFT(A673,4),Setor!A:D,2,FALSE()),"")</f>
        <v/>
      </c>
      <c r="C673" s="8" t="str">
        <f aca="false">IFERROR(__xludf.dummyfunction("IFERROR(IFERROR(GOOGLEFINANCE(A679,""price""),VLOOKUP(A679,'Dados-Status-Invest'!A:B,2,FALSE)),"""")"),"")</f>
        <v/>
      </c>
      <c r="D673" s="8" t="str">
        <f aca="false">IFERROR(VLOOKUP(A673,'Dados-Status-Invest'!$1:$1000,MATCH(D$1,'Dados-Status-Invest'!$2:$2,0),FALSE()),"")</f>
        <v/>
      </c>
      <c r="E673" s="8" t="e">
        <f aca="false">IF(D673+H673&gt;0,D673+H673,"")</f>
        <v>#VALUE!</v>
      </c>
      <c r="F673" s="8" t="str">
        <f aca="false">IFERROR(D673/VLOOKUP(A673,'Dados-Status-Invest'!$1:$1000,5,FALSE()),"")</f>
        <v/>
      </c>
      <c r="G673" s="8" t="str">
        <f aca="false">IFERROR(D673/VLOOKUP(A673,'Dados-Status-Invest'!$1:$1000,6,FALSE()),"")</f>
        <v/>
      </c>
      <c r="H673" s="8" t="str">
        <f aca="false">IFERROR(VLOOKUP(A673,'Dados-Status-Invest'!$1:$1000,12,FALSE())*J673,"")</f>
        <v/>
      </c>
      <c r="I673" s="8" t="str">
        <f aca="false">IFERROR(D673/VLOOKUP(A673,'Dados-Status-Invest'!$1:$1000,14,FALSE()),"")</f>
        <v/>
      </c>
      <c r="J673" s="9" t="str">
        <f aca="false">IFERROR(D673/VLOOKUP(A673,'Dados-Status-Invest'!$1:$1000,10,FALSE()),"")</f>
        <v/>
      </c>
      <c r="K673" s="10" t="str">
        <f aca="false">IFERROR(VLOOKUP(A673,'Dados-Status-Invest'!$1:$1000,3,FALSE())/100,"")</f>
        <v/>
      </c>
      <c r="L673" s="11" t="str">
        <f aca="false">IFERROR(VLOOKUP(A673,'Dados-Status-Invest'!$1:$1000,MATCH(L$1,'Dados-Status-Invest'!$2:$2,0),FALSE())/100,"")</f>
        <v/>
      </c>
      <c r="M673" s="10" t="str">
        <f aca="false">IFERROR(VLOOKUP(A673,'Dados-Status-Invest'!$1:$1000,MATCH(M$1,'Dados-Status-Invest'!$2:$2,0),FALSE())/100,"")</f>
        <v/>
      </c>
      <c r="N673" s="10" t="str">
        <f aca="false">IFERROR(VLOOKUP(A673,'Dados-Status-Invest'!$1:$1000,MATCH(N$1,'Dados-Status-Invest'!$2:$2,0),FALSE())/100,"")</f>
        <v/>
      </c>
      <c r="O673" s="10" t="str">
        <f aca="false">IFERROR(VLOOKUP(A673,'Dados-Status-Invest'!$1:$1000,MATCH(O$1,'Dados-Status-Invest'!$2:$2,0),FALSE())/100,"")</f>
        <v/>
      </c>
      <c r="P673" s="10" t="str">
        <f aca="false">IFERROR(VLOOKUP(A673,'Dados-Status-Invest'!$1:$1000,MATCH(P$1,'Dados-Status-Invest'!$2:$2,0),FALSE())/100,"")</f>
        <v/>
      </c>
      <c r="Q673" s="10" t="str">
        <f aca="false">IFERROR(VLOOKUP(A673,'Dados-Status-Invest'!$1:$1000,MATCH(Q$1,'Dados-Status-Invest'!$2:$2,0),FALSE())/100,"")</f>
        <v/>
      </c>
      <c r="R673" s="12" t="str">
        <f aca="false">IFERROR(VLOOKUP(A673,'Dados-Status-Invest'!$1:$1000,MATCH(R$1,'Dados-Status-Invest'!$2:$2,0),FALSE()),"")</f>
        <v/>
      </c>
      <c r="S673" s="12" t="str">
        <f aca="false">IFERROR(VLOOKUP(A673,'Dados-Status-Invest'!$1:$1000,MATCH(S$1,'Dados-Status-Invest'!$2:$2,0),FALSE()),"")</f>
        <v/>
      </c>
      <c r="T673" s="12" t="str">
        <f aca="false">IFERROR(VLOOKUP(A673,'Dados-Status-Invest'!$1:$1000,MATCH(T$1,'Dados-Status-Invest'!$2:$2,0),FALSE()),"")</f>
        <v/>
      </c>
      <c r="U673" s="12" t="str">
        <f aca="false">IFERROR(VLOOKUP(A673,'Dados-Status-Invest'!$1:$1000,MATCH(U$1,'Dados-Status-Invest'!$2:$2,0),FALSE()),"")</f>
        <v/>
      </c>
      <c r="V673" s="12" t="str">
        <f aca="false">IFERROR(VLOOKUP(A673,'Dados-Status-Invest'!$1:$1000,MATCH(V$1,'Dados-Status-Invest'!$2:$2,0),FALSE()),"")</f>
        <v/>
      </c>
      <c r="W673" s="10" t="str">
        <f aca="false">IFERROR(VLOOKUP(A673,'Dados-Status-Invest'!$1:$1000,MATCH(W$1,'Dados-Status-Invest'!$2:$2,0),FALSE())/100,"")</f>
        <v/>
      </c>
      <c r="X673" s="10" t="str">
        <f aca="false">IFERROR(VLOOKUP(A673,'Dados-Status-Invest'!$1:$1000,MATCH(X$1,'Dados-Status-Invest'!$2:$2,0),FALSE())/100,"")</f>
        <v/>
      </c>
    </row>
    <row r="674" customFormat="false" ht="15.75" hidden="false" customHeight="false" outlineLevel="0" collapsed="false">
      <c r="B674" s="7" t="str">
        <f aca="false">IFERROR(VLOOKUP(LEFT(A674,4),Setor!A:D,2,FALSE()),"")</f>
        <v/>
      </c>
      <c r="C674" s="8" t="str">
        <f aca="false">IFERROR(__xludf.dummyfunction("IFERROR(IFERROR(GOOGLEFINANCE(A680,""price""),VLOOKUP(A680,'Dados-Status-Invest'!A:B,2,FALSE)),"""")"),"")</f>
        <v/>
      </c>
      <c r="D674" s="8" t="str">
        <f aca="false">IFERROR(VLOOKUP(A674,'Dados-Status-Invest'!$1:$1000,MATCH(D$1,'Dados-Status-Invest'!$2:$2,0),FALSE()),"")</f>
        <v/>
      </c>
      <c r="E674" s="8" t="e">
        <f aca="false">IF(D674+H674&gt;0,D674+H674,"")</f>
        <v>#VALUE!</v>
      </c>
      <c r="F674" s="8" t="str">
        <f aca="false">IFERROR(D674/VLOOKUP(A674,'Dados-Status-Invest'!$1:$1000,5,FALSE()),"")</f>
        <v/>
      </c>
      <c r="G674" s="8" t="str">
        <f aca="false">IFERROR(D674/VLOOKUP(A674,'Dados-Status-Invest'!$1:$1000,6,FALSE()),"")</f>
        <v/>
      </c>
      <c r="H674" s="8" t="str">
        <f aca="false">IFERROR(VLOOKUP(A674,'Dados-Status-Invest'!$1:$1000,12,FALSE())*J674,"")</f>
        <v/>
      </c>
      <c r="I674" s="8" t="str">
        <f aca="false">IFERROR(D674/VLOOKUP(A674,'Dados-Status-Invest'!$1:$1000,14,FALSE()),"")</f>
        <v/>
      </c>
      <c r="J674" s="9" t="str">
        <f aca="false">IFERROR(D674/VLOOKUP(A674,'Dados-Status-Invest'!$1:$1000,10,FALSE()),"")</f>
        <v/>
      </c>
      <c r="K674" s="10" t="str">
        <f aca="false">IFERROR(VLOOKUP(A674,'Dados-Status-Invest'!$1:$1000,3,FALSE())/100,"")</f>
        <v/>
      </c>
      <c r="L674" s="11" t="str">
        <f aca="false">IFERROR(VLOOKUP(A674,'Dados-Status-Invest'!$1:$1000,MATCH(L$1,'Dados-Status-Invest'!$2:$2,0),FALSE())/100,"")</f>
        <v/>
      </c>
      <c r="M674" s="10" t="str">
        <f aca="false">IFERROR(VLOOKUP(A674,'Dados-Status-Invest'!$1:$1000,MATCH(M$1,'Dados-Status-Invest'!$2:$2,0),FALSE())/100,"")</f>
        <v/>
      </c>
      <c r="N674" s="10" t="str">
        <f aca="false">IFERROR(VLOOKUP(A674,'Dados-Status-Invest'!$1:$1000,MATCH(N$1,'Dados-Status-Invest'!$2:$2,0),FALSE())/100,"")</f>
        <v/>
      </c>
      <c r="O674" s="10" t="str">
        <f aca="false">IFERROR(VLOOKUP(A674,'Dados-Status-Invest'!$1:$1000,MATCH(O$1,'Dados-Status-Invest'!$2:$2,0),FALSE())/100,"")</f>
        <v/>
      </c>
      <c r="P674" s="10" t="str">
        <f aca="false">IFERROR(VLOOKUP(A674,'Dados-Status-Invest'!$1:$1000,MATCH(P$1,'Dados-Status-Invest'!$2:$2,0),FALSE())/100,"")</f>
        <v/>
      </c>
      <c r="Q674" s="10" t="str">
        <f aca="false">IFERROR(VLOOKUP(A674,'Dados-Status-Invest'!$1:$1000,MATCH(Q$1,'Dados-Status-Invest'!$2:$2,0),FALSE())/100,"")</f>
        <v/>
      </c>
      <c r="R674" s="12" t="str">
        <f aca="false">IFERROR(VLOOKUP(A674,'Dados-Status-Invest'!$1:$1000,MATCH(R$1,'Dados-Status-Invest'!$2:$2,0),FALSE()),"")</f>
        <v/>
      </c>
      <c r="S674" s="12" t="str">
        <f aca="false">IFERROR(VLOOKUP(A674,'Dados-Status-Invest'!$1:$1000,MATCH(S$1,'Dados-Status-Invest'!$2:$2,0),FALSE()),"")</f>
        <v/>
      </c>
      <c r="T674" s="12" t="str">
        <f aca="false">IFERROR(VLOOKUP(A674,'Dados-Status-Invest'!$1:$1000,MATCH(T$1,'Dados-Status-Invest'!$2:$2,0),FALSE()),"")</f>
        <v/>
      </c>
      <c r="U674" s="12" t="str">
        <f aca="false">IFERROR(VLOOKUP(A674,'Dados-Status-Invest'!$1:$1000,MATCH(U$1,'Dados-Status-Invest'!$2:$2,0),FALSE()),"")</f>
        <v/>
      </c>
      <c r="V674" s="12" t="str">
        <f aca="false">IFERROR(VLOOKUP(A674,'Dados-Status-Invest'!$1:$1000,MATCH(V$1,'Dados-Status-Invest'!$2:$2,0),FALSE()),"")</f>
        <v/>
      </c>
      <c r="W674" s="10" t="str">
        <f aca="false">IFERROR(VLOOKUP(A674,'Dados-Status-Invest'!$1:$1000,MATCH(W$1,'Dados-Status-Invest'!$2:$2,0),FALSE())/100,"")</f>
        <v/>
      </c>
      <c r="X674" s="10" t="str">
        <f aca="false">IFERROR(VLOOKUP(A674,'Dados-Status-Invest'!$1:$1000,MATCH(X$1,'Dados-Status-Invest'!$2:$2,0),FALSE())/100,"")</f>
        <v/>
      </c>
    </row>
    <row r="675" customFormat="false" ht="15.75" hidden="false" customHeight="false" outlineLevel="0" collapsed="false">
      <c r="B675" s="7" t="str">
        <f aca="false">IFERROR(VLOOKUP(LEFT(A675,4),Setor!A:D,2,FALSE()),"")</f>
        <v/>
      </c>
      <c r="C675" s="8" t="str">
        <f aca="false">IFERROR(__xludf.dummyfunction("IFERROR(IFERROR(GOOGLEFINANCE(A681,""price""),VLOOKUP(A681,'Dados-Status-Invest'!A:B,2,FALSE)),"""")"),"")</f>
        <v/>
      </c>
      <c r="D675" s="8" t="str">
        <f aca="false">IFERROR(VLOOKUP(A675,'Dados-Status-Invest'!$1:$1000,MATCH(D$1,'Dados-Status-Invest'!$2:$2,0),FALSE()),"")</f>
        <v/>
      </c>
      <c r="E675" s="8" t="e">
        <f aca="false">IF(D675+H675&gt;0,D675+H675,"")</f>
        <v>#VALUE!</v>
      </c>
      <c r="F675" s="8" t="str">
        <f aca="false">IFERROR(D675/VLOOKUP(A675,'Dados-Status-Invest'!$1:$1000,5,FALSE()),"")</f>
        <v/>
      </c>
      <c r="G675" s="8" t="str">
        <f aca="false">IFERROR(D675/VLOOKUP(A675,'Dados-Status-Invest'!$1:$1000,6,FALSE()),"")</f>
        <v/>
      </c>
      <c r="H675" s="8" t="str">
        <f aca="false">IFERROR(VLOOKUP(A675,'Dados-Status-Invest'!$1:$1000,12,FALSE())*J675,"")</f>
        <v/>
      </c>
      <c r="I675" s="8" t="str">
        <f aca="false">IFERROR(D675/VLOOKUP(A675,'Dados-Status-Invest'!$1:$1000,14,FALSE()),"")</f>
        <v/>
      </c>
      <c r="J675" s="9" t="str">
        <f aca="false">IFERROR(D675/VLOOKUP(A675,'Dados-Status-Invest'!$1:$1000,10,FALSE()),"")</f>
        <v/>
      </c>
      <c r="K675" s="10" t="str">
        <f aca="false">IFERROR(VLOOKUP(A675,'Dados-Status-Invest'!$1:$1000,3,FALSE())/100,"")</f>
        <v/>
      </c>
      <c r="L675" s="11" t="str">
        <f aca="false">IFERROR(VLOOKUP(A675,'Dados-Status-Invest'!$1:$1000,MATCH(L$1,'Dados-Status-Invest'!$2:$2,0),FALSE())/100,"")</f>
        <v/>
      </c>
      <c r="M675" s="10" t="str">
        <f aca="false">IFERROR(VLOOKUP(A675,'Dados-Status-Invest'!$1:$1000,MATCH(M$1,'Dados-Status-Invest'!$2:$2,0),FALSE())/100,"")</f>
        <v/>
      </c>
      <c r="N675" s="10" t="str">
        <f aca="false">IFERROR(VLOOKUP(A675,'Dados-Status-Invest'!$1:$1000,MATCH(N$1,'Dados-Status-Invest'!$2:$2,0),FALSE())/100,"")</f>
        <v/>
      </c>
      <c r="O675" s="10" t="str">
        <f aca="false">IFERROR(VLOOKUP(A675,'Dados-Status-Invest'!$1:$1000,MATCH(O$1,'Dados-Status-Invest'!$2:$2,0),FALSE())/100,"")</f>
        <v/>
      </c>
      <c r="P675" s="10" t="str">
        <f aca="false">IFERROR(VLOOKUP(A675,'Dados-Status-Invest'!$1:$1000,MATCH(P$1,'Dados-Status-Invest'!$2:$2,0),FALSE())/100,"")</f>
        <v/>
      </c>
      <c r="Q675" s="10" t="str">
        <f aca="false">IFERROR(VLOOKUP(A675,'Dados-Status-Invest'!$1:$1000,MATCH(Q$1,'Dados-Status-Invest'!$2:$2,0),FALSE())/100,"")</f>
        <v/>
      </c>
      <c r="R675" s="12" t="str">
        <f aca="false">IFERROR(VLOOKUP(A675,'Dados-Status-Invest'!$1:$1000,MATCH(R$1,'Dados-Status-Invest'!$2:$2,0),FALSE()),"")</f>
        <v/>
      </c>
      <c r="S675" s="12" t="str">
        <f aca="false">IFERROR(VLOOKUP(A675,'Dados-Status-Invest'!$1:$1000,MATCH(S$1,'Dados-Status-Invest'!$2:$2,0),FALSE()),"")</f>
        <v/>
      </c>
      <c r="T675" s="12" t="str">
        <f aca="false">IFERROR(VLOOKUP(A675,'Dados-Status-Invest'!$1:$1000,MATCH(T$1,'Dados-Status-Invest'!$2:$2,0),FALSE()),"")</f>
        <v/>
      </c>
      <c r="U675" s="12" t="str">
        <f aca="false">IFERROR(VLOOKUP(A675,'Dados-Status-Invest'!$1:$1000,MATCH(U$1,'Dados-Status-Invest'!$2:$2,0),FALSE()),"")</f>
        <v/>
      </c>
      <c r="V675" s="12" t="str">
        <f aca="false">IFERROR(VLOOKUP(A675,'Dados-Status-Invest'!$1:$1000,MATCH(V$1,'Dados-Status-Invest'!$2:$2,0),FALSE()),"")</f>
        <v/>
      </c>
      <c r="W675" s="10" t="str">
        <f aca="false">IFERROR(VLOOKUP(A675,'Dados-Status-Invest'!$1:$1000,MATCH(W$1,'Dados-Status-Invest'!$2:$2,0),FALSE())/100,"")</f>
        <v/>
      </c>
      <c r="X675" s="10" t="str">
        <f aca="false">IFERROR(VLOOKUP(A675,'Dados-Status-Invest'!$1:$1000,MATCH(X$1,'Dados-Status-Invest'!$2:$2,0),FALSE())/100,"")</f>
        <v/>
      </c>
    </row>
    <row r="676" customFormat="false" ht="15.75" hidden="false" customHeight="false" outlineLevel="0" collapsed="false">
      <c r="B676" s="7" t="str">
        <f aca="false">IFERROR(VLOOKUP(LEFT(A676,4),Setor!A:D,2,FALSE()),"")</f>
        <v/>
      </c>
      <c r="C676" s="8" t="str">
        <f aca="false">IFERROR(__xludf.dummyfunction("IFERROR(IFERROR(GOOGLEFINANCE(A682,""price""),VLOOKUP(A682,'Dados-Status-Invest'!A:B,2,FALSE)),"""")"),"")</f>
        <v/>
      </c>
      <c r="D676" s="8" t="str">
        <f aca="false">IFERROR(VLOOKUP(A676,'Dados-Status-Invest'!$1:$1000,MATCH(D$1,'Dados-Status-Invest'!$2:$2,0),FALSE()),"")</f>
        <v/>
      </c>
      <c r="E676" s="8" t="e">
        <f aca="false">IF(D676+H676&gt;0,D676+H676,"")</f>
        <v>#VALUE!</v>
      </c>
      <c r="F676" s="8" t="str">
        <f aca="false">IFERROR(D676/VLOOKUP(A676,'Dados-Status-Invest'!$1:$1000,5,FALSE()),"")</f>
        <v/>
      </c>
      <c r="G676" s="8" t="str">
        <f aca="false">IFERROR(D676/VLOOKUP(A676,'Dados-Status-Invest'!$1:$1000,6,FALSE()),"")</f>
        <v/>
      </c>
      <c r="H676" s="8" t="str">
        <f aca="false">IFERROR(VLOOKUP(A676,'Dados-Status-Invest'!$1:$1000,12,FALSE())*J676,"")</f>
        <v/>
      </c>
      <c r="I676" s="8" t="str">
        <f aca="false">IFERROR(D676/VLOOKUP(A676,'Dados-Status-Invest'!$1:$1000,14,FALSE()),"")</f>
        <v/>
      </c>
      <c r="J676" s="9" t="str">
        <f aca="false">IFERROR(D676/VLOOKUP(A676,'Dados-Status-Invest'!$1:$1000,10,FALSE()),"")</f>
        <v/>
      </c>
      <c r="K676" s="10" t="str">
        <f aca="false">IFERROR(VLOOKUP(A676,'Dados-Status-Invest'!$1:$1000,3,FALSE())/100,"")</f>
        <v/>
      </c>
      <c r="L676" s="11" t="str">
        <f aca="false">IFERROR(VLOOKUP(A676,'Dados-Status-Invest'!$1:$1000,MATCH(L$1,'Dados-Status-Invest'!$2:$2,0),FALSE())/100,"")</f>
        <v/>
      </c>
      <c r="M676" s="10" t="str">
        <f aca="false">IFERROR(VLOOKUP(A676,'Dados-Status-Invest'!$1:$1000,MATCH(M$1,'Dados-Status-Invest'!$2:$2,0),FALSE())/100,"")</f>
        <v/>
      </c>
      <c r="N676" s="10" t="str">
        <f aca="false">IFERROR(VLOOKUP(A676,'Dados-Status-Invest'!$1:$1000,MATCH(N$1,'Dados-Status-Invest'!$2:$2,0),FALSE())/100,"")</f>
        <v/>
      </c>
      <c r="O676" s="10" t="str">
        <f aca="false">IFERROR(VLOOKUP(A676,'Dados-Status-Invest'!$1:$1000,MATCH(O$1,'Dados-Status-Invest'!$2:$2,0),FALSE())/100,"")</f>
        <v/>
      </c>
      <c r="P676" s="10" t="str">
        <f aca="false">IFERROR(VLOOKUP(A676,'Dados-Status-Invest'!$1:$1000,MATCH(P$1,'Dados-Status-Invest'!$2:$2,0),FALSE())/100,"")</f>
        <v/>
      </c>
      <c r="Q676" s="10" t="str">
        <f aca="false">IFERROR(VLOOKUP(A676,'Dados-Status-Invest'!$1:$1000,MATCH(Q$1,'Dados-Status-Invest'!$2:$2,0),FALSE())/100,"")</f>
        <v/>
      </c>
      <c r="R676" s="12" t="str">
        <f aca="false">IFERROR(VLOOKUP(A676,'Dados-Status-Invest'!$1:$1000,MATCH(R$1,'Dados-Status-Invest'!$2:$2,0),FALSE()),"")</f>
        <v/>
      </c>
      <c r="S676" s="12" t="str">
        <f aca="false">IFERROR(VLOOKUP(A676,'Dados-Status-Invest'!$1:$1000,MATCH(S$1,'Dados-Status-Invest'!$2:$2,0),FALSE()),"")</f>
        <v/>
      </c>
      <c r="T676" s="12" t="str">
        <f aca="false">IFERROR(VLOOKUP(A676,'Dados-Status-Invest'!$1:$1000,MATCH(T$1,'Dados-Status-Invest'!$2:$2,0),FALSE()),"")</f>
        <v/>
      </c>
      <c r="U676" s="12" t="str">
        <f aca="false">IFERROR(VLOOKUP(A676,'Dados-Status-Invest'!$1:$1000,MATCH(U$1,'Dados-Status-Invest'!$2:$2,0),FALSE()),"")</f>
        <v/>
      </c>
      <c r="V676" s="12" t="str">
        <f aca="false">IFERROR(VLOOKUP(A676,'Dados-Status-Invest'!$1:$1000,MATCH(V$1,'Dados-Status-Invest'!$2:$2,0),FALSE()),"")</f>
        <v/>
      </c>
      <c r="W676" s="10" t="str">
        <f aca="false">IFERROR(VLOOKUP(A676,'Dados-Status-Invest'!$1:$1000,MATCH(W$1,'Dados-Status-Invest'!$2:$2,0),FALSE())/100,"")</f>
        <v/>
      </c>
      <c r="X676" s="10" t="str">
        <f aca="false">IFERROR(VLOOKUP(A676,'Dados-Status-Invest'!$1:$1000,MATCH(X$1,'Dados-Status-Invest'!$2:$2,0),FALSE())/100,"")</f>
        <v/>
      </c>
    </row>
    <row r="677" customFormat="false" ht="15.75" hidden="false" customHeight="false" outlineLevel="0" collapsed="false">
      <c r="B677" s="7" t="str">
        <f aca="false">IFERROR(VLOOKUP(LEFT(A677,4),Setor!A:D,2,FALSE()),"")</f>
        <v/>
      </c>
      <c r="C677" s="8" t="str">
        <f aca="false">IFERROR(__xludf.dummyfunction("IFERROR(IFERROR(GOOGLEFINANCE(A683,""price""),VLOOKUP(A683,'Dados-Status-Invest'!A:B,2,FALSE)),"""")"),"")</f>
        <v/>
      </c>
      <c r="D677" s="8" t="str">
        <f aca="false">IFERROR(VLOOKUP(A677,'Dados-Status-Invest'!$1:$1000,MATCH(D$1,'Dados-Status-Invest'!$2:$2,0),FALSE()),"")</f>
        <v/>
      </c>
      <c r="E677" s="8" t="e">
        <f aca="false">IF(D677+H677&gt;0,D677+H677,"")</f>
        <v>#VALUE!</v>
      </c>
      <c r="F677" s="8" t="str">
        <f aca="false">IFERROR(D677/VLOOKUP(A677,'Dados-Status-Invest'!$1:$1000,5,FALSE()),"")</f>
        <v/>
      </c>
      <c r="G677" s="8" t="str">
        <f aca="false">IFERROR(D677/VLOOKUP(A677,'Dados-Status-Invest'!$1:$1000,6,FALSE()),"")</f>
        <v/>
      </c>
      <c r="H677" s="8" t="str">
        <f aca="false">IFERROR(VLOOKUP(A677,'Dados-Status-Invest'!$1:$1000,12,FALSE())*J677,"")</f>
        <v/>
      </c>
      <c r="I677" s="8" t="str">
        <f aca="false">IFERROR(D677/VLOOKUP(A677,'Dados-Status-Invest'!$1:$1000,14,FALSE()),"")</f>
        <v/>
      </c>
      <c r="J677" s="9" t="str">
        <f aca="false">IFERROR(D677/VLOOKUP(A677,'Dados-Status-Invest'!$1:$1000,10,FALSE()),"")</f>
        <v/>
      </c>
      <c r="K677" s="10" t="str">
        <f aca="false">IFERROR(VLOOKUP(A677,'Dados-Status-Invest'!$1:$1000,3,FALSE())/100,"")</f>
        <v/>
      </c>
      <c r="L677" s="11" t="str">
        <f aca="false">IFERROR(VLOOKUP(A677,'Dados-Status-Invest'!$1:$1000,MATCH(L$1,'Dados-Status-Invest'!$2:$2,0),FALSE())/100,"")</f>
        <v/>
      </c>
      <c r="M677" s="10" t="str">
        <f aca="false">IFERROR(VLOOKUP(A677,'Dados-Status-Invest'!$1:$1000,MATCH(M$1,'Dados-Status-Invest'!$2:$2,0),FALSE())/100,"")</f>
        <v/>
      </c>
      <c r="N677" s="10" t="str">
        <f aca="false">IFERROR(VLOOKUP(A677,'Dados-Status-Invest'!$1:$1000,MATCH(N$1,'Dados-Status-Invest'!$2:$2,0),FALSE())/100,"")</f>
        <v/>
      </c>
      <c r="O677" s="10" t="str">
        <f aca="false">IFERROR(VLOOKUP(A677,'Dados-Status-Invest'!$1:$1000,MATCH(O$1,'Dados-Status-Invest'!$2:$2,0),FALSE())/100,"")</f>
        <v/>
      </c>
      <c r="P677" s="10" t="str">
        <f aca="false">IFERROR(VLOOKUP(A677,'Dados-Status-Invest'!$1:$1000,MATCH(P$1,'Dados-Status-Invest'!$2:$2,0),FALSE())/100,"")</f>
        <v/>
      </c>
      <c r="Q677" s="10" t="str">
        <f aca="false">IFERROR(VLOOKUP(A677,'Dados-Status-Invest'!$1:$1000,MATCH(Q$1,'Dados-Status-Invest'!$2:$2,0),FALSE())/100,"")</f>
        <v/>
      </c>
      <c r="R677" s="12" t="str">
        <f aca="false">IFERROR(VLOOKUP(A677,'Dados-Status-Invest'!$1:$1000,MATCH(R$1,'Dados-Status-Invest'!$2:$2,0),FALSE()),"")</f>
        <v/>
      </c>
      <c r="S677" s="12" t="str">
        <f aca="false">IFERROR(VLOOKUP(A677,'Dados-Status-Invest'!$1:$1000,MATCH(S$1,'Dados-Status-Invest'!$2:$2,0),FALSE()),"")</f>
        <v/>
      </c>
      <c r="T677" s="12" t="str">
        <f aca="false">IFERROR(VLOOKUP(A677,'Dados-Status-Invest'!$1:$1000,MATCH(T$1,'Dados-Status-Invest'!$2:$2,0),FALSE()),"")</f>
        <v/>
      </c>
      <c r="U677" s="12" t="str">
        <f aca="false">IFERROR(VLOOKUP(A677,'Dados-Status-Invest'!$1:$1000,MATCH(U$1,'Dados-Status-Invest'!$2:$2,0),FALSE()),"")</f>
        <v/>
      </c>
      <c r="V677" s="12" t="str">
        <f aca="false">IFERROR(VLOOKUP(A677,'Dados-Status-Invest'!$1:$1000,MATCH(V$1,'Dados-Status-Invest'!$2:$2,0),FALSE()),"")</f>
        <v/>
      </c>
      <c r="W677" s="10" t="str">
        <f aca="false">IFERROR(VLOOKUP(A677,'Dados-Status-Invest'!$1:$1000,MATCH(W$1,'Dados-Status-Invest'!$2:$2,0),FALSE())/100,"")</f>
        <v/>
      </c>
      <c r="X677" s="10" t="str">
        <f aca="false">IFERROR(VLOOKUP(A677,'Dados-Status-Invest'!$1:$1000,MATCH(X$1,'Dados-Status-Invest'!$2:$2,0),FALSE())/100,"")</f>
        <v/>
      </c>
    </row>
    <row r="678" customFormat="false" ht="15.75" hidden="false" customHeight="false" outlineLevel="0" collapsed="false">
      <c r="B678" s="7" t="str">
        <f aca="false">IFERROR(VLOOKUP(LEFT(A678,4),Setor!A:D,2,FALSE()),"")</f>
        <v/>
      </c>
      <c r="C678" s="8" t="str">
        <f aca="false">IFERROR(__xludf.dummyfunction("IFERROR(IFERROR(GOOGLEFINANCE(A684,""price""),VLOOKUP(A684,'Dados-Status-Invest'!A:B,2,FALSE)),"""")"),"")</f>
        <v/>
      </c>
      <c r="D678" s="8" t="str">
        <f aca="false">IFERROR(VLOOKUP(A678,'Dados-Status-Invest'!$1:$1000,MATCH(D$1,'Dados-Status-Invest'!$2:$2,0),FALSE()),"")</f>
        <v/>
      </c>
      <c r="E678" s="8" t="e">
        <f aca="false">IF(D678+H678&gt;0,D678+H678,"")</f>
        <v>#VALUE!</v>
      </c>
      <c r="F678" s="8" t="str">
        <f aca="false">IFERROR(D678/VLOOKUP(A678,'Dados-Status-Invest'!$1:$1000,5,FALSE()),"")</f>
        <v/>
      </c>
      <c r="G678" s="8" t="str">
        <f aca="false">IFERROR(D678/VLOOKUP(A678,'Dados-Status-Invest'!$1:$1000,6,FALSE()),"")</f>
        <v/>
      </c>
      <c r="H678" s="8" t="str">
        <f aca="false">IFERROR(VLOOKUP(A678,'Dados-Status-Invest'!$1:$1000,12,FALSE())*J678,"")</f>
        <v/>
      </c>
      <c r="I678" s="8" t="str">
        <f aca="false">IFERROR(D678/VLOOKUP(A678,'Dados-Status-Invest'!$1:$1000,14,FALSE()),"")</f>
        <v/>
      </c>
      <c r="J678" s="9" t="str">
        <f aca="false">IFERROR(D678/VLOOKUP(A678,'Dados-Status-Invest'!$1:$1000,10,FALSE()),"")</f>
        <v/>
      </c>
      <c r="K678" s="10" t="str">
        <f aca="false">IFERROR(VLOOKUP(A678,'Dados-Status-Invest'!$1:$1000,3,FALSE())/100,"")</f>
        <v/>
      </c>
      <c r="L678" s="11" t="str">
        <f aca="false">IFERROR(VLOOKUP(A678,'Dados-Status-Invest'!$1:$1000,MATCH(L$1,'Dados-Status-Invest'!$2:$2,0),FALSE())/100,"")</f>
        <v/>
      </c>
      <c r="M678" s="10" t="str">
        <f aca="false">IFERROR(VLOOKUP(A678,'Dados-Status-Invest'!$1:$1000,MATCH(M$1,'Dados-Status-Invest'!$2:$2,0),FALSE())/100,"")</f>
        <v/>
      </c>
      <c r="N678" s="10" t="str">
        <f aca="false">IFERROR(VLOOKUP(A678,'Dados-Status-Invest'!$1:$1000,MATCH(N$1,'Dados-Status-Invest'!$2:$2,0),FALSE())/100,"")</f>
        <v/>
      </c>
      <c r="O678" s="10" t="str">
        <f aca="false">IFERROR(VLOOKUP(A678,'Dados-Status-Invest'!$1:$1000,MATCH(O$1,'Dados-Status-Invest'!$2:$2,0),FALSE())/100,"")</f>
        <v/>
      </c>
      <c r="P678" s="10" t="str">
        <f aca="false">IFERROR(VLOOKUP(A678,'Dados-Status-Invest'!$1:$1000,MATCH(P$1,'Dados-Status-Invest'!$2:$2,0),FALSE())/100,"")</f>
        <v/>
      </c>
      <c r="Q678" s="10" t="str">
        <f aca="false">IFERROR(VLOOKUP(A678,'Dados-Status-Invest'!$1:$1000,MATCH(Q$1,'Dados-Status-Invest'!$2:$2,0),FALSE())/100,"")</f>
        <v/>
      </c>
      <c r="R678" s="12" t="str">
        <f aca="false">IFERROR(VLOOKUP(A678,'Dados-Status-Invest'!$1:$1000,MATCH(R$1,'Dados-Status-Invest'!$2:$2,0),FALSE()),"")</f>
        <v/>
      </c>
      <c r="S678" s="12" t="str">
        <f aca="false">IFERROR(VLOOKUP(A678,'Dados-Status-Invest'!$1:$1000,MATCH(S$1,'Dados-Status-Invest'!$2:$2,0),FALSE()),"")</f>
        <v/>
      </c>
      <c r="T678" s="12" t="str">
        <f aca="false">IFERROR(VLOOKUP(A678,'Dados-Status-Invest'!$1:$1000,MATCH(T$1,'Dados-Status-Invest'!$2:$2,0),FALSE()),"")</f>
        <v/>
      </c>
      <c r="U678" s="12" t="str">
        <f aca="false">IFERROR(VLOOKUP(A678,'Dados-Status-Invest'!$1:$1000,MATCH(U$1,'Dados-Status-Invest'!$2:$2,0),FALSE()),"")</f>
        <v/>
      </c>
      <c r="V678" s="12" t="str">
        <f aca="false">IFERROR(VLOOKUP(A678,'Dados-Status-Invest'!$1:$1000,MATCH(V$1,'Dados-Status-Invest'!$2:$2,0),FALSE()),"")</f>
        <v/>
      </c>
      <c r="W678" s="10" t="str">
        <f aca="false">IFERROR(VLOOKUP(A678,'Dados-Status-Invest'!$1:$1000,MATCH(W$1,'Dados-Status-Invest'!$2:$2,0),FALSE())/100,"")</f>
        <v/>
      </c>
      <c r="X678" s="10" t="str">
        <f aca="false">IFERROR(VLOOKUP(A678,'Dados-Status-Invest'!$1:$1000,MATCH(X$1,'Dados-Status-Invest'!$2:$2,0),FALSE())/100,"")</f>
        <v/>
      </c>
    </row>
    <row r="679" customFormat="false" ht="15.75" hidden="false" customHeight="false" outlineLevel="0" collapsed="false">
      <c r="B679" s="7" t="str">
        <f aca="false">IFERROR(VLOOKUP(LEFT(A679,4),Setor!A:D,2,FALSE()),"")</f>
        <v/>
      </c>
      <c r="C679" s="8" t="str">
        <f aca="false">IFERROR(__xludf.dummyfunction("IFERROR(IFERROR(GOOGLEFINANCE(A685,""price""),VLOOKUP(A685,'Dados-Status-Invest'!A:B,2,FALSE)),"""")"),"")</f>
        <v/>
      </c>
      <c r="D679" s="8" t="str">
        <f aca="false">IFERROR(VLOOKUP(A679,'Dados-Status-Invest'!$1:$1000,MATCH(D$1,'Dados-Status-Invest'!$2:$2,0),FALSE()),"")</f>
        <v/>
      </c>
      <c r="E679" s="8" t="e">
        <f aca="false">IF(D679+H679&gt;0,D679+H679,"")</f>
        <v>#VALUE!</v>
      </c>
      <c r="F679" s="8" t="str">
        <f aca="false">IFERROR(D679/VLOOKUP(A679,'Dados-Status-Invest'!$1:$1000,5,FALSE()),"")</f>
        <v/>
      </c>
      <c r="G679" s="8" t="str">
        <f aca="false">IFERROR(D679/VLOOKUP(A679,'Dados-Status-Invest'!$1:$1000,6,FALSE()),"")</f>
        <v/>
      </c>
      <c r="H679" s="8" t="str">
        <f aca="false">IFERROR(VLOOKUP(A679,'Dados-Status-Invest'!$1:$1000,12,FALSE())*J679,"")</f>
        <v/>
      </c>
      <c r="I679" s="8" t="str">
        <f aca="false">IFERROR(D679/VLOOKUP(A679,'Dados-Status-Invest'!$1:$1000,14,FALSE()),"")</f>
        <v/>
      </c>
      <c r="J679" s="9" t="str">
        <f aca="false">IFERROR(D679/VLOOKUP(A679,'Dados-Status-Invest'!$1:$1000,10,FALSE()),"")</f>
        <v/>
      </c>
      <c r="K679" s="10" t="str">
        <f aca="false">IFERROR(VLOOKUP(A679,'Dados-Status-Invest'!$1:$1000,3,FALSE())/100,"")</f>
        <v/>
      </c>
      <c r="L679" s="11" t="str">
        <f aca="false">IFERROR(VLOOKUP(A679,'Dados-Status-Invest'!$1:$1000,MATCH(L$1,'Dados-Status-Invest'!$2:$2,0),FALSE())/100,"")</f>
        <v/>
      </c>
      <c r="M679" s="10" t="str">
        <f aca="false">IFERROR(VLOOKUP(A679,'Dados-Status-Invest'!$1:$1000,MATCH(M$1,'Dados-Status-Invest'!$2:$2,0),FALSE())/100,"")</f>
        <v/>
      </c>
      <c r="N679" s="10" t="str">
        <f aca="false">IFERROR(VLOOKUP(A679,'Dados-Status-Invest'!$1:$1000,MATCH(N$1,'Dados-Status-Invest'!$2:$2,0),FALSE())/100,"")</f>
        <v/>
      </c>
      <c r="O679" s="10" t="str">
        <f aca="false">IFERROR(VLOOKUP(A679,'Dados-Status-Invest'!$1:$1000,MATCH(O$1,'Dados-Status-Invest'!$2:$2,0),FALSE())/100,"")</f>
        <v/>
      </c>
      <c r="P679" s="10" t="str">
        <f aca="false">IFERROR(VLOOKUP(A679,'Dados-Status-Invest'!$1:$1000,MATCH(P$1,'Dados-Status-Invest'!$2:$2,0),FALSE())/100,"")</f>
        <v/>
      </c>
      <c r="Q679" s="10" t="str">
        <f aca="false">IFERROR(VLOOKUP(A679,'Dados-Status-Invest'!$1:$1000,MATCH(Q$1,'Dados-Status-Invest'!$2:$2,0),FALSE())/100,"")</f>
        <v/>
      </c>
      <c r="R679" s="12" t="str">
        <f aca="false">IFERROR(VLOOKUP(A679,'Dados-Status-Invest'!$1:$1000,MATCH(R$1,'Dados-Status-Invest'!$2:$2,0),FALSE()),"")</f>
        <v/>
      </c>
      <c r="S679" s="12" t="str">
        <f aca="false">IFERROR(VLOOKUP(A679,'Dados-Status-Invest'!$1:$1000,MATCH(S$1,'Dados-Status-Invest'!$2:$2,0),FALSE()),"")</f>
        <v/>
      </c>
      <c r="T679" s="12" t="str">
        <f aca="false">IFERROR(VLOOKUP(A679,'Dados-Status-Invest'!$1:$1000,MATCH(T$1,'Dados-Status-Invest'!$2:$2,0),FALSE()),"")</f>
        <v/>
      </c>
      <c r="U679" s="12" t="str">
        <f aca="false">IFERROR(VLOOKUP(A679,'Dados-Status-Invest'!$1:$1000,MATCH(U$1,'Dados-Status-Invest'!$2:$2,0),FALSE()),"")</f>
        <v/>
      </c>
      <c r="V679" s="12" t="str">
        <f aca="false">IFERROR(VLOOKUP(A679,'Dados-Status-Invest'!$1:$1000,MATCH(V$1,'Dados-Status-Invest'!$2:$2,0),FALSE()),"")</f>
        <v/>
      </c>
      <c r="W679" s="10" t="str">
        <f aca="false">IFERROR(VLOOKUP(A679,'Dados-Status-Invest'!$1:$1000,MATCH(W$1,'Dados-Status-Invest'!$2:$2,0),FALSE())/100,"")</f>
        <v/>
      </c>
      <c r="X679" s="10" t="str">
        <f aca="false">IFERROR(VLOOKUP(A679,'Dados-Status-Invest'!$1:$1000,MATCH(X$1,'Dados-Status-Invest'!$2:$2,0),FALSE())/100,"")</f>
        <v/>
      </c>
    </row>
    <row r="680" customFormat="false" ht="15.75" hidden="false" customHeight="false" outlineLevel="0" collapsed="false">
      <c r="B680" s="7" t="str">
        <f aca="false">IFERROR(VLOOKUP(LEFT(A680,4),Setor!A:D,2,FALSE()),"")</f>
        <v/>
      </c>
      <c r="C680" s="8" t="str">
        <f aca="false">IFERROR(__xludf.dummyfunction("IFERROR(IFERROR(GOOGLEFINANCE(A686,""price""),VLOOKUP(A686,'Dados-Status-Invest'!A:B,2,FALSE)),"""")"),"")</f>
        <v/>
      </c>
      <c r="D680" s="8" t="str">
        <f aca="false">IFERROR(VLOOKUP(A680,'Dados-Status-Invest'!$1:$1000,MATCH(D$1,'Dados-Status-Invest'!$2:$2,0),FALSE()),"")</f>
        <v/>
      </c>
      <c r="E680" s="8" t="e">
        <f aca="false">IF(D680+H680&gt;0,D680+H680,"")</f>
        <v>#VALUE!</v>
      </c>
      <c r="F680" s="8" t="str">
        <f aca="false">IFERROR(D680/VLOOKUP(A680,'Dados-Status-Invest'!$1:$1000,5,FALSE()),"")</f>
        <v/>
      </c>
      <c r="G680" s="8" t="str">
        <f aca="false">IFERROR(D680/VLOOKUP(A680,'Dados-Status-Invest'!$1:$1000,6,FALSE()),"")</f>
        <v/>
      </c>
      <c r="H680" s="8" t="str">
        <f aca="false">IFERROR(VLOOKUP(A680,'Dados-Status-Invest'!$1:$1000,12,FALSE())*J680,"")</f>
        <v/>
      </c>
      <c r="I680" s="8" t="str">
        <f aca="false">IFERROR(D680/VLOOKUP(A680,'Dados-Status-Invest'!$1:$1000,14,FALSE()),"")</f>
        <v/>
      </c>
      <c r="J680" s="9" t="str">
        <f aca="false">IFERROR(D680/VLOOKUP(A680,'Dados-Status-Invest'!$1:$1000,10,FALSE()),"")</f>
        <v/>
      </c>
      <c r="K680" s="10" t="str">
        <f aca="false">IFERROR(VLOOKUP(A680,'Dados-Status-Invest'!$1:$1000,3,FALSE())/100,"")</f>
        <v/>
      </c>
      <c r="L680" s="11" t="str">
        <f aca="false">IFERROR(VLOOKUP(A680,'Dados-Status-Invest'!$1:$1000,MATCH(L$1,'Dados-Status-Invest'!$2:$2,0),FALSE())/100,"")</f>
        <v/>
      </c>
      <c r="M680" s="10" t="str">
        <f aca="false">IFERROR(VLOOKUP(A680,'Dados-Status-Invest'!$1:$1000,MATCH(M$1,'Dados-Status-Invest'!$2:$2,0),FALSE())/100,"")</f>
        <v/>
      </c>
      <c r="N680" s="10" t="str">
        <f aca="false">IFERROR(VLOOKUP(A680,'Dados-Status-Invest'!$1:$1000,MATCH(N$1,'Dados-Status-Invest'!$2:$2,0),FALSE())/100,"")</f>
        <v/>
      </c>
      <c r="O680" s="10" t="str">
        <f aca="false">IFERROR(VLOOKUP(A680,'Dados-Status-Invest'!$1:$1000,MATCH(O$1,'Dados-Status-Invest'!$2:$2,0),FALSE())/100,"")</f>
        <v/>
      </c>
      <c r="P680" s="10" t="str">
        <f aca="false">IFERROR(VLOOKUP(A680,'Dados-Status-Invest'!$1:$1000,MATCH(P$1,'Dados-Status-Invest'!$2:$2,0),FALSE())/100,"")</f>
        <v/>
      </c>
      <c r="Q680" s="10" t="str">
        <f aca="false">IFERROR(VLOOKUP(A680,'Dados-Status-Invest'!$1:$1000,MATCH(Q$1,'Dados-Status-Invest'!$2:$2,0),FALSE())/100,"")</f>
        <v/>
      </c>
      <c r="R680" s="12" t="str">
        <f aca="false">IFERROR(VLOOKUP(A680,'Dados-Status-Invest'!$1:$1000,MATCH(R$1,'Dados-Status-Invest'!$2:$2,0),FALSE()),"")</f>
        <v/>
      </c>
      <c r="S680" s="12" t="str">
        <f aca="false">IFERROR(VLOOKUP(A680,'Dados-Status-Invest'!$1:$1000,MATCH(S$1,'Dados-Status-Invest'!$2:$2,0),FALSE()),"")</f>
        <v/>
      </c>
      <c r="T680" s="12" t="str">
        <f aca="false">IFERROR(VLOOKUP(A680,'Dados-Status-Invest'!$1:$1000,MATCH(T$1,'Dados-Status-Invest'!$2:$2,0),FALSE()),"")</f>
        <v/>
      </c>
      <c r="U680" s="12" t="str">
        <f aca="false">IFERROR(VLOOKUP(A680,'Dados-Status-Invest'!$1:$1000,MATCH(U$1,'Dados-Status-Invest'!$2:$2,0),FALSE()),"")</f>
        <v/>
      </c>
      <c r="V680" s="12" t="str">
        <f aca="false">IFERROR(VLOOKUP(A680,'Dados-Status-Invest'!$1:$1000,MATCH(V$1,'Dados-Status-Invest'!$2:$2,0),FALSE()),"")</f>
        <v/>
      </c>
      <c r="W680" s="10" t="str">
        <f aca="false">IFERROR(VLOOKUP(A680,'Dados-Status-Invest'!$1:$1000,MATCH(W$1,'Dados-Status-Invest'!$2:$2,0),FALSE())/100,"")</f>
        <v/>
      </c>
      <c r="X680" s="10" t="str">
        <f aca="false">IFERROR(VLOOKUP(A680,'Dados-Status-Invest'!$1:$1000,MATCH(X$1,'Dados-Status-Invest'!$2:$2,0),FALSE())/100,"")</f>
        <v/>
      </c>
    </row>
    <row r="681" customFormat="false" ht="15.75" hidden="false" customHeight="false" outlineLevel="0" collapsed="false">
      <c r="B681" s="7" t="str">
        <f aca="false">IFERROR(VLOOKUP(LEFT(A681,4),Setor!A:D,2,FALSE()),"")</f>
        <v/>
      </c>
      <c r="C681" s="8" t="str">
        <f aca="false">IFERROR(__xludf.dummyfunction("IFERROR(IFERROR(GOOGLEFINANCE(A687,""price""),VLOOKUP(A687,'Dados-Status-Invest'!A:B,2,FALSE)),"""")"),"")</f>
        <v/>
      </c>
      <c r="D681" s="8" t="str">
        <f aca="false">IFERROR(VLOOKUP(A681,'Dados-Status-Invest'!$1:$1000,MATCH(D$1,'Dados-Status-Invest'!$2:$2,0),FALSE()),"")</f>
        <v/>
      </c>
      <c r="E681" s="8" t="e">
        <f aca="false">IF(D681+H681&gt;0,D681+H681,"")</f>
        <v>#VALUE!</v>
      </c>
      <c r="F681" s="8" t="str">
        <f aca="false">IFERROR(D681/VLOOKUP(A681,'Dados-Status-Invest'!$1:$1000,5,FALSE()),"")</f>
        <v/>
      </c>
      <c r="G681" s="8" t="str">
        <f aca="false">IFERROR(D681/VLOOKUP(A681,'Dados-Status-Invest'!$1:$1000,6,FALSE()),"")</f>
        <v/>
      </c>
      <c r="H681" s="8" t="str">
        <f aca="false">IFERROR(VLOOKUP(A681,'Dados-Status-Invest'!$1:$1000,12,FALSE())*J681,"")</f>
        <v/>
      </c>
      <c r="I681" s="8" t="str">
        <f aca="false">IFERROR(D681/VLOOKUP(A681,'Dados-Status-Invest'!$1:$1000,14,FALSE()),"")</f>
        <v/>
      </c>
      <c r="J681" s="9" t="str">
        <f aca="false">IFERROR(D681/VLOOKUP(A681,'Dados-Status-Invest'!$1:$1000,10,FALSE()),"")</f>
        <v/>
      </c>
      <c r="K681" s="10" t="str">
        <f aca="false">IFERROR(VLOOKUP(A681,'Dados-Status-Invest'!$1:$1000,3,FALSE())/100,"")</f>
        <v/>
      </c>
      <c r="L681" s="11" t="str">
        <f aca="false">IFERROR(VLOOKUP(A681,'Dados-Status-Invest'!$1:$1000,MATCH(L$1,'Dados-Status-Invest'!$2:$2,0),FALSE())/100,"")</f>
        <v/>
      </c>
      <c r="M681" s="10" t="str">
        <f aca="false">IFERROR(VLOOKUP(A681,'Dados-Status-Invest'!$1:$1000,MATCH(M$1,'Dados-Status-Invest'!$2:$2,0),FALSE())/100,"")</f>
        <v/>
      </c>
      <c r="N681" s="10" t="str">
        <f aca="false">IFERROR(VLOOKUP(A681,'Dados-Status-Invest'!$1:$1000,MATCH(N$1,'Dados-Status-Invest'!$2:$2,0),FALSE())/100,"")</f>
        <v/>
      </c>
      <c r="O681" s="10" t="str">
        <f aca="false">IFERROR(VLOOKUP(A681,'Dados-Status-Invest'!$1:$1000,MATCH(O$1,'Dados-Status-Invest'!$2:$2,0),FALSE())/100,"")</f>
        <v/>
      </c>
      <c r="P681" s="10" t="str">
        <f aca="false">IFERROR(VLOOKUP(A681,'Dados-Status-Invest'!$1:$1000,MATCH(P$1,'Dados-Status-Invest'!$2:$2,0),FALSE())/100,"")</f>
        <v/>
      </c>
      <c r="Q681" s="10" t="str">
        <f aca="false">IFERROR(VLOOKUP(A681,'Dados-Status-Invest'!$1:$1000,MATCH(Q$1,'Dados-Status-Invest'!$2:$2,0),FALSE())/100,"")</f>
        <v/>
      </c>
      <c r="R681" s="12" t="str">
        <f aca="false">IFERROR(VLOOKUP(A681,'Dados-Status-Invest'!$1:$1000,MATCH(R$1,'Dados-Status-Invest'!$2:$2,0),FALSE()),"")</f>
        <v/>
      </c>
      <c r="S681" s="12" t="str">
        <f aca="false">IFERROR(VLOOKUP(A681,'Dados-Status-Invest'!$1:$1000,MATCH(S$1,'Dados-Status-Invest'!$2:$2,0),FALSE()),"")</f>
        <v/>
      </c>
      <c r="T681" s="12" t="str">
        <f aca="false">IFERROR(VLOOKUP(A681,'Dados-Status-Invest'!$1:$1000,MATCH(T$1,'Dados-Status-Invest'!$2:$2,0),FALSE()),"")</f>
        <v/>
      </c>
      <c r="U681" s="12" t="str">
        <f aca="false">IFERROR(VLOOKUP(A681,'Dados-Status-Invest'!$1:$1000,MATCH(U$1,'Dados-Status-Invest'!$2:$2,0),FALSE()),"")</f>
        <v/>
      </c>
      <c r="V681" s="12" t="str">
        <f aca="false">IFERROR(VLOOKUP(A681,'Dados-Status-Invest'!$1:$1000,MATCH(V$1,'Dados-Status-Invest'!$2:$2,0),FALSE()),"")</f>
        <v/>
      </c>
      <c r="W681" s="10" t="str">
        <f aca="false">IFERROR(VLOOKUP(A681,'Dados-Status-Invest'!$1:$1000,MATCH(W$1,'Dados-Status-Invest'!$2:$2,0),FALSE())/100,"")</f>
        <v/>
      </c>
      <c r="X681" s="10" t="str">
        <f aca="false">IFERROR(VLOOKUP(A681,'Dados-Status-Invest'!$1:$1000,MATCH(X$1,'Dados-Status-Invest'!$2:$2,0),FALSE())/100,"")</f>
        <v/>
      </c>
    </row>
    <row r="682" customFormat="false" ht="15.75" hidden="false" customHeight="false" outlineLevel="0" collapsed="false">
      <c r="B682" s="7" t="str">
        <f aca="false">IFERROR(VLOOKUP(LEFT(A682,4),Setor!A:D,2,FALSE()),"")</f>
        <v/>
      </c>
      <c r="C682" s="8" t="str">
        <f aca="false">IFERROR(__xludf.dummyfunction("IFERROR(IFERROR(GOOGLEFINANCE(A688,""price""),VLOOKUP(A688,'Dados-Status-Invest'!A:B,2,FALSE)),"""")"),"")</f>
        <v/>
      </c>
      <c r="D682" s="8" t="str">
        <f aca="false">IFERROR(VLOOKUP(A682,'Dados-Status-Invest'!$1:$1000,MATCH(D$1,'Dados-Status-Invest'!$2:$2,0),FALSE()),"")</f>
        <v/>
      </c>
      <c r="E682" s="8" t="e">
        <f aca="false">IF(D682+H682&gt;0,D682+H682,"")</f>
        <v>#VALUE!</v>
      </c>
      <c r="F682" s="8" t="str">
        <f aca="false">IFERROR(D682/VLOOKUP(A682,'Dados-Status-Invest'!$1:$1000,5,FALSE()),"")</f>
        <v/>
      </c>
      <c r="G682" s="8" t="str">
        <f aca="false">IFERROR(D682/VLOOKUP(A682,'Dados-Status-Invest'!$1:$1000,6,FALSE()),"")</f>
        <v/>
      </c>
      <c r="H682" s="8" t="str">
        <f aca="false">IFERROR(VLOOKUP(A682,'Dados-Status-Invest'!$1:$1000,12,FALSE())*J682,"")</f>
        <v/>
      </c>
      <c r="I682" s="8" t="str">
        <f aca="false">IFERROR(D682/VLOOKUP(A682,'Dados-Status-Invest'!$1:$1000,14,FALSE()),"")</f>
        <v/>
      </c>
      <c r="J682" s="9" t="str">
        <f aca="false">IFERROR(D682/VLOOKUP(A682,'Dados-Status-Invest'!$1:$1000,10,FALSE()),"")</f>
        <v/>
      </c>
      <c r="K682" s="10" t="str">
        <f aca="false">IFERROR(VLOOKUP(A682,'Dados-Status-Invest'!$1:$1000,3,FALSE())/100,"")</f>
        <v/>
      </c>
      <c r="L682" s="11" t="str">
        <f aca="false">IFERROR(VLOOKUP(A682,'Dados-Status-Invest'!$1:$1000,MATCH(L$1,'Dados-Status-Invest'!$2:$2,0),FALSE())/100,"")</f>
        <v/>
      </c>
      <c r="M682" s="10" t="str">
        <f aca="false">IFERROR(VLOOKUP(A682,'Dados-Status-Invest'!$1:$1000,MATCH(M$1,'Dados-Status-Invest'!$2:$2,0),FALSE())/100,"")</f>
        <v/>
      </c>
      <c r="N682" s="10" t="str">
        <f aca="false">IFERROR(VLOOKUP(A682,'Dados-Status-Invest'!$1:$1000,MATCH(N$1,'Dados-Status-Invest'!$2:$2,0),FALSE())/100,"")</f>
        <v/>
      </c>
      <c r="O682" s="10" t="str">
        <f aca="false">IFERROR(VLOOKUP(A682,'Dados-Status-Invest'!$1:$1000,MATCH(O$1,'Dados-Status-Invest'!$2:$2,0),FALSE())/100,"")</f>
        <v/>
      </c>
      <c r="P682" s="10" t="str">
        <f aca="false">IFERROR(VLOOKUP(A682,'Dados-Status-Invest'!$1:$1000,MATCH(P$1,'Dados-Status-Invest'!$2:$2,0),FALSE())/100,"")</f>
        <v/>
      </c>
      <c r="Q682" s="10" t="str">
        <f aca="false">IFERROR(VLOOKUP(A682,'Dados-Status-Invest'!$1:$1000,MATCH(Q$1,'Dados-Status-Invest'!$2:$2,0),FALSE())/100,"")</f>
        <v/>
      </c>
      <c r="R682" s="12" t="str">
        <f aca="false">IFERROR(VLOOKUP(A682,'Dados-Status-Invest'!$1:$1000,MATCH(R$1,'Dados-Status-Invest'!$2:$2,0),FALSE()),"")</f>
        <v/>
      </c>
      <c r="S682" s="12" t="str">
        <f aca="false">IFERROR(VLOOKUP(A682,'Dados-Status-Invest'!$1:$1000,MATCH(S$1,'Dados-Status-Invest'!$2:$2,0),FALSE()),"")</f>
        <v/>
      </c>
      <c r="T682" s="12" t="str">
        <f aca="false">IFERROR(VLOOKUP(A682,'Dados-Status-Invest'!$1:$1000,MATCH(T$1,'Dados-Status-Invest'!$2:$2,0),FALSE()),"")</f>
        <v/>
      </c>
      <c r="U682" s="12" t="str">
        <f aca="false">IFERROR(VLOOKUP(A682,'Dados-Status-Invest'!$1:$1000,MATCH(U$1,'Dados-Status-Invest'!$2:$2,0),FALSE()),"")</f>
        <v/>
      </c>
      <c r="V682" s="12" t="str">
        <f aca="false">IFERROR(VLOOKUP(A682,'Dados-Status-Invest'!$1:$1000,MATCH(V$1,'Dados-Status-Invest'!$2:$2,0),FALSE()),"")</f>
        <v/>
      </c>
      <c r="W682" s="10" t="str">
        <f aca="false">IFERROR(VLOOKUP(A682,'Dados-Status-Invest'!$1:$1000,MATCH(W$1,'Dados-Status-Invest'!$2:$2,0),FALSE())/100,"")</f>
        <v/>
      </c>
      <c r="X682" s="10" t="str">
        <f aca="false">IFERROR(VLOOKUP(A682,'Dados-Status-Invest'!$1:$1000,MATCH(X$1,'Dados-Status-Invest'!$2:$2,0),FALSE())/100,"")</f>
        <v/>
      </c>
    </row>
    <row r="683" customFormat="false" ht="15.75" hidden="false" customHeight="false" outlineLevel="0" collapsed="false">
      <c r="B683" s="7" t="str">
        <f aca="false">IFERROR(VLOOKUP(LEFT(A683,4),Setor!A:D,2,FALSE()),"")</f>
        <v/>
      </c>
      <c r="C683" s="8" t="str">
        <f aca="false">IFERROR(__xludf.dummyfunction("IFERROR(IFERROR(GOOGLEFINANCE(A689,""price""),VLOOKUP(A689,'Dados-Status-Invest'!A:B,2,FALSE)),"""")"),"")</f>
        <v/>
      </c>
      <c r="D683" s="8" t="str">
        <f aca="false">IFERROR(VLOOKUP(A683,'Dados-Status-Invest'!$1:$1000,MATCH(D$1,'Dados-Status-Invest'!$2:$2,0),FALSE()),"")</f>
        <v/>
      </c>
      <c r="E683" s="8" t="e">
        <f aca="false">IF(D683+H683&gt;0,D683+H683,"")</f>
        <v>#VALUE!</v>
      </c>
      <c r="F683" s="8" t="str">
        <f aca="false">IFERROR(D683/VLOOKUP(A683,'Dados-Status-Invest'!$1:$1000,5,FALSE()),"")</f>
        <v/>
      </c>
      <c r="G683" s="8" t="str">
        <f aca="false">IFERROR(D683/VLOOKUP(A683,'Dados-Status-Invest'!$1:$1000,6,FALSE()),"")</f>
        <v/>
      </c>
      <c r="H683" s="8" t="str">
        <f aca="false">IFERROR(VLOOKUP(A683,'Dados-Status-Invest'!$1:$1000,12,FALSE())*J683,"")</f>
        <v/>
      </c>
      <c r="I683" s="8" t="str">
        <f aca="false">IFERROR(D683/VLOOKUP(A683,'Dados-Status-Invest'!$1:$1000,14,FALSE()),"")</f>
        <v/>
      </c>
      <c r="J683" s="9" t="str">
        <f aca="false">IFERROR(D683/VLOOKUP(A683,'Dados-Status-Invest'!$1:$1000,10,FALSE()),"")</f>
        <v/>
      </c>
      <c r="K683" s="10" t="str">
        <f aca="false">IFERROR(VLOOKUP(A683,'Dados-Status-Invest'!$1:$1000,3,FALSE())/100,"")</f>
        <v/>
      </c>
      <c r="L683" s="11" t="str">
        <f aca="false">IFERROR(VLOOKUP(A683,'Dados-Status-Invest'!$1:$1000,MATCH(L$1,'Dados-Status-Invest'!$2:$2,0),FALSE())/100,"")</f>
        <v/>
      </c>
      <c r="M683" s="10" t="str">
        <f aca="false">IFERROR(VLOOKUP(A683,'Dados-Status-Invest'!$1:$1000,MATCH(M$1,'Dados-Status-Invest'!$2:$2,0),FALSE())/100,"")</f>
        <v/>
      </c>
      <c r="N683" s="10" t="str">
        <f aca="false">IFERROR(VLOOKUP(A683,'Dados-Status-Invest'!$1:$1000,MATCH(N$1,'Dados-Status-Invest'!$2:$2,0),FALSE())/100,"")</f>
        <v/>
      </c>
      <c r="O683" s="10" t="str">
        <f aca="false">IFERROR(VLOOKUP(A683,'Dados-Status-Invest'!$1:$1000,MATCH(O$1,'Dados-Status-Invest'!$2:$2,0),FALSE())/100,"")</f>
        <v/>
      </c>
      <c r="P683" s="10" t="str">
        <f aca="false">IFERROR(VLOOKUP(A683,'Dados-Status-Invest'!$1:$1000,MATCH(P$1,'Dados-Status-Invest'!$2:$2,0),FALSE())/100,"")</f>
        <v/>
      </c>
      <c r="Q683" s="10" t="str">
        <f aca="false">IFERROR(VLOOKUP(A683,'Dados-Status-Invest'!$1:$1000,MATCH(Q$1,'Dados-Status-Invest'!$2:$2,0),FALSE())/100,"")</f>
        <v/>
      </c>
      <c r="R683" s="12" t="str">
        <f aca="false">IFERROR(VLOOKUP(A683,'Dados-Status-Invest'!$1:$1000,MATCH(R$1,'Dados-Status-Invest'!$2:$2,0),FALSE()),"")</f>
        <v/>
      </c>
      <c r="S683" s="12" t="str">
        <f aca="false">IFERROR(VLOOKUP(A683,'Dados-Status-Invest'!$1:$1000,MATCH(S$1,'Dados-Status-Invest'!$2:$2,0),FALSE()),"")</f>
        <v/>
      </c>
      <c r="T683" s="12" t="str">
        <f aca="false">IFERROR(VLOOKUP(A683,'Dados-Status-Invest'!$1:$1000,MATCH(T$1,'Dados-Status-Invest'!$2:$2,0),FALSE()),"")</f>
        <v/>
      </c>
      <c r="U683" s="12" t="str">
        <f aca="false">IFERROR(VLOOKUP(A683,'Dados-Status-Invest'!$1:$1000,MATCH(U$1,'Dados-Status-Invest'!$2:$2,0),FALSE()),"")</f>
        <v/>
      </c>
      <c r="V683" s="12" t="str">
        <f aca="false">IFERROR(VLOOKUP(A683,'Dados-Status-Invest'!$1:$1000,MATCH(V$1,'Dados-Status-Invest'!$2:$2,0),FALSE()),"")</f>
        <v/>
      </c>
      <c r="W683" s="10" t="str">
        <f aca="false">IFERROR(VLOOKUP(A683,'Dados-Status-Invest'!$1:$1000,MATCH(W$1,'Dados-Status-Invest'!$2:$2,0),FALSE())/100,"")</f>
        <v/>
      </c>
      <c r="X683" s="10" t="str">
        <f aca="false">IFERROR(VLOOKUP(A683,'Dados-Status-Invest'!$1:$1000,MATCH(X$1,'Dados-Status-Invest'!$2:$2,0),FALSE())/100,"")</f>
        <v/>
      </c>
    </row>
    <row r="684" customFormat="false" ht="15.75" hidden="false" customHeight="false" outlineLevel="0" collapsed="false">
      <c r="B684" s="7" t="str">
        <f aca="false">IFERROR(VLOOKUP(LEFT(A684,4),Setor!A:D,2,FALSE()),"")</f>
        <v/>
      </c>
      <c r="C684" s="8" t="str">
        <f aca="false">IFERROR(__xludf.dummyfunction("IFERROR(IFERROR(GOOGLEFINANCE(A690,""price""),VLOOKUP(A690,'Dados-Status-Invest'!A:B,2,FALSE)),"""")"),"")</f>
        <v/>
      </c>
      <c r="D684" s="8" t="str">
        <f aca="false">IFERROR(VLOOKUP(A684,'Dados-Status-Invest'!$1:$1000,MATCH(D$1,'Dados-Status-Invest'!$2:$2,0),FALSE()),"")</f>
        <v/>
      </c>
      <c r="E684" s="8" t="e">
        <f aca="false">IF(D684+H684&gt;0,D684+H684,"")</f>
        <v>#VALUE!</v>
      </c>
      <c r="F684" s="8" t="str">
        <f aca="false">IFERROR(D684/VLOOKUP(A684,'Dados-Status-Invest'!$1:$1000,5,FALSE()),"")</f>
        <v/>
      </c>
      <c r="G684" s="8" t="str">
        <f aca="false">IFERROR(D684/VLOOKUP(A684,'Dados-Status-Invest'!$1:$1000,6,FALSE()),"")</f>
        <v/>
      </c>
      <c r="H684" s="8" t="str">
        <f aca="false">IFERROR(VLOOKUP(A684,'Dados-Status-Invest'!$1:$1000,12,FALSE())*J684,"")</f>
        <v/>
      </c>
      <c r="I684" s="8" t="str">
        <f aca="false">IFERROR(D684/VLOOKUP(A684,'Dados-Status-Invest'!$1:$1000,14,FALSE()),"")</f>
        <v/>
      </c>
      <c r="J684" s="9" t="str">
        <f aca="false">IFERROR(D684/VLOOKUP(A684,'Dados-Status-Invest'!$1:$1000,10,FALSE()),"")</f>
        <v/>
      </c>
      <c r="K684" s="10" t="str">
        <f aca="false">IFERROR(VLOOKUP(A684,'Dados-Status-Invest'!$1:$1000,3,FALSE())/100,"")</f>
        <v/>
      </c>
      <c r="L684" s="11" t="str">
        <f aca="false">IFERROR(VLOOKUP(A684,'Dados-Status-Invest'!$1:$1000,MATCH(L$1,'Dados-Status-Invest'!$2:$2,0),FALSE())/100,"")</f>
        <v/>
      </c>
      <c r="M684" s="10" t="str">
        <f aca="false">IFERROR(VLOOKUP(A684,'Dados-Status-Invest'!$1:$1000,MATCH(M$1,'Dados-Status-Invest'!$2:$2,0),FALSE())/100,"")</f>
        <v/>
      </c>
      <c r="N684" s="10" t="str">
        <f aca="false">IFERROR(VLOOKUP(A684,'Dados-Status-Invest'!$1:$1000,MATCH(N$1,'Dados-Status-Invest'!$2:$2,0),FALSE())/100,"")</f>
        <v/>
      </c>
      <c r="O684" s="10" t="str">
        <f aca="false">IFERROR(VLOOKUP(A684,'Dados-Status-Invest'!$1:$1000,MATCH(O$1,'Dados-Status-Invest'!$2:$2,0),FALSE())/100,"")</f>
        <v/>
      </c>
      <c r="P684" s="10" t="str">
        <f aca="false">IFERROR(VLOOKUP(A684,'Dados-Status-Invest'!$1:$1000,MATCH(P$1,'Dados-Status-Invest'!$2:$2,0),FALSE())/100,"")</f>
        <v/>
      </c>
      <c r="Q684" s="10" t="str">
        <f aca="false">IFERROR(VLOOKUP(A684,'Dados-Status-Invest'!$1:$1000,MATCH(Q$1,'Dados-Status-Invest'!$2:$2,0),FALSE())/100,"")</f>
        <v/>
      </c>
      <c r="R684" s="12" t="str">
        <f aca="false">IFERROR(VLOOKUP(A684,'Dados-Status-Invest'!$1:$1000,MATCH(R$1,'Dados-Status-Invest'!$2:$2,0),FALSE()),"")</f>
        <v/>
      </c>
      <c r="S684" s="12" t="str">
        <f aca="false">IFERROR(VLOOKUP(A684,'Dados-Status-Invest'!$1:$1000,MATCH(S$1,'Dados-Status-Invest'!$2:$2,0),FALSE()),"")</f>
        <v/>
      </c>
      <c r="T684" s="12" t="str">
        <f aca="false">IFERROR(VLOOKUP(A684,'Dados-Status-Invest'!$1:$1000,MATCH(T$1,'Dados-Status-Invest'!$2:$2,0),FALSE()),"")</f>
        <v/>
      </c>
      <c r="U684" s="12" t="str">
        <f aca="false">IFERROR(VLOOKUP(A684,'Dados-Status-Invest'!$1:$1000,MATCH(U$1,'Dados-Status-Invest'!$2:$2,0),FALSE()),"")</f>
        <v/>
      </c>
      <c r="V684" s="12" t="str">
        <f aca="false">IFERROR(VLOOKUP(A684,'Dados-Status-Invest'!$1:$1000,MATCH(V$1,'Dados-Status-Invest'!$2:$2,0),FALSE()),"")</f>
        <v/>
      </c>
      <c r="W684" s="10" t="str">
        <f aca="false">IFERROR(VLOOKUP(A684,'Dados-Status-Invest'!$1:$1000,MATCH(W$1,'Dados-Status-Invest'!$2:$2,0),FALSE())/100,"")</f>
        <v/>
      </c>
      <c r="X684" s="10" t="str">
        <f aca="false">IFERROR(VLOOKUP(A684,'Dados-Status-Invest'!$1:$1000,MATCH(X$1,'Dados-Status-Invest'!$2:$2,0),FALSE())/100,"")</f>
        <v/>
      </c>
    </row>
    <row r="685" customFormat="false" ht="15.75" hidden="false" customHeight="false" outlineLevel="0" collapsed="false">
      <c r="B685" s="7" t="str">
        <f aca="false">IFERROR(VLOOKUP(LEFT(A685,4),Setor!A:D,2,FALSE()),"")</f>
        <v/>
      </c>
      <c r="C685" s="8" t="str">
        <f aca="false">IFERROR(__xludf.dummyfunction("IFERROR(IFERROR(GOOGLEFINANCE(A691,""price""),VLOOKUP(A691,'Dados-Status-Invest'!A:B,2,FALSE)),"""")"),"")</f>
        <v/>
      </c>
      <c r="D685" s="8" t="str">
        <f aca="false">IFERROR(VLOOKUP(A685,'Dados-Status-Invest'!$1:$1000,MATCH(D$1,'Dados-Status-Invest'!$2:$2,0),FALSE()),"")</f>
        <v/>
      </c>
      <c r="E685" s="8" t="e">
        <f aca="false">IF(D685+H685&gt;0,D685+H685,"")</f>
        <v>#VALUE!</v>
      </c>
      <c r="F685" s="8" t="str">
        <f aca="false">IFERROR(D685/VLOOKUP(A685,'Dados-Status-Invest'!$1:$1000,5,FALSE()),"")</f>
        <v/>
      </c>
      <c r="G685" s="8" t="str">
        <f aca="false">IFERROR(D685/VLOOKUP(A685,'Dados-Status-Invest'!$1:$1000,6,FALSE()),"")</f>
        <v/>
      </c>
      <c r="H685" s="8" t="str">
        <f aca="false">IFERROR(VLOOKUP(A685,'Dados-Status-Invest'!$1:$1000,12,FALSE())*J685,"")</f>
        <v/>
      </c>
      <c r="I685" s="8" t="str">
        <f aca="false">IFERROR(D685/VLOOKUP(A685,'Dados-Status-Invest'!$1:$1000,14,FALSE()),"")</f>
        <v/>
      </c>
      <c r="J685" s="9" t="str">
        <f aca="false">IFERROR(D685/VLOOKUP(A685,'Dados-Status-Invest'!$1:$1000,10,FALSE()),"")</f>
        <v/>
      </c>
      <c r="K685" s="10" t="str">
        <f aca="false">IFERROR(VLOOKUP(A685,'Dados-Status-Invest'!$1:$1000,3,FALSE())/100,"")</f>
        <v/>
      </c>
      <c r="L685" s="11" t="str">
        <f aca="false">IFERROR(VLOOKUP(A685,'Dados-Status-Invest'!$1:$1000,MATCH(L$1,'Dados-Status-Invest'!$2:$2,0),FALSE())/100,"")</f>
        <v/>
      </c>
      <c r="M685" s="10" t="str">
        <f aca="false">IFERROR(VLOOKUP(A685,'Dados-Status-Invest'!$1:$1000,MATCH(M$1,'Dados-Status-Invest'!$2:$2,0),FALSE())/100,"")</f>
        <v/>
      </c>
      <c r="N685" s="10" t="str">
        <f aca="false">IFERROR(VLOOKUP(A685,'Dados-Status-Invest'!$1:$1000,MATCH(N$1,'Dados-Status-Invest'!$2:$2,0),FALSE())/100,"")</f>
        <v/>
      </c>
      <c r="O685" s="10" t="str">
        <f aca="false">IFERROR(VLOOKUP(A685,'Dados-Status-Invest'!$1:$1000,MATCH(O$1,'Dados-Status-Invest'!$2:$2,0),FALSE())/100,"")</f>
        <v/>
      </c>
      <c r="P685" s="10" t="str">
        <f aca="false">IFERROR(VLOOKUP(A685,'Dados-Status-Invest'!$1:$1000,MATCH(P$1,'Dados-Status-Invest'!$2:$2,0),FALSE())/100,"")</f>
        <v/>
      </c>
      <c r="Q685" s="10" t="str">
        <f aca="false">IFERROR(VLOOKUP(A685,'Dados-Status-Invest'!$1:$1000,MATCH(Q$1,'Dados-Status-Invest'!$2:$2,0),FALSE())/100,"")</f>
        <v/>
      </c>
      <c r="R685" s="12" t="str">
        <f aca="false">IFERROR(VLOOKUP(A685,'Dados-Status-Invest'!$1:$1000,MATCH(R$1,'Dados-Status-Invest'!$2:$2,0),FALSE()),"")</f>
        <v/>
      </c>
      <c r="S685" s="12" t="str">
        <f aca="false">IFERROR(VLOOKUP(A685,'Dados-Status-Invest'!$1:$1000,MATCH(S$1,'Dados-Status-Invest'!$2:$2,0),FALSE()),"")</f>
        <v/>
      </c>
      <c r="T685" s="12" t="str">
        <f aca="false">IFERROR(VLOOKUP(A685,'Dados-Status-Invest'!$1:$1000,MATCH(T$1,'Dados-Status-Invest'!$2:$2,0),FALSE()),"")</f>
        <v/>
      </c>
      <c r="U685" s="12" t="str">
        <f aca="false">IFERROR(VLOOKUP(A685,'Dados-Status-Invest'!$1:$1000,MATCH(U$1,'Dados-Status-Invest'!$2:$2,0),FALSE()),"")</f>
        <v/>
      </c>
      <c r="V685" s="12" t="str">
        <f aca="false">IFERROR(VLOOKUP(A685,'Dados-Status-Invest'!$1:$1000,MATCH(V$1,'Dados-Status-Invest'!$2:$2,0),FALSE()),"")</f>
        <v/>
      </c>
      <c r="W685" s="10" t="str">
        <f aca="false">IFERROR(VLOOKUP(A685,'Dados-Status-Invest'!$1:$1000,MATCH(W$1,'Dados-Status-Invest'!$2:$2,0),FALSE())/100,"")</f>
        <v/>
      </c>
      <c r="X685" s="10" t="str">
        <f aca="false">IFERROR(VLOOKUP(A685,'Dados-Status-Invest'!$1:$1000,MATCH(X$1,'Dados-Status-Invest'!$2:$2,0),FALSE())/100,"")</f>
        <v/>
      </c>
    </row>
    <row r="686" customFormat="false" ht="15.75" hidden="false" customHeight="false" outlineLevel="0" collapsed="false">
      <c r="B686" s="7" t="str">
        <f aca="false">IFERROR(VLOOKUP(LEFT(A686,4),Setor!A:D,2,FALSE()),"")</f>
        <v/>
      </c>
      <c r="C686" s="8" t="str">
        <f aca="false">IFERROR(__xludf.dummyfunction("IFERROR(IFERROR(GOOGLEFINANCE(A692,""price""),VLOOKUP(A692,'Dados-Status-Invest'!A:B,2,FALSE)),"""")"),"")</f>
        <v/>
      </c>
      <c r="D686" s="8" t="str">
        <f aca="false">IFERROR(VLOOKUP(A686,'Dados-Status-Invest'!$1:$1000,MATCH(D$1,'Dados-Status-Invest'!$2:$2,0),FALSE()),"")</f>
        <v/>
      </c>
      <c r="E686" s="8" t="e">
        <f aca="false">IF(D686+H686&gt;0,D686+H686,"")</f>
        <v>#VALUE!</v>
      </c>
      <c r="F686" s="8" t="str">
        <f aca="false">IFERROR(D686/VLOOKUP(A686,'Dados-Status-Invest'!$1:$1000,5,FALSE()),"")</f>
        <v/>
      </c>
      <c r="G686" s="8" t="str">
        <f aca="false">IFERROR(D686/VLOOKUP(A686,'Dados-Status-Invest'!$1:$1000,6,FALSE()),"")</f>
        <v/>
      </c>
      <c r="H686" s="8" t="str">
        <f aca="false">IFERROR(VLOOKUP(A686,'Dados-Status-Invest'!$1:$1000,12,FALSE())*J686,"")</f>
        <v/>
      </c>
      <c r="I686" s="8" t="str">
        <f aca="false">IFERROR(D686/VLOOKUP(A686,'Dados-Status-Invest'!$1:$1000,14,FALSE()),"")</f>
        <v/>
      </c>
      <c r="J686" s="9" t="str">
        <f aca="false">IFERROR(D686/VLOOKUP(A686,'Dados-Status-Invest'!$1:$1000,10,FALSE()),"")</f>
        <v/>
      </c>
      <c r="K686" s="10" t="str">
        <f aca="false">IFERROR(VLOOKUP(A686,'Dados-Status-Invest'!$1:$1000,3,FALSE())/100,"")</f>
        <v/>
      </c>
      <c r="L686" s="11" t="str">
        <f aca="false">IFERROR(VLOOKUP(A686,'Dados-Status-Invest'!$1:$1000,MATCH(L$1,'Dados-Status-Invest'!$2:$2,0),FALSE())/100,"")</f>
        <v/>
      </c>
      <c r="M686" s="10" t="str">
        <f aca="false">IFERROR(VLOOKUP(A686,'Dados-Status-Invest'!$1:$1000,MATCH(M$1,'Dados-Status-Invest'!$2:$2,0),FALSE())/100,"")</f>
        <v/>
      </c>
      <c r="N686" s="10" t="str">
        <f aca="false">IFERROR(VLOOKUP(A686,'Dados-Status-Invest'!$1:$1000,MATCH(N$1,'Dados-Status-Invest'!$2:$2,0),FALSE())/100,"")</f>
        <v/>
      </c>
      <c r="O686" s="10" t="str">
        <f aca="false">IFERROR(VLOOKUP(A686,'Dados-Status-Invest'!$1:$1000,MATCH(O$1,'Dados-Status-Invest'!$2:$2,0),FALSE())/100,"")</f>
        <v/>
      </c>
      <c r="P686" s="10" t="str">
        <f aca="false">IFERROR(VLOOKUP(A686,'Dados-Status-Invest'!$1:$1000,MATCH(P$1,'Dados-Status-Invest'!$2:$2,0),FALSE())/100,"")</f>
        <v/>
      </c>
      <c r="Q686" s="10" t="str">
        <f aca="false">IFERROR(VLOOKUP(A686,'Dados-Status-Invest'!$1:$1000,MATCH(Q$1,'Dados-Status-Invest'!$2:$2,0),FALSE())/100,"")</f>
        <v/>
      </c>
      <c r="R686" s="12" t="str">
        <f aca="false">IFERROR(VLOOKUP(A686,'Dados-Status-Invest'!$1:$1000,MATCH(R$1,'Dados-Status-Invest'!$2:$2,0),FALSE()),"")</f>
        <v/>
      </c>
      <c r="S686" s="12" t="str">
        <f aca="false">IFERROR(VLOOKUP(A686,'Dados-Status-Invest'!$1:$1000,MATCH(S$1,'Dados-Status-Invest'!$2:$2,0),FALSE()),"")</f>
        <v/>
      </c>
      <c r="T686" s="12" t="str">
        <f aca="false">IFERROR(VLOOKUP(A686,'Dados-Status-Invest'!$1:$1000,MATCH(T$1,'Dados-Status-Invest'!$2:$2,0),FALSE()),"")</f>
        <v/>
      </c>
      <c r="U686" s="12" t="str">
        <f aca="false">IFERROR(VLOOKUP(A686,'Dados-Status-Invest'!$1:$1000,MATCH(U$1,'Dados-Status-Invest'!$2:$2,0),FALSE()),"")</f>
        <v/>
      </c>
      <c r="V686" s="12" t="str">
        <f aca="false">IFERROR(VLOOKUP(A686,'Dados-Status-Invest'!$1:$1000,MATCH(V$1,'Dados-Status-Invest'!$2:$2,0),FALSE()),"")</f>
        <v/>
      </c>
      <c r="W686" s="10" t="str">
        <f aca="false">IFERROR(VLOOKUP(A686,'Dados-Status-Invest'!$1:$1000,MATCH(W$1,'Dados-Status-Invest'!$2:$2,0),FALSE())/100,"")</f>
        <v/>
      </c>
      <c r="X686" s="10" t="str">
        <f aca="false">IFERROR(VLOOKUP(A686,'Dados-Status-Invest'!$1:$1000,MATCH(X$1,'Dados-Status-Invest'!$2:$2,0),FALSE())/100,"")</f>
        <v/>
      </c>
    </row>
    <row r="687" customFormat="false" ht="15.75" hidden="false" customHeight="false" outlineLevel="0" collapsed="false">
      <c r="B687" s="7" t="str">
        <f aca="false">IFERROR(VLOOKUP(LEFT(A687,4),Setor!A:D,2,FALSE()),"")</f>
        <v/>
      </c>
      <c r="C687" s="8" t="str">
        <f aca="false">IFERROR(__xludf.dummyfunction("IFERROR(IFERROR(GOOGLEFINANCE(A693,""price""),VLOOKUP(A693,'Dados-Status-Invest'!A:B,2,FALSE)),"""")"),"")</f>
        <v/>
      </c>
      <c r="D687" s="8" t="str">
        <f aca="false">IFERROR(VLOOKUP(A687,'Dados-Status-Invest'!$1:$1000,MATCH(D$1,'Dados-Status-Invest'!$2:$2,0),FALSE()),"")</f>
        <v/>
      </c>
      <c r="E687" s="8" t="e">
        <f aca="false">IF(D687+H687&gt;0,D687+H687,"")</f>
        <v>#VALUE!</v>
      </c>
      <c r="F687" s="8" t="str">
        <f aca="false">IFERROR(D687/VLOOKUP(A687,'Dados-Status-Invest'!$1:$1000,5,FALSE()),"")</f>
        <v/>
      </c>
      <c r="G687" s="8" t="str">
        <f aca="false">IFERROR(D687/VLOOKUP(A687,'Dados-Status-Invest'!$1:$1000,6,FALSE()),"")</f>
        <v/>
      </c>
      <c r="H687" s="8" t="str">
        <f aca="false">IFERROR(VLOOKUP(A687,'Dados-Status-Invest'!$1:$1000,12,FALSE())*J687,"")</f>
        <v/>
      </c>
      <c r="I687" s="8" t="str">
        <f aca="false">IFERROR(D687/VLOOKUP(A687,'Dados-Status-Invest'!$1:$1000,14,FALSE()),"")</f>
        <v/>
      </c>
      <c r="J687" s="9" t="str">
        <f aca="false">IFERROR(D687/VLOOKUP(A687,'Dados-Status-Invest'!$1:$1000,10,FALSE()),"")</f>
        <v/>
      </c>
      <c r="K687" s="10" t="str">
        <f aca="false">IFERROR(VLOOKUP(A687,'Dados-Status-Invest'!$1:$1000,3,FALSE())/100,"")</f>
        <v/>
      </c>
      <c r="L687" s="11" t="str">
        <f aca="false">IFERROR(VLOOKUP(A687,'Dados-Status-Invest'!$1:$1000,MATCH(L$1,'Dados-Status-Invest'!$2:$2,0),FALSE())/100,"")</f>
        <v/>
      </c>
      <c r="M687" s="10" t="str">
        <f aca="false">IFERROR(VLOOKUP(A687,'Dados-Status-Invest'!$1:$1000,MATCH(M$1,'Dados-Status-Invest'!$2:$2,0),FALSE())/100,"")</f>
        <v/>
      </c>
      <c r="N687" s="10" t="str">
        <f aca="false">IFERROR(VLOOKUP(A687,'Dados-Status-Invest'!$1:$1000,MATCH(N$1,'Dados-Status-Invest'!$2:$2,0),FALSE())/100,"")</f>
        <v/>
      </c>
      <c r="O687" s="10" t="str">
        <f aca="false">IFERROR(VLOOKUP(A687,'Dados-Status-Invest'!$1:$1000,MATCH(O$1,'Dados-Status-Invest'!$2:$2,0),FALSE())/100,"")</f>
        <v/>
      </c>
      <c r="P687" s="10" t="str">
        <f aca="false">IFERROR(VLOOKUP(A687,'Dados-Status-Invest'!$1:$1000,MATCH(P$1,'Dados-Status-Invest'!$2:$2,0),FALSE())/100,"")</f>
        <v/>
      </c>
      <c r="Q687" s="10" t="str">
        <f aca="false">IFERROR(VLOOKUP(A687,'Dados-Status-Invest'!$1:$1000,MATCH(Q$1,'Dados-Status-Invest'!$2:$2,0),FALSE())/100,"")</f>
        <v/>
      </c>
      <c r="R687" s="12" t="str">
        <f aca="false">IFERROR(VLOOKUP(A687,'Dados-Status-Invest'!$1:$1000,MATCH(R$1,'Dados-Status-Invest'!$2:$2,0),FALSE()),"")</f>
        <v/>
      </c>
      <c r="S687" s="12" t="str">
        <f aca="false">IFERROR(VLOOKUP(A687,'Dados-Status-Invest'!$1:$1000,MATCH(S$1,'Dados-Status-Invest'!$2:$2,0),FALSE()),"")</f>
        <v/>
      </c>
      <c r="T687" s="12" t="str">
        <f aca="false">IFERROR(VLOOKUP(A687,'Dados-Status-Invest'!$1:$1000,MATCH(T$1,'Dados-Status-Invest'!$2:$2,0),FALSE()),"")</f>
        <v/>
      </c>
      <c r="U687" s="12" t="str">
        <f aca="false">IFERROR(VLOOKUP(A687,'Dados-Status-Invest'!$1:$1000,MATCH(U$1,'Dados-Status-Invest'!$2:$2,0),FALSE()),"")</f>
        <v/>
      </c>
      <c r="V687" s="12" t="str">
        <f aca="false">IFERROR(VLOOKUP(A687,'Dados-Status-Invest'!$1:$1000,MATCH(V$1,'Dados-Status-Invest'!$2:$2,0),FALSE()),"")</f>
        <v/>
      </c>
      <c r="W687" s="10" t="str">
        <f aca="false">IFERROR(VLOOKUP(A687,'Dados-Status-Invest'!$1:$1000,MATCH(W$1,'Dados-Status-Invest'!$2:$2,0),FALSE())/100,"")</f>
        <v/>
      </c>
      <c r="X687" s="10" t="str">
        <f aca="false">IFERROR(VLOOKUP(A687,'Dados-Status-Invest'!$1:$1000,MATCH(X$1,'Dados-Status-Invest'!$2:$2,0),FALSE())/100,"")</f>
        <v/>
      </c>
    </row>
    <row r="688" customFormat="false" ht="15.75" hidden="false" customHeight="false" outlineLevel="0" collapsed="false">
      <c r="B688" s="7" t="str">
        <f aca="false">IFERROR(VLOOKUP(LEFT(A688,4),Setor!A:D,2,FALSE()),"")</f>
        <v/>
      </c>
      <c r="C688" s="8" t="str">
        <f aca="false">IFERROR(__xludf.dummyfunction("IFERROR(IFERROR(GOOGLEFINANCE(A694,""price""),VLOOKUP(A694,'Dados-Status-Invest'!A:B,2,FALSE)),"""")"),"")</f>
        <v/>
      </c>
      <c r="D688" s="8" t="str">
        <f aca="false">IFERROR(VLOOKUP(A688,'Dados-Status-Invest'!$1:$1000,MATCH(D$1,'Dados-Status-Invest'!$2:$2,0),FALSE()),"")</f>
        <v/>
      </c>
      <c r="E688" s="8" t="e">
        <f aca="false">IF(D688+H688&gt;0,D688+H688,"")</f>
        <v>#VALUE!</v>
      </c>
      <c r="F688" s="8" t="str">
        <f aca="false">IFERROR(D688/VLOOKUP(A688,'Dados-Status-Invest'!$1:$1000,5,FALSE()),"")</f>
        <v/>
      </c>
      <c r="G688" s="8" t="str">
        <f aca="false">IFERROR(D688/VLOOKUP(A688,'Dados-Status-Invest'!$1:$1000,6,FALSE()),"")</f>
        <v/>
      </c>
      <c r="H688" s="8" t="str">
        <f aca="false">IFERROR(VLOOKUP(A688,'Dados-Status-Invest'!$1:$1000,12,FALSE())*J688,"")</f>
        <v/>
      </c>
      <c r="I688" s="8" t="str">
        <f aca="false">IFERROR(D688/VLOOKUP(A688,'Dados-Status-Invest'!$1:$1000,14,FALSE()),"")</f>
        <v/>
      </c>
      <c r="J688" s="9" t="str">
        <f aca="false">IFERROR(D688/VLOOKUP(A688,'Dados-Status-Invest'!$1:$1000,10,FALSE()),"")</f>
        <v/>
      </c>
      <c r="K688" s="10" t="str">
        <f aca="false">IFERROR(VLOOKUP(A688,'Dados-Status-Invest'!$1:$1000,3,FALSE())/100,"")</f>
        <v/>
      </c>
      <c r="L688" s="11" t="str">
        <f aca="false">IFERROR(VLOOKUP(A688,'Dados-Status-Invest'!$1:$1000,MATCH(L$1,'Dados-Status-Invest'!$2:$2,0),FALSE())/100,"")</f>
        <v/>
      </c>
      <c r="M688" s="10" t="str">
        <f aca="false">IFERROR(VLOOKUP(A688,'Dados-Status-Invest'!$1:$1000,MATCH(M$1,'Dados-Status-Invest'!$2:$2,0),FALSE())/100,"")</f>
        <v/>
      </c>
      <c r="N688" s="10" t="str">
        <f aca="false">IFERROR(VLOOKUP(A688,'Dados-Status-Invest'!$1:$1000,MATCH(N$1,'Dados-Status-Invest'!$2:$2,0),FALSE())/100,"")</f>
        <v/>
      </c>
      <c r="O688" s="10" t="str">
        <f aca="false">IFERROR(VLOOKUP(A688,'Dados-Status-Invest'!$1:$1000,MATCH(O$1,'Dados-Status-Invest'!$2:$2,0),FALSE())/100,"")</f>
        <v/>
      </c>
      <c r="P688" s="10" t="str">
        <f aca="false">IFERROR(VLOOKUP(A688,'Dados-Status-Invest'!$1:$1000,MATCH(P$1,'Dados-Status-Invest'!$2:$2,0),FALSE())/100,"")</f>
        <v/>
      </c>
      <c r="Q688" s="10" t="str">
        <f aca="false">IFERROR(VLOOKUP(A688,'Dados-Status-Invest'!$1:$1000,MATCH(Q$1,'Dados-Status-Invest'!$2:$2,0),FALSE())/100,"")</f>
        <v/>
      </c>
      <c r="R688" s="12" t="str">
        <f aca="false">IFERROR(VLOOKUP(A688,'Dados-Status-Invest'!$1:$1000,MATCH(R$1,'Dados-Status-Invest'!$2:$2,0),FALSE()),"")</f>
        <v/>
      </c>
      <c r="S688" s="12" t="str">
        <f aca="false">IFERROR(VLOOKUP(A688,'Dados-Status-Invest'!$1:$1000,MATCH(S$1,'Dados-Status-Invest'!$2:$2,0),FALSE()),"")</f>
        <v/>
      </c>
      <c r="T688" s="12" t="str">
        <f aca="false">IFERROR(VLOOKUP(A688,'Dados-Status-Invest'!$1:$1000,MATCH(T$1,'Dados-Status-Invest'!$2:$2,0),FALSE()),"")</f>
        <v/>
      </c>
      <c r="U688" s="12" t="str">
        <f aca="false">IFERROR(VLOOKUP(A688,'Dados-Status-Invest'!$1:$1000,MATCH(U$1,'Dados-Status-Invest'!$2:$2,0),FALSE()),"")</f>
        <v/>
      </c>
      <c r="V688" s="12" t="str">
        <f aca="false">IFERROR(VLOOKUP(A688,'Dados-Status-Invest'!$1:$1000,MATCH(V$1,'Dados-Status-Invest'!$2:$2,0),FALSE()),"")</f>
        <v/>
      </c>
      <c r="W688" s="10" t="str">
        <f aca="false">IFERROR(VLOOKUP(A688,'Dados-Status-Invest'!$1:$1000,MATCH(W$1,'Dados-Status-Invest'!$2:$2,0),FALSE())/100,"")</f>
        <v/>
      </c>
      <c r="X688" s="10" t="str">
        <f aca="false">IFERROR(VLOOKUP(A688,'Dados-Status-Invest'!$1:$1000,MATCH(X$1,'Dados-Status-Invest'!$2:$2,0),FALSE())/100,"")</f>
        <v/>
      </c>
    </row>
    <row r="689" customFormat="false" ht="15.75" hidden="false" customHeight="false" outlineLevel="0" collapsed="false">
      <c r="B689" s="7" t="str">
        <f aca="false">IFERROR(VLOOKUP(LEFT(A689,4),Setor!A:D,2,FALSE()),"")</f>
        <v/>
      </c>
      <c r="C689" s="8" t="str">
        <f aca="false">IFERROR(__xludf.dummyfunction("IFERROR(IFERROR(GOOGLEFINANCE(A695,""price""),VLOOKUP(A695,'Dados-Status-Invest'!A:B,2,FALSE)),"""")"),"")</f>
        <v/>
      </c>
      <c r="D689" s="8" t="str">
        <f aca="false">IFERROR(VLOOKUP(A689,'Dados-Status-Invest'!$1:$1000,MATCH(D$1,'Dados-Status-Invest'!$2:$2,0),FALSE()),"")</f>
        <v/>
      </c>
      <c r="E689" s="8" t="e">
        <f aca="false">IF(D689+H689&gt;0,D689+H689,"")</f>
        <v>#VALUE!</v>
      </c>
      <c r="F689" s="8" t="str">
        <f aca="false">IFERROR(D689/VLOOKUP(A689,'Dados-Status-Invest'!$1:$1000,5,FALSE()),"")</f>
        <v/>
      </c>
      <c r="G689" s="8" t="str">
        <f aca="false">IFERROR(D689/VLOOKUP(A689,'Dados-Status-Invest'!$1:$1000,6,FALSE()),"")</f>
        <v/>
      </c>
      <c r="H689" s="8" t="str">
        <f aca="false">IFERROR(VLOOKUP(A689,'Dados-Status-Invest'!$1:$1000,12,FALSE())*J689,"")</f>
        <v/>
      </c>
      <c r="I689" s="8" t="str">
        <f aca="false">IFERROR(D689/VLOOKUP(A689,'Dados-Status-Invest'!$1:$1000,14,FALSE()),"")</f>
        <v/>
      </c>
      <c r="J689" s="9" t="str">
        <f aca="false">IFERROR(D689/VLOOKUP(A689,'Dados-Status-Invest'!$1:$1000,10,FALSE()),"")</f>
        <v/>
      </c>
      <c r="K689" s="10" t="str">
        <f aca="false">IFERROR(VLOOKUP(A689,'Dados-Status-Invest'!$1:$1000,3,FALSE())/100,"")</f>
        <v/>
      </c>
      <c r="L689" s="11" t="str">
        <f aca="false">IFERROR(VLOOKUP(A689,'Dados-Status-Invest'!$1:$1000,MATCH(L$1,'Dados-Status-Invest'!$2:$2,0),FALSE())/100,"")</f>
        <v/>
      </c>
      <c r="M689" s="10" t="str">
        <f aca="false">IFERROR(VLOOKUP(A689,'Dados-Status-Invest'!$1:$1000,MATCH(M$1,'Dados-Status-Invest'!$2:$2,0),FALSE())/100,"")</f>
        <v/>
      </c>
      <c r="N689" s="10" t="str">
        <f aca="false">IFERROR(VLOOKUP(A689,'Dados-Status-Invest'!$1:$1000,MATCH(N$1,'Dados-Status-Invest'!$2:$2,0),FALSE())/100,"")</f>
        <v/>
      </c>
      <c r="O689" s="10" t="str">
        <f aca="false">IFERROR(VLOOKUP(A689,'Dados-Status-Invest'!$1:$1000,MATCH(O$1,'Dados-Status-Invest'!$2:$2,0),FALSE())/100,"")</f>
        <v/>
      </c>
      <c r="P689" s="10" t="str">
        <f aca="false">IFERROR(VLOOKUP(A689,'Dados-Status-Invest'!$1:$1000,MATCH(P$1,'Dados-Status-Invest'!$2:$2,0),FALSE())/100,"")</f>
        <v/>
      </c>
      <c r="Q689" s="10" t="str">
        <f aca="false">IFERROR(VLOOKUP(A689,'Dados-Status-Invest'!$1:$1000,MATCH(Q$1,'Dados-Status-Invest'!$2:$2,0),FALSE())/100,"")</f>
        <v/>
      </c>
      <c r="R689" s="12" t="str">
        <f aca="false">IFERROR(VLOOKUP(A689,'Dados-Status-Invest'!$1:$1000,MATCH(R$1,'Dados-Status-Invest'!$2:$2,0),FALSE()),"")</f>
        <v/>
      </c>
      <c r="S689" s="12" t="str">
        <f aca="false">IFERROR(VLOOKUP(A689,'Dados-Status-Invest'!$1:$1000,MATCH(S$1,'Dados-Status-Invest'!$2:$2,0),FALSE()),"")</f>
        <v/>
      </c>
      <c r="T689" s="12" t="str">
        <f aca="false">IFERROR(VLOOKUP(A689,'Dados-Status-Invest'!$1:$1000,MATCH(T$1,'Dados-Status-Invest'!$2:$2,0),FALSE()),"")</f>
        <v/>
      </c>
      <c r="U689" s="12" t="str">
        <f aca="false">IFERROR(VLOOKUP(A689,'Dados-Status-Invest'!$1:$1000,MATCH(U$1,'Dados-Status-Invest'!$2:$2,0),FALSE()),"")</f>
        <v/>
      </c>
      <c r="V689" s="12" t="str">
        <f aca="false">IFERROR(VLOOKUP(A689,'Dados-Status-Invest'!$1:$1000,MATCH(V$1,'Dados-Status-Invest'!$2:$2,0),FALSE()),"")</f>
        <v/>
      </c>
      <c r="W689" s="10" t="str">
        <f aca="false">IFERROR(VLOOKUP(A689,'Dados-Status-Invest'!$1:$1000,MATCH(W$1,'Dados-Status-Invest'!$2:$2,0),FALSE())/100,"")</f>
        <v/>
      </c>
      <c r="X689" s="10" t="str">
        <f aca="false">IFERROR(VLOOKUP(A689,'Dados-Status-Invest'!$1:$1000,MATCH(X$1,'Dados-Status-Invest'!$2:$2,0),FALSE())/100,"")</f>
        <v/>
      </c>
    </row>
    <row r="690" customFormat="false" ht="15.75" hidden="false" customHeight="false" outlineLevel="0" collapsed="false">
      <c r="B690" s="7" t="str">
        <f aca="false">IFERROR(VLOOKUP(LEFT(A690,4),Setor!A:D,2,FALSE()),"")</f>
        <v/>
      </c>
      <c r="C690" s="8" t="str">
        <f aca="false">IFERROR(__xludf.dummyfunction("IFERROR(IFERROR(GOOGLEFINANCE(A696,""price""),VLOOKUP(A696,'Dados-Status-Invest'!A:B,2,FALSE)),"""")"),"")</f>
        <v/>
      </c>
      <c r="D690" s="8" t="str">
        <f aca="false">IFERROR(VLOOKUP(A690,'Dados-Status-Invest'!$1:$1000,MATCH(D$1,'Dados-Status-Invest'!$2:$2,0),FALSE()),"")</f>
        <v/>
      </c>
      <c r="E690" s="8" t="e">
        <f aca="false">IF(D690+H690&gt;0,D690+H690,"")</f>
        <v>#VALUE!</v>
      </c>
      <c r="F690" s="8" t="str">
        <f aca="false">IFERROR(D690/VLOOKUP(A690,'Dados-Status-Invest'!$1:$1000,5,FALSE()),"")</f>
        <v/>
      </c>
      <c r="G690" s="8" t="str">
        <f aca="false">IFERROR(D690/VLOOKUP(A690,'Dados-Status-Invest'!$1:$1000,6,FALSE()),"")</f>
        <v/>
      </c>
      <c r="H690" s="8" t="str">
        <f aca="false">IFERROR(VLOOKUP(A690,'Dados-Status-Invest'!$1:$1000,12,FALSE())*J690,"")</f>
        <v/>
      </c>
      <c r="I690" s="8" t="str">
        <f aca="false">IFERROR(D690/VLOOKUP(A690,'Dados-Status-Invest'!$1:$1000,14,FALSE()),"")</f>
        <v/>
      </c>
      <c r="J690" s="9" t="str">
        <f aca="false">IFERROR(D690/VLOOKUP(A690,'Dados-Status-Invest'!$1:$1000,10,FALSE()),"")</f>
        <v/>
      </c>
      <c r="K690" s="10" t="str">
        <f aca="false">IFERROR(VLOOKUP(A690,'Dados-Status-Invest'!$1:$1000,3,FALSE())/100,"")</f>
        <v/>
      </c>
      <c r="L690" s="11" t="str">
        <f aca="false">IFERROR(VLOOKUP(A690,'Dados-Status-Invest'!$1:$1000,MATCH(L$1,'Dados-Status-Invest'!$2:$2,0),FALSE())/100,"")</f>
        <v/>
      </c>
      <c r="M690" s="10" t="str">
        <f aca="false">IFERROR(VLOOKUP(A690,'Dados-Status-Invest'!$1:$1000,MATCH(M$1,'Dados-Status-Invest'!$2:$2,0),FALSE())/100,"")</f>
        <v/>
      </c>
      <c r="N690" s="10" t="str">
        <f aca="false">IFERROR(VLOOKUP(A690,'Dados-Status-Invest'!$1:$1000,MATCH(N$1,'Dados-Status-Invest'!$2:$2,0),FALSE())/100,"")</f>
        <v/>
      </c>
      <c r="O690" s="10" t="str">
        <f aca="false">IFERROR(VLOOKUP(A690,'Dados-Status-Invest'!$1:$1000,MATCH(O$1,'Dados-Status-Invest'!$2:$2,0),FALSE())/100,"")</f>
        <v/>
      </c>
      <c r="P690" s="10" t="str">
        <f aca="false">IFERROR(VLOOKUP(A690,'Dados-Status-Invest'!$1:$1000,MATCH(P$1,'Dados-Status-Invest'!$2:$2,0),FALSE())/100,"")</f>
        <v/>
      </c>
      <c r="Q690" s="10" t="str">
        <f aca="false">IFERROR(VLOOKUP(A690,'Dados-Status-Invest'!$1:$1000,MATCH(Q$1,'Dados-Status-Invest'!$2:$2,0),FALSE())/100,"")</f>
        <v/>
      </c>
      <c r="R690" s="12" t="str">
        <f aca="false">IFERROR(VLOOKUP(A690,'Dados-Status-Invest'!$1:$1000,MATCH(R$1,'Dados-Status-Invest'!$2:$2,0),FALSE()),"")</f>
        <v/>
      </c>
      <c r="S690" s="12" t="str">
        <f aca="false">IFERROR(VLOOKUP(A690,'Dados-Status-Invest'!$1:$1000,MATCH(S$1,'Dados-Status-Invest'!$2:$2,0),FALSE()),"")</f>
        <v/>
      </c>
      <c r="T690" s="12" t="str">
        <f aca="false">IFERROR(VLOOKUP(A690,'Dados-Status-Invest'!$1:$1000,MATCH(T$1,'Dados-Status-Invest'!$2:$2,0),FALSE()),"")</f>
        <v/>
      </c>
      <c r="U690" s="12" t="str">
        <f aca="false">IFERROR(VLOOKUP(A690,'Dados-Status-Invest'!$1:$1000,MATCH(U$1,'Dados-Status-Invest'!$2:$2,0),FALSE()),"")</f>
        <v/>
      </c>
      <c r="V690" s="12" t="str">
        <f aca="false">IFERROR(VLOOKUP(A690,'Dados-Status-Invest'!$1:$1000,MATCH(V$1,'Dados-Status-Invest'!$2:$2,0),FALSE()),"")</f>
        <v/>
      </c>
      <c r="W690" s="10" t="str">
        <f aca="false">IFERROR(VLOOKUP(A690,'Dados-Status-Invest'!$1:$1000,MATCH(W$1,'Dados-Status-Invest'!$2:$2,0),FALSE())/100,"")</f>
        <v/>
      </c>
      <c r="X690" s="10" t="str">
        <f aca="false">IFERROR(VLOOKUP(A690,'Dados-Status-Invest'!$1:$1000,MATCH(X$1,'Dados-Status-Invest'!$2:$2,0),FALSE())/100,"")</f>
        <v/>
      </c>
    </row>
    <row r="691" customFormat="false" ht="15.75" hidden="false" customHeight="false" outlineLevel="0" collapsed="false">
      <c r="B691" s="7" t="str">
        <f aca="false">IFERROR(VLOOKUP(LEFT(A691,4),Setor!A:D,2,FALSE()),"")</f>
        <v/>
      </c>
      <c r="C691" s="8" t="str">
        <f aca="false">IFERROR(__xludf.dummyfunction("IFERROR(IFERROR(GOOGLEFINANCE(A697,""price""),VLOOKUP(A697,'Dados-Status-Invest'!A:B,2,FALSE)),"""")"),"")</f>
        <v/>
      </c>
      <c r="D691" s="8" t="str">
        <f aca="false">IFERROR(VLOOKUP(A691,'Dados-Status-Invest'!$1:$1000,MATCH(D$1,'Dados-Status-Invest'!$2:$2,0),FALSE()),"")</f>
        <v/>
      </c>
      <c r="E691" s="8" t="e">
        <f aca="false">IF(D691+H691&gt;0,D691+H691,"")</f>
        <v>#VALUE!</v>
      </c>
      <c r="F691" s="8" t="str">
        <f aca="false">IFERROR(D691/VLOOKUP(A691,'Dados-Status-Invest'!$1:$1000,5,FALSE()),"")</f>
        <v/>
      </c>
      <c r="G691" s="8" t="str">
        <f aca="false">IFERROR(D691/VLOOKUP(A691,'Dados-Status-Invest'!$1:$1000,6,FALSE()),"")</f>
        <v/>
      </c>
      <c r="H691" s="8" t="str">
        <f aca="false">IFERROR(VLOOKUP(A691,'Dados-Status-Invest'!$1:$1000,12,FALSE())*J691,"")</f>
        <v/>
      </c>
      <c r="I691" s="8" t="str">
        <f aca="false">IFERROR(D691/VLOOKUP(A691,'Dados-Status-Invest'!$1:$1000,14,FALSE()),"")</f>
        <v/>
      </c>
      <c r="J691" s="9" t="str">
        <f aca="false">IFERROR(D691/VLOOKUP(A691,'Dados-Status-Invest'!$1:$1000,10,FALSE()),"")</f>
        <v/>
      </c>
      <c r="K691" s="10" t="str">
        <f aca="false">IFERROR(VLOOKUP(A691,'Dados-Status-Invest'!$1:$1000,3,FALSE())/100,"")</f>
        <v/>
      </c>
      <c r="L691" s="11" t="str">
        <f aca="false">IFERROR(VLOOKUP(A691,'Dados-Status-Invest'!$1:$1000,MATCH(L$1,'Dados-Status-Invest'!$2:$2,0),FALSE())/100,"")</f>
        <v/>
      </c>
      <c r="M691" s="10" t="str">
        <f aca="false">IFERROR(VLOOKUP(A691,'Dados-Status-Invest'!$1:$1000,MATCH(M$1,'Dados-Status-Invest'!$2:$2,0),FALSE())/100,"")</f>
        <v/>
      </c>
      <c r="N691" s="10" t="str">
        <f aca="false">IFERROR(VLOOKUP(A691,'Dados-Status-Invest'!$1:$1000,MATCH(N$1,'Dados-Status-Invest'!$2:$2,0),FALSE())/100,"")</f>
        <v/>
      </c>
      <c r="O691" s="10" t="str">
        <f aca="false">IFERROR(VLOOKUP(A691,'Dados-Status-Invest'!$1:$1000,MATCH(O$1,'Dados-Status-Invest'!$2:$2,0),FALSE())/100,"")</f>
        <v/>
      </c>
      <c r="P691" s="10" t="str">
        <f aca="false">IFERROR(VLOOKUP(A691,'Dados-Status-Invest'!$1:$1000,MATCH(P$1,'Dados-Status-Invest'!$2:$2,0),FALSE())/100,"")</f>
        <v/>
      </c>
      <c r="Q691" s="10" t="str">
        <f aca="false">IFERROR(VLOOKUP(A691,'Dados-Status-Invest'!$1:$1000,MATCH(Q$1,'Dados-Status-Invest'!$2:$2,0),FALSE())/100,"")</f>
        <v/>
      </c>
      <c r="R691" s="12" t="str">
        <f aca="false">IFERROR(VLOOKUP(A691,'Dados-Status-Invest'!$1:$1000,MATCH(R$1,'Dados-Status-Invest'!$2:$2,0),FALSE()),"")</f>
        <v/>
      </c>
      <c r="S691" s="12" t="str">
        <f aca="false">IFERROR(VLOOKUP(A691,'Dados-Status-Invest'!$1:$1000,MATCH(S$1,'Dados-Status-Invest'!$2:$2,0),FALSE()),"")</f>
        <v/>
      </c>
      <c r="T691" s="12" t="str">
        <f aca="false">IFERROR(VLOOKUP(A691,'Dados-Status-Invest'!$1:$1000,MATCH(T$1,'Dados-Status-Invest'!$2:$2,0),FALSE()),"")</f>
        <v/>
      </c>
      <c r="U691" s="12" t="str">
        <f aca="false">IFERROR(VLOOKUP(A691,'Dados-Status-Invest'!$1:$1000,MATCH(U$1,'Dados-Status-Invest'!$2:$2,0),FALSE()),"")</f>
        <v/>
      </c>
      <c r="V691" s="12" t="str">
        <f aca="false">IFERROR(VLOOKUP(A691,'Dados-Status-Invest'!$1:$1000,MATCH(V$1,'Dados-Status-Invest'!$2:$2,0),FALSE()),"")</f>
        <v/>
      </c>
      <c r="W691" s="10" t="str">
        <f aca="false">IFERROR(VLOOKUP(A691,'Dados-Status-Invest'!$1:$1000,MATCH(W$1,'Dados-Status-Invest'!$2:$2,0),FALSE())/100,"")</f>
        <v/>
      </c>
      <c r="X691" s="10" t="str">
        <f aca="false">IFERROR(VLOOKUP(A691,'Dados-Status-Invest'!$1:$1000,MATCH(X$1,'Dados-Status-Invest'!$2:$2,0),FALSE())/100,"")</f>
        <v/>
      </c>
    </row>
    <row r="692" customFormat="false" ht="15.75" hidden="false" customHeight="false" outlineLevel="0" collapsed="false">
      <c r="B692" s="7" t="str">
        <f aca="false">IFERROR(VLOOKUP(LEFT(A692,4),Setor!A:D,2,FALSE()),"")</f>
        <v/>
      </c>
      <c r="C692" s="8" t="str">
        <f aca="false">IFERROR(__xludf.dummyfunction("IFERROR(IFERROR(GOOGLEFINANCE(A698,""price""),VLOOKUP(A698,'Dados-Status-Invest'!A:B,2,FALSE)),"""")"),"")</f>
        <v/>
      </c>
      <c r="D692" s="8" t="str">
        <f aca="false">IFERROR(VLOOKUP(A692,'Dados-Status-Invest'!$1:$1000,MATCH(D$1,'Dados-Status-Invest'!$2:$2,0),FALSE()),"")</f>
        <v/>
      </c>
      <c r="E692" s="8" t="e">
        <f aca="false">IF(D692+H692&gt;0,D692+H692,"")</f>
        <v>#VALUE!</v>
      </c>
      <c r="F692" s="8" t="str">
        <f aca="false">IFERROR(D692/VLOOKUP(A692,'Dados-Status-Invest'!$1:$1000,5,FALSE()),"")</f>
        <v/>
      </c>
      <c r="G692" s="8" t="str">
        <f aca="false">IFERROR(D692/VLOOKUP(A692,'Dados-Status-Invest'!$1:$1000,6,FALSE()),"")</f>
        <v/>
      </c>
      <c r="H692" s="8" t="str">
        <f aca="false">IFERROR(VLOOKUP(A692,'Dados-Status-Invest'!$1:$1000,12,FALSE())*J692,"")</f>
        <v/>
      </c>
      <c r="I692" s="8" t="str">
        <f aca="false">IFERROR(D692/VLOOKUP(A692,'Dados-Status-Invest'!$1:$1000,14,FALSE()),"")</f>
        <v/>
      </c>
      <c r="J692" s="9" t="str">
        <f aca="false">IFERROR(D692/VLOOKUP(A692,'Dados-Status-Invest'!$1:$1000,10,FALSE()),"")</f>
        <v/>
      </c>
      <c r="K692" s="10" t="str">
        <f aca="false">IFERROR(VLOOKUP(A692,'Dados-Status-Invest'!$1:$1000,3,FALSE())/100,"")</f>
        <v/>
      </c>
      <c r="L692" s="11" t="str">
        <f aca="false">IFERROR(VLOOKUP(A692,'Dados-Status-Invest'!$1:$1000,MATCH(L$1,'Dados-Status-Invest'!$2:$2,0),FALSE())/100,"")</f>
        <v/>
      </c>
      <c r="M692" s="10" t="str">
        <f aca="false">IFERROR(VLOOKUP(A692,'Dados-Status-Invest'!$1:$1000,MATCH(M$1,'Dados-Status-Invest'!$2:$2,0),FALSE())/100,"")</f>
        <v/>
      </c>
      <c r="N692" s="10" t="str">
        <f aca="false">IFERROR(VLOOKUP(A692,'Dados-Status-Invest'!$1:$1000,MATCH(N$1,'Dados-Status-Invest'!$2:$2,0),FALSE())/100,"")</f>
        <v/>
      </c>
      <c r="O692" s="10" t="str">
        <f aca="false">IFERROR(VLOOKUP(A692,'Dados-Status-Invest'!$1:$1000,MATCH(O$1,'Dados-Status-Invest'!$2:$2,0),FALSE())/100,"")</f>
        <v/>
      </c>
      <c r="P692" s="10" t="str">
        <f aca="false">IFERROR(VLOOKUP(A692,'Dados-Status-Invest'!$1:$1000,MATCH(P$1,'Dados-Status-Invest'!$2:$2,0),FALSE())/100,"")</f>
        <v/>
      </c>
      <c r="Q692" s="10" t="str">
        <f aca="false">IFERROR(VLOOKUP(A692,'Dados-Status-Invest'!$1:$1000,MATCH(Q$1,'Dados-Status-Invest'!$2:$2,0),FALSE())/100,"")</f>
        <v/>
      </c>
      <c r="R692" s="12" t="str">
        <f aca="false">IFERROR(VLOOKUP(A692,'Dados-Status-Invest'!$1:$1000,MATCH(R$1,'Dados-Status-Invest'!$2:$2,0),FALSE()),"")</f>
        <v/>
      </c>
      <c r="S692" s="12" t="str">
        <f aca="false">IFERROR(VLOOKUP(A692,'Dados-Status-Invest'!$1:$1000,MATCH(S$1,'Dados-Status-Invest'!$2:$2,0),FALSE()),"")</f>
        <v/>
      </c>
      <c r="T692" s="12" t="str">
        <f aca="false">IFERROR(VLOOKUP(A692,'Dados-Status-Invest'!$1:$1000,MATCH(T$1,'Dados-Status-Invest'!$2:$2,0),FALSE()),"")</f>
        <v/>
      </c>
      <c r="U692" s="12" t="str">
        <f aca="false">IFERROR(VLOOKUP(A692,'Dados-Status-Invest'!$1:$1000,MATCH(U$1,'Dados-Status-Invest'!$2:$2,0),FALSE()),"")</f>
        <v/>
      </c>
      <c r="V692" s="12" t="str">
        <f aca="false">IFERROR(VLOOKUP(A692,'Dados-Status-Invest'!$1:$1000,MATCH(V$1,'Dados-Status-Invest'!$2:$2,0),FALSE()),"")</f>
        <v/>
      </c>
      <c r="W692" s="10" t="str">
        <f aca="false">IFERROR(VLOOKUP(A692,'Dados-Status-Invest'!$1:$1000,MATCH(W$1,'Dados-Status-Invest'!$2:$2,0),FALSE())/100,"")</f>
        <v/>
      </c>
      <c r="X692" s="10" t="str">
        <f aca="false">IFERROR(VLOOKUP(A692,'Dados-Status-Invest'!$1:$1000,MATCH(X$1,'Dados-Status-Invest'!$2:$2,0),FALSE())/100,"")</f>
        <v/>
      </c>
    </row>
    <row r="693" customFormat="false" ht="15.75" hidden="false" customHeight="false" outlineLevel="0" collapsed="false">
      <c r="B693" s="7" t="str">
        <f aca="false">IFERROR(VLOOKUP(LEFT(A693,4),Setor!A:D,2,FALSE()),"")</f>
        <v/>
      </c>
      <c r="C693" s="8" t="str">
        <f aca="false">IFERROR(__xludf.dummyfunction("IFERROR(IFERROR(GOOGLEFINANCE(A699,""price""),VLOOKUP(A699,'Dados-Status-Invest'!A:B,2,FALSE)),"""")"),"")</f>
        <v/>
      </c>
      <c r="D693" s="8" t="str">
        <f aca="false">IFERROR(VLOOKUP(A693,'Dados-Status-Invest'!$1:$1000,MATCH(D$1,'Dados-Status-Invest'!$2:$2,0),FALSE()),"")</f>
        <v/>
      </c>
      <c r="E693" s="8" t="e">
        <f aca="false">IF(D693+H693&gt;0,D693+H693,"")</f>
        <v>#VALUE!</v>
      </c>
      <c r="F693" s="8" t="str">
        <f aca="false">IFERROR(D693/VLOOKUP(A693,'Dados-Status-Invest'!$1:$1000,5,FALSE()),"")</f>
        <v/>
      </c>
      <c r="G693" s="8" t="str">
        <f aca="false">IFERROR(D693/VLOOKUP(A693,'Dados-Status-Invest'!$1:$1000,6,FALSE()),"")</f>
        <v/>
      </c>
      <c r="H693" s="8" t="str">
        <f aca="false">IFERROR(VLOOKUP(A693,'Dados-Status-Invest'!$1:$1000,12,FALSE())*J693,"")</f>
        <v/>
      </c>
      <c r="I693" s="8" t="str">
        <f aca="false">IFERROR(D693/VLOOKUP(A693,'Dados-Status-Invest'!$1:$1000,14,FALSE()),"")</f>
        <v/>
      </c>
      <c r="J693" s="9" t="str">
        <f aca="false">IFERROR(D693/VLOOKUP(A693,'Dados-Status-Invest'!$1:$1000,10,FALSE()),"")</f>
        <v/>
      </c>
      <c r="K693" s="10" t="str">
        <f aca="false">IFERROR(VLOOKUP(A693,'Dados-Status-Invest'!$1:$1000,3,FALSE())/100,"")</f>
        <v/>
      </c>
      <c r="L693" s="11" t="str">
        <f aca="false">IFERROR(VLOOKUP(A693,'Dados-Status-Invest'!$1:$1000,MATCH(L$1,'Dados-Status-Invest'!$2:$2,0),FALSE())/100,"")</f>
        <v/>
      </c>
      <c r="M693" s="10" t="str">
        <f aca="false">IFERROR(VLOOKUP(A693,'Dados-Status-Invest'!$1:$1000,MATCH(M$1,'Dados-Status-Invest'!$2:$2,0),FALSE())/100,"")</f>
        <v/>
      </c>
      <c r="N693" s="10" t="str">
        <f aca="false">IFERROR(VLOOKUP(A693,'Dados-Status-Invest'!$1:$1000,MATCH(N$1,'Dados-Status-Invest'!$2:$2,0),FALSE())/100,"")</f>
        <v/>
      </c>
      <c r="O693" s="10" t="str">
        <f aca="false">IFERROR(VLOOKUP(A693,'Dados-Status-Invest'!$1:$1000,MATCH(O$1,'Dados-Status-Invest'!$2:$2,0),FALSE())/100,"")</f>
        <v/>
      </c>
      <c r="P693" s="10" t="str">
        <f aca="false">IFERROR(VLOOKUP(A693,'Dados-Status-Invest'!$1:$1000,MATCH(P$1,'Dados-Status-Invest'!$2:$2,0),FALSE())/100,"")</f>
        <v/>
      </c>
      <c r="Q693" s="10" t="str">
        <f aca="false">IFERROR(VLOOKUP(A693,'Dados-Status-Invest'!$1:$1000,MATCH(Q$1,'Dados-Status-Invest'!$2:$2,0),FALSE())/100,"")</f>
        <v/>
      </c>
      <c r="R693" s="12" t="str">
        <f aca="false">IFERROR(VLOOKUP(A693,'Dados-Status-Invest'!$1:$1000,MATCH(R$1,'Dados-Status-Invest'!$2:$2,0),FALSE()),"")</f>
        <v/>
      </c>
      <c r="S693" s="12" t="str">
        <f aca="false">IFERROR(VLOOKUP(A693,'Dados-Status-Invest'!$1:$1000,MATCH(S$1,'Dados-Status-Invest'!$2:$2,0),FALSE()),"")</f>
        <v/>
      </c>
      <c r="T693" s="12" t="str">
        <f aca="false">IFERROR(VLOOKUP(A693,'Dados-Status-Invest'!$1:$1000,MATCH(T$1,'Dados-Status-Invest'!$2:$2,0),FALSE()),"")</f>
        <v/>
      </c>
      <c r="U693" s="12" t="str">
        <f aca="false">IFERROR(VLOOKUP(A693,'Dados-Status-Invest'!$1:$1000,MATCH(U$1,'Dados-Status-Invest'!$2:$2,0),FALSE()),"")</f>
        <v/>
      </c>
      <c r="V693" s="12" t="str">
        <f aca="false">IFERROR(VLOOKUP(A693,'Dados-Status-Invest'!$1:$1000,MATCH(V$1,'Dados-Status-Invest'!$2:$2,0),FALSE()),"")</f>
        <v/>
      </c>
      <c r="W693" s="10" t="str">
        <f aca="false">IFERROR(VLOOKUP(A693,'Dados-Status-Invest'!$1:$1000,MATCH(W$1,'Dados-Status-Invest'!$2:$2,0),FALSE())/100,"")</f>
        <v/>
      </c>
      <c r="X693" s="10" t="str">
        <f aca="false">IFERROR(VLOOKUP(A693,'Dados-Status-Invest'!$1:$1000,MATCH(X$1,'Dados-Status-Invest'!$2:$2,0),FALSE())/100,"")</f>
        <v/>
      </c>
    </row>
    <row r="694" customFormat="false" ht="15.75" hidden="false" customHeight="false" outlineLevel="0" collapsed="false">
      <c r="B694" s="7" t="str">
        <f aca="false">IFERROR(VLOOKUP(LEFT(A694,4),Setor!A:D,2,FALSE()),"")</f>
        <v/>
      </c>
      <c r="C694" s="8" t="str">
        <f aca="false">IFERROR(__xludf.dummyfunction("IFERROR(IFERROR(GOOGLEFINANCE(A700,""price""),VLOOKUP(A700,'Dados-Status-Invest'!A:B,2,FALSE)),"""")"),"")</f>
        <v/>
      </c>
      <c r="D694" s="8" t="str">
        <f aca="false">IFERROR(VLOOKUP(A694,'Dados-Status-Invest'!$1:$1000,MATCH(D$1,'Dados-Status-Invest'!$2:$2,0),FALSE()),"")</f>
        <v/>
      </c>
      <c r="E694" s="8" t="e">
        <f aca="false">IF(D694+H694&gt;0,D694+H694,"")</f>
        <v>#VALUE!</v>
      </c>
      <c r="F694" s="8" t="str">
        <f aca="false">IFERROR(D694/VLOOKUP(A694,'Dados-Status-Invest'!$1:$1000,5,FALSE()),"")</f>
        <v/>
      </c>
      <c r="G694" s="8" t="str">
        <f aca="false">IFERROR(D694/VLOOKUP(A694,'Dados-Status-Invest'!$1:$1000,6,FALSE()),"")</f>
        <v/>
      </c>
      <c r="H694" s="8" t="str">
        <f aca="false">IFERROR(VLOOKUP(A694,'Dados-Status-Invest'!$1:$1000,12,FALSE())*J694,"")</f>
        <v/>
      </c>
      <c r="I694" s="8" t="str">
        <f aca="false">IFERROR(D694/VLOOKUP(A694,'Dados-Status-Invest'!$1:$1000,14,FALSE()),"")</f>
        <v/>
      </c>
      <c r="J694" s="9" t="str">
        <f aca="false">IFERROR(D694/VLOOKUP(A694,'Dados-Status-Invest'!$1:$1000,10,FALSE()),"")</f>
        <v/>
      </c>
      <c r="K694" s="10" t="str">
        <f aca="false">IFERROR(VLOOKUP(A694,'Dados-Status-Invest'!$1:$1000,3,FALSE())/100,"")</f>
        <v/>
      </c>
      <c r="L694" s="11" t="str">
        <f aca="false">IFERROR(VLOOKUP(A694,'Dados-Status-Invest'!$1:$1000,MATCH(L$1,'Dados-Status-Invest'!$2:$2,0),FALSE())/100,"")</f>
        <v/>
      </c>
      <c r="M694" s="10" t="str">
        <f aca="false">IFERROR(VLOOKUP(A694,'Dados-Status-Invest'!$1:$1000,MATCH(M$1,'Dados-Status-Invest'!$2:$2,0),FALSE())/100,"")</f>
        <v/>
      </c>
      <c r="N694" s="10" t="str">
        <f aca="false">IFERROR(VLOOKUP(A694,'Dados-Status-Invest'!$1:$1000,MATCH(N$1,'Dados-Status-Invest'!$2:$2,0),FALSE())/100,"")</f>
        <v/>
      </c>
      <c r="O694" s="10" t="str">
        <f aca="false">IFERROR(VLOOKUP(A694,'Dados-Status-Invest'!$1:$1000,MATCH(O$1,'Dados-Status-Invest'!$2:$2,0),FALSE())/100,"")</f>
        <v/>
      </c>
      <c r="P694" s="10" t="str">
        <f aca="false">IFERROR(VLOOKUP(A694,'Dados-Status-Invest'!$1:$1000,MATCH(P$1,'Dados-Status-Invest'!$2:$2,0),FALSE())/100,"")</f>
        <v/>
      </c>
      <c r="Q694" s="10" t="str">
        <f aca="false">IFERROR(VLOOKUP(A694,'Dados-Status-Invest'!$1:$1000,MATCH(Q$1,'Dados-Status-Invest'!$2:$2,0),FALSE())/100,"")</f>
        <v/>
      </c>
      <c r="R694" s="12" t="str">
        <f aca="false">IFERROR(VLOOKUP(A694,'Dados-Status-Invest'!$1:$1000,MATCH(R$1,'Dados-Status-Invest'!$2:$2,0),FALSE()),"")</f>
        <v/>
      </c>
      <c r="S694" s="12" t="str">
        <f aca="false">IFERROR(VLOOKUP(A694,'Dados-Status-Invest'!$1:$1000,MATCH(S$1,'Dados-Status-Invest'!$2:$2,0),FALSE()),"")</f>
        <v/>
      </c>
      <c r="T694" s="12" t="str">
        <f aca="false">IFERROR(VLOOKUP(A694,'Dados-Status-Invest'!$1:$1000,MATCH(T$1,'Dados-Status-Invest'!$2:$2,0),FALSE()),"")</f>
        <v/>
      </c>
      <c r="U694" s="12" t="str">
        <f aca="false">IFERROR(VLOOKUP(A694,'Dados-Status-Invest'!$1:$1000,MATCH(U$1,'Dados-Status-Invest'!$2:$2,0),FALSE()),"")</f>
        <v/>
      </c>
      <c r="V694" s="12" t="str">
        <f aca="false">IFERROR(VLOOKUP(A694,'Dados-Status-Invest'!$1:$1000,MATCH(V$1,'Dados-Status-Invest'!$2:$2,0),FALSE()),"")</f>
        <v/>
      </c>
      <c r="W694" s="10" t="str">
        <f aca="false">IFERROR(VLOOKUP(A694,'Dados-Status-Invest'!$1:$1000,MATCH(W$1,'Dados-Status-Invest'!$2:$2,0),FALSE())/100,"")</f>
        <v/>
      </c>
      <c r="X694" s="10" t="str">
        <f aca="false">IFERROR(VLOOKUP(A694,'Dados-Status-Invest'!$1:$1000,MATCH(X$1,'Dados-Status-Invest'!$2:$2,0),FALSE())/100,"")</f>
        <v/>
      </c>
    </row>
    <row r="695" customFormat="false" ht="15.75" hidden="false" customHeight="false" outlineLevel="0" collapsed="false">
      <c r="B695" s="7" t="str">
        <f aca="false">IFERROR(VLOOKUP(LEFT(A695,4),Setor!A:D,2,FALSE()),"")</f>
        <v/>
      </c>
      <c r="C695" s="8" t="str">
        <f aca="false">IFERROR(__xludf.dummyfunction("IFERROR(IFERROR(GOOGLEFINANCE(A701,""price""),VLOOKUP(A701,'Dados-Status-Invest'!A:B,2,FALSE)),"""")"),"")</f>
        <v/>
      </c>
      <c r="D695" s="8" t="str">
        <f aca="false">IFERROR(VLOOKUP(A695,'Dados-Status-Invest'!$1:$1000,MATCH(D$1,'Dados-Status-Invest'!$2:$2,0),FALSE()),"")</f>
        <v/>
      </c>
      <c r="E695" s="8" t="e">
        <f aca="false">IF(D695+H695&gt;0,D695+H695,"")</f>
        <v>#VALUE!</v>
      </c>
      <c r="F695" s="8" t="str">
        <f aca="false">IFERROR(D695/VLOOKUP(A695,'Dados-Status-Invest'!$1:$1000,5,FALSE()),"")</f>
        <v/>
      </c>
      <c r="G695" s="8" t="str">
        <f aca="false">IFERROR(D695/VLOOKUP(A695,'Dados-Status-Invest'!$1:$1000,6,FALSE()),"")</f>
        <v/>
      </c>
      <c r="H695" s="8" t="str">
        <f aca="false">IFERROR(VLOOKUP(A695,'Dados-Status-Invest'!$1:$1000,12,FALSE())*J695,"")</f>
        <v/>
      </c>
      <c r="I695" s="8" t="str">
        <f aca="false">IFERROR(D695/VLOOKUP(A695,'Dados-Status-Invest'!$1:$1000,14,FALSE()),"")</f>
        <v/>
      </c>
      <c r="J695" s="9" t="str">
        <f aca="false">IFERROR(D695/VLOOKUP(A695,'Dados-Status-Invest'!$1:$1000,10,FALSE()),"")</f>
        <v/>
      </c>
      <c r="K695" s="10" t="str">
        <f aca="false">IFERROR(VLOOKUP(A695,'Dados-Status-Invest'!$1:$1000,3,FALSE())/100,"")</f>
        <v/>
      </c>
      <c r="L695" s="11" t="str">
        <f aca="false">IFERROR(VLOOKUP(A695,'Dados-Status-Invest'!$1:$1000,MATCH(L$1,'Dados-Status-Invest'!$2:$2,0),FALSE())/100,"")</f>
        <v/>
      </c>
      <c r="M695" s="10" t="str">
        <f aca="false">IFERROR(VLOOKUP(A695,'Dados-Status-Invest'!$1:$1000,MATCH(M$1,'Dados-Status-Invest'!$2:$2,0),FALSE())/100,"")</f>
        <v/>
      </c>
      <c r="N695" s="10" t="str">
        <f aca="false">IFERROR(VLOOKUP(A695,'Dados-Status-Invest'!$1:$1000,MATCH(N$1,'Dados-Status-Invest'!$2:$2,0),FALSE())/100,"")</f>
        <v/>
      </c>
      <c r="O695" s="10" t="str">
        <f aca="false">IFERROR(VLOOKUP(A695,'Dados-Status-Invest'!$1:$1000,MATCH(O$1,'Dados-Status-Invest'!$2:$2,0),FALSE())/100,"")</f>
        <v/>
      </c>
      <c r="P695" s="10" t="str">
        <f aca="false">IFERROR(VLOOKUP(A695,'Dados-Status-Invest'!$1:$1000,MATCH(P$1,'Dados-Status-Invest'!$2:$2,0),FALSE())/100,"")</f>
        <v/>
      </c>
      <c r="Q695" s="10" t="str">
        <f aca="false">IFERROR(VLOOKUP(A695,'Dados-Status-Invest'!$1:$1000,MATCH(Q$1,'Dados-Status-Invest'!$2:$2,0),FALSE())/100,"")</f>
        <v/>
      </c>
      <c r="R695" s="12" t="str">
        <f aca="false">IFERROR(VLOOKUP(A695,'Dados-Status-Invest'!$1:$1000,MATCH(R$1,'Dados-Status-Invest'!$2:$2,0),FALSE()),"")</f>
        <v/>
      </c>
      <c r="S695" s="12" t="str">
        <f aca="false">IFERROR(VLOOKUP(A695,'Dados-Status-Invest'!$1:$1000,MATCH(S$1,'Dados-Status-Invest'!$2:$2,0),FALSE()),"")</f>
        <v/>
      </c>
      <c r="T695" s="12" t="str">
        <f aca="false">IFERROR(VLOOKUP(A695,'Dados-Status-Invest'!$1:$1000,MATCH(T$1,'Dados-Status-Invest'!$2:$2,0),FALSE()),"")</f>
        <v/>
      </c>
      <c r="U695" s="12" t="str">
        <f aca="false">IFERROR(VLOOKUP(A695,'Dados-Status-Invest'!$1:$1000,MATCH(U$1,'Dados-Status-Invest'!$2:$2,0),FALSE()),"")</f>
        <v/>
      </c>
      <c r="V695" s="12" t="str">
        <f aca="false">IFERROR(VLOOKUP(A695,'Dados-Status-Invest'!$1:$1000,MATCH(V$1,'Dados-Status-Invest'!$2:$2,0),FALSE()),"")</f>
        <v/>
      </c>
      <c r="W695" s="10" t="str">
        <f aca="false">IFERROR(VLOOKUP(A695,'Dados-Status-Invest'!$1:$1000,MATCH(W$1,'Dados-Status-Invest'!$2:$2,0),FALSE())/100,"")</f>
        <v/>
      </c>
      <c r="X695" s="10" t="str">
        <f aca="false">IFERROR(VLOOKUP(A695,'Dados-Status-Invest'!$1:$1000,MATCH(X$1,'Dados-Status-Invest'!$2:$2,0),FALSE())/100,"")</f>
        <v/>
      </c>
    </row>
    <row r="696" customFormat="false" ht="15.75" hidden="false" customHeight="false" outlineLevel="0" collapsed="false">
      <c r="B696" s="7" t="str">
        <f aca="false">IFERROR(VLOOKUP(LEFT(A696,4),Setor!A:D,2,FALSE()),"")</f>
        <v/>
      </c>
      <c r="C696" s="8" t="str">
        <f aca="false">IFERROR(__xludf.dummyfunction("IFERROR(IFERROR(GOOGLEFINANCE(A702,""price""),VLOOKUP(A702,'Dados-Status-Invest'!A:B,2,FALSE)),"""")"),"")</f>
        <v/>
      </c>
      <c r="D696" s="8" t="str">
        <f aca="false">IFERROR(VLOOKUP(A696,'Dados-Status-Invest'!$1:$1000,MATCH(D$1,'Dados-Status-Invest'!$2:$2,0),FALSE()),"")</f>
        <v/>
      </c>
      <c r="E696" s="8" t="e">
        <f aca="false">IF(D696+H696&gt;0,D696+H696,"")</f>
        <v>#VALUE!</v>
      </c>
      <c r="F696" s="8" t="str">
        <f aca="false">IFERROR(D696/VLOOKUP(A696,'Dados-Status-Invest'!$1:$1000,5,FALSE()),"")</f>
        <v/>
      </c>
      <c r="G696" s="8" t="str">
        <f aca="false">IFERROR(D696/VLOOKUP(A696,'Dados-Status-Invest'!$1:$1000,6,FALSE()),"")</f>
        <v/>
      </c>
      <c r="H696" s="8" t="str">
        <f aca="false">IFERROR(VLOOKUP(A696,'Dados-Status-Invest'!$1:$1000,12,FALSE())*J696,"")</f>
        <v/>
      </c>
      <c r="I696" s="8" t="str">
        <f aca="false">IFERROR(D696/VLOOKUP(A696,'Dados-Status-Invest'!$1:$1000,14,FALSE()),"")</f>
        <v/>
      </c>
      <c r="J696" s="9" t="str">
        <f aca="false">IFERROR(D696/VLOOKUP(A696,'Dados-Status-Invest'!$1:$1000,10,FALSE()),"")</f>
        <v/>
      </c>
      <c r="K696" s="10" t="str">
        <f aca="false">IFERROR(VLOOKUP(A696,'Dados-Status-Invest'!$1:$1000,3,FALSE())/100,"")</f>
        <v/>
      </c>
      <c r="L696" s="11" t="str">
        <f aca="false">IFERROR(VLOOKUP(A696,'Dados-Status-Invest'!$1:$1000,MATCH(L$1,'Dados-Status-Invest'!$2:$2,0),FALSE())/100,"")</f>
        <v/>
      </c>
      <c r="M696" s="10" t="str">
        <f aca="false">IFERROR(VLOOKUP(A696,'Dados-Status-Invest'!$1:$1000,MATCH(M$1,'Dados-Status-Invest'!$2:$2,0),FALSE())/100,"")</f>
        <v/>
      </c>
      <c r="N696" s="10" t="str">
        <f aca="false">IFERROR(VLOOKUP(A696,'Dados-Status-Invest'!$1:$1000,MATCH(N$1,'Dados-Status-Invest'!$2:$2,0),FALSE())/100,"")</f>
        <v/>
      </c>
      <c r="O696" s="10" t="str">
        <f aca="false">IFERROR(VLOOKUP(A696,'Dados-Status-Invest'!$1:$1000,MATCH(O$1,'Dados-Status-Invest'!$2:$2,0),FALSE())/100,"")</f>
        <v/>
      </c>
      <c r="P696" s="10" t="str">
        <f aca="false">IFERROR(VLOOKUP(A696,'Dados-Status-Invest'!$1:$1000,MATCH(P$1,'Dados-Status-Invest'!$2:$2,0),FALSE())/100,"")</f>
        <v/>
      </c>
      <c r="Q696" s="10" t="str">
        <f aca="false">IFERROR(VLOOKUP(A696,'Dados-Status-Invest'!$1:$1000,MATCH(Q$1,'Dados-Status-Invest'!$2:$2,0),FALSE())/100,"")</f>
        <v/>
      </c>
      <c r="R696" s="12" t="str">
        <f aca="false">IFERROR(VLOOKUP(A696,'Dados-Status-Invest'!$1:$1000,MATCH(R$1,'Dados-Status-Invest'!$2:$2,0),FALSE()),"")</f>
        <v/>
      </c>
      <c r="S696" s="12" t="str">
        <f aca="false">IFERROR(VLOOKUP(A696,'Dados-Status-Invest'!$1:$1000,MATCH(S$1,'Dados-Status-Invest'!$2:$2,0),FALSE()),"")</f>
        <v/>
      </c>
      <c r="T696" s="12" t="str">
        <f aca="false">IFERROR(VLOOKUP(A696,'Dados-Status-Invest'!$1:$1000,MATCH(T$1,'Dados-Status-Invest'!$2:$2,0),FALSE()),"")</f>
        <v/>
      </c>
      <c r="U696" s="12" t="str">
        <f aca="false">IFERROR(VLOOKUP(A696,'Dados-Status-Invest'!$1:$1000,MATCH(U$1,'Dados-Status-Invest'!$2:$2,0),FALSE()),"")</f>
        <v/>
      </c>
      <c r="V696" s="12" t="str">
        <f aca="false">IFERROR(VLOOKUP(A696,'Dados-Status-Invest'!$1:$1000,MATCH(V$1,'Dados-Status-Invest'!$2:$2,0),FALSE()),"")</f>
        <v/>
      </c>
      <c r="W696" s="10" t="str">
        <f aca="false">IFERROR(VLOOKUP(A696,'Dados-Status-Invest'!$1:$1000,MATCH(W$1,'Dados-Status-Invest'!$2:$2,0),FALSE())/100,"")</f>
        <v/>
      </c>
      <c r="X696" s="10" t="str">
        <f aca="false">IFERROR(VLOOKUP(A696,'Dados-Status-Invest'!$1:$1000,MATCH(X$1,'Dados-Status-Invest'!$2:$2,0),FALSE())/100,"")</f>
        <v/>
      </c>
    </row>
    <row r="697" customFormat="false" ht="15.75" hidden="false" customHeight="false" outlineLevel="0" collapsed="false">
      <c r="B697" s="7" t="str">
        <f aca="false">IFERROR(VLOOKUP(LEFT(A697,4),Setor!A:D,2,FALSE()),"")</f>
        <v/>
      </c>
      <c r="C697" s="8" t="str">
        <f aca="false">IFERROR(__xludf.dummyfunction("IFERROR(IFERROR(GOOGLEFINANCE(A703,""price""),VLOOKUP(A703,'Dados-Status-Invest'!A:B,2,FALSE)),"""")"),"")</f>
        <v/>
      </c>
      <c r="D697" s="8" t="str">
        <f aca="false">IFERROR(VLOOKUP(A697,'Dados-Status-Invest'!$1:$1000,MATCH(D$1,'Dados-Status-Invest'!$2:$2,0),FALSE()),"")</f>
        <v/>
      </c>
      <c r="E697" s="8" t="e">
        <f aca="false">IF(D697+H697&gt;0,D697+H697,"")</f>
        <v>#VALUE!</v>
      </c>
      <c r="F697" s="8" t="str">
        <f aca="false">IFERROR(D697/VLOOKUP(A697,'Dados-Status-Invest'!$1:$1000,5,FALSE()),"")</f>
        <v/>
      </c>
      <c r="G697" s="8" t="str">
        <f aca="false">IFERROR(D697/VLOOKUP(A697,'Dados-Status-Invest'!$1:$1000,6,FALSE()),"")</f>
        <v/>
      </c>
      <c r="H697" s="8" t="str">
        <f aca="false">IFERROR(VLOOKUP(A697,'Dados-Status-Invest'!$1:$1000,12,FALSE())*J697,"")</f>
        <v/>
      </c>
      <c r="I697" s="8" t="str">
        <f aca="false">IFERROR(D697/VLOOKUP(A697,'Dados-Status-Invest'!$1:$1000,14,FALSE()),"")</f>
        <v/>
      </c>
      <c r="J697" s="9" t="str">
        <f aca="false">IFERROR(D697/VLOOKUP(A697,'Dados-Status-Invest'!$1:$1000,10,FALSE()),"")</f>
        <v/>
      </c>
      <c r="K697" s="10" t="str">
        <f aca="false">IFERROR(VLOOKUP(A697,'Dados-Status-Invest'!$1:$1000,3,FALSE())/100,"")</f>
        <v/>
      </c>
      <c r="L697" s="11" t="str">
        <f aca="false">IFERROR(VLOOKUP(A697,'Dados-Status-Invest'!$1:$1000,MATCH(L$1,'Dados-Status-Invest'!$2:$2,0),FALSE())/100,"")</f>
        <v/>
      </c>
      <c r="M697" s="10" t="str">
        <f aca="false">IFERROR(VLOOKUP(A697,'Dados-Status-Invest'!$1:$1000,MATCH(M$1,'Dados-Status-Invest'!$2:$2,0),FALSE())/100,"")</f>
        <v/>
      </c>
      <c r="N697" s="10" t="str">
        <f aca="false">IFERROR(VLOOKUP(A697,'Dados-Status-Invest'!$1:$1000,MATCH(N$1,'Dados-Status-Invest'!$2:$2,0),FALSE())/100,"")</f>
        <v/>
      </c>
      <c r="O697" s="10" t="str">
        <f aca="false">IFERROR(VLOOKUP(A697,'Dados-Status-Invest'!$1:$1000,MATCH(O$1,'Dados-Status-Invest'!$2:$2,0),FALSE())/100,"")</f>
        <v/>
      </c>
      <c r="P697" s="10" t="str">
        <f aca="false">IFERROR(VLOOKUP(A697,'Dados-Status-Invest'!$1:$1000,MATCH(P$1,'Dados-Status-Invest'!$2:$2,0),FALSE())/100,"")</f>
        <v/>
      </c>
      <c r="Q697" s="10" t="str">
        <f aca="false">IFERROR(VLOOKUP(A697,'Dados-Status-Invest'!$1:$1000,MATCH(Q$1,'Dados-Status-Invest'!$2:$2,0),FALSE())/100,"")</f>
        <v/>
      </c>
      <c r="R697" s="12" t="str">
        <f aca="false">IFERROR(VLOOKUP(A697,'Dados-Status-Invest'!$1:$1000,MATCH(R$1,'Dados-Status-Invest'!$2:$2,0),FALSE()),"")</f>
        <v/>
      </c>
      <c r="S697" s="12" t="str">
        <f aca="false">IFERROR(VLOOKUP(A697,'Dados-Status-Invest'!$1:$1000,MATCH(S$1,'Dados-Status-Invest'!$2:$2,0),FALSE()),"")</f>
        <v/>
      </c>
      <c r="T697" s="12" t="str">
        <f aca="false">IFERROR(VLOOKUP(A697,'Dados-Status-Invest'!$1:$1000,MATCH(T$1,'Dados-Status-Invest'!$2:$2,0),FALSE()),"")</f>
        <v/>
      </c>
      <c r="U697" s="12" t="str">
        <f aca="false">IFERROR(VLOOKUP(A697,'Dados-Status-Invest'!$1:$1000,MATCH(U$1,'Dados-Status-Invest'!$2:$2,0),FALSE()),"")</f>
        <v/>
      </c>
      <c r="V697" s="12" t="str">
        <f aca="false">IFERROR(VLOOKUP(A697,'Dados-Status-Invest'!$1:$1000,MATCH(V$1,'Dados-Status-Invest'!$2:$2,0),FALSE()),"")</f>
        <v/>
      </c>
      <c r="W697" s="10" t="str">
        <f aca="false">IFERROR(VLOOKUP(A697,'Dados-Status-Invest'!$1:$1000,MATCH(W$1,'Dados-Status-Invest'!$2:$2,0),FALSE())/100,"")</f>
        <v/>
      </c>
      <c r="X697" s="10" t="str">
        <f aca="false">IFERROR(VLOOKUP(A697,'Dados-Status-Invest'!$1:$1000,MATCH(X$1,'Dados-Status-Invest'!$2:$2,0),FALSE())/100,"")</f>
        <v/>
      </c>
    </row>
    <row r="698" customFormat="false" ht="15.75" hidden="false" customHeight="false" outlineLevel="0" collapsed="false">
      <c r="B698" s="7" t="str">
        <f aca="false">IFERROR(VLOOKUP(LEFT(A698,4),Setor!A:D,2,FALSE()),"")</f>
        <v/>
      </c>
      <c r="C698" s="8" t="str">
        <f aca="false">IFERROR(__xludf.dummyfunction("IFERROR(IFERROR(GOOGLEFINANCE(A704,""price""),VLOOKUP(A704,'Dados-Status-Invest'!A:B,2,FALSE)),"""")"),"")</f>
        <v/>
      </c>
      <c r="D698" s="8" t="str">
        <f aca="false">IFERROR(VLOOKUP(A698,'Dados-Status-Invest'!$1:$1000,MATCH(D$1,'Dados-Status-Invest'!$2:$2,0),FALSE()),"")</f>
        <v/>
      </c>
      <c r="E698" s="8" t="e">
        <f aca="false">IF(D698+H698&gt;0,D698+H698,"")</f>
        <v>#VALUE!</v>
      </c>
      <c r="F698" s="8" t="str">
        <f aca="false">IFERROR(D698/VLOOKUP(A698,'Dados-Status-Invest'!$1:$1000,5,FALSE()),"")</f>
        <v/>
      </c>
      <c r="G698" s="8" t="str">
        <f aca="false">IFERROR(D698/VLOOKUP(A698,'Dados-Status-Invest'!$1:$1000,6,FALSE()),"")</f>
        <v/>
      </c>
      <c r="H698" s="8" t="str">
        <f aca="false">IFERROR(VLOOKUP(A698,'Dados-Status-Invest'!$1:$1000,12,FALSE())*J698,"")</f>
        <v/>
      </c>
      <c r="I698" s="8" t="str">
        <f aca="false">IFERROR(D698/VLOOKUP(A698,'Dados-Status-Invest'!$1:$1000,14,FALSE()),"")</f>
        <v/>
      </c>
      <c r="J698" s="9" t="str">
        <f aca="false">IFERROR(D698/VLOOKUP(A698,'Dados-Status-Invest'!$1:$1000,10,FALSE()),"")</f>
        <v/>
      </c>
      <c r="K698" s="10" t="str">
        <f aca="false">IFERROR(VLOOKUP(A698,'Dados-Status-Invest'!$1:$1000,3,FALSE())/100,"")</f>
        <v/>
      </c>
      <c r="L698" s="11" t="str">
        <f aca="false">IFERROR(VLOOKUP(A698,'Dados-Status-Invest'!$1:$1000,MATCH(L$1,'Dados-Status-Invest'!$2:$2,0),FALSE())/100,"")</f>
        <v/>
      </c>
      <c r="M698" s="10" t="str">
        <f aca="false">IFERROR(VLOOKUP(A698,'Dados-Status-Invest'!$1:$1000,MATCH(M$1,'Dados-Status-Invest'!$2:$2,0),FALSE())/100,"")</f>
        <v/>
      </c>
      <c r="N698" s="10" t="str">
        <f aca="false">IFERROR(VLOOKUP(A698,'Dados-Status-Invest'!$1:$1000,MATCH(N$1,'Dados-Status-Invest'!$2:$2,0),FALSE())/100,"")</f>
        <v/>
      </c>
      <c r="O698" s="10" t="str">
        <f aca="false">IFERROR(VLOOKUP(A698,'Dados-Status-Invest'!$1:$1000,MATCH(O$1,'Dados-Status-Invest'!$2:$2,0),FALSE())/100,"")</f>
        <v/>
      </c>
      <c r="P698" s="10" t="str">
        <f aca="false">IFERROR(VLOOKUP(A698,'Dados-Status-Invest'!$1:$1000,MATCH(P$1,'Dados-Status-Invest'!$2:$2,0),FALSE())/100,"")</f>
        <v/>
      </c>
      <c r="Q698" s="10" t="str">
        <f aca="false">IFERROR(VLOOKUP(A698,'Dados-Status-Invest'!$1:$1000,MATCH(Q$1,'Dados-Status-Invest'!$2:$2,0),FALSE())/100,"")</f>
        <v/>
      </c>
      <c r="R698" s="12" t="str">
        <f aca="false">IFERROR(VLOOKUP(A698,'Dados-Status-Invest'!$1:$1000,MATCH(R$1,'Dados-Status-Invest'!$2:$2,0),FALSE()),"")</f>
        <v/>
      </c>
      <c r="S698" s="12" t="str">
        <f aca="false">IFERROR(VLOOKUP(A698,'Dados-Status-Invest'!$1:$1000,MATCH(S$1,'Dados-Status-Invest'!$2:$2,0),FALSE()),"")</f>
        <v/>
      </c>
      <c r="T698" s="12" t="str">
        <f aca="false">IFERROR(VLOOKUP(A698,'Dados-Status-Invest'!$1:$1000,MATCH(T$1,'Dados-Status-Invest'!$2:$2,0),FALSE()),"")</f>
        <v/>
      </c>
      <c r="U698" s="12" t="str">
        <f aca="false">IFERROR(VLOOKUP(A698,'Dados-Status-Invest'!$1:$1000,MATCH(U$1,'Dados-Status-Invest'!$2:$2,0),FALSE()),"")</f>
        <v/>
      </c>
      <c r="V698" s="12" t="str">
        <f aca="false">IFERROR(VLOOKUP(A698,'Dados-Status-Invest'!$1:$1000,MATCH(V$1,'Dados-Status-Invest'!$2:$2,0),FALSE()),"")</f>
        <v/>
      </c>
      <c r="W698" s="10" t="str">
        <f aca="false">IFERROR(VLOOKUP(A698,'Dados-Status-Invest'!$1:$1000,MATCH(W$1,'Dados-Status-Invest'!$2:$2,0),FALSE())/100,"")</f>
        <v/>
      </c>
      <c r="X698" s="10" t="str">
        <f aca="false">IFERROR(VLOOKUP(A698,'Dados-Status-Invest'!$1:$1000,MATCH(X$1,'Dados-Status-Invest'!$2:$2,0),FALSE())/100,"")</f>
        <v/>
      </c>
    </row>
    <row r="699" customFormat="false" ht="15.75" hidden="false" customHeight="false" outlineLevel="0" collapsed="false">
      <c r="B699" s="7" t="str">
        <f aca="false">IFERROR(VLOOKUP(LEFT(A699,4),Setor!A:D,2,FALSE()),"")</f>
        <v/>
      </c>
      <c r="C699" s="8" t="str">
        <f aca="false">IFERROR(__xludf.dummyfunction("IFERROR(IFERROR(GOOGLEFINANCE(A705,""price""),VLOOKUP(A705,'Dados-Status-Invest'!A:B,2,FALSE)),"""")"),"")</f>
        <v/>
      </c>
      <c r="D699" s="8" t="str">
        <f aca="false">IFERROR(VLOOKUP(A699,'Dados-Status-Invest'!$1:$1000,MATCH(D$1,'Dados-Status-Invest'!$2:$2,0),FALSE()),"")</f>
        <v/>
      </c>
      <c r="E699" s="8" t="e">
        <f aca="false">IF(D699+H699&gt;0,D699+H699,"")</f>
        <v>#VALUE!</v>
      </c>
      <c r="F699" s="8" t="str">
        <f aca="false">IFERROR(D699/VLOOKUP(A699,'Dados-Status-Invest'!$1:$1000,5,FALSE()),"")</f>
        <v/>
      </c>
      <c r="G699" s="8" t="str">
        <f aca="false">IFERROR(D699/VLOOKUP(A699,'Dados-Status-Invest'!$1:$1000,6,FALSE()),"")</f>
        <v/>
      </c>
      <c r="H699" s="8" t="str">
        <f aca="false">IFERROR(VLOOKUP(A699,'Dados-Status-Invest'!$1:$1000,12,FALSE())*J699,"")</f>
        <v/>
      </c>
      <c r="I699" s="8" t="str">
        <f aca="false">IFERROR(D699/VLOOKUP(A699,'Dados-Status-Invest'!$1:$1000,14,FALSE()),"")</f>
        <v/>
      </c>
      <c r="J699" s="9" t="str">
        <f aca="false">IFERROR(D699/VLOOKUP(A699,'Dados-Status-Invest'!$1:$1000,10,FALSE()),"")</f>
        <v/>
      </c>
      <c r="K699" s="10" t="str">
        <f aca="false">IFERROR(VLOOKUP(A699,'Dados-Status-Invest'!$1:$1000,3,FALSE())/100,"")</f>
        <v/>
      </c>
      <c r="L699" s="11" t="str">
        <f aca="false">IFERROR(VLOOKUP(A699,'Dados-Status-Invest'!$1:$1000,MATCH(L$1,'Dados-Status-Invest'!$2:$2,0),FALSE())/100,"")</f>
        <v/>
      </c>
      <c r="M699" s="10" t="str">
        <f aca="false">IFERROR(VLOOKUP(A699,'Dados-Status-Invest'!$1:$1000,MATCH(M$1,'Dados-Status-Invest'!$2:$2,0),FALSE())/100,"")</f>
        <v/>
      </c>
      <c r="N699" s="10" t="str">
        <f aca="false">IFERROR(VLOOKUP(A699,'Dados-Status-Invest'!$1:$1000,MATCH(N$1,'Dados-Status-Invest'!$2:$2,0),FALSE())/100,"")</f>
        <v/>
      </c>
      <c r="O699" s="10" t="str">
        <f aca="false">IFERROR(VLOOKUP(A699,'Dados-Status-Invest'!$1:$1000,MATCH(O$1,'Dados-Status-Invest'!$2:$2,0),FALSE())/100,"")</f>
        <v/>
      </c>
      <c r="P699" s="10" t="str">
        <f aca="false">IFERROR(VLOOKUP(A699,'Dados-Status-Invest'!$1:$1000,MATCH(P$1,'Dados-Status-Invest'!$2:$2,0),FALSE())/100,"")</f>
        <v/>
      </c>
      <c r="Q699" s="10" t="str">
        <f aca="false">IFERROR(VLOOKUP(A699,'Dados-Status-Invest'!$1:$1000,MATCH(Q$1,'Dados-Status-Invest'!$2:$2,0),FALSE())/100,"")</f>
        <v/>
      </c>
      <c r="R699" s="12" t="str">
        <f aca="false">IFERROR(VLOOKUP(A699,'Dados-Status-Invest'!$1:$1000,MATCH(R$1,'Dados-Status-Invest'!$2:$2,0),FALSE()),"")</f>
        <v/>
      </c>
      <c r="S699" s="12" t="str">
        <f aca="false">IFERROR(VLOOKUP(A699,'Dados-Status-Invest'!$1:$1000,MATCH(S$1,'Dados-Status-Invest'!$2:$2,0),FALSE()),"")</f>
        <v/>
      </c>
      <c r="T699" s="12" t="str">
        <f aca="false">IFERROR(VLOOKUP(A699,'Dados-Status-Invest'!$1:$1000,MATCH(T$1,'Dados-Status-Invest'!$2:$2,0),FALSE()),"")</f>
        <v/>
      </c>
      <c r="U699" s="12" t="str">
        <f aca="false">IFERROR(VLOOKUP(A699,'Dados-Status-Invest'!$1:$1000,MATCH(U$1,'Dados-Status-Invest'!$2:$2,0),FALSE()),"")</f>
        <v/>
      </c>
      <c r="V699" s="12" t="str">
        <f aca="false">IFERROR(VLOOKUP(A699,'Dados-Status-Invest'!$1:$1000,MATCH(V$1,'Dados-Status-Invest'!$2:$2,0),FALSE()),"")</f>
        <v/>
      </c>
      <c r="W699" s="10" t="str">
        <f aca="false">IFERROR(VLOOKUP(A699,'Dados-Status-Invest'!$1:$1000,MATCH(W$1,'Dados-Status-Invest'!$2:$2,0),FALSE())/100,"")</f>
        <v/>
      </c>
      <c r="X699" s="10" t="str">
        <f aca="false">IFERROR(VLOOKUP(A699,'Dados-Status-Invest'!$1:$1000,MATCH(X$1,'Dados-Status-Invest'!$2:$2,0),FALSE())/100,"")</f>
        <v/>
      </c>
    </row>
    <row r="700" customFormat="false" ht="15.75" hidden="false" customHeight="false" outlineLevel="0" collapsed="false">
      <c r="B700" s="7" t="str">
        <f aca="false">IFERROR(VLOOKUP(LEFT(A700,4),Setor!A:D,2,FALSE()),"")</f>
        <v/>
      </c>
      <c r="C700" s="8" t="str">
        <f aca="false">IFERROR(__xludf.dummyfunction("IFERROR(IFERROR(GOOGLEFINANCE(A706,""price""),VLOOKUP(A706,'Dados-Status-Invest'!A:B,2,FALSE)),"""")"),"")</f>
        <v/>
      </c>
      <c r="D700" s="8" t="str">
        <f aca="false">IFERROR(VLOOKUP(A700,'Dados-Status-Invest'!$1:$1000,MATCH(D$1,'Dados-Status-Invest'!$2:$2,0),FALSE()),"")</f>
        <v/>
      </c>
      <c r="E700" s="8" t="e">
        <f aca="false">IF(D700+H700&gt;0,D700+H700,"")</f>
        <v>#VALUE!</v>
      </c>
      <c r="F700" s="8" t="str">
        <f aca="false">IFERROR(D700/VLOOKUP(A700,'Dados-Status-Invest'!$1:$1000,5,FALSE()),"")</f>
        <v/>
      </c>
      <c r="G700" s="8" t="str">
        <f aca="false">IFERROR(D700/VLOOKUP(A700,'Dados-Status-Invest'!$1:$1000,6,FALSE()),"")</f>
        <v/>
      </c>
      <c r="H700" s="8" t="str">
        <f aca="false">IFERROR(VLOOKUP(A700,'Dados-Status-Invest'!$1:$1000,12,FALSE())*J700,"")</f>
        <v/>
      </c>
      <c r="I700" s="8" t="str">
        <f aca="false">IFERROR(D700/VLOOKUP(A700,'Dados-Status-Invest'!$1:$1000,14,FALSE()),"")</f>
        <v/>
      </c>
      <c r="J700" s="9" t="str">
        <f aca="false">IFERROR(D700/VLOOKUP(A700,'Dados-Status-Invest'!$1:$1000,10,FALSE()),"")</f>
        <v/>
      </c>
      <c r="K700" s="10" t="str">
        <f aca="false">IFERROR(VLOOKUP(A700,'Dados-Status-Invest'!$1:$1000,3,FALSE())/100,"")</f>
        <v/>
      </c>
      <c r="L700" s="11" t="str">
        <f aca="false">IFERROR(VLOOKUP(A700,'Dados-Status-Invest'!$1:$1000,MATCH(L$1,'Dados-Status-Invest'!$2:$2,0),FALSE())/100,"")</f>
        <v/>
      </c>
      <c r="M700" s="10" t="str">
        <f aca="false">IFERROR(VLOOKUP(A700,'Dados-Status-Invest'!$1:$1000,MATCH(M$1,'Dados-Status-Invest'!$2:$2,0),FALSE())/100,"")</f>
        <v/>
      </c>
      <c r="N700" s="10" t="str">
        <f aca="false">IFERROR(VLOOKUP(A700,'Dados-Status-Invest'!$1:$1000,MATCH(N$1,'Dados-Status-Invest'!$2:$2,0),FALSE())/100,"")</f>
        <v/>
      </c>
      <c r="O700" s="10" t="str">
        <f aca="false">IFERROR(VLOOKUP(A700,'Dados-Status-Invest'!$1:$1000,MATCH(O$1,'Dados-Status-Invest'!$2:$2,0),FALSE())/100,"")</f>
        <v/>
      </c>
      <c r="P700" s="10" t="str">
        <f aca="false">IFERROR(VLOOKUP(A700,'Dados-Status-Invest'!$1:$1000,MATCH(P$1,'Dados-Status-Invest'!$2:$2,0),FALSE())/100,"")</f>
        <v/>
      </c>
      <c r="Q700" s="10" t="str">
        <f aca="false">IFERROR(VLOOKUP(A700,'Dados-Status-Invest'!$1:$1000,MATCH(Q$1,'Dados-Status-Invest'!$2:$2,0),FALSE())/100,"")</f>
        <v/>
      </c>
      <c r="R700" s="12" t="str">
        <f aca="false">IFERROR(VLOOKUP(A700,'Dados-Status-Invest'!$1:$1000,MATCH(R$1,'Dados-Status-Invest'!$2:$2,0),FALSE()),"")</f>
        <v/>
      </c>
      <c r="S700" s="12" t="str">
        <f aca="false">IFERROR(VLOOKUP(A700,'Dados-Status-Invest'!$1:$1000,MATCH(S$1,'Dados-Status-Invest'!$2:$2,0),FALSE()),"")</f>
        <v/>
      </c>
      <c r="T700" s="12" t="str">
        <f aca="false">IFERROR(VLOOKUP(A700,'Dados-Status-Invest'!$1:$1000,MATCH(T$1,'Dados-Status-Invest'!$2:$2,0),FALSE()),"")</f>
        <v/>
      </c>
      <c r="U700" s="12" t="str">
        <f aca="false">IFERROR(VLOOKUP(A700,'Dados-Status-Invest'!$1:$1000,MATCH(U$1,'Dados-Status-Invest'!$2:$2,0),FALSE()),"")</f>
        <v/>
      </c>
      <c r="V700" s="12" t="str">
        <f aca="false">IFERROR(VLOOKUP(A700,'Dados-Status-Invest'!$1:$1000,MATCH(V$1,'Dados-Status-Invest'!$2:$2,0),FALSE()),"")</f>
        <v/>
      </c>
      <c r="W700" s="10" t="str">
        <f aca="false">IFERROR(VLOOKUP(A700,'Dados-Status-Invest'!$1:$1000,MATCH(W$1,'Dados-Status-Invest'!$2:$2,0),FALSE())/100,"")</f>
        <v/>
      </c>
      <c r="X700" s="10" t="str">
        <f aca="false">IFERROR(VLOOKUP(A700,'Dados-Status-Invest'!$1:$1000,MATCH(X$1,'Dados-Status-Invest'!$2:$2,0),FALSE())/100,"")</f>
        <v/>
      </c>
    </row>
    <row r="701" customFormat="false" ht="15.75" hidden="false" customHeight="false" outlineLevel="0" collapsed="false">
      <c r="B701" s="7" t="str">
        <f aca="false">IFERROR(VLOOKUP(LEFT(A701,4),Setor!A:D,2,FALSE()),"")</f>
        <v/>
      </c>
      <c r="C701" s="8" t="str">
        <f aca="false">IFERROR(__xludf.dummyfunction("IFERROR(IFERROR(GOOGLEFINANCE(A707,""price""),VLOOKUP(A707,'Dados-Status-Invest'!A:B,2,FALSE)),"""")"),"")</f>
        <v/>
      </c>
      <c r="D701" s="8" t="str">
        <f aca="false">IFERROR(VLOOKUP(A701,'Dados-Status-Invest'!$1:$1000,MATCH(D$1,'Dados-Status-Invest'!$2:$2,0),FALSE()),"")</f>
        <v/>
      </c>
      <c r="E701" s="8" t="e">
        <f aca="false">IF(D701+H701&gt;0,D701+H701,"")</f>
        <v>#VALUE!</v>
      </c>
      <c r="F701" s="8" t="str">
        <f aca="false">IFERROR(D701/VLOOKUP(A701,'Dados-Status-Invest'!$1:$1000,5,FALSE()),"")</f>
        <v/>
      </c>
      <c r="G701" s="8" t="str">
        <f aca="false">IFERROR(D701/VLOOKUP(A701,'Dados-Status-Invest'!$1:$1000,6,FALSE()),"")</f>
        <v/>
      </c>
      <c r="H701" s="8" t="str">
        <f aca="false">IFERROR(VLOOKUP(A701,'Dados-Status-Invest'!$1:$1000,12,FALSE())*J701,"")</f>
        <v/>
      </c>
      <c r="I701" s="8" t="str">
        <f aca="false">IFERROR(D701/VLOOKUP(A701,'Dados-Status-Invest'!$1:$1000,14,FALSE()),"")</f>
        <v/>
      </c>
      <c r="J701" s="9" t="str">
        <f aca="false">IFERROR(D701/VLOOKUP(A701,'Dados-Status-Invest'!$1:$1000,10,FALSE()),"")</f>
        <v/>
      </c>
      <c r="K701" s="10" t="str">
        <f aca="false">IFERROR(VLOOKUP(A701,'Dados-Status-Invest'!$1:$1000,3,FALSE())/100,"")</f>
        <v/>
      </c>
      <c r="L701" s="11" t="str">
        <f aca="false">IFERROR(VLOOKUP(A701,'Dados-Status-Invest'!$1:$1000,MATCH(L$1,'Dados-Status-Invest'!$2:$2,0),FALSE())/100,"")</f>
        <v/>
      </c>
      <c r="M701" s="10" t="str">
        <f aca="false">IFERROR(VLOOKUP(A701,'Dados-Status-Invest'!$1:$1000,MATCH(M$1,'Dados-Status-Invest'!$2:$2,0),FALSE())/100,"")</f>
        <v/>
      </c>
      <c r="N701" s="10" t="str">
        <f aca="false">IFERROR(VLOOKUP(A701,'Dados-Status-Invest'!$1:$1000,MATCH(N$1,'Dados-Status-Invest'!$2:$2,0),FALSE())/100,"")</f>
        <v/>
      </c>
      <c r="O701" s="10" t="str">
        <f aca="false">IFERROR(VLOOKUP(A701,'Dados-Status-Invest'!$1:$1000,MATCH(O$1,'Dados-Status-Invest'!$2:$2,0),FALSE())/100,"")</f>
        <v/>
      </c>
      <c r="P701" s="10" t="str">
        <f aca="false">IFERROR(VLOOKUP(A701,'Dados-Status-Invest'!$1:$1000,MATCH(P$1,'Dados-Status-Invest'!$2:$2,0),FALSE())/100,"")</f>
        <v/>
      </c>
      <c r="Q701" s="10" t="str">
        <f aca="false">IFERROR(VLOOKUP(A701,'Dados-Status-Invest'!$1:$1000,MATCH(Q$1,'Dados-Status-Invest'!$2:$2,0),FALSE())/100,"")</f>
        <v/>
      </c>
      <c r="R701" s="12" t="str">
        <f aca="false">IFERROR(VLOOKUP(A701,'Dados-Status-Invest'!$1:$1000,MATCH(R$1,'Dados-Status-Invest'!$2:$2,0),FALSE()),"")</f>
        <v/>
      </c>
      <c r="S701" s="12" t="str">
        <f aca="false">IFERROR(VLOOKUP(A701,'Dados-Status-Invest'!$1:$1000,MATCH(S$1,'Dados-Status-Invest'!$2:$2,0),FALSE()),"")</f>
        <v/>
      </c>
      <c r="T701" s="12" t="str">
        <f aca="false">IFERROR(VLOOKUP(A701,'Dados-Status-Invest'!$1:$1000,MATCH(T$1,'Dados-Status-Invest'!$2:$2,0),FALSE()),"")</f>
        <v/>
      </c>
      <c r="U701" s="12" t="str">
        <f aca="false">IFERROR(VLOOKUP(A701,'Dados-Status-Invest'!$1:$1000,MATCH(U$1,'Dados-Status-Invest'!$2:$2,0),FALSE()),"")</f>
        <v/>
      </c>
      <c r="V701" s="12" t="str">
        <f aca="false">IFERROR(VLOOKUP(A701,'Dados-Status-Invest'!$1:$1000,MATCH(V$1,'Dados-Status-Invest'!$2:$2,0),FALSE()),"")</f>
        <v/>
      </c>
      <c r="W701" s="10" t="str">
        <f aca="false">IFERROR(VLOOKUP(A701,'Dados-Status-Invest'!$1:$1000,MATCH(W$1,'Dados-Status-Invest'!$2:$2,0),FALSE())/100,"")</f>
        <v/>
      </c>
      <c r="X701" s="10" t="str">
        <f aca="false">IFERROR(VLOOKUP(A701,'Dados-Status-Invest'!$1:$1000,MATCH(X$1,'Dados-Status-Invest'!$2:$2,0),FALSE())/100,"")</f>
        <v/>
      </c>
    </row>
    <row r="702" customFormat="false" ht="15.75" hidden="false" customHeight="false" outlineLevel="0" collapsed="false">
      <c r="B702" s="7" t="str">
        <f aca="false">IFERROR(VLOOKUP(LEFT(A702,4),Setor!A:D,2,FALSE()),"")</f>
        <v/>
      </c>
      <c r="C702" s="8" t="str">
        <f aca="false">IFERROR(__xludf.dummyfunction("IFERROR(IFERROR(GOOGLEFINANCE(A708,""price""),VLOOKUP(A708,'Dados-Status-Invest'!A:B,2,FALSE)),"""")"),"")</f>
        <v/>
      </c>
      <c r="D702" s="8" t="str">
        <f aca="false">IFERROR(VLOOKUP(A702,'Dados-Status-Invest'!$1:$1000,MATCH(D$1,'Dados-Status-Invest'!$2:$2,0),FALSE()),"")</f>
        <v/>
      </c>
      <c r="E702" s="8" t="e">
        <f aca="false">IF(D702+H702&gt;0,D702+H702,"")</f>
        <v>#VALUE!</v>
      </c>
      <c r="F702" s="8" t="str">
        <f aca="false">IFERROR(D702/VLOOKUP(A702,'Dados-Status-Invest'!$1:$1000,5,FALSE()),"")</f>
        <v/>
      </c>
      <c r="G702" s="8" t="str">
        <f aca="false">IFERROR(D702/VLOOKUP(A702,'Dados-Status-Invest'!$1:$1000,6,FALSE()),"")</f>
        <v/>
      </c>
      <c r="H702" s="8" t="str">
        <f aca="false">IFERROR(VLOOKUP(A702,'Dados-Status-Invest'!$1:$1000,12,FALSE())*J702,"")</f>
        <v/>
      </c>
      <c r="I702" s="8" t="str">
        <f aca="false">IFERROR(D702/VLOOKUP(A702,'Dados-Status-Invest'!$1:$1000,14,FALSE()),"")</f>
        <v/>
      </c>
      <c r="J702" s="9" t="str">
        <f aca="false">IFERROR(D702/VLOOKUP(A702,'Dados-Status-Invest'!$1:$1000,10,FALSE()),"")</f>
        <v/>
      </c>
      <c r="K702" s="10" t="str">
        <f aca="false">IFERROR(VLOOKUP(A702,'Dados-Status-Invest'!$1:$1000,3,FALSE())/100,"")</f>
        <v/>
      </c>
      <c r="L702" s="11" t="str">
        <f aca="false">IFERROR(VLOOKUP(A702,'Dados-Status-Invest'!$1:$1000,MATCH(L$1,'Dados-Status-Invest'!$2:$2,0),FALSE())/100,"")</f>
        <v/>
      </c>
      <c r="M702" s="10" t="str">
        <f aca="false">IFERROR(VLOOKUP(A702,'Dados-Status-Invest'!$1:$1000,MATCH(M$1,'Dados-Status-Invest'!$2:$2,0),FALSE())/100,"")</f>
        <v/>
      </c>
      <c r="N702" s="10" t="str">
        <f aca="false">IFERROR(VLOOKUP(A702,'Dados-Status-Invest'!$1:$1000,MATCH(N$1,'Dados-Status-Invest'!$2:$2,0),FALSE())/100,"")</f>
        <v/>
      </c>
      <c r="O702" s="10" t="str">
        <f aca="false">IFERROR(VLOOKUP(A702,'Dados-Status-Invest'!$1:$1000,MATCH(O$1,'Dados-Status-Invest'!$2:$2,0),FALSE())/100,"")</f>
        <v/>
      </c>
      <c r="P702" s="10" t="str">
        <f aca="false">IFERROR(VLOOKUP(A702,'Dados-Status-Invest'!$1:$1000,MATCH(P$1,'Dados-Status-Invest'!$2:$2,0),FALSE())/100,"")</f>
        <v/>
      </c>
      <c r="Q702" s="10" t="str">
        <f aca="false">IFERROR(VLOOKUP(A702,'Dados-Status-Invest'!$1:$1000,MATCH(Q$1,'Dados-Status-Invest'!$2:$2,0),FALSE())/100,"")</f>
        <v/>
      </c>
      <c r="R702" s="12" t="str">
        <f aca="false">IFERROR(VLOOKUP(A702,'Dados-Status-Invest'!$1:$1000,MATCH(R$1,'Dados-Status-Invest'!$2:$2,0),FALSE()),"")</f>
        <v/>
      </c>
      <c r="S702" s="12" t="str">
        <f aca="false">IFERROR(VLOOKUP(A702,'Dados-Status-Invest'!$1:$1000,MATCH(S$1,'Dados-Status-Invest'!$2:$2,0),FALSE()),"")</f>
        <v/>
      </c>
      <c r="T702" s="12" t="str">
        <f aca="false">IFERROR(VLOOKUP(A702,'Dados-Status-Invest'!$1:$1000,MATCH(T$1,'Dados-Status-Invest'!$2:$2,0),FALSE()),"")</f>
        <v/>
      </c>
      <c r="U702" s="12" t="str">
        <f aca="false">IFERROR(VLOOKUP(A702,'Dados-Status-Invest'!$1:$1000,MATCH(U$1,'Dados-Status-Invest'!$2:$2,0),FALSE()),"")</f>
        <v/>
      </c>
      <c r="V702" s="12" t="str">
        <f aca="false">IFERROR(VLOOKUP(A702,'Dados-Status-Invest'!$1:$1000,MATCH(V$1,'Dados-Status-Invest'!$2:$2,0),FALSE()),"")</f>
        <v/>
      </c>
      <c r="W702" s="10" t="str">
        <f aca="false">IFERROR(VLOOKUP(A702,'Dados-Status-Invest'!$1:$1000,MATCH(W$1,'Dados-Status-Invest'!$2:$2,0),FALSE())/100,"")</f>
        <v/>
      </c>
      <c r="X702" s="10" t="str">
        <f aca="false">IFERROR(VLOOKUP(A702,'Dados-Status-Invest'!$1:$1000,MATCH(X$1,'Dados-Status-Invest'!$2:$2,0),FALSE())/100,"")</f>
        <v/>
      </c>
    </row>
    <row r="703" customFormat="false" ht="15.75" hidden="false" customHeight="false" outlineLevel="0" collapsed="false">
      <c r="B703" s="7" t="str">
        <f aca="false">IFERROR(VLOOKUP(LEFT(A703,4),Setor!A:D,2,FALSE()),"")</f>
        <v/>
      </c>
      <c r="C703" s="8" t="str">
        <f aca="false">IFERROR(__xludf.dummyfunction("IFERROR(IFERROR(GOOGLEFINANCE(A709,""price""),VLOOKUP(A709,'Dados-Status-Invest'!A:B,2,FALSE)),"""")"),"")</f>
        <v/>
      </c>
      <c r="D703" s="8" t="str">
        <f aca="false">IFERROR(VLOOKUP(A703,'Dados-Status-Invest'!$1:$1000,MATCH(D$1,'Dados-Status-Invest'!$2:$2,0),FALSE()),"")</f>
        <v/>
      </c>
      <c r="E703" s="8" t="e">
        <f aca="false">IF(D703+H703&gt;0,D703+H703,"")</f>
        <v>#VALUE!</v>
      </c>
      <c r="F703" s="8" t="str">
        <f aca="false">IFERROR(D703/VLOOKUP(A703,'Dados-Status-Invest'!$1:$1000,5,FALSE()),"")</f>
        <v/>
      </c>
      <c r="G703" s="8" t="str">
        <f aca="false">IFERROR(D703/VLOOKUP(A703,'Dados-Status-Invest'!$1:$1000,6,FALSE()),"")</f>
        <v/>
      </c>
      <c r="H703" s="8" t="str">
        <f aca="false">IFERROR(VLOOKUP(A703,'Dados-Status-Invest'!$1:$1000,12,FALSE())*J703,"")</f>
        <v/>
      </c>
      <c r="I703" s="8" t="str">
        <f aca="false">IFERROR(D703/VLOOKUP(A703,'Dados-Status-Invest'!$1:$1000,14,FALSE()),"")</f>
        <v/>
      </c>
      <c r="J703" s="9" t="str">
        <f aca="false">IFERROR(D703/VLOOKUP(A703,'Dados-Status-Invest'!$1:$1000,10,FALSE()),"")</f>
        <v/>
      </c>
      <c r="K703" s="10" t="str">
        <f aca="false">IFERROR(VLOOKUP(A703,'Dados-Status-Invest'!$1:$1000,3,FALSE())/100,"")</f>
        <v/>
      </c>
      <c r="L703" s="11" t="str">
        <f aca="false">IFERROR(VLOOKUP(A703,'Dados-Status-Invest'!$1:$1000,MATCH(L$1,'Dados-Status-Invest'!$2:$2,0),FALSE())/100,"")</f>
        <v/>
      </c>
      <c r="M703" s="10" t="str">
        <f aca="false">IFERROR(VLOOKUP(A703,'Dados-Status-Invest'!$1:$1000,MATCH(M$1,'Dados-Status-Invest'!$2:$2,0),FALSE())/100,"")</f>
        <v/>
      </c>
      <c r="N703" s="10" t="str">
        <f aca="false">IFERROR(VLOOKUP(A703,'Dados-Status-Invest'!$1:$1000,MATCH(N$1,'Dados-Status-Invest'!$2:$2,0),FALSE())/100,"")</f>
        <v/>
      </c>
      <c r="O703" s="10" t="str">
        <f aca="false">IFERROR(VLOOKUP(A703,'Dados-Status-Invest'!$1:$1000,MATCH(O$1,'Dados-Status-Invest'!$2:$2,0),FALSE())/100,"")</f>
        <v/>
      </c>
      <c r="P703" s="10" t="str">
        <f aca="false">IFERROR(VLOOKUP(A703,'Dados-Status-Invest'!$1:$1000,MATCH(P$1,'Dados-Status-Invest'!$2:$2,0),FALSE())/100,"")</f>
        <v/>
      </c>
      <c r="Q703" s="10" t="str">
        <f aca="false">IFERROR(VLOOKUP(A703,'Dados-Status-Invest'!$1:$1000,MATCH(Q$1,'Dados-Status-Invest'!$2:$2,0),FALSE())/100,"")</f>
        <v/>
      </c>
      <c r="R703" s="12" t="str">
        <f aca="false">IFERROR(VLOOKUP(A703,'Dados-Status-Invest'!$1:$1000,MATCH(R$1,'Dados-Status-Invest'!$2:$2,0),FALSE()),"")</f>
        <v/>
      </c>
      <c r="S703" s="12" t="str">
        <f aca="false">IFERROR(VLOOKUP(A703,'Dados-Status-Invest'!$1:$1000,MATCH(S$1,'Dados-Status-Invest'!$2:$2,0),FALSE()),"")</f>
        <v/>
      </c>
      <c r="T703" s="12" t="str">
        <f aca="false">IFERROR(VLOOKUP(A703,'Dados-Status-Invest'!$1:$1000,MATCH(T$1,'Dados-Status-Invest'!$2:$2,0),FALSE()),"")</f>
        <v/>
      </c>
      <c r="U703" s="12" t="str">
        <f aca="false">IFERROR(VLOOKUP(A703,'Dados-Status-Invest'!$1:$1000,MATCH(U$1,'Dados-Status-Invest'!$2:$2,0),FALSE()),"")</f>
        <v/>
      </c>
      <c r="V703" s="12" t="str">
        <f aca="false">IFERROR(VLOOKUP(A703,'Dados-Status-Invest'!$1:$1000,MATCH(V$1,'Dados-Status-Invest'!$2:$2,0),FALSE()),"")</f>
        <v/>
      </c>
      <c r="W703" s="10" t="str">
        <f aca="false">IFERROR(VLOOKUP(A703,'Dados-Status-Invest'!$1:$1000,MATCH(W$1,'Dados-Status-Invest'!$2:$2,0),FALSE())/100,"")</f>
        <v/>
      </c>
      <c r="X703" s="10" t="str">
        <f aca="false">IFERROR(VLOOKUP(A703,'Dados-Status-Invest'!$1:$1000,MATCH(X$1,'Dados-Status-Invest'!$2:$2,0),FALSE())/100,"")</f>
        <v/>
      </c>
    </row>
    <row r="704" customFormat="false" ht="15.75" hidden="false" customHeight="false" outlineLevel="0" collapsed="false">
      <c r="B704" s="7" t="str">
        <f aca="false">IFERROR(VLOOKUP(LEFT(A704,4),Setor!A:D,2,FALSE()),"")</f>
        <v/>
      </c>
      <c r="C704" s="8" t="str">
        <f aca="false">IFERROR(__xludf.dummyfunction("IFERROR(IFERROR(GOOGLEFINANCE(A710,""price""),VLOOKUP(A710,'Dados-Status-Invest'!A:B,2,FALSE)),"""")"),"")</f>
        <v/>
      </c>
      <c r="D704" s="8" t="str">
        <f aca="false">IFERROR(VLOOKUP(A704,'Dados-Status-Invest'!$1:$1000,MATCH(D$1,'Dados-Status-Invest'!$2:$2,0),FALSE()),"")</f>
        <v/>
      </c>
      <c r="E704" s="8" t="e">
        <f aca="false">IF(D704+H704&gt;0,D704+H704,"")</f>
        <v>#VALUE!</v>
      </c>
      <c r="F704" s="8" t="str">
        <f aca="false">IFERROR(D704/VLOOKUP(A704,'Dados-Status-Invest'!$1:$1000,5,FALSE()),"")</f>
        <v/>
      </c>
      <c r="G704" s="8" t="str">
        <f aca="false">IFERROR(D704/VLOOKUP(A704,'Dados-Status-Invest'!$1:$1000,6,FALSE()),"")</f>
        <v/>
      </c>
      <c r="H704" s="8" t="str">
        <f aca="false">IFERROR(VLOOKUP(A704,'Dados-Status-Invest'!$1:$1000,12,FALSE())*J704,"")</f>
        <v/>
      </c>
      <c r="I704" s="8" t="str">
        <f aca="false">IFERROR(D704/VLOOKUP(A704,'Dados-Status-Invest'!$1:$1000,14,FALSE()),"")</f>
        <v/>
      </c>
      <c r="J704" s="9" t="str">
        <f aca="false">IFERROR(D704/VLOOKUP(A704,'Dados-Status-Invest'!$1:$1000,10,FALSE()),"")</f>
        <v/>
      </c>
      <c r="K704" s="10" t="str">
        <f aca="false">IFERROR(VLOOKUP(A704,'Dados-Status-Invest'!$1:$1000,3,FALSE())/100,"")</f>
        <v/>
      </c>
      <c r="L704" s="11" t="str">
        <f aca="false">IFERROR(VLOOKUP(A704,'Dados-Status-Invest'!$1:$1000,MATCH(L$1,'Dados-Status-Invest'!$2:$2,0),FALSE())/100,"")</f>
        <v/>
      </c>
      <c r="M704" s="10" t="str">
        <f aca="false">IFERROR(VLOOKUP(A704,'Dados-Status-Invest'!$1:$1000,MATCH(M$1,'Dados-Status-Invest'!$2:$2,0),FALSE())/100,"")</f>
        <v/>
      </c>
      <c r="N704" s="10" t="str">
        <f aca="false">IFERROR(VLOOKUP(A704,'Dados-Status-Invest'!$1:$1000,MATCH(N$1,'Dados-Status-Invest'!$2:$2,0),FALSE())/100,"")</f>
        <v/>
      </c>
      <c r="O704" s="10" t="str">
        <f aca="false">IFERROR(VLOOKUP(A704,'Dados-Status-Invest'!$1:$1000,MATCH(O$1,'Dados-Status-Invest'!$2:$2,0),FALSE())/100,"")</f>
        <v/>
      </c>
      <c r="P704" s="10" t="str">
        <f aca="false">IFERROR(VLOOKUP(A704,'Dados-Status-Invest'!$1:$1000,MATCH(P$1,'Dados-Status-Invest'!$2:$2,0),FALSE())/100,"")</f>
        <v/>
      </c>
      <c r="Q704" s="10" t="str">
        <f aca="false">IFERROR(VLOOKUP(A704,'Dados-Status-Invest'!$1:$1000,MATCH(Q$1,'Dados-Status-Invest'!$2:$2,0),FALSE())/100,"")</f>
        <v/>
      </c>
      <c r="R704" s="12" t="str">
        <f aca="false">IFERROR(VLOOKUP(A704,'Dados-Status-Invest'!$1:$1000,MATCH(R$1,'Dados-Status-Invest'!$2:$2,0),FALSE()),"")</f>
        <v/>
      </c>
      <c r="S704" s="12" t="str">
        <f aca="false">IFERROR(VLOOKUP(A704,'Dados-Status-Invest'!$1:$1000,MATCH(S$1,'Dados-Status-Invest'!$2:$2,0),FALSE()),"")</f>
        <v/>
      </c>
      <c r="T704" s="12" t="str">
        <f aca="false">IFERROR(VLOOKUP(A704,'Dados-Status-Invest'!$1:$1000,MATCH(T$1,'Dados-Status-Invest'!$2:$2,0),FALSE()),"")</f>
        <v/>
      </c>
      <c r="U704" s="12" t="str">
        <f aca="false">IFERROR(VLOOKUP(A704,'Dados-Status-Invest'!$1:$1000,MATCH(U$1,'Dados-Status-Invest'!$2:$2,0),FALSE()),"")</f>
        <v/>
      </c>
      <c r="V704" s="12" t="str">
        <f aca="false">IFERROR(VLOOKUP(A704,'Dados-Status-Invest'!$1:$1000,MATCH(V$1,'Dados-Status-Invest'!$2:$2,0),FALSE()),"")</f>
        <v/>
      </c>
      <c r="W704" s="10" t="str">
        <f aca="false">IFERROR(VLOOKUP(A704,'Dados-Status-Invest'!$1:$1000,MATCH(W$1,'Dados-Status-Invest'!$2:$2,0),FALSE())/100,"")</f>
        <v/>
      </c>
      <c r="X704" s="10" t="str">
        <f aca="false">IFERROR(VLOOKUP(A704,'Dados-Status-Invest'!$1:$1000,MATCH(X$1,'Dados-Status-Invest'!$2:$2,0),FALSE())/100,"")</f>
        <v/>
      </c>
    </row>
    <row r="705" customFormat="false" ht="15.75" hidden="false" customHeight="false" outlineLevel="0" collapsed="false">
      <c r="B705" s="7" t="str">
        <f aca="false">IFERROR(VLOOKUP(LEFT(A705,4),Setor!A:D,2,FALSE()),"")</f>
        <v/>
      </c>
      <c r="C705" s="8" t="str">
        <f aca="false">IFERROR(__xludf.dummyfunction("IFERROR(IFERROR(GOOGLEFINANCE(A711,""price""),VLOOKUP(A711,'Dados-Status-Invest'!A:B,2,FALSE)),"""")"),"")</f>
        <v/>
      </c>
      <c r="D705" s="8" t="str">
        <f aca="false">IFERROR(VLOOKUP(A705,'Dados-Status-Invest'!$1:$1000,MATCH(D$1,'Dados-Status-Invest'!$2:$2,0),FALSE()),"")</f>
        <v/>
      </c>
      <c r="E705" s="8" t="e">
        <f aca="false">IF(D705+H705&gt;0,D705+H705,"")</f>
        <v>#VALUE!</v>
      </c>
      <c r="F705" s="8" t="str">
        <f aca="false">IFERROR(D705/VLOOKUP(A705,'Dados-Status-Invest'!$1:$1000,5,FALSE()),"")</f>
        <v/>
      </c>
      <c r="G705" s="8" t="str">
        <f aca="false">IFERROR(D705/VLOOKUP(A705,'Dados-Status-Invest'!$1:$1000,6,FALSE()),"")</f>
        <v/>
      </c>
      <c r="H705" s="8" t="str">
        <f aca="false">IFERROR(VLOOKUP(A705,'Dados-Status-Invest'!$1:$1000,12,FALSE())*J705,"")</f>
        <v/>
      </c>
      <c r="I705" s="8" t="str">
        <f aca="false">IFERROR(D705/VLOOKUP(A705,'Dados-Status-Invest'!$1:$1000,14,FALSE()),"")</f>
        <v/>
      </c>
      <c r="J705" s="9" t="str">
        <f aca="false">IFERROR(D705/VLOOKUP(A705,'Dados-Status-Invest'!$1:$1000,10,FALSE()),"")</f>
        <v/>
      </c>
      <c r="K705" s="10" t="str">
        <f aca="false">IFERROR(VLOOKUP(A705,'Dados-Status-Invest'!$1:$1000,3,FALSE())/100,"")</f>
        <v/>
      </c>
      <c r="L705" s="11" t="str">
        <f aca="false">IFERROR(VLOOKUP(A705,'Dados-Status-Invest'!$1:$1000,MATCH(L$1,'Dados-Status-Invest'!$2:$2,0),FALSE())/100,"")</f>
        <v/>
      </c>
      <c r="M705" s="10" t="str">
        <f aca="false">IFERROR(VLOOKUP(A705,'Dados-Status-Invest'!$1:$1000,MATCH(M$1,'Dados-Status-Invest'!$2:$2,0),FALSE())/100,"")</f>
        <v/>
      </c>
      <c r="N705" s="10" t="str">
        <f aca="false">IFERROR(VLOOKUP(A705,'Dados-Status-Invest'!$1:$1000,MATCH(N$1,'Dados-Status-Invest'!$2:$2,0),FALSE())/100,"")</f>
        <v/>
      </c>
      <c r="O705" s="10" t="str">
        <f aca="false">IFERROR(VLOOKUP(A705,'Dados-Status-Invest'!$1:$1000,MATCH(O$1,'Dados-Status-Invest'!$2:$2,0),FALSE())/100,"")</f>
        <v/>
      </c>
      <c r="P705" s="10" t="str">
        <f aca="false">IFERROR(VLOOKUP(A705,'Dados-Status-Invest'!$1:$1000,MATCH(P$1,'Dados-Status-Invest'!$2:$2,0),FALSE())/100,"")</f>
        <v/>
      </c>
      <c r="Q705" s="10" t="str">
        <f aca="false">IFERROR(VLOOKUP(A705,'Dados-Status-Invest'!$1:$1000,MATCH(Q$1,'Dados-Status-Invest'!$2:$2,0),FALSE())/100,"")</f>
        <v/>
      </c>
      <c r="R705" s="12" t="str">
        <f aca="false">IFERROR(VLOOKUP(A705,'Dados-Status-Invest'!$1:$1000,MATCH(R$1,'Dados-Status-Invest'!$2:$2,0),FALSE()),"")</f>
        <v/>
      </c>
      <c r="S705" s="12" t="str">
        <f aca="false">IFERROR(VLOOKUP(A705,'Dados-Status-Invest'!$1:$1000,MATCH(S$1,'Dados-Status-Invest'!$2:$2,0),FALSE()),"")</f>
        <v/>
      </c>
      <c r="T705" s="12" t="str">
        <f aca="false">IFERROR(VLOOKUP(A705,'Dados-Status-Invest'!$1:$1000,MATCH(T$1,'Dados-Status-Invest'!$2:$2,0),FALSE()),"")</f>
        <v/>
      </c>
      <c r="U705" s="12" t="str">
        <f aca="false">IFERROR(VLOOKUP(A705,'Dados-Status-Invest'!$1:$1000,MATCH(U$1,'Dados-Status-Invest'!$2:$2,0),FALSE()),"")</f>
        <v/>
      </c>
      <c r="V705" s="12" t="str">
        <f aca="false">IFERROR(VLOOKUP(A705,'Dados-Status-Invest'!$1:$1000,MATCH(V$1,'Dados-Status-Invest'!$2:$2,0),FALSE()),"")</f>
        <v/>
      </c>
      <c r="W705" s="10" t="str">
        <f aca="false">IFERROR(VLOOKUP(A705,'Dados-Status-Invest'!$1:$1000,MATCH(W$1,'Dados-Status-Invest'!$2:$2,0),FALSE())/100,"")</f>
        <v/>
      </c>
      <c r="X705" s="10" t="str">
        <f aca="false">IFERROR(VLOOKUP(A705,'Dados-Status-Invest'!$1:$1000,MATCH(X$1,'Dados-Status-Invest'!$2:$2,0),FALSE())/100,"")</f>
        <v/>
      </c>
    </row>
    <row r="706" customFormat="false" ht="15.75" hidden="false" customHeight="false" outlineLevel="0" collapsed="false">
      <c r="B706" s="7" t="str">
        <f aca="false">IFERROR(VLOOKUP(LEFT(A706,4),Setor!A:D,2,FALSE()),"")</f>
        <v/>
      </c>
      <c r="C706" s="8" t="str">
        <f aca="false">IFERROR(__xludf.dummyfunction("IFERROR(IFERROR(GOOGLEFINANCE(A712,""price""),VLOOKUP(A712,'Dados-Status-Invest'!A:B,2,FALSE)),"""")"),"")</f>
        <v/>
      </c>
      <c r="D706" s="8" t="str">
        <f aca="false">IFERROR(VLOOKUP(A706,'Dados-Status-Invest'!$1:$1000,MATCH(D$1,'Dados-Status-Invest'!$2:$2,0),FALSE()),"")</f>
        <v/>
      </c>
      <c r="E706" s="8" t="e">
        <f aca="false">IF(D706+H706&gt;0,D706+H706,"")</f>
        <v>#VALUE!</v>
      </c>
      <c r="F706" s="8" t="str">
        <f aca="false">IFERROR(D706/VLOOKUP(A706,'Dados-Status-Invest'!$1:$1000,5,FALSE()),"")</f>
        <v/>
      </c>
      <c r="G706" s="8" t="str">
        <f aca="false">IFERROR(D706/VLOOKUP(A706,'Dados-Status-Invest'!$1:$1000,6,FALSE()),"")</f>
        <v/>
      </c>
      <c r="H706" s="8" t="str">
        <f aca="false">IFERROR(VLOOKUP(A706,'Dados-Status-Invest'!$1:$1000,12,FALSE())*J706,"")</f>
        <v/>
      </c>
      <c r="I706" s="8" t="str">
        <f aca="false">IFERROR(D706/VLOOKUP(A706,'Dados-Status-Invest'!$1:$1000,14,FALSE()),"")</f>
        <v/>
      </c>
      <c r="J706" s="9" t="str">
        <f aca="false">IFERROR(D706/VLOOKUP(A706,'Dados-Status-Invest'!$1:$1000,10,FALSE()),"")</f>
        <v/>
      </c>
      <c r="K706" s="10" t="str">
        <f aca="false">IFERROR(VLOOKUP(A706,'Dados-Status-Invest'!$1:$1000,3,FALSE())/100,"")</f>
        <v/>
      </c>
      <c r="L706" s="11" t="str">
        <f aca="false">IFERROR(VLOOKUP(A706,'Dados-Status-Invest'!$1:$1000,MATCH(L$1,'Dados-Status-Invest'!$2:$2,0),FALSE())/100,"")</f>
        <v/>
      </c>
      <c r="M706" s="10" t="str">
        <f aca="false">IFERROR(VLOOKUP(A706,'Dados-Status-Invest'!$1:$1000,MATCH(M$1,'Dados-Status-Invest'!$2:$2,0),FALSE())/100,"")</f>
        <v/>
      </c>
      <c r="N706" s="10" t="str">
        <f aca="false">IFERROR(VLOOKUP(A706,'Dados-Status-Invest'!$1:$1000,MATCH(N$1,'Dados-Status-Invest'!$2:$2,0),FALSE())/100,"")</f>
        <v/>
      </c>
      <c r="O706" s="10" t="str">
        <f aca="false">IFERROR(VLOOKUP(A706,'Dados-Status-Invest'!$1:$1000,MATCH(O$1,'Dados-Status-Invest'!$2:$2,0),FALSE())/100,"")</f>
        <v/>
      </c>
      <c r="P706" s="10" t="str">
        <f aca="false">IFERROR(VLOOKUP(A706,'Dados-Status-Invest'!$1:$1000,MATCH(P$1,'Dados-Status-Invest'!$2:$2,0),FALSE())/100,"")</f>
        <v/>
      </c>
      <c r="Q706" s="10" t="str">
        <f aca="false">IFERROR(VLOOKUP(A706,'Dados-Status-Invest'!$1:$1000,MATCH(Q$1,'Dados-Status-Invest'!$2:$2,0),FALSE())/100,"")</f>
        <v/>
      </c>
      <c r="R706" s="12" t="str">
        <f aca="false">IFERROR(VLOOKUP(A706,'Dados-Status-Invest'!$1:$1000,MATCH(R$1,'Dados-Status-Invest'!$2:$2,0),FALSE()),"")</f>
        <v/>
      </c>
      <c r="S706" s="12" t="str">
        <f aca="false">IFERROR(VLOOKUP(A706,'Dados-Status-Invest'!$1:$1000,MATCH(S$1,'Dados-Status-Invest'!$2:$2,0),FALSE()),"")</f>
        <v/>
      </c>
      <c r="T706" s="12" t="str">
        <f aca="false">IFERROR(VLOOKUP(A706,'Dados-Status-Invest'!$1:$1000,MATCH(T$1,'Dados-Status-Invest'!$2:$2,0),FALSE()),"")</f>
        <v/>
      </c>
      <c r="U706" s="12" t="str">
        <f aca="false">IFERROR(VLOOKUP(A706,'Dados-Status-Invest'!$1:$1000,MATCH(U$1,'Dados-Status-Invest'!$2:$2,0),FALSE()),"")</f>
        <v/>
      </c>
      <c r="V706" s="12" t="str">
        <f aca="false">IFERROR(VLOOKUP(A706,'Dados-Status-Invest'!$1:$1000,MATCH(V$1,'Dados-Status-Invest'!$2:$2,0),FALSE()),"")</f>
        <v/>
      </c>
      <c r="W706" s="10" t="str">
        <f aca="false">IFERROR(VLOOKUP(A706,'Dados-Status-Invest'!$1:$1000,MATCH(W$1,'Dados-Status-Invest'!$2:$2,0),FALSE())/100,"")</f>
        <v/>
      </c>
      <c r="X706" s="10" t="str">
        <f aca="false">IFERROR(VLOOKUP(A706,'Dados-Status-Invest'!$1:$1000,MATCH(X$1,'Dados-Status-Invest'!$2:$2,0),FALSE())/100,"")</f>
        <v/>
      </c>
    </row>
    <row r="707" customFormat="false" ht="15.75" hidden="false" customHeight="false" outlineLevel="0" collapsed="false">
      <c r="B707" s="7" t="str">
        <f aca="false">IFERROR(VLOOKUP(LEFT(A707,4),Setor!A:D,2,FALSE()),"")</f>
        <v/>
      </c>
      <c r="C707" s="8" t="str">
        <f aca="false">IFERROR(__xludf.dummyfunction("IFERROR(IFERROR(GOOGLEFINANCE(A713,""price""),VLOOKUP(A713,'Dados-Status-Invest'!A:B,2,FALSE)),"""")"),"")</f>
        <v/>
      </c>
      <c r="D707" s="8" t="str">
        <f aca="false">IFERROR(VLOOKUP(A707,'Dados-Status-Invest'!$1:$1000,MATCH(D$1,'Dados-Status-Invest'!$2:$2,0),FALSE()),"")</f>
        <v/>
      </c>
      <c r="E707" s="8" t="e">
        <f aca="false">IF(D707+H707&gt;0,D707+H707,"")</f>
        <v>#VALUE!</v>
      </c>
      <c r="F707" s="8" t="str">
        <f aca="false">IFERROR(D707/VLOOKUP(A707,'Dados-Status-Invest'!$1:$1000,5,FALSE()),"")</f>
        <v/>
      </c>
      <c r="G707" s="8" t="str">
        <f aca="false">IFERROR(D707/VLOOKUP(A707,'Dados-Status-Invest'!$1:$1000,6,FALSE()),"")</f>
        <v/>
      </c>
      <c r="H707" s="8" t="str">
        <f aca="false">IFERROR(VLOOKUP(A707,'Dados-Status-Invest'!$1:$1000,12,FALSE())*J707,"")</f>
        <v/>
      </c>
      <c r="I707" s="8" t="str">
        <f aca="false">IFERROR(D707/VLOOKUP(A707,'Dados-Status-Invest'!$1:$1000,14,FALSE()),"")</f>
        <v/>
      </c>
      <c r="J707" s="9" t="str">
        <f aca="false">IFERROR(D707/VLOOKUP(A707,'Dados-Status-Invest'!$1:$1000,10,FALSE()),"")</f>
        <v/>
      </c>
      <c r="K707" s="10" t="str">
        <f aca="false">IFERROR(VLOOKUP(A707,'Dados-Status-Invest'!$1:$1000,3,FALSE())/100,"")</f>
        <v/>
      </c>
      <c r="L707" s="11" t="str">
        <f aca="false">IFERROR(VLOOKUP(A707,'Dados-Status-Invest'!$1:$1000,MATCH(L$1,'Dados-Status-Invest'!$2:$2,0),FALSE())/100,"")</f>
        <v/>
      </c>
      <c r="M707" s="10" t="str">
        <f aca="false">IFERROR(VLOOKUP(A707,'Dados-Status-Invest'!$1:$1000,MATCH(M$1,'Dados-Status-Invest'!$2:$2,0),FALSE())/100,"")</f>
        <v/>
      </c>
      <c r="N707" s="10" t="str">
        <f aca="false">IFERROR(VLOOKUP(A707,'Dados-Status-Invest'!$1:$1000,MATCH(N$1,'Dados-Status-Invest'!$2:$2,0),FALSE())/100,"")</f>
        <v/>
      </c>
      <c r="O707" s="10" t="str">
        <f aca="false">IFERROR(VLOOKUP(A707,'Dados-Status-Invest'!$1:$1000,MATCH(O$1,'Dados-Status-Invest'!$2:$2,0),FALSE())/100,"")</f>
        <v/>
      </c>
      <c r="P707" s="10" t="str">
        <f aca="false">IFERROR(VLOOKUP(A707,'Dados-Status-Invest'!$1:$1000,MATCH(P$1,'Dados-Status-Invest'!$2:$2,0),FALSE())/100,"")</f>
        <v/>
      </c>
      <c r="Q707" s="10" t="str">
        <f aca="false">IFERROR(VLOOKUP(A707,'Dados-Status-Invest'!$1:$1000,MATCH(Q$1,'Dados-Status-Invest'!$2:$2,0),FALSE())/100,"")</f>
        <v/>
      </c>
      <c r="R707" s="12" t="str">
        <f aca="false">IFERROR(VLOOKUP(A707,'Dados-Status-Invest'!$1:$1000,MATCH(R$1,'Dados-Status-Invest'!$2:$2,0),FALSE()),"")</f>
        <v/>
      </c>
      <c r="S707" s="12" t="str">
        <f aca="false">IFERROR(VLOOKUP(A707,'Dados-Status-Invest'!$1:$1000,MATCH(S$1,'Dados-Status-Invest'!$2:$2,0),FALSE()),"")</f>
        <v/>
      </c>
      <c r="T707" s="12" t="str">
        <f aca="false">IFERROR(VLOOKUP(A707,'Dados-Status-Invest'!$1:$1000,MATCH(T$1,'Dados-Status-Invest'!$2:$2,0),FALSE()),"")</f>
        <v/>
      </c>
      <c r="U707" s="12" t="str">
        <f aca="false">IFERROR(VLOOKUP(A707,'Dados-Status-Invest'!$1:$1000,MATCH(U$1,'Dados-Status-Invest'!$2:$2,0),FALSE()),"")</f>
        <v/>
      </c>
      <c r="V707" s="12" t="str">
        <f aca="false">IFERROR(VLOOKUP(A707,'Dados-Status-Invest'!$1:$1000,MATCH(V$1,'Dados-Status-Invest'!$2:$2,0),FALSE()),"")</f>
        <v/>
      </c>
      <c r="W707" s="10" t="str">
        <f aca="false">IFERROR(VLOOKUP(A707,'Dados-Status-Invest'!$1:$1000,MATCH(W$1,'Dados-Status-Invest'!$2:$2,0),FALSE())/100,"")</f>
        <v/>
      </c>
      <c r="X707" s="10" t="str">
        <f aca="false">IFERROR(VLOOKUP(A707,'Dados-Status-Invest'!$1:$1000,MATCH(X$1,'Dados-Status-Invest'!$2:$2,0),FALSE())/100,"")</f>
        <v/>
      </c>
    </row>
    <row r="708" customFormat="false" ht="15.75" hidden="false" customHeight="false" outlineLevel="0" collapsed="false">
      <c r="B708" s="7" t="str">
        <f aca="false">IFERROR(VLOOKUP(LEFT(A708,4),Setor!A:D,2,FALSE()),"")</f>
        <v/>
      </c>
      <c r="C708" s="8" t="str">
        <f aca="false">IFERROR(__xludf.dummyfunction("IFERROR(IFERROR(GOOGLEFINANCE(A714,""price""),VLOOKUP(A714,'Dados-Status-Invest'!A:B,2,FALSE)),"""")"),"")</f>
        <v/>
      </c>
      <c r="D708" s="8" t="str">
        <f aca="false">IFERROR(VLOOKUP(A708,'Dados-Status-Invest'!$1:$1000,MATCH(D$1,'Dados-Status-Invest'!$2:$2,0),FALSE()),"")</f>
        <v/>
      </c>
      <c r="E708" s="8" t="e">
        <f aca="false">IF(D708+H708&gt;0,D708+H708,"")</f>
        <v>#VALUE!</v>
      </c>
      <c r="F708" s="8" t="str">
        <f aca="false">IFERROR(D708/VLOOKUP(A708,'Dados-Status-Invest'!$1:$1000,5,FALSE()),"")</f>
        <v/>
      </c>
      <c r="G708" s="8" t="str">
        <f aca="false">IFERROR(D708/VLOOKUP(A708,'Dados-Status-Invest'!$1:$1000,6,FALSE()),"")</f>
        <v/>
      </c>
      <c r="H708" s="8" t="str">
        <f aca="false">IFERROR(VLOOKUP(A708,'Dados-Status-Invest'!$1:$1000,12,FALSE())*J708,"")</f>
        <v/>
      </c>
      <c r="I708" s="8" t="str">
        <f aca="false">IFERROR(D708/VLOOKUP(A708,'Dados-Status-Invest'!$1:$1000,14,FALSE()),"")</f>
        <v/>
      </c>
      <c r="J708" s="9" t="str">
        <f aca="false">IFERROR(D708/VLOOKUP(A708,'Dados-Status-Invest'!$1:$1000,10,FALSE()),"")</f>
        <v/>
      </c>
      <c r="K708" s="10" t="str">
        <f aca="false">IFERROR(VLOOKUP(A708,'Dados-Status-Invest'!$1:$1000,3,FALSE())/100,"")</f>
        <v/>
      </c>
      <c r="L708" s="11" t="str">
        <f aca="false">IFERROR(VLOOKUP(A708,'Dados-Status-Invest'!$1:$1000,MATCH(L$1,'Dados-Status-Invest'!$2:$2,0),FALSE())/100,"")</f>
        <v/>
      </c>
      <c r="M708" s="10" t="str">
        <f aca="false">IFERROR(VLOOKUP(A708,'Dados-Status-Invest'!$1:$1000,MATCH(M$1,'Dados-Status-Invest'!$2:$2,0),FALSE())/100,"")</f>
        <v/>
      </c>
      <c r="N708" s="10" t="str">
        <f aca="false">IFERROR(VLOOKUP(A708,'Dados-Status-Invest'!$1:$1000,MATCH(N$1,'Dados-Status-Invest'!$2:$2,0),FALSE())/100,"")</f>
        <v/>
      </c>
      <c r="O708" s="10" t="str">
        <f aca="false">IFERROR(VLOOKUP(A708,'Dados-Status-Invest'!$1:$1000,MATCH(O$1,'Dados-Status-Invest'!$2:$2,0),FALSE())/100,"")</f>
        <v/>
      </c>
      <c r="P708" s="10" t="str">
        <f aca="false">IFERROR(VLOOKUP(A708,'Dados-Status-Invest'!$1:$1000,MATCH(P$1,'Dados-Status-Invest'!$2:$2,0),FALSE())/100,"")</f>
        <v/>
      </c>
      <c r="Q708" s="10" t="str">
        <f aca="false">IFERROR(VLOOKUP(A708,'Dados-Status-Invest'!$1:$1000,MATCH(Q$1,'Dados-Status-Invest'!$2:$2,0),FALSE())/100,"")</f>
        <v/>
      </c>
      <c r="R708" s="12" t="str">
        <f aca="false">IFERROR(VLOOKUP(A708,'Dados-Status-Invest'!$1:$1000,MATCH(R$1,'Dados-Status-Invest'!$2:$2,0),FALSE()),"")</f>
        <v/>
      </c>
      <c r="S708" s="12" t="str">
        <f aca="false">IFERROR(VLOOKUP(A708,'Dados-Status-Invest'!$1:$1000,MATCH(S$1,'Dados-Status-Invest'!$2:$2,0),FALSE()),"")</f>
        <v/>
      </c>
      <c r="T708" s="12" t="str">
        <f aca="false">IFERROR(VLOOKUP(A708,'Dados-Status-Invest'!$1:$1000,MATCH(T$1,'Dados-Status-Invest'!$2:$2,0),FALSE()),"")</f>
        <v/>
      </c>
      <c r="U708" s="12" t="str">
        <f aca="false">IFERROR(VLOOKUP(A708,'Dados-Status-Invest'!$1:$1000,MATCH(U$1,'Dados-Status-Invest'!$2:$2,0),FALSE()),"")</f>
        <v/>
      </c>
      <c r="V708" s="12" t="str">
        <f aca="false">IFERROR(VLOOKUP(A708,'Dados-Status-Invest'!$1:$1000,MATCH(V$1,'Dados-Status-Invest'!$2:$2,0),FALSE()),"")</f>
        <v/>
      </c>
      <c r="W708" s="10" t="str">
        <f aca="false">IFERROR(VLOOKUP(A708,'Dados-Status-Invest'!$1:$1000,MATCH(W$1,'Dados-Status-Invest'!$2:$2,0),FALSE())/100,"")</f>
        <v/>
      </c>
      <c r="X708" s="10" t="str">
        <f aca="false">IFERROR(VLOOKUP(A708,'Dados-Status-Invest'!$1:$1000,MATCH(X$1,'Dados-Status-Invest'!$2:$2,0),FALSE())/100,"")</f>
        <v/>
      </c>
    </row>
    <row r="709" customFormat="false" ht="15.75" hidden="false" customHeight="false" outlineLevel="0" collapsed="false">
      <c r="B709" s="7" t="str">
        <f aca="false">IFERROR(VLOOKUP(LEFT(A709,4),Setor!A:D,2,FALSE()),"")</f>
        <v/>
      </c>
      <c r="C709" s="8" t="str">
        <f aca="false">IFERROR(__xludf.dummyfunction("IFERROR(IFERROR(GOOGLEFINANCE(A715,""price""),VLOOKUP(A715,'Dados-Status-Invest'!A:B,2,FALSE)),"""")"),"")</f>
        <v/>
      </c>
      <c r="D709" s="8" t="str">
        <f aca="false">IFERROR(VLOOKUP(A709,'Dados-Status-Invest'!$1:$1000,MATCH(D$1,'Dados-Status-Invest'!$2:$2,0),FALSE()),"")</f>
        <v/>
      </c>
      <c r="E709" s="8" t="e">
        <f aca="false">IF(D709+H709&gt;0,D709+H709,"")</f>
        <v>#VALUE!</v>
      </c>
      <c r="F709" s="8" t="str">
        <f aca="false">IFERROR(D709/VLOOKUP(A709,'Dados-Status-Invest'!$1:$1000,5,FALSE()),"")</f>
        <v/>
      </c>
      <c r="G709" s="8" t="str">
        <f aca="false">IFERROR(D709/VLOOKUP(A709,'Dados-Status-Invest'!$1:$1000,6,FALSE()),"")</f>
        <v/>
      </c>
      <c r="H709" s="8" t="str">
        <f aca="false">IFERROR(VLOOKUP(A709,'Dados-Status-Invest'!$1:$1000,12,FALSE())*J709,"")</f>
        <v/>
      </c>
      <c r="I709" s="8" t="str">
        <f aca="false">IFERROR(D709/VLOOKUP(A709,'Dados-Status-Invest'!$1:$1000,14,FALSE()),"")</f>
        <v/>
      </c>
      <c r="J709" s="9" t="str">
        <f aca="false">IFERROR(D709/VLOOKUP(A709,'Dados-Status-Invest'!$1:$1000,10,FALSE()),"")</f>
        <v/>
      </c>
      <c r="K709" s="10" t="str">
        <f aca="false">IFERROR(VLOOKUP(A709,'Dados-Status-Invest'!$1:$1000,3,FALSE())/100,"")</f>
        <v/>
      </c>
      <c r="L709" s="11" t="str">
        <f aca="false">IFERROR(VLOOKUP(A709,'Dados-Status-Invest'!$1:$1000,MATCH(L$1,'Dados-Status-Invest'!$2:$2,0),FALSE())/100,"")</f>
        <v/>
      </c>
      <c r="M709" s="10" t="str">
        <f aca="false">IFERROR(VLOOKUP(A709,'Dados-Status-Invest'!$1:$1000,MATCH(M$1,'Dados-Status-Invest'!$2:$2,0),FALSE())/100,"")</f>
        <v/>
      </c>
      <c r="N709" s="10" t="str">
        <f aca="false">IFERROR(VLOOKUP(A709,'Dados-Status-Invest'!$1:$1000,MATCH(N$1,'Dados-Status-Invest'!$2:$2,0),FALSE())/100,"")</f>
        <v/>
      </c>
      <c r="O709" s="10" t="str">
        <f aca="false">IFERROR(VLOOKUP(A709,'Dados-Status-Invest'!$1:$1000,MATCH(O$1,'Dados-Status-Invest'!$2:$2,0),FALSE())/100,"")</f>
        <v/>
      </c>
      <c r="P709" s="10" t="str">
        <f aca="false">IFERROR(VLOOKUP(A709,'Dados-Status-Invest'!$1:$1000,MATCH(P$1,'Dados-Status-Invest'!$2:$2,0),FALSE())/100,"")</f>
        <v/>
      </c>
      <c r="Q709" s="10" t="str">
        <f aca="false">IFERROR(VLOOKUP(A709,'Dados-Status-Invest'!$1:$1000,MATCH(Q$1,'Dados-Status-Invest'!$2:$2,0),FALSE())/100,"")</f>
        <v/>
      </c>
      <c r="R709" s="12" t="str">
        <f aca="false">IFERROR(VLOOKUP(A709,'Dados-Status-Invest'!$1:$1000,MATCH(R$1,'Dados-Status-Invest'!$2:$2,0),FALSE()),"")</f>
        <v/>
      </c>
      <c r="S709" s="12" t="str">
        <f aca="false">IFERROR(VLOOKUP(A709,'Dados-Status-Invest'!$1:$1000,MATCH(S$1,'Dados-Status-Invest'!$2:$2,0),FALSE()),"")</f>
        <v/>
      </c>
      <c r="T709" s="12" t="str">
        <f aca="false">IFERROR(VLOOKUP(A709,'Dados-Status-Invest'!$1:$1000,MATCH(T$1,'Dados-Status-Invest'!$2:$2,0),FALSE()),"")</f>
        <v/>
      </c>
      <c r="U709" s="12" t="str">
        <f aca="false">IFERROR(VLOOKUP(A709,'Dados-Status-Invest'!$1:$1000,MATCH(U$1,'Dados-Status-Invest'!$2:$2,0),FALSE()),"")</f>
        <v/>
      </c>
      <c r="V709" s="12" t="str">
        <f aca="false">IFERROR(VLOOKUP(A709,'Dados-Status-Invest'!$1:$1000,MATCH(V$1,'Dados-Status-Invest'!$2:$2,0),FALSE()),"")</f>
        <v/>
      </c>
      <c r="W709" s="10" t="str">
        <f aca="false">IFERROR(VLOOKUP(A709,'Dados-Status-Invest'!$1:$1000,MATCH(W$1,'Dados-Status-Invest'!$2:$2,0),FALSE())/100,"")</f>
        <v/>
      </c>
      <c r="X709" s="10" t="str">
        <f aca="false">IFERROR(VLOOKUP(A709,'Dados-Status-Invest'!$1:$1000,MATCH(X$1,'Dados-Status-Invest'!$2:$2,0),FALSE())/100,"")</f>
        <v/>
      </c>
    </row>
    <row r="710" customFormat="false" ht="15.75" hidden="false" customHeight="false" outlineLevel="0" collapsed="false">
      <c r="B710" s="7" t="str">
        <f aca="false">IFERROR(VLOOKUP(LEFT(A710,4),Setor!A:D,2,FALSE()),"")</f>
        <v/>
      </c>
      <c r="C710" s="8" t="str">
        <f aca="false">IFERROR(__xludf.dummyfunction("IFERROR(IFERROR(GOOGLEFINANCE(A716,""price""),VLOOKUP(A716,'Dados-Status-Invest'!A:B,2,FALSE)),"""")"),"")</f>
        <v/>
      </c>
      <c r="D710" s="8" t="str">
        <f aca="false">IFERROR(VLOOKUP(A710,'Dados-Status-Invest'!$1:$1000,MATCH(D$1,'Dados-Status-Invest'!$2:$2,0),FALSE()),"")</f>
        <v/>
      </c>
      <c r="E710" s="8" t="e">
        <f aca="false">IF(D710+H710&gt;0,D710+H710,"")</f>
        <v>#VALUE!</v>
      </c>
      <c r="F710" s="8" t="str">
        <f aca="false">IFERROR(D710/VLOOKUP(A710,'Dados-Status-Invest'!$1:$1000,5,FALSE()),"")</f>
        <v/>
      </c>
      <c r="G710" s="8" t="str">
        <f aca="false">IFERROR(D710/VLOOKUP(A710,'Dados-Status-Invest'!$1:$1000,6,FALSE()),"")</f>
        <v/>
      </c>
      <c r="H710" s="8" t="str">
        <f aca="false">IFERROR(VLOOKUP(A710,'Dados-Status-Invest'!$1:$1000,12,FALSE())*J710,"")</f>
        <v/>
      </c>
      <c r="I710" s="8" t="str">
        <f aca="false">IFERROR(D710/VLOOKUP(A710,'Dados-Status-Invest'!$1:$1000,14,FALSE()),"")</f>
        <v/>
      </c>
      <c r="J710" s="9" t="str">
        <f aca="false">IFERROR(D710/VLOOKUP(A710,'Dados-Status-Invest'!$1:$1000,10,FALSE()),"")</f>
        <v/>
      </c>
      <c r="K710" s="10" t="str">
        <f aca="false">IFERROR(VLOOKUP(A710,'Dados-Status-Invest'!$1:$1000,3,FALSE())/100,"")</f>
        <v/>
      </c>
      <c r="L710" s="11" t="str">
        <f aca="false">IFERROR(VLOOKUP(A710,'Dados-Status-Invest'!$1:$1000,MATCH(L$1,'Dados-Status-Invest'!$2:$2,0),FALSE())/100,"")</f>
        <v/>
      </c>
      <c r="M710" s="10" t="str">
        <f aca="false">IFERROR(VLOOKUP(A710,'Dados-Status-Invest'!$1:$1000,MATCH(M$1,'Dados-Status-Invest'!$2:$2,0),FALSE())/100,"")</f>
        <v/>
      </c>
      <c r="N710" s="10" t="str">
        <f aca="false">IFERROR(VLOOKUP(A710,'Dados-Status-Invest'!$1:$1000,MATCH(N$1,'Dados-Status-Invest'!$2:$2,0),FALSE())/100,"")</f>
        <v/>
      </c>
      <c r="O710" s="10" t="str">
        <f aca="false">IFERROR(VLOOKUP(A710,'Dados-Status-Invest'!$1:$1000,MATCH(O$1,'Dados-Status-Invest'!$2:$2,0),FALSE())/100,"")</f>
        <v/>
      </c>
      <c r="P710" s="10" t="str">
        <f aca="false">IFERROR(VLOOKUP(A710,'Dados-Status-Invest'!$1:$1000,MATCH(P$1,'Dados-Status-Invest'!$2:$2,0),FALSE())/100,"")</f>
        <v/>
      </c>
      <c r="Q710" s="10" t="str">
        <f aca="false">IFERROR(VLOOKUP(A710,'Dados-Status-Invest'!$1:$1000,MATCH(Q$1,'Dados-Status-Invest'!$2:$2,0),FALSE())/100,"")</f>
        <v/>
      </c>
      <c r="R710" s="12" t="str">
        <f aca="false">IFERROR(VLOOKUP(A710,'Dados-Status-Invest'!$1:$1000,MATCH(R$1,'Dados-Status-Invest'!$2:$2,0),FALSE()),"")</f>
        <v/>
      </c>
      <c r="S710" s="12" t="str">
        <f aca="false">IFERROR(VLOOKUP(A710,'Dados-Status-Invest'!$1:$1000,MATCH(S$1,'Dados-Status-Invest'!$2:$2,0),FALSE()),"")</f>
        <v/>
      </c>
      <c r="T710" s="12" t="str">
        <f aca="false">IFERROR(VLOOKUP(A710,'Dados-Status-Invest'!$1:$1000,MATCH(T$1,'Dados-Status-Invest'!$2:$2,0),FALSE()),"")</f>
        <v/>
      </c>
      <c r="U710" s="12" t="str">
        <f aca="false">IFERROR(VLOOKUP(A710,'Dados-Status-Invest'!$1:$1000,MATCH(U$1,'Dados-Status-Invest'!$2:$2,0),FALSE()),"")</f>
        <v/>
      </c>
      <c r="V710" s="12" t="str">
        <f aca="false">IFERROR(VLOOKUP(A710,'Dados-Status-Invest'!$1:$1000,MATCH(V$1,'Dados-Status-Invest'!$2:$2,0),FALSE()),"")</f>
        <v/>
      </c>
      <c r="W710" s="10" t="str">
        <f aca="false">IFERROR(VLOOKUP(A710,'Dados-Status-Invest'!$1:$1000,MATCH(W$1,'Dados-Status-Invest'!$2:$2,0),FALSE())/100,"")</f>
        <v/>
      </c>
      <c r="X710" s="10" t="str">
        <f aca="false">IFERROR(VLOOKUP(A710,'Dados-Status-Invest'!$1:$1000,MATCH(X$1,'Dados-Status-Invest'!$2:$2,0),FALSE())/100,"")</f>
        <v/>
      </c>
    </row>
    <row r="711" customFormat="false" ht="15.75" hidden="false" customHeight="false" outlineLevel="0" collapsed="false">
      <c r="B711" s="7" t="str">
        <f aca="false">IFERROR(VLOOKUP(LEFT(A711,4),Setor!A:D,2,FALSE()),"")</f>
        <v/>
      </c>
      <c r="C711" s="8" t="str">
        <f aca="false">IFERROR(__xludf.dummyfunction("IFERROR(IFERROR(GOOGLEFINANCE(A717,""price""),VLOOKUP(A717,'Dados-Status-Invest'!A:B,2,FALSE)),"""")"),"")</f>
        <v/>
      </c>
      <c r="D711" s="8" t="str">
        <f aca="false">IFERROR(VLOOKUP(A711,'Dados-Status-Invest'!$1:$1000,MATCH(D$1,'Dados-Status-Invest'!$2:$2,0),FALSE()),"")</f>
        <v/>
      </c>
      <c r="E711" s="8" t="e">
        <f aca="false">IF(D711+H711&gt;0,D711+H711,"")</f>
        <v>#VALUE!</v>
      </c>
      <c r="F711" s="8" t="str">
        <f aca="false">IFERROR(D711/VLOOKUP(A711,'Dados-Status-Invest'!$1:$1000,5,FALSE()),"")</f>
        <v/>
      </c>
      <c r="G711" s="8" t="str">
        <f aca="false">IFERROR(D711/VLOOKUP(A711,'Dados-Status-Invest'!$1:$1000,6,FALSE()),"")</f>
        <v/>
      </c>
      <c r="H711" s="8" t="str">
        <f aca="false">IFERROR(VLOOKUP(A711,'Dados-Status-Invest'!$1:$1000,12,FALSE())*J711,"")</f>
        <v/>
      </c>
      <c r="I711" s="8" t="str">
        <f aca="false">IFERROR(D711/VLOOKUP(A711,'Dados-Status-Invest'!$1:$1000,14,FALSE()),"")</f>
        <v/>
      </c>
      <c r="J711" s="9" t="str">
        <f aca="false">IFERROR(D711/VLOOKUP(A711,'Dados-Status-Invest'!$1:$1000,10,FALSE()),"")</f>
        <v/>
      </c>
      <c r="K711" s="10" t="str">
        <f aca="false">IFERROR(VLOOKUP(A711,'Dados-Status-Invest'!$1:$1000,3,FALSE())/100,"")</f>
        <v/>
      </c>
      <c r="L711" s="11" t="str">
        <f aca="false">IFERROR(VLOOKUP(A711,'Dados-Status-Invest'!$1:$1000,MATCH(L$1,'Dados-Status-Invest'!$2:$2,0),FALSE())/100,"")</f>
        <v/>
      </c>
      <c r="M711" s="10" t="str">
        <f aca="false">IFERROR(VLOOKUP(A711,'Dados-Status-Invest'!$1:$1000,MATCH(M$1,'Dados-Status-Invest'!$2:$2,0),FALSE())/100,"")</f>
        <v/>
      </c>
      <c r="N711" s="10" t="str">
        <f aca="false">IFERROR(VLOOKUP(A711,'Dados-Status-Invest'!$1:$1000,MATCH(N$1,'Dados-Status-Invest'!$2:$2,0),FALSE())/100,"")</f>
        <v/>
      </c>
      <c r="O711" s="10" t="str">
        <f aca="false">IFERROR(VLOOKUP(A711,'Dados-Status-Invest'!$1:$1000,MATCH(O$1,'Dados-Status-Invest'!$2:$2,0),FALSE())/100,"")</f>
        <v/>
      </c>
      <c r="P711" s="10" t="str">
        <f aca="false">IFERROR(VLOOKUP(A711,'Dados-Status-Invest'!$1:$1000,MATCH(P$1,'Dados-Status-Invest'!$2:$2,0),FALSE())/100,"")</f>
        <v/>
      </c>
      <c r="Q711" s="10" t="str">
        <f aca="false">IFERROR(VLOOKUP(A711,'Dados-Status-Invest'!$1:$1000,MATCH(Q$1,'Dados-Status-Invest'!$2:$2,0),FALSE())/100,"")</f>
        <v/>
      </c>
      <c r="R711" s="12" t="str">
        <f aca="false">IFERROR(VLOOKUP(A711,'Dados-Status-Invest'!$1:$1000,MATCH(R$1,'Dados-Status-Invest'!$2:$2,0),FALSE()),"")</f>
        <v/>
      </c>
      <c r="S711" s="12" t="str">
        <f aca="false">IFERROR(VLOOKUP(A711,'Dados-Status-Invest'!$1:$1000,MATCH(S$1,'Dados-Status-Invest'!$2:$2,0),FALSE()),"")</f>
        <v/>
      </c>
      <c r="T711" s="12" t="str">
        <f aca="false">IFERROR(VLOOKUP(A711,'Dados-Status-Invest'!$1:$1000,MATCH(T$1,'Dados-Status-Invest'!$2:$2,0),FALSE()),"")</f>
        <v/>
      </c>
      <c r="U711" s="12" t="str">
        <f aca="false">IFERROR(VLOOKUP(A711,'Dados-Status-Invest'!$1:$1000,MATCH(U$1,'Dados-Status-Invest'!$2:$2,0),FALSE()),"")</f>
        <v/>
      </c>
      <c r="V711" s="12" t="str">
        <f aca="false">IFERROR(VLOOKUP(A711,'Dados-Status-Invest'!$1:$1000,MATCH(V$1,'Dados-Status-Invest'!$2:$2,0),FALSE()),"")</f>
        <v/>
      </c>
      <c r="W711" s="10" t="str">
        <f aca="false">IFERROR(VLOOKUP(A711,'Dados-Status-Invest'!$1:$1000,MATCH(W$1,'Dados-Status-Invest'!$2:$2,0),FALSE())/100,"")</f>
        <v/>
      </c>
      <c r="X711" s="10" t="str">
        <f aca="false">IFERROR(VLOOKUP(A711,'Dados-Status-Invest'!$1:$1000,MATCH(X$1,'Dados-Status-Invest'!$2:$2,0),FALSE())/100,"")</f>
        <v/>
      </c>
    </row>
    <row r="712" customFormat="false" ht="15.75" hidden="false" customHeight="false" outlineLevel="0" collapsed="false">
      <c r="B712" s="7" t="str">
        <f aca="false">IFERROR(VLOOKUP(LEFT(A712,4),Setor!A:D,2,FALSE()),"")</f>
        <v/>
      </c>
      <c r="C712" s="8" t="str">
        <f aca="false">IFERROR(__xludf.dummyfunction("IFERROR(IFERROR(GOOGLEFINANCE(A718,""price""),VLOOKUP(A718,'Dados-Status-Invest'!A:B,2,FALSE)),"""")"),"")</f>
        <v/>
      </c>
      <c r="D712" s="8" t="str">
        <f aca="false">IFERROR(VLOOKUP(A712,'Dados-Status-Invest'!$1:$1000,MATCH(D$1,'Dados-Status-Invest'!$2:$2,0),FALSE()),"")</f>
        <v/>
      </c>
      <c r="E712" s="8" t="e">
        <f aca="false">IF(D712+H712&gt;0,D712+H712,"")</f>
        <v>#VALUE!</v>
      </c>
      <c r="F712" s="8" t="str">
        <f aca="false">IFERROR(D712/VLOOKUP(A712,'Dados-Status-Invest'!$1:$1000,5,FALSE()),"")</f>
        <v/>
      </c>
      <c r="G712" s="8" t="str">
        <f aca="false">IFERROR(D712/VLOOKUP(A712,'Dados-Status-Invest'!$1:$1000,6,FALSE()),"")</f>
        <v/>
      </c>
      <c r="H712" s="8" t="str">
        <f aca="false">IFERROR(VLOOKUP(A712,'Dados-Status-Invest'!$1:$1000,12,FALSE())*J712,"")</f>
        <v/>
      </c>
      <c r="I712" s="8" t="str">
        <f aca="false">IFERROR(D712/VLOOKUP(A712,'Dados-Status-Invest'!$1:$1000,14,FALSE()),"")</f>
        <v/>
      </c>
      <c r="J712" s="9" t="str">
        <f aca="false">IFERROR(D712/VLOOKUP(A712,'Dados-Status-Invest'!$1:$1000,10,FALSE()),"")</f>
        <v/>
      </c>
      <c r="K712" s="10" t="str">
        <f aca="false">IFERROR(VLOOKUP(A712,'Dados-Status-Invest'!$1:$1000,3,FALSE())/100,"")</f>
        <v/>
      </c>
      <c r="L712" s="11" t="str">
        <f aca="false">IFERROR(VLOOKUP(A712,'Dados-Status-Invest'!$1:$1000,MATCH(L$1,'Dados-Status-Invest'!$2:$2,0),FALSE())/100,"")</f>
        <v/>
      </c>
      <c r="M712" s="10" t="str">
        <f aca="false">IFERROR(VLOOKUP(A712,'Dados-Status-Invest'!$1:$1000,MATCH(M$1,'Dados-Status-Invest'!$2:$2,0),FALSE())/100,"")</f>
        <v/>
      </c>
      <c r="N712" s="10" t="str">
        <f aca="false">IFERROR(VLOOKUP(A712,'Dados-Status-Invest'!$1:$1000,MATCH(N$1,'Dados-Status-Invest'!$2:$2,0),FALSE())/100,"")</f>
        <v/>
      </c>
      <c r="O712" s="10" t="str">
        <f aca="false">IFERROR(VLOOKUP(A712,'Dados-Status-Invest'!$1:$1000,MATCH(O$1,'Dados-Status-Invest'!$2:$2,0),FALSE())/100,"")</f>
        <v/>
      </c>
      <c r="P712" s="10" t="str">
        <f aca="false">IFERROR(VLOOKUP(A712,'Dados-Status-Invest'!$1:$1000,MATCH(P$1,'Dados-Status-Invest'!$2:$2,0),FALSE())/100,"")</f>
        <v/>
      </c>
      <c r="Q712" s="10" t="str">
        <f aca="false">IFERROR(VLOOKUP(A712,'Dados-Status-Invest'!$1:$1000,MATCH(Q$1,'Dados-Status-Invest'!$2:$2,0),FALSE())/100,"")</f>
        <v/>
      </c>
      <c r="R712" s="12" t="str">
        <f aca="false">IFERROR(VLOOKUP(A712,'Dados-Status-Invest'!$1:$1000,MATCH(R$1,'Dados-Status-Invest'!$2:$2,0),FALSE()),"")</f>
        <v/>
      </c>
      <c r="S712" s="12" t="str">
        <f aca="false">IFERROR(VLOOKUP(A712,'Dados-Status-Invest'!$1:$1000,MATCH(S$1,'Dados-Status-Invest'!$2:$2,0),FALSE()),"")</f>
        <v/>
      </c>
      <c r="T712" s="12" t="str">
        <f aca="false">IFERROR(VLOOKUP(A712,'Dados-Status-Invest'!$1:$1000,MATCH(T$1,'Dados-Status-Invest'!$2:$2,0),FALSE()),"")</f>
        <v/>
      </c>
      <c r="U712" s="12" t="str">
        <f aca="false">IFERROR(VLOOKUP(A712,'Dados-Status-Invest'!$1:$1000,MATCH(U$1,'Dados-Status-Invest'!$2:$2,0),FALSE()),"")</f>
        <v/>
      </c>
      <c r="V712" s="12" t="str">
        <f aca="false">IFERROR(VLOOKUP(A712,'Dados-Status-Invest'!$1:$1000,MATCH(V$1,'Dados-Status-Invest'!$2:$2,0),FALSE()),"")</f>
        <v/>
      </c>
      <c r="W712" s="10" t="str">
        <f aca="false">IFERROR(VLOOKUP(A712,'Dados-Status-Invest'!$1:$1000,MATCH(W$1,'Dados-Status-Invest'!$2:$2,0),FALSE())/100,"")</f>
        <v/>
      </c>
      <c r="X712" s="10" t="str">
        <f aca="false">IFERROR(VLOOKUP(A712,'Dados-Status-Invest'!$1:$1000,MATCH(X$1,'Dados-Status-Invest'!$2:$2,0),FALSE())/100,"")</f>
        <v/>
      </c>
    </row>
    <row r="713" customFormat="false" ht="15.75" hidden="false" customHeight="false" outlineLevel="0" collapsed="false">
      <c r="B713" s="7" t="str">
        <f aca="false">IFERROR(VLOOKUP(LEFT(A713,4),Setor!A:D,2,FALSE()),"")</f>
        <v/>
      </c>
      <c r="C713" s="8" t="str">
        <f aca="false">IFERROR(__xludf.dummyfunction("IFERROR(IFERROR(GOOGLEFINANCE(A719,""price""),VLOOKUP(A719,'Dados-Status-Invest'!A:B,2,FALSE)),"""")"),"")</f>
        <v/>
      </c>
      <c r="D713" s="8" t="str">
        <f aca="false">IFERROR(VLOOKUP(A713,'Dados-Status-Invest'!$1:$1000,MATCH(D$1,'Dados-Status-Invest'!$2:$2,0),FALSE()),"")</f>
        <v/>
      </c>
      <c r="E713" s="8" t="e">
        <f aca="false">IF(D713+H713&gt;0,D713+H713,"")</f>
        <v>#VALUE!</v>
      </c>
      <c r="F713" s="8" t="str">
        <f aca="false">IFERROR(D713/VLOOKUP(A713,'Dados-Status-Invest'!$1:$1000,5,FALSE()),"")</f>
        <v/>
      </c>
      <c r="G713" s="8" t="str">
        <f aca="false">IFERROR(D713/VLOOKUP(A713,'Dados-Status-Invest'!$1:$1000,6,FALSE()),"")</f>
        <v/>
      </c>
      <c r="H713" s="8" t="str">
        <f aca="false">IFERROR(VLOOKUP(A713,'Dados-Status-Invest'!$1:$1000,12,FALSE())*J713,"")</f>
        <v/>
      </c>
      <c r="I713" s="8" t="str">
        <f aca="false">IFERROR(D713/VLOOKUP(A713,'Dados-Status-Invest'!$1:$1000,14,FALSE()),"")</f>
        <v/>
      </c>
      <c r="J713" s="9" t="str">
        <f aca="false">IFERROR(D713/VLOOKUP(A713,'Dados-Status-Invest'!$1:$1000,10,FALSE()),"")</f>
        <v/>
      </c>
      <c r="K713" s="10" t="str">
        <f aca="false">IFERROR(VLOOKUP(A713,'Dados-Status-Invest'!$1:$1000,3,FALSE())/100,"")</f>
        <v/>
      </c>
      <c r="L713" s="11" t="str">
        <f aca="false">IFERROR(VLOOKUP(A713,'Dados-Status-Invest'!$1:$1000,MATCH(L$1,'Dados-Status-Invest'!$2:$2,0),FALSE())/100,"")</f>
        <v/>
      </c>
      <c r="M713" s="10" t="str">
        <f aca="false">IFERROR(VLOOKUP(A713,'Dados-Status-Invest'!$1:$1000,MATCH(M$1,'Dados-Status-Invest'!$2:$2,0),FALSE())/100,"")</f>
        <v/>
      </c>
      <c r="N713" s="10" t="str">
        <f aca="false">IFERROR(VLOOKUP(A713,'Dados-Status-Invest'!$1:$1000,MATCH(N$1,'Dados-Status-Invest'!$2:$2,0),FALSE())/100,"")</f>
        <v/>
      </c>
      <c r="O713" s="10" t="str">
        <f aca="false">IFERROR(VLOOKUP(A713,'Dados-Status-Invest'!$1:$1000,MATCH(O$1,'Dados-Status-Invest'!$2:$2,0),FALSE())/100,"")</f>
        <v/>
      </c>
      <c r="P713" s="10" t="str">
        <f aca="false">IFERROR(VLOOKUP(A713,'Dados-Status-Invest'!$1:$1000,MATCH(P$1,'Dados-Status-Invest'!$2:$2,0),FALSE())/100,"")</f>
        <v/>
      </c>
      <c r="Q713" s="10" t="str">
        <f aca="false">IFERROR(VLOOKUP(A713,'Dados-Status-Invest'!$1:$1000,MATCH(Q$1,'Dados-Status-Invest'!$2:$2,0),FALSE())/100,"")</f>
        <v/>
      </c>
      <c r="R713" s="12" t="str">
        <f aca="false">IFERROR(VLOOKUP(A713,'Dados-Status-Invest'!$1:$1000,MATCH(R$1,'Dados-Status-Invest'!$2:$2,0),FALSE()),"")</f>
        <v/>
      </c>
      <c r="S713" s="12" t="str">
        <f aca="false">IFERROR(VLOOKUP(A713,'Dados-Status-Invest'!$1:$1000,MATCH(S$1,'Dados-Status-Invest'!$2:$2,0),FALSE()),"")</f>
        <v/>
      </c>
      <c r="T713" s="12" t="str">
        <f aca="false">IFERROR(VLOOKUP(A713,'Dados-Status-Invest'!$1:$1000,MATCH(T$1,'Dados-Status-Invest'!$2:$2,0),FALSE()),"")</f>
        <v/>
      </c>
      <c r="U713" s="12" t="str">
        <f aca="false">IFERROR(VLOOKUP(A713,'Dados-Status-Invest'!$1:$1000,MATCH(U$1,'Dados-Status-Invest'!$2:$2,0),FALSE()),"")</f>
        <v/>
      </c>
      <c r="V713" s="12" t="str">
        <f aca="false">IFERROR(VLOOKUP(A713,'Dados-Status-Invest'!$1:$1000,MATCH(V$1,'Dados-Status-Invest'!$2:$2,0),FALSE()),"")</f>
        <v/>
      </c>
      <c r="W713" s="10" t="str">
        <f aca="false">IFERROR(VLOOKUP(A713,'Dados-Status-Invest'!$1:$1000,MATCH(W$1,'Dados-Status-Invest'!$2:$2,0),FALSE())/100,"")</f>
        <v/>
      </c>
      <c r="X713" s="10" t="str">
        <f aca="false">IFERROR(VLOOKUP(A713,'Dados-Status-Invest'!$1:$1000,MATCH(X$1,'Dados-Status-Invest'!$2:$2,0),FALSE())/100,"")</f>
        <v/>
      </c>
    </row>
    <row r="714" customFormat="false" ht="15.75" hidden="false" customHeight="false" outlineLevel="0" collapsed="false">
      <c r="B714" s="7" t="str">
        <f aca="false">IFERROR(VLOOKUP(LEFT(A714,4),Setor!A:D,2,FALSE()),"")</f>
        <v/>
      </c>
      <c r="C714" s="8" t="str">
        <f aca="false">IFERROR(__xludf.dummyfunction("IFERROR(IFERROR(GOOGLEFINANCE(A720,""price""),VLOOKUP(A720,'Dados-Status-Invest'!A:B,2,FALSE)),"""")"),"")</f>
        <v/>
      </c>
      <c r="D714" s="8" t="str">
        <f aca="false">IFERROR(VLOOKUP(A714,'Dados-Status-Invest'!$1:$1000,MATCH(D$1,'Dados-Status-Invest'!$2:$2,0),FALSE()),"")</f>
        <v/>
      </c>
      <c r="E714" s="8" t="e">
        <f aca="false">IF(D714+H714&gt;0,D714+H714,"")</f>
        <v>#VALUE!</v>
      </c>
      <c r="F714" s="8" t="str">
        <f aca="false">IFERROR(D714/VLOOKUP(A714,'Dados-Status-Invest'!$1:$1000,5,FALSE()),"")</f>
        <v/>
      </c>
      <c r="G714" s="8" t="str">
        <f aca="false">IFERROR(D714/VLOOKUP(A714,'Dados-Status-Invest'!$1:$1000,6,FALSE()),"")</f>
        <v/>
      </c>
      <c r="H714" s="8" t="str">
        <f aca="false">IFERROR(VLOOKUP(A714,'Dados-Status-Invest'!$1:$1000,12,FALSE())*J714,"")</f>
        <v/>
      </c>
      <c r="I714" s="8" t="str">
        <f aca="false">IFERROR(D714/VLOOKUP(A714,'Dados-Status-Invest'!$1:$1000,14,FALSE()),"")</f>
        <v/>
      </c>
      <c r="J714" s="9" t="str">
        <f aca="false">IFERROR(D714/VLOOKUP(A714,'Dados-Status-Invest'!$1:$1000,10,FALSE()),"")</f>
        <v/>
      </c>
      <c r="K714" s="10" t="str">
        <f aca="false">IFERROR(VLOOKUP(A714,'Dados-Status-Invest'!$1:$1000,3,FALSE())/100,"")</f>
        <v/>
      </c>
      <c r="L714" s="11" t="str">
        <f aca="false">IFERROR(VLOOKUP(A714,'Dados-Status-Invest'!$1:$1000,MATCH(L$1,'Dados-Status-Invest'!$2:$2,0),FALSE())/100,"")</f>
        <v/>
      </c>
      <c r="M714" s="10" t="str">
        <f aca="false">IFERROR(VLOOKUP(A714,'Dados-Status-Invest'!$1:$1000,MATCH(M$1,'Dados-Status-Invest'!$2:$2,0),FALSE())/100,"")</f>
        <v/>
      </c>
      <c r="N714" s="10" t="str">
        <f aca="false">IFERROR(VLOOKUP(A714,'Dados-Status-Invest'!$1:$1000,MATCH(N$1,'Dados-Status-Invest'!$2:$2,0),FALSE())/100,"")</f>
        <v/>
      </c>
      <c r="O714" s="10" t="str">
        <f aca="false">IFERROR(VLOOKUP(A714,'Dados-Status-Invest'!$1:$1000,MATCH(O$1,'Dados-Status-Invest'!$2:$2,0),FALSE())/100,"")</f>
        <v/>
      </c>
      <c r="P714" s="10" t="str">
        <f aca="false">IFERROR(VLOOKUP(A714,'Dados-Status-Invest'!$1:$1000,MATCH(P$1,'Dados-Status-Invest'!$2:$2,0),FALSE())/100,"")</f>
        <v/>
      </c>
      <c r="Q714" s="10" t="str">
        <f aca="false">IFERROR(VLOOKUP(A714,'Dados-Status-Invest'!$1:$1000,MATCH(Q$1,'Dados-Status-Invest'!$2:$2,0),FALSE())/100,"")</f>
        <v/>
      </c>
      <c r="R714" s="12" t="str">
        <f aca="false">IFERROR(VLOOKUP(A714,'Dados-Status-Invest'!$1:$1000,MATCH(R$1,'Dados-Status-Invest'!$2:$2,0),FALSE()),"")</f>
        <v/>
      </c>
      <c r="S714" s="12" t="str">
        <f aca="false">IFERROR(VLOOKUP(A714,'Dados-Status-Invest'!$1:$1000,MATCH(S$1,'Dados-Status-Invest'!$2:$2,0),FALSE()),"")</f>
        <v/>
      </c>
      <c r="T714" s="12" t="str">
        <f aca="false">IFERROR(VLOOKUP(A714,'Dados-Status-Invest'!$1:$1000,MATCH(T$1,'Dados-Status-Invest'!$2:$2,0),FALSE()),"")</f>
        <v/>
      </c>
      <c r="U714" s="12" t="str">
        <f aca="false">IFERROR(VLOOKUP(A714,'Dados-Status-Invest'!$1:$1000,MATCH(U$1,'Dados-Status-Invest'!$2:$2,0),FALSE()),"")</f>
        <v/>
      </c>
      <c r="V714" s="12" t="str">
        <f aca="false">IFERROR(VLOOKUP(A714,'Dados-Status-Invest'!$1:$1000,MATCH(V$1,'Dados-Status-Invest'!$2:$2,0),FALSE()),"")</f>
        <v/>
      </c>
      <c r="W714" s="10" t="str">
        <f aca="false">IFERROR(VLOOKUP(A714,'Dados-Status-Invest'!$1:$1000,MATCH(W$1,'Dados-Status-Invest'!$2:$2,0),FALSE())/100,"")</f>
        <v/>
      </c>
      <c r="X714" s="10" t="str">
        <f aca="false">IFERROR(VLOOKUP(A714,'Dados-Status-Invest'!$1:$1000,MATCH(X$1,'Dados-Status-Invest'!$2:$2,0),FALSE())/100,"")</f>
        <v/>
      </c>
    </row>
    <row r="715" customFormat="false" ht="15.75" hidden="false" customHeight="false" outlineLevel="0" collapsed="false">
      <c r="B715" s="7" t="str">
        <f aca="false">IFERROR(VLOOKUP(LEFT(A715,4),Setor!A:D,2,FALSE()),"")</f>
        <v/>
      </c>
      <c r="C715" s="8" t="str">
        <f aca="false">IFERROR(__xludf.dummyfunction("IFERROR(IFERROR(GOOGLEFINANCE(A721,""price""),VLOOKUP(A721,'Dados-Status-Invest'!A:B,2,FALSE)),"""")"),"")</f>
        <v/>
      </c>
      <c r="D715" s="8" t="str">
        <f aca="false">IFERROR(VLOOKUP(A715,'Dados-Status-Invest'!$1:$1000,MATCH(D$1,'Dados-Status-Invest'!$2:$2,0),FALSE()),"")</f>
        <v/>
      </c>
      <c r="E715" s="8" t="e">
        <f aca="false">IF(D715+H715&gt;0,D715+H715,"")</f>
        <v>#VALUE!</v>
      </c>
      <c r="F715" s="8" t="str">
        <f aca="false">IFERROR(D715/VLOOKUP(A715,'Dados-Status-Invest'!$1:$1000,5,FALSE()),"")</f>
        <v/>
      </c>
      <c r="G715" s="8" t="str">
        <f aca="false">IFERROR(D715/VLOOKUP(A715,'Dados-Status-Invest'!$1:$1000,6,FALSE()),"")</f>
        <v/>
      </c>
      <c r="H715" s="8" t="str">
        <f aca="false">IFERROR(VLOOKUP(A715,'Dados-Status-Invest'!$1:$1000,12,FALSE())*J715,"")</f>
        <v/>
      </c>
      <c r="I715" s="8" t="str">
        <f aca="false">IFERROR(D715/VLOOKUP(A715,'Dados-Status-Invest'!$1:$1000,14,FALSE()),"")</f>
        <v/>
      </c>
      <c r="J715" s="9" t="str">
        <f aca="false">IFERROR(D715/VLOOKUP(A715,'Dados-Status-Invest'!$1:$1000,10,FALSE()),"")</f>
        <v/>
      </c>
      <c r="K715" s="10" t="str">
        <f aca="false">IFERROR(VLOOKUP(A715,'Dados-Status-Invest'!$1:$1000,3,FALSE())/100,"")</f>
        <v/>
      </c>
      <c r="L715" s="11" t="str">
        <f aca="false">IFERROR(VLOOKUP(A715,'Dados-Status-Invest'!$1:$1000,MATCH(L$1,'Dados-Status-Invest'!$2:$2,0),FALSE())/100,"")</f>
        <v/>
      </c>
      <c r="M715" s="10" t="str">
        <f aca="false">IFERROR(VLOOKUP(A715,'Dados-Status-Invest'!$1:$1000,MATCH(M$1,'Dados-Status-Invest'!$2:$2,0),FALSE())/100,"")</f>
        <v/>
      </c>
      <c r="N715" s="10" t="str">
        <f aca="false">IFERROR(VLOOKUP(A715,'Dados-Status-Invest'!$1:$1000,MATCH(N$1,'Dados-Status-Invest'!$2:$2,0),FALSE())/100,"")</f>
        <v/>
      </c>
      <c r="O715" s="10" t="str">
        <f aca="false">IFERROR(VLOOKUP(A715,'Dados-Status-Invest'!$1:$1000,MATCH(O$1,'Dados-Status-Invest'!$2:$2,0),FALSE())/100,"")</f>
        <v/>
      </c>
      <c r="P715" s="10" t="str">
        <f aca="false">IFERROR(VLOOKUP(A715,'Dados-Status-Invest'!$1:$1000,MATCH(P$1,'Dados-Status-Invest'!$2:$2,0),FALSE())/100,"")</f>
        <v/>
      </c>
      <c r="Q715" s="10" t="str">
        <f aca="false">IFERROR(VLOOKUP(A715,'Dados-Status-Invest'!$1:$1000,MATCH(Q$1,'Dados-Status-Invest'!$2:$2,0),FALSE())/100,"")</f>
        <v/>
      </c>
      <c r="R715" s="12" t="str">
        <f aca="false">IFERROR(VLOOKUP(A715,'Dados-Status-Invest'!$1:$1000,MATCH(R$1,'Dados-Status-Invest'!$2:$2,0),FALSE()),"")</f>
        <v/>
      </c>
      <c r="S715" s="12" t="str">
        <f aca="false">IFERROR(VLOOKUP(A715,'Dados-Status-Invest'!$1:$1000,MATCH(S$1,'Dados-Status-Invest'!$2:$2,0),FALSE()),"")</f>
        <v/>
      </c>
      <c r="T715" s="12" t="str">
        <f aca="false">IFERROR(VLOOKUP(A715,'Dados-Status-Invest'!$1:$1000,MATCH(T$1,'Dados-Status-Invest'!$2:$2,0),FALSE()),"")</f>
        <v/>
      </c>
      <c r="U715" s="12" t="str">
        <f aca="false">IFERROR(VLOOKUP(A715,'Dados-Status-Invest'!$1:$1000,MATCH(U$1,'Dados-Status-Invest'!$2:$2,0),FALSE()),"")</f>
        <v/>
      </c>
      <c r="V715" s="12" t="str">
        <f aca="false">IFERROR(VLOOKUP(A715,'Dados-Status-Invest'!$1:$1000,MATCH(V$1,'Dados-Status-Invest'!$2:$2,0),FALSE()),"")</f>
        <v/>
      </c>
      <c r="W715" s="10" t="str">
        <f aca="false">IFERROR(VLOOKUP(A715,'Dados-Status-Invest'!$1:$1000,MATCH(W$1,'Dados-Status-Invest'!$2:$2,0),FALSE())/100,"")</f>
        <v/>
      </c>
      <c r="X715" s="10" t="str">
        <f aca="false">IFERROR(VLOOKUP(A715,'Dados-Status-Invest'!$1:$1000,MATCH(X$1,'Dados-Status-Invest'!$2:$2,0),FALSE())/100,"")</f>
        <v/>
      </c>
    </row>
    <row r="716" customFormat="false" ht="15.75" hidden="false" customHeight="false" outlineLevel="0" collapsed="false">
      <c r="B716" s="7" t="str">
        <f aca="false">IFERROR(VLOOKUP(LEFT(A716,4),Setor!A:D,2,FALSE()),"")</f>
        <v/>
      </c>
      <c r="C716" s="8" t="str">
        <f aca="false">IFERROR(__xludf.dummyfunction("IFERROR(IFERROR(GOOGLEFINANCE(A722,""price""),VLOOKUP(A722,'Dados-Status-Invest'!A:B,2,FALSE)),"""")"),"")</f>
        <v/>
      </c>
      <c r="D716" s="8" t="str">
        <f aca="false">IFERROR(VLOOKUP(A716,'Dados-Status-Invest'!$1:$1000,MATCH(D$1,'Dados-Status-Invest'!$2:$2,0),FALSE()),"")</f>
        <v/>
      </c>
      <c r="E716" s="8" t="e">
        <f aca="false">IF(D716+H716&gt;0,D716+H716,"")</f>
        <v>#VALUE!</v>
      </c>
      <c r="F716" s="8" t="str">
        <f aca="false">IFERROR(D716/VLOOKUP(A716,'Dados-Status-Invest'!$1:$1000,5,FALSE()),"")</f>
        <v/>
      </c>
      <c r="G716" s="8" t="str">
        <f aca="false">IFERROR(D716/VLOOKUP(A716,'Dados-Status-Invest'!$1:$1000,6,FALSE()),"")</f>
        <v/>
      </c>
      <c r="H716" s="8" t="str">
        <f aca="false">IFERROR(VLOOKUP(A716,'Dados-Status-Invest'!$1:$1000,12,FALSE())*J716,"")</f>
        <v/>
      </c>
      <c r="I716" s="8" t="str">
        <f aca="false">IFERROR(D716/VLOOKUP(A716,'Dados-Status-Invest'!$1:$1000,14,FALSE()),"")</f>
        <v/>
      </c>
      <c r="J716" s="9" t="str">
        <f aca="false">IFERROR(D716/VLOOKUP(A716,'Dados-Status-Invest'!$1:$1000,10,FALSE()),"")</f>
        <v/>
      </c>
      <c r="K716" s="10" t="str">
        <f aca="false">IFERROR(VLOOKUP(A716,'Dados-Status-Invest'!$1:$1000,3,FALSE())/100,"")</f>
        <v/>
      </c>
      <c r="L716" s="11" t="str">
        <f aca="false">IFERROR(VLOOKUP(A716,'Dados-Status-Invest'!$1:$1000,MATCH(L$1,'Dados-Status-Invest'!$2:$2,0),FALSE())/100,"")</f>
        <v/>
      </c>
      <c r="M716" s="10" t="str">
        <f aca="false">IFERROR(VLOOKUP(A716,'Dados-Status-Invest'!$1:$1000,MATCH(M$1,'Dados-Status-Invest'!$2:$2,0),FALSE())/100,"")</f>
        <v/>
      </c>
      <c r="N716" s="10" t="str">
        <f aca="false">IFERROR(VLOOKUP(A716,'Dados-Status-Invest'!$1:$1000,MATCH(N$1,'Dados-Status-Invest'!$2:$2,0),FALSE())/100,"")</f>
        <v/>
      </c>
      <c r="O716" s="10" t="str">
        <f aca="false">IFERROR(VLOOKUP(A716,'Dados-Status-Invest'!$1:$1000,MATCH(O$1,'Dados-Status-Invest'!$2:$2,0),FALSE())/100,"")</f>
        <v/>
      </c>
      <c r="P716" s="10" t="str">
        <f aca="false">IFERROR(VLOOKUP(A716,'Dados-Status-Invest'!$1:$1000,MATCH(P$1,'Dados-Status-Invest'!$2:$2,0),FALSE())/100,"")</f>
        <v/>
      </c>
      <c r="Q716" s="10" t="str">
        <f aca="false">IFERROR(VLOOKUP(A716,'Dados-Status-Invest'!$1:$1000,MATCH(Q$1,'Dados-Status-Invest'!$2:$2,0),FALSE())/100,"")</f>
        <v/>
      </c>
      <c r="R716" s="12" t="str">
        <f aca="false">IFERROR(VLOOKUP(A716,'Dados-Status-Invest'!$1:$1000,MATCH(R$1,'Dados-Status-Invest'!$2:$2,0),FALSE()),"")</f>
        <v/>
      </c>
      <c r="S716" s="12" t="str">
        <f aca="false">IFERROR(VLOOKUP(A716,'Dados-Status-Invest'!$1:$1000,MATCH(S$1,'Dados-Status-Invest'!$2:$2,0),FALSE()),"")</f>
        <v/>
      </c>
      <c r="T716" s="12" t="str">
        <f aca="false">IFERROR(VLOOKUP(A716,'Dados-Status-Invest'!$1:$1000,MATCH(T$1,'Dados-Status-Invest'!$2:$2,0),FALSE()),"")</f>
        <v/>
      </c>
      <c r="U716" s="12" t="str">
        <f aca="false">IFERROR(VLOOKUP(A716,'Dados-Status-Invest'!$1:$1000,MATCH(U$1,'Dados-Status-Invest'!$2:$2,0),FALSE()),"")</f>
        <v/>
      </c>
      <c r="V716" s="12" t="str">
        <f aca="false">IFERROR(VLOOKUP(A716,'Dados-Status-Invest'!$1:$1000,MATCH(V$1,'Dados-Status-Invest'!$2:$2,0),FALSE()),"")</f>
        <v/>
      </c>
      <c r="W716" s="10" t="str">
        <f aca="false">IFERROR(VLOOKUP(A716,'Dados-Status-Invest'!$1:$1000,MATCH(W$1,'Dados-Status-Invest'!$2:$2,0),FALSE())/100,"")</f>
        <v/>
      </c>
      <c r="X716" s="10" t="str">
        <f aca="false">IFERROR(VLOOKUP(A716,'Dados-Status-Invest'!$1:$1000,MATCH(X$1,'Dados-Status-Invest'!$2:$2,0),FALSE())/100,"")</f>
        <v/>
      </c>
    </row>
    <row r="717" customFormat="false" ht="15.75" hidden="false" customHeight="false" outlineLevel="0" collapsed="false">
      <c r="B717" s="7" t="str">
        <f aca="false">IFERROR(VLOOKUP(LEFT(A717,4),Setor!A:D,2,FALSE()),"")</f>
        <v/>
      </c>
      <c r="C717" s="8" t="str">
        <f aca="false">IFERROR(__xludf.dummyfunction("IFERROR(IFERROR(GOOGLEFINANCE(A723,""price""),VLOOKUP(A723,'Dados-Status-Invest'!A:B,2,FALSE)),"""")"),"")</f>
        <v/>
      </c>
      <c r="D717" s="8" t="str">
        <f aca="false">IFERROR(VLOOKUP(A717,'Dados-Status-Invest'!$1:$1000,MATCH(D$1,'Dados-Status-Invest'!$2:$2,0),FALSE()),"")</f>
        <v/>
      </c>
      <c r="E717" s="8" t="e">
        <f aca="false">IF(D717+H717&gt;0,D717+H717,"")</f>
        <v>#VALUE!</v>
      </c>
      <c r="F717" s="8" t="str">
        <f aca="false">IFERROR(D717/VLOOKUP(A717,'Dados-Status-Invest'!$1:$1000,5,FALSE()),"")</f>
        <v/>
      </c>
      <c r="G717" s="8" t="str">
        <f aca="false">IFERROR(D717/VLOOKUP(A717,'Dados-Status-Invest'!$1:$1000,6,FALSE()),"")</f>
        <v/>
      </c>
      <c r="H717" s="8" t="str">
        <f aca="false">IFERROR(VLOOKUP(A717,'Dados-Status-Invest'!$1:$1000,12,FALSE())*J717,"")</f>
        <v/>
      </c>
      <c r="I717" s="8" t="str">
        <f aca="false">IFERROR(D717/VLOOKUP(A717,'Dados-Status-Invest'!$1:$1000,14,FALSE()),"")</f>
        <v/>
      </c>
      <c r="J717" s="9" t="str">
        <f aca="false">IFERROR(D717/VLOOKUP(A717,'Dados-Status-Invest'!$1:$1000,10,FALSE()),"")</f>
        <v/>
      </c>
      <c r="K717" s="10" t="str">
        <f aca="false">IFERROR(VLOOKUP(A717,'Dados-Status-Invest'!$1:$1000,3,FALSE())/100,"")</f>
        <v/>
      </c>
      <c r="L717" s="11" t="str">
        <f aca="false">IFERROR(VLOOKUP(A717,'Dados-Status-Invest'!$1:$1000,MATCH(L$1,'Dados-Status-Invest'!$2:$2,0),FALSE())/100,"")</f>
        <v/>
      </c>
      <c r="M717" s="10" t="str">
        <f aca="false">IFERROR(VLOOKUP(A717,'Dados-Status-Invest'!$1:$1000,MATCH(M$1,'Dados-Status-Invest'!$2:$2,0),FALSE())/100,"")</f>
        <v/>
      </c>
      <c r="N717" s="10" t="str">
        <f aca="false">IFERROR(VLOOKUP(A717,'Dados-Status-Invest'!$1:$1000,MATCH(N$1,'Dados-Status-Invest'!$2:$2,0),FALSE())/100,"")</f>
        <v/>
      </c>
      <c r="O717" s="10" t="str">
        <f aca="false">IFERROR(VLOOKUP(A717,'Dados-Status-Invest'!$1:$1000,MATCH(O$1,'Dados-Status-Invest'!$2:$2,0),FALSE())/100,"")</f>
        <v/>
      </c>
      <c r="P717" s="10" t="str">
        <f aca="false">IFERROR(VLOOKUP(A717,'Dados-Status-Invest'!$1:$1000,MATCH(P$1,'Dados-Status-Invest'!$2:$2,0),FALSE())/100,"")</f>
        <v/>
      </c>
      <c r="Q717" s="10" t="str">
        <f aca="false">IFERROR(VLOOKUP(A717,'Dados-Status-Invest'!$1:$1000,MATCH(Q$1,'Dados-Status-Invest'!$2:$2,0),FALSE())/100,"")</f>
        <v/>
      </c>
      <c r="R717" s="12" t="str">
        <f aca="false">IFERROR(VLOOKUP(A717,'Dados-Status-Invest'!$1:$1000,MATCH(R$1,'Dados-Status-Invest'!$2:$2,0),FALSE()),"")</f>
        <v/>
      </c>
      <c r="S717" s="12" t="str">
        <f aca="false">IFERROR(VLOOKUP(A717,'Dados-Status-Invest'!$1:$1000,MATCH(S$1,'Dados-Status-Invest'!$2:$2,0),FALSE()),"")</f>
        <v/>
      </c>
      <c r="T717" s="12" t="str">
        <f aca="false">IFERROR(VLOOKUP(A717,'Dados-Status-Invest'!$1:$1000,MATCH(T$1,'Dados-Status-Invest'!$2:$2,0),FALSE()),"")</f>
        <v/>
      </c>
      <c r="U717" s="12" t="str">
        <f aca="false">IFERROR(VLOOKUP(A717,'Dados-Status-Invest'!$1:$1000,MATCH(U$1,'Dados-Status-Invest'!$2:$2,0),FALSE()),"")</f>
        <v/>
      </c>
      <c r="V717" s="12" t="str">
        <f aca="false">IFERROR(VLOOKUP(A717,'Dados-Status-Invest'!$1:$1000,MATCH(V$1,'Dados-Status-Invest'!$2:$2,0),FALSE()),"")</f>
        <v/>
      </c>
      <c r="W717" s="10" t="str">
        <f aca="false">IFERROR(VLOOKUP(A717,'Dados-Status-Invest'!$1:$1000,MATCH(W$1,'Dados-Status-Invest'!$2:$2,0),FALSE())/100,"")</f>
        <v/>
      </c>
      <c r="X717" s="10" t="str">
        <f aca="false">IFERROR(VLOOKUP(A717,'Dados-Status-Invest'!$1:$1000,MATCH(X$1,'Dados-Status-Invest'!$2:$2,0),FALSE())/100,"")</f>
        <v/>
      </c>
    </row>
    <row r="718" customFormat="false" ht="15.75" hidden="false" customHeight="false" outlineLevel="0" collapsed="false">
      <c r="B718" s="7" t="str">
        <f aca="false">IFERROR(VLOOKUP(LEFT(A718,4),Setor!A:D,2,FALSE()),"")</f>
        <v/>
      </c>
      <c r="C718" s="8" t="str">
        <f aca="false">IFERROR(__xludf.dummyfunction("IFERROR(IFERROR(GOOGLEFINANCE(A724,""price""),VLOOKUP(A724,'Dados-Status-Invest'!A:B,2,FALSE)),"""")"),"")</f>
        <v/>
      </c>
      <c r="D718" s="8" t="str">
        <f aca="false">IFERROR(VLOOKUP(A718,'Dados-Status-Invest'!$1:$1000,MATCH(D$1,'Dados-Status-Invest'!$2:$2,0),FALSE()),"")</f>
        <v/>
      </c>
      <c r="E718" s="8" t="e">
        <f aca="false">IF(D718+H718&gt;0,D718+H718,"")</f>
        <v>#VALUE!</v>
      </c>
      <c r="F718" s="8" t="str">
        <f aca="false">IFERROR(D718/VLOOKUP(A718,'Dados-Status-Invest'!$1:$1000,5,FALSE()),"")</f>
        <v/>
      </c>
      <c r="G718" s="8" t="str">
        <f aca="false">IFERROR(D718/VLOOKUP(A718,'Dados-Status-Invest'!$1:$1000,6,FALSE()),"")</f>
        <v/>
      </c>
      <c r="H718" s="8" t="str">
        <f aca="false">IFERROR(VLOOKUP(A718,'Dados-Status-Invest'!$1:$1000,12,FALSE())*J718,"")</f>
        <v/>
      </c>
      <c r="I718" s="8" t="str">
        <f aca="false">IFERROR(D718/VLOOKUP(A718,'Dados-Status-Invest'!$1:$1000,14,FALSE()),"")</f>
        <v/>
      </c>
      <c r="J718" s="9" t="str">
        <f aca="false">IFERROR(D718/VLOOKUP(A718,'Dados-Status-Invest'!$1:$1000,10,FALSE()),"")</f>
        <v/>
      </c>
      <c r="K718" s="10" t="str">
        <f aca="false">IFERROR(VLOOKUP(A718,'Dados-Status-Invest'!$1:$1000,3,FALSE())/100,"")</f>
        <v/>
      </c>
      <c r="L718" s="11" t="str">
        <f aca="false">IFERROR(VLOOKUP(A718,'Dados-Status-Invest'!$1:$1000,MATCH(L$1,'Dados-Status-Invest'!$2:$2,0),FALSE())/100,"")</f>
        <v/>
      </c>
      <c r="M718" s="10" t="str">
        <f aca="false">IFERROR(VLOOKUP(A718,'Dados-Status-Invest'!$1:$1000,MATCH(M$1,'Dados-Status-Invest'!$2:$2,0),FALSE())/100,"")</f>
        <v/>
      </c>
      <c r="N718" s="10" t="str">
        <f aca="false">IFERROR(VLOOKUP(A718,'Dados-Status-Invest'!$1:$1000,MATCH(N$1,'Dados-Status-Invest'!$2:$2,0),FALSE())/100,"")</f>
        <v/>
      </c>
      <c r="O718" s="10" t="str">
        <f aca="false">IFERROR(VLOOKUP(A718,'Dados-Status-Invest'!$1:$1000,MATCH(O$1,'Dados-Status-Invest'!$2:$2,0),FALSE())/100,"")</f>
        <v/>
      </c>
      <c r="P718" s="10" t="str">
        <f aca="false">IFERROR(VLOOKUP(A718,'Dados-Status-Invest'!$1:$1000,MATCH(P$1,'Dados-Status-Invest'!$2:$2,0),FALSE())/100,"")</f>
        <v/>
      </c>
      <c r="Q718" s="10" t="str">
        <f aca="false">IFERROR(VLOOKUP(A718,'Dados-Status-Invest'!$1:$1000,MATCH(Q$1,'Dados-Status-Invest'!$2:$2,0),FALSE())/100,"")</f>
        <v/>
      </c>
      <c r="R718" s="12" t="str">
        <f aca="false">IFERROR(VLOOKUP(A718,'Dados-Status-Invest'!$1:$1000,MATCH(R$1,'Dados-Status-Invest'!$2:$2,0),FALSE()),"")</f>
        <v/>
      </c>
      <c r="S718" s="12" t="str">
        <f aca="false">IFERROR(VLOOKUP(A718,'Dados-Status-Invest'!$1:$1000,MATCH(S$1,'Dados-Status-Invest'!$2:$2,0),FALSE()),"")</f>
        <v/>
      </c>
      <c r="T718" s="12" t="str">
        <f aca="false">IFERROR(VLOOKUP(A718,'Dados-Status-Invest'!$1:$1000,MATCH(T$1,'Dados-Status-Invest'!$2:$2,0),FALSE()),"")</f>
        <v/>
      </c>
      <c r="U718" s="12" t="str">
        <f aca="false">IFERROR(VLOOKUP(A718,'Dados-Status-Invest'!$1:$1000,MATCH(U$1,'Dados-Status-Invest'!$2:$2,0),FALSE()),"")</f>
        <v/>
      </c>
      <c r="V718" s="12" t="str">
        <f aca="false">IFERROR(VLOOKUP(A718,'Dados-Status-Invest'!$1:$1000,MATCH(V$1,'Dados-Status-Invest'!$2:$2,0),FALSE()),"")</f>
        <v/>
      </c>
      <c r="W718" s="10" t="str">
        <f aca="false">IFERROR(VLOOKUP(A718,'Dados-Status-Invest'!$1:$1000,MATCH(W$1,'Dados-Status-Invest'!$2:$2,0),FALSE())/100,"")</f>
        <v/>
      </c>
      <c r="X718" s="10" t="str">
        <f aca="false">IFERROR(VLOOKUP(A718,'Dados-Status-Invest'!$1:$1000,MATCH(X$1,'Dados-Status-Invest'!$2:$2,0),FALSE())/100,"")</f>
        <v/>
      </c>
    </row>
    <row r="719" customFormat="false" ht="15.75" hidden="false" customHeight="false" outlineLevel="0" collapsed="false">
      <c r="B719" s="7" t="str">
        <f aca="false">IFERROR(VLOOKUP(LEFT(A719,4),Setor!A:D,2,FALSE()),"")</f>
        <v/>
      </c>
      <c r="C719" s="8" t="str">
        <f aca="false">IFERROR(__xludf.dummyfunction("IFERROR(IFERROR(GOOGLEFINANCE(A725,""price""),VLOOKUP(A725,'Dados-Status-Invest'!A:B,2,FALSE)),"""")"),"")</f>
        <v/>
      </c>
      <c r="D719" s="8" t="str">
        <f aca="false">IFERROR(VLOOKUP(A719,'Dados-Status-Invest'!$1:$1000,MATCH(D$1,'Dados-Status-Invest'!$2:$2,0),FALSE()),"")</f>
        <v/>
      </c>
      <c r="E719" s="8" t="e">
        <f aca="false">IF(D719+H719&gt;0,D719+H719,"")</f>
        <v>#VALUE!</v>
      </c>
      <c r="F719" s="8" t="str">
        <f aca="false">IFERROR(D719/VLOOKUP(A719,'Dados-Status-Invest'!$1:$1000,5,FALSE()),"")</f>
        <v/>
      </c>
      <c r="G719" s="8" t="str">
        <f aca="false">IFERROR(D719/VLOOKUP(A719,'Dados-Status-Invest'!$1:$1000,6,FALSE()),"")</f>
        <v/>
      </c>
      <c r="H719" s="8" t="str">
        <f aca="false">IFERROR(VLOOKUP(A719,'Dados-Status-Invest'!$1:$1000,12,FALSE())*J719,"")</f>
        <v/>
      </c>
      <c r="I719" s="8" t="str">
        <f aca="false">IFERROR(D719/VLOOKUP(A719,'Dados-Status-Invest'!$1:$1000,14,FALSE()),"")</f>
        <v/>
      </c>
      <c r="J719" s="9" t="str">
        <f aca="false">IFERROR(D719/VLOOKUP(A719,'Dados-Status-Invest'!$1:$1000,10,FALSE()),"")</f>
        <v/>
      </c>
      <c r="K719" s="10" t="str">
        <f aca="false">IFERROR(VLOOKUP(A719,'Dados-Status-Invest'!$1:$1000,3,FALSE())/100,"")</f>
        <v/>
      </c>
      <c r="L719" s="11" t="str">
        <f aca="false">IFERROR(VLOOKUP(A719,'Dados-Status-Invest'!$1:$1000,MATCH(L$1,'Dados-Status-Invest'!$2:$2,0),FALSE())/100,"")</f>
        <v/>
      </c>
      <c r="M719" s="10" t="str">
        <f aca="false">IFERROR(VLOOKUP(A719,'Dados-Status-Invest'!$1:$1000,MATCH(M$1,'Dados-Status-Invest'!$2:$2,0),FALSE())/100,"")</f>
        <v/>
      </c>
      <c r="N719" s="10" t="str">
        <f aca="false">IFERROR(VLOOKUP(A719,'Dados-Status-Invest'!$1:$1000,MATCH(N$1,'Dados-Status-Invest'!$2:$2,0),FALSE())/100,"")</f>
        <v/>
      </c>
      <c r="O719" s="10" t="str">
        <f aca="false">IFERROR(VLOOKUP(A719,'Dados-Status-Invest'!$1:$1000,MATCH(O$1,'Dados-Status-Invest'!$2:$2,0),FALSE())/100,"")</f>
        <v/>
      </c>
      <c r="P719" s="10" t="str">
        <f aca="false">IFERROR(VLOOKUP(A719,'Dados-Status-Invest'!$1:$1000,MATCH(P$1,'Dados-Status-Invest'!$2:$2,0),FALSE())/100,"")</f>
        <v/>
      </c>
      <c r="Q719" s="10" t="str">
        <f aca="false">IFERROR(VLOOKUP(A719,'Dados-Status-Invest'!$1:$1000,MATCH(Q$1,'Dados-Status-Invest'!$2:$2,0),FALSE())/100,"")</f>
        <v/>
      </c>
      <c r="R719" s="12" t="str">
        <f aca="false">IFERROR(VLOOKUP(A719,'Dados-Status-Invest'!$1:$1000,MATCH(R$1,'Dados-Status-Invest'!$2:$2,0),FALSE()),"")</f>
        <v/>
      </c>
      <c r="S719" s="12" t="str">
        <f aca="false">IFERROR(VLOOKUP(A719,'Dados-Status-Invest'!$1:$1000,MATCH(S$1,'Dados-Status-Invest'!$2:$2,0),FALSE()),"")</f>
        <v/>
      </c>
      <c r="T719" s="12" t="str">
        <f aca="false">IFERROR(VLOOKUP(A719,'Dados-Status-Invest'!$1:$1000,MATCH(T$1,'Dados-Status-Invest'!$2:$2,0),FALSE()),"")</f>
        <v/>
      </c>
      <c r="U719" s="12" t="str">
        <f aca="false">IFERROR(VLOOKUP(A719,'Dados-Status-Invest'!$1:$1000,MATCH(U$1,'Dados-Status-Invest'!$2:$2,0),FALSE()),"")</f>
        <v/>
      </c>
      <c r="V719" s="12" t="str">
        <f aca="false">IFERROR(VLOOKUP(A719,'Dados-Status-Invest'!$1:$1000,MATCH(V$1,'Dados-Status-Invest'!$2:$2,0),FALSE()),"")</f>
        <v/>
      </c>
      <c r="W719" s="10" t="str">
        <f aca="false">IFERROR(VLOOKUP(A719,'Dados-Status-Invest'!$1:$1000,MATCH(W$1,'Dados-Status-Invest'!$2:$2,0),FALSE())/100,"")</f>
        <v/>
      </c>
      <c r="X719" s="10" t="str">
        <f aca="false">IFERROR(VLOOKUP(A719,'Dados-Status-Invest'!$1:$1000,MATCH(X$1,'Dados-Status-Invest'!$2:$2,0),FALSE())/100,"")</f>
        <v/>
      </c>
    </row>
    <row r="720" customFormat="false" ht="15.75" hidden="false" customHeight="false" outlineLevel="0" collapsed="false">
      <c r="B720" s="7" t="str">
        <f aca="false">IFERROR(VLOOKUP(LEFT(A720,4),Setor!A:D,2,FALSE()),"")</f>
        <v/>
      </c>
      <c r="C720" s="8" t="str">
        <f aca="false">IFERROR(__xludf.dummyfunction("IFERROR(IFERROR(GOOGLEFINANCE(A726,""price""),VLOOKUP(A726,'Dados-Status-Invest'!A:B,2,FALSE)),"""")"),"")</f>
        <v/>
      </c>
      <c r="D720" s="8" t="str">
        <f aca="false">IFERROR(VLOOKUP(A720,'Dados-Status-Invest'!$1:$1000,MATCH(D$1,'Dados-Status-Invest'!$2:$2,0),FALSE()),"")</f>
        <v/>
      </c>
      <c r="E720" s="8" t="e">
        <f aca="false">IF(D720+H720&gt;0,D720+H720,"")</f>
        <v>#VALUE!</v>
      </c>
      <c r="F720" s="8" t="str">
        <f aca="false">IFERROR(D720/VLOOKUP(A720,'Dados-Status-Invest'!$1:$1000,5,FALSE()),"")</f>
        <v/>
      </c>
      <c r="G720" s="8" t="str">
        <f aca="false">IFERROR(D720/VLOOKUP(A720,'Dados-Status-Invest'!$1:$1000,6,FALSE()),"")</f>
        <v/>
      </c>
      <c r="H720" s="8" t="str">
        <f aca="false">IFERROR(VLOOKUP(A720,'Dados-Status-Invest'!$1:$1000,12,FALSE())*J720,"")</f>
        <v/>
      </c>
      <c r="I720" s="8" t="str">
        <f aca="false">IFERROR(D720/VLOOKUP(A720,'Dados-Status-Invest'!$1:$1000,14,FALSE()),"")</f>
        <v/>
      </c>
      <c r="J720" s="9" t="str">
        <f aca="false">IFERROR(D720/VLOOKUP(A720,'Dados-Status-Invest'!$1:$1000,10,FALSE()),"")</f>
        <v/>
      </c>
      <c r="K720" s="10" t="str">
        <f aca="false">IFERROR(VLOOKUP(A720,'Dados-Status-Invest'!$1:$1000,3,FALSE())/100,"")</f>
        <v/>
      </c>
      <c r="L720" s="11" t="str">
        <f aca="false">IFERROR(VLOOKUP(A720,'Dados-Status-Invest'!$1:$1000,MATCH(L$1,'Dados-Status-Invest'!$2:$2,0),FALSE())/100,"")</f>
        <v/>
      </c>
      <c r="M720" s="10" t="str">
        <f aca="false">IFERROR(VLOOKUP(A720,'Dados-Status-Invest'!$1:$1000,MATCH(M$1,'Dados-Status-Invest'!$2:$2,0),FALSE())/100,"")</f>
        <v/>
      </c>
      <c r="N720" s="10" t="str">
        <f aca="false">IFERROR(VLOOKUP(A720,'Dados-Status-Invest'!$1:$1000,MATCH(N$1,'Dados-Status-Invest'!$2:$2,0),FALSE())/100,"")</f>
        <v/>
      </c>
      <c r="O720" s="10" t="str">
        <f aca="false">IFERROR(VLOOKUP(A720,'Dados-Status-Invest'!$1:$1000,MATCH(O$1,'Dados-Status-Invest'!$2:$2,0),FALSE())/100,"")</f>
        <v/>
      </c>
      <c r="P720" s="10" t="str">
        <f aca="false">IFERROR(VLOOKUP(A720,'Dados-Status-Invest'!$1:$1000,MATCH(P$1,'Dados-Status-Invest'!$2:$2,0),FALSE())/100,"")</f>
        <v/>
      </c>
      <c r="Q720" s="10" t="str">
        <f aca="false">IFERROR(VLOOKUP(A720,'Dados-Status-Invest'!$1:$1000,MATCH(Q$1,'Dados-Status-Invest'!$2:$2,0),FALSE())/100,"")</f>
        <v/>
      </c>
      <c r="R720" s="12" t="str">
        <f aca="false">IFERROR(VLOOKUP(A720,'Dados-Status-Invest'!$1:$1000,MATCH(R$1,'Dados-Status-Invest'!$2:$2,0),FALSE()),"")</f>
        <v/>
      </c>
      <c r="S720" s="12" t="str">
        <f aca="false">IFERROR(VLOOKUP(A720,'Dados-Status-Invest'!$1:$1000,MATCH(S$1,'Dados-Status-Invest'!$2:$2,0),FALSE()),"")</f>
        <v/>
      </c>
      <c r="T720" s="12" t="str">
        <f aca="false">IFERROR(VLOOKUP(A720,'Dados-Status-Invest'!$1:$1000,MATCH(T$1,'Dados-Status-Invest'!$2:$2,0),FALSE()),"")</f>
        <v/>
      </c>
      <c r="U720" s="12" t="str">
        <f aca="false">IFERROR(VLOOKUP(A720,'Dados-Status-Invest'!$1:$1000,MATCH(U$1,'Dados-Status-Invest'!$2:$2,0),FALSE()),"")</f>
        <v/>
      </c>
      <c r="V720" s="12" t="str">
        <f aca="false">IFERROR(VLOOKUP(A720,'Dados-Status-Invest'!$1:$1000,MATCH(V$1,'Dados-Status-Invest'!$2:$2,0),FALSE()),"")</f>
        <v/>
      </c>
      <c r="W720" s="10" t="str">
        <f aca="false">IFERROR(VLOOKUP(A720,'Dados-Status-Invest'!$1:$1000,MATCH(W$1,'Dados-Status-Invest'!$2:$2,0),FALSE())/100,"")</f>
        <v/>
      </c>
      <c r="X720" s="10" t="str">
        <f aca="false">IFERROR(VLOOKUP(A720,'Dados-Status-Invest'!$1:$1000,MATCH(X$1,'Dados-Status-Invest'!$2:$2,0),FALSE())/100,"")</f>
        <v/>
      </c>
    </row>
    <row r="721" customFormat="false" ht="15.75" hidden="false" customHeight="false" outlineLevel="0" collapsed="false">
      <c r="B721" s="7" t="str">
        <f aca="false">IFERROR(VLOOKUP(LEFT(A721,4),Setor!A:D,2,FALSE()),"")</f>
        <v/>
      </c>
      <c r="C721" s="8" t="str">
        <f aca="false">IFERROR(__xludf.dummyfunction("IFERROR(IFERROR(GOOGLEFINANCE(A727,""price""),VLOOKUP(A727,'Dados-Status-Invest'!A:B,2,FALSE)),"""")"),"")</f>
        <v/>
      </c>
      <c r="D721" s="8" t="str">
        <f aca="false">IFERROR(VLOOKUP(A721,'Dados-Status-Invest'!$1:$1000,MATCH(D$1,'Dados-Status-Invest'!$2:$2,0),FALSE()),"")</f>
        <v/>
      </c>
      <c r="E721" s="8" t="e">
        <f aca="false">IF(D721+H721&gt;0,D721+H721,"")</f>
        <v>#VALUE!</v>
      </c>
      <c r="F721" s="8" t="str">
        <f aca="false">IFERROR(D721/VLOOKUP(A721,'Dados-Status-Invest'!$1:$1000,5,FALSE()),"")</f>
        <v/>
      </c>
      <c r="G721" s="8" t="str">
        <f aca="false">IFERROR(D721/VLOOKUP(A721,'Dados-Status-Invest'!$1:$1000,6,FALSE()),"")</f>
        <v/>
      </c>
      <c r="H721" s="8" t="str">
        <f aca="false">IFERROR(VLOOKUP(A721,'Dados-Status-Invest'!$1:$1000,12,FALSE())*J721,"")</f>
        <v/>
      </c>
      <c r="I721" s="8" t="str">
        <f aca="false">IFERROR(D721/VLOOKUP(A721,'Dados-Status-Invest'!$1:$1000,14,FALSE()),"")</f>
        <v/>
      </c>
      <c r="J721" s="9" t="str">
        <f aca="false">IFERROR(D721/VLOOKUP(A721,'Dados-Status-Invest'!$1:$1000,10,FALSE()),"")</f>
        <v/>
      </c>
      <c r="K721" s="10" t="str">
        <f aca="false">IFERROR(VLOOKUP(A721,'Dados-Status-Invest'!$1:$1000,3,FALSE())/100,"")</f>
        <v/>
      </c>
      <c r="L721" s="11" t="str">
        <f aca="false">IFERROR(VLOOKUP(A721,'Dados-Status-Invest'!$1:$1000,MATCH(L$1,'Dados-Status-Invest'!$2:$2,0),FALSE())/100,"")</f>
        <v/>
      </c>
      <c r="M721" s="10" t="str">
        <f aca="false">IFERROR(VLOOKUP(A721,'Dados-Status-Invest'!$1:$1000,MATCH(M$1,'Dados-Status-Invest'!$2:$2,0),FALSE())/100,"")</f>
        <v/>
      </c>
      <c r="N721" s="10" t="str">
        <f aca="false">IFERROR(VLOOKUP(A721,'Dados-Status-Invest'!$1:$1000,MATCH(N$1,'Dados-Status-Invest'!$2:$2,0),FALSE())/100,"")</f>
        <v/>
      </c>
      <c r="O721" s="10" t="str">
        <f aca="false">IFERROR(VLOOKUP(A721,'Dados-Status-Invest'!$1:$1000,MATCH(O$1,'Dados-Status-Invest'!$2:$2,0),FALSE())/100,"")</f>
        <v/>
      </c>
      <c r="P721" s="10" t="str">
        <f aca="false">IFERROR(VLOOKUP(A721,'Dados-Status-Invest'!$1:$1000,MATCH(P$1,'Dados-Status-Invest'!$2:$2,0),FALSE())/100,"")</f>
        <v/>
      </c>
      <c r="Q721" s="10" t="str">
        <f aca="false">IFERROR(VLOOKUP(A721,'Dados-Status-Invest'!$1:$1000,MATCH(Q$1,'Dados-Status-Invest'!$2:$2,0),FALSE())/100,"")</f>
        <v/>
      </c>
      <c r="R721" s="12" t="str">
        <f aca="false">IFERROR(VLOOKUP(A721,'Dados-Status-Invest'!$1:$1000,MATCH(R$1,'Dados-Status-Invest'!$2:$2,0),FALSE()),"")</f>
        <v/>
      </c>
      <c r="S721" s="12" t="str">
        <f aca="false">IFERROR(VLOOKUP(A721,'Dados-Status-Invest'!$1:$1000,MATCH(S$1,'Dados-Status-Invest'!$2:$2,0),FALSE()),"")</f>
        <v/>
      </c>
      <c r="T721" s="12" t="str">
        <f aca="false">IFERROR(VLOOKUP(A721,'Dados-Status-Invest'!$1:$1000,MATCH(T$1,'Dados-Status-Invest'!$2:$2,0),FALSE()),"")</f>
        <v/>
      </c>
      <c r="U721" s="12" t="str">
        <f aca="false">IFERROR(VLOOKUP(A721,'Dados-Status-Invest'!$1:$1000,MATCH(U$1,'Dados-Status-Invest'!$2:$2,0),FALSE()),"")</f>
        <v/>
      </c>
      <c r="V721" s="12" t="str">
        <f aca="false">IFERROR(VLOOKUP(A721,'Dados-Status-Invest'!$1:$1000,MATCH(V$1,'Dados-Status-Invest'!$2:$2,0),FALSE()),"")</f>
        <v/>
      </c>
      <c r="W721" s="10" t="str">
        <f aca="false">IFERROR(VLOOKUP(A721,'Dados-Status-Invest'!$1:$1000,MATCH(W$1,'Dados-Status-Invest'!$2:$2,0),FALSE())/100,"")</f>
        <v/>
      </c>
      <c r="X721" s="10" t="str">
        <f aca="false">IFERROR(VLOOKUP(A721,'Dados-Status-Invest'!$1:$1000,MATCH(X$1,'Dados-Status-Invest'!$2:$2,0),FALSE())/100,"")</f>
        <v/>
      </c>
    </row>
    <row r="722" customFormat="false" ht="15.75" hidden="false" customHeight="false" outlineLevel="0" collapsed="false">
      <c r="B722" s="7" t="str">
        <f aca="false">IFERROR(VLOOKUP(LEFT(A722,4),Setor!A:D,2,FALSE()),"")</f>
        <v/>
      </c>
      <c r="C722" s="8" t="str">
        <f aca="false">IFERROR(__xludf.dummyfunction("IFERROR(IFERROR(GOOGLEFINANCE(A728,""price""),VLOOKUP(A728,'Dados-Status-Invest'!A:B,2,FALSE)),"""")"),"")</f>
        <v/>
      </c>
      <c r="D722" s="8" t="str">
        <f aca="false">IFERROR(VLOOKUP(A722,'Dados-Status-Invest'!$1:$1000,MATCH(D$1,'Dados-Status-Invest'!$2:$2,0),FALSE()),"")</f>
        <v/>
      </c>
      <c r="E722" s="8" t="e">
        <f aca="false">IF(D722+H722&gt;0,D722+H722,"")</f>
        <v>#VALUE!</v>
      </c>
      <c r="F722" s="8" t="str">
        <f aca="false">IFERROR(D722/VLOOKUP(A722,'Dados-Status-Invest'!$1:$1000,5,FALSE()),"")</f>
        <v/>
      </c>
      <c r="G722" s="8" t="str">
        <f aca="false">IFERROR(D722/VLOOKUP(A722,'Dados-Status-Invest'!$1:$1000,6,FALSE()),"")</f>
        <v/>
      </c>
      <c r="H722" s="8" t="str">
        <f aca="false">IFERROR(VLOOKUP(A722,'Dados-Status-Invest'!$1:$1000,12,FALSE())*J722,"")</f>
        <v/>
      </c>
      <c r="I722" s="8" t="str">
        <f aca="false">IFERROR(D722/VLOOKUP(A722,'Dados-Status-Invest'!$1:$1000,14,FALSE()),"")</f>
        <v/>
      </c>
      <c r="J722" s="9" t="str">
        <f aca="false">IFERROR(D722/VLOOKUP(A722,'Dados-Status-Invest'!$1:$1000,10,FALSE()),"")</f>
        <v/>
      </c>
      <c r="K722" s="10" t="str">
        <f aca="false">IFERROR(VLOOKUP(A722,'Dados-Status-Invest'!$1:$1000,3,FALSE())/100,"")</f>
        <v/>
      </c>
      <c r="L722" s="11" t="str">
        <f aca="false">IFERROR(VLOOKUP(A722,'Dados-Status-Invest'!$1:$1000,MATCH(L$1,'Dados-Status-Invest'!$2:$2,0),FALSE())/100,"")</f>
        <v/>
      </c>
      <c r="M722" s="10" t="str">
        <f aca="false">IFERROR(VLOOKUP(A722,'Dados-Status-Invest'!$1:$1000,MATCH(M$1,'Dados-Status-Invest'!$2:$2,0),FALSE())/100,"")</f>
        <v/>
      </c>
      <c r="N722" s="10" t="str">
        <f aca="false">IFERROR(VLOOKUP(A722,'Dados-Status-Invest'!$1:$1000,MATCH(N$1,'Dados-Status-Invest'!$2:$2,0),FALSE())/100,"")</f>
        <v/>
      </c>
      <c r="O722" s="10" t="str">
        <f aca="false">IFERROR(VLOOKUP(A722,'Dados-Status-Invest'!$1:$1000,MATCH(O$1,'Dados-Status-Invest'!$2:$2,0),FALSE())/100,"")</f>
        <v/>
      </c>
      <c r="P722" s="10" t="str">
        <f aca="false">IFERROR(VLOOKUP(A722,'Dados-Status-Invest'!$1:$1000,MATCH(P$1,'Dados-Status-Invest'!$2:$2,0),FALSE())/100,"")</f>
        <v/>
      </c>
      <c r="Q722" s="10" t="str">
        <f aca="false">IFERROR(VLOOKUP(A722,'Dados-Status-Invest'!$1:$1000,MATCH(Q$1,'Dados-Status-Invest'!$2:$2,0),FALSE())/100,"")</f>
        <v/>
      </c>
      <c r="R722" s="12" t="str">
        <f aca="false">IFERROR(VLOOKUP(A722,'Dados-Status-Invest'!$1:$1000,MATCH(R$1,'Dados-Status-Invest'!$2:$2,0),FALSE()),"")</f>
        <v/>
      </c>
      <c r="S722" s="12" t="str">
        <f aca="false">IFERROR(VLOOKUP(A722,'Dados-Status-Invest'!$1:$1000,MATCH(S$1,'Dados-Status-Invest'!$2:$2,0),FALSE()),"")</f>
        <v/>
      </c>
      <c r="T722" s="12" t="str">
        <f aca="false">IFERROR(VLOOKUP(A722,'Dados-Status-Invest'!$1:$1000,MATCH(T$1,'Dados-Status-Invest'!$2:$2,0),FALSE()),"")</f>
        <v/>
      </c>
      <c r="U722" s="12" t="str">
        <f aca="false">IFERROR(VLOOKUP(A722,'Dados-Status-Invest'!$1:$1000,MATCH(U$1,'Dados-Status-Invest'!$2:$2,0),FALSE()),"")</f>
        <v/>
      </c>
      <c r="V722" s="12" t="str">
        <f aca="false">IFERROR(VLOOKUP(A722,'Dados-Status-Invest'!$1:$1000,MATCH(V$1,'Dados-Status-Invest'!$2:$2,0),FALSE()),"")</f>
        <v/>
      </c>
      <c r="W722" s="10" t="str">
        <f aca="false">IFERROR(VLOOKUP(A722,'Dados-Status-Invest'!$1:$1000,MATCH(W$1,'Dados-Status-Invest'!$2:$2,0),FALSE())/100,"")</f>
        <v/>
      </c>
      <c r="X722" s="10" t="str">
        <f aca="false">IFERROR(VLOOKUP(A722,'Dados-Status-Invest'!$1:$1000,MATCH(X$1,'Dados-Status-Invest'!$2:$2,0),FALSE())/100,"")</f>
        <v/>
      </c>
    </row>
    <row r="723" customFormat="false" ht="15.75" hidden="false" customHeight="false" outlineLevel="0" collapsed="false">
      <c r="B723" s="7" t="str">
        <f aca="false">IFERROR(VLOOKUP(LEFT(A723,4),Setor!A:D,2,FALSE()),"")</f>
        <v/>
      </c>
      <c r="C723" s="8" t="str">
        <f aca="false">IFERROR(__xludf.dummyfunction("IFERROR(IFERROR(GOOGLEFINANCE(A729,""price""),VLOOKUP(A729,'Dados-Status-Invest'!A:B,2,FALSE)),"""")"),"")</f>
        <v/>
      </c>
      <c r="D723" s="8" t="str">
        <f aca="false">IFERROR(VLOOKUP(A723,'Dados-Status-Invest'!$1:$1000,MATCH(D$1,'Dados-Status-Invest'!$2:$2,0),FALSE()),"")</f>
        <v/>
      </c>
      <c r="E723" s="8" t="e">
        <f aca="false">IF(D723+H723&gt;0,D723+H723,"")</f>
        <v>#VALUE!</v>
      </c>
      <c r="F723" s="8" t="str">
        <f aca="false">IFERROR(D723/VLOOKUP(A723,'Dados-Status-Invest'!$1:$1000,5,FALSE()),"")</f>
        <v/>
      </c>
      <c r="G723" s="8" t="str">
        <f aca="false">IFERROR(D723/VLOOKUP(A723,'Dados-Status-Invest'!$1:$1000,6,FALSE()),"")</f>
        <v/>
      </c>
      <c r="H723" s="8" t="str">
        <f aca="false">IFERROR(VLOOKUP(A723,'Dados-Status-Invest'!$1:$1000,12,FALSE())*J723,"")</f>
        <v/>
      </c>
      <c r="I723" s="8" t="str">
        <f aca="false">IFERROR(D723/VLOOKUP(A723,'Dados-Status-Invest'!$1:$1000,14,FALSE()),"")</f>
        <v/>
      </c>
      <c r="J723" s="9" t="str">
        <f aca="false">IFERROR(D723/VLOOKUP(A723,'Dados-Status-Invest'!$1:$1000,10,FALSE()),"")</f>
        <v/>
      </c>
      <c r="K723" s="10" t="str">
        <f aca="false">IFERROR(VLOOKUP(A723,'Dados-Status-Invest'!$1:$1000,3,FALSE())/100,"")</f>
        <v/>
      </c>
      <c r="L723" s="11" t="str">
        <f aca="false">IFERROR(VLOOKUP(A723,'Dados-Status-Invest'!$1:$1000,MATCH(L$1,'Dados-Status-Invest'!$2:$2,0),FALSE())/100,"")</f>
        <v/>
      </c>
      <c r="M723" s="10" t="str">
        <f aca="false">IFERROR(VLOOKUP(A723,'Dados-Status-Invest'!$1:$1000,MATCH(M$1,'Dados-Status-Invest'!$2:$2,0),FALSE())/100,"")</f>
        <v/>
      </c>
      <c r="N723" s="10" t="str">
        <f aca="false">IFERROR(VLOOKUP(A723,'Dados-Status-Invest'!$1:$1000,MATCH(N$1,'Dados-Status-Invest'!$2:$2,0),FALSE())/100,"")</f>
        <v/>
      </c>
      <c r="O723" s="10" t="str">
        <f aca="false">IFERROR(VLOOKUP(A723,'Dados-Status-Invest'!$1:$1000,MATCH(O$1,'Dados-Status-Invest'!$2:$2,0),FALSE())/100,"")</f>
        <v/>
      </c>
      <c r="P723" s="10" t="str">
        <f aca="false">IFERROR(VLOOKUP(A723,'Dados-Status-Invest'!$1:$1000,MATCH(P$1,'Dados-Status-Invest'!$2:$2,0),FALSE())/100,"")</f>
        <v/>
      </c>
      <c r="Q723" s="10" t="str">
        <f aca="false">IFERROR(VLOOKUP(A723,'Dados-Status-Invest'!$1:$1000,MATCH(Q$1,'Dados-Status-Invest'!$2:$2,0),FALSE())/100,"")</f>
        <v/>
      </c>
      <c r="R723" s="12" t="str">
        <f aca="false">IFERROR(VLOOKUP(A723,'Dados-Status-Invest'!$1:$1000,MATCH(R$1,'Dados-Status-Invest'!$2:$2,0),FALSE()),"")</f>
        <v/>
      </c>
      <c r="S723" s="12" t="str">
        <f aca="false">IFERROR(VLOOKUP(A723,'Dados-Status-Invest'!$1:$1000,MATCH(S$1,'Dados-Status-Invest'!$2:$2,0),FALSE()),"")</f>
        <v/>
      </c>
      <c r="T723" s="12" t="str">
        <f aca="false">IFERROR(VLOOKUP(A723,'Dados-Status-Invest'!$1:$1000,MATCH(T$1,'Dados-Status-Invest'!$2:$2,0),FALSE()),"")</f>
        <v/>
      </c>
      <c r="U723" s="12" t="str">
        <f aca="false">IFERROR(VLOOKUP(A723,'Dados-Status-Invest'!$1:$1000,MATCH(U$1,'Dados-Status-Invest'!$2:$2,0),FALSE()),"")</f>
        <v/>
      </c>
      <c r="V723" s="12" t="str">
        <f aca="false">IFERROR(VLOOKUP(A723,'Dados-Status-Invest'!$1:$1000,MATCH(V$1,'Dados-Status-Invest'!$2:$2,0),FALSE()),"")</f>
        <v/>
      </c>
      <c r="W723" s="10" t="str">
        <f aca="false">IFERROR(VLOOKUP(A723,'Dados-Status-Invest'!$1:$1000,MATCH(W$1,'Dados-Status-Invest'!$2:$2,0),FALSE())/100,"")</f>
        <v/>
      </c>
      <c r="X723" s="10" t="str">
        <f aca="false">IFERROR(VLOOKUP(A723,'Dados-Status-Invest'!$1:$1000,MATCH(X$1,'Dados-Status-Invest'!$2:$2,0),FALSE())/100,"")</f>
        <v/>
      </c>
    </row>
    <row r="724" customFormat="false" ht="15.75" hidden="false" customHeight="false" outlineLevel="0" collapsed="false">
      <c r="B724" s="7" t="str">
        <f aca="false">IFERROR(VLOOKUP(LEFT(A724,4),Setor!A:D,2,FALSE()),"")</f>
        <v/>
      </c>
      <c r="C724" s="8" t="str">
        <f aca="false">IFERROR(__xludf.dummyfunction("IFERROR(IFERROR(GOOGLEFINANCE(A730,""price""),VLOOKUP(A730,'Dados-Status-Invest'!A:B,2,FALSE)),"""")"),"")</f>
        <v/>
      </c>
      <c r="D724" s="8" t="str">
        <f aca="false">IFERROR(VLOOKUP(A724,'Dados-Status-Invest'!$1:$1000,MATCH(D$1,'Dados-Status-Invest'!$2:$2,0),FALSE()),"")</f>
        <v/>
      </c>
      <c r="E724" s="8" t="e">
        <f aca="false">IF(D724+H724&gt;0,D724+H724,"")</f>
        <v>#VALUE!</v>
      </c>
      <c r="F724" s="8" t="str">
        <f aca="false">IFERROR(D724/VLOOKUP(A724,'Dados-Status-Invest'!$1:$1000,5,FALSE()),"")</f>
        <v/>
      </c>
      <c r="G724" s="8" t="str">
        <f aca="false">IFERROR(D724/VLOOKUP(A724,'Dados-Status-Invest'!$1:$1000,6,FALSE()),"")</f>
        <v/>
      </c>
      <c r="H724" s="8" t="str">
        <f aca="false">IFERROR(VLOOKUP(A724,'Dados-Status-Invest'!$1:$1000,12,FALSE())*J724,"")</f>
        <v/>
      </c>
      <c r="I724" s="8" t="str">
        <f aca="false">IFERROR(D724/VLOOKUP(A724,'Dados-Status-Invest'!$1:$1000,14,FALSE()),"")</f>
        <v/>
      </c>
      <c r="J724" s="9" t="str">
        <f aca="false">IFERROR(D724/VLOOKUP(A724,'Dados-Status-Invest'!$1:$1000,10,FALSE()),"")</f>
        <v/>
      </c>
      <c r="K724" s="10" t="str">
        <f aca="false">IFERROR(VLOOKUP(A724,'Dados-Status-Invest'!$1:$1000,3,FALSE())/100,"")</f>
        <v/>
      </c>
      <c r="L724" s="11" t="str">
        <f aca="false">IFERROR(VLOOKUP(A724,'Dados-Status-Invest'!$1:$1000,MATCH(L$1,'Dados-Status-Invest'!$2:$2,0),FALSE())/100,"")</f>
        <v/>
      </c>
      <c r="M724" s="10" t="str">
        <f aca="false">IFERROR(VLOOKUP(A724,'Dados-Status-Invest'!$1:$1000,MATCH(M$1,'Dados-Status-Invest'!$2:$2,0),FALSE())/100,"")</f>
        <v/>
      </c>
      <c r="N724" s="10" t="str">
        <f aca="false">IFERROR(VLOOKUP(A724,'Dados-Status-Invest'!$1:$1000,MATCH(N$1,'Dados-Status-Invest'!$2:$2,0),FALSE())/100,"")</f>
        <v/>
      </c>
      <c r="O724" s="10" t="str">
        <f aca="false">IFERROR(VLOOKUP(A724,'Dados-Status-Invest'!$1:$1000,MATCH(O$1,'Dados-Status-Invest'!$2:$2,0),FALSE())/100,"")</f>
        <v/>
      </c>
      <c r="P724" s="10" t="str">
        <f aca="false">IFERROR(VLOOKUP(A724,'Dados-Status-Invest'!$1:$1000,MATCH(P$1,'Dados-Status-Invest'!$2:$2,0),FALSE())/100,"")</f>
        <v/>
      </c>
      <c r="Q724" s="10" t="str">
        <f aca="false">IFERROR(VLOOKUP(A724,'Dados-Status-Invest'!$1:$1000,MATCH(Q$1,'Dados-Status-Invest'!$2:$2,0),FALSE())/100,"")</f>
        <v/>
      </c>
      <c r="R724" s="12" t="str">
        <f aca="false">IFERROR(VLOOKUP(A724,'Dados-Status-Invest'!$1:$1000,MATCH(R$1,'Dados-Status-Invest'!$2:$2,0),FALSE()),"")</f>
        <v/>
      </c>
      <c r="S724" s="12" t="str">
        <f aca="false">IFERROR(VLOOKUP(A724,'Dados-Status-Invest'!$1:$1000,MATCH(S$1,'Dados-Status-Invest'!$2:$2,0),FALSE()),"")</f>
        <v/>
      </c>
      <c r="T724" s="12" t="str">
        <f aca="false">IFERROR(VLOOKUP(A724,'Dados-Status-Invest'!$1:$1000,MATCH(T$1,'Dados-Status-Invest'!$2:$2,0),FALSE()),"")</f>
        <v/>
      </c>
      <c r="U724" s="12" t="str">
        <f aca="false">IFERROR(VLOOKUP(A724,'Dados-Status-Invest'!$1:$1000,MATCH(U$1,'Dados-Status-Invest'!$2:$2,0),FALSE()),"")</f>
        <v/>
      </c>
      <c r="V724" s="12" t="str">
        <f aca="false">IFERROR(VLOOKUP(A724,'Dados-Status-Invest'!$1:$1000,MATCH(V$1,'Dados-Status-Invest'!$2:$2,0),FALSE()),"")</f>
        <v/>
      </c>
      <c r="W724" s="10" t="str">
        <f aca="false">IFERROR(VLOOKUP(A724,'Dados-Status-Invest'!$1:$1000,MATCH(W$1,'Dados-Status-Invest'!$2:$2,0),FALSE())/100,"")</f>
        <v/>
      </c>
      <c r="X724" s="10" t="str">
        <f aca="false">IFERROR(VLOOKUP(A724,'Dados-Status-Invest'!$1:$1000,MATCH(X$1,'Dados-Status-Invest'!$2:$2,0),FALSE())/100,"")</f>
        <v/>
      </c>
    </row>
    <row r="725" customFormat="false" ht="15.75" hidden="false" customHeight="false" outlineLevel="0" collapsed="false">
      <c r="B725" s="7" t="str">
        <f aca="false">IFERROR(VLOOKUP(LEFT(A725,4),Setor!A:D,2,FALSE()),"")</f>
        <v/>
      </c>
      <c r="C725" s="8" t="str">
        <f aca="false">IFERROR(__xludf.dummyfunction("IFERROR(IFERROR(GOOGLEFINANCE(A731,""price""),VLOOKUP(A731,'Dados-Status-Invest'!A:B,2,FALSE)),"""")"),"")</f>
        <v/>
      </c>
      <c r="D725" s="8" t="str">
        <f aca="false">IFERROR(VLOOKUP(A725,'Dados-Status-Invest'!$1:$1000,MATCH(D$1,'Dados-Status-Invest'!$2:$2,0),FALSE()),"")</f>
        <v/>
      </c>
      <c r="E725" s="8" t="e">
        <f aca="false">IF(D725+H725&gt;0,D725+H725,"")</f>
        <v>#VALUE!</v>
      </c>
      <c r="F725" s="8" t="str">
        <f aca="false">IFERROR(D725/VLOOKUP(A725,'Dados-Status-Invest'!$1:$1000,5,FALSE()),"")</f>
        <v/>
      </c>
      <c r="G725" s="8" t="str">
        <f aca="false">IFERROR(D725/VLOOKUP(A725,'Dados-Status-Invest'!$1:$1000,6,FALSE()),"")</f>
        <v/>
      </c>
      <c r="H725" s="8" t="str">
        <f aca="false">IFERROR(VLOOKUP(A725,'Dados-Status-Invest'!$1:$1000,12,FALSE())*J725,"")</f>
        <v/>
      </c>
      <c r="I725" s="8" t="str">
        <f aca="false">IFERROR(D725/VLOOKUP(A725,'Dados-Status-Invest'!$1:$1000,14,FALSE()),"")</f>
        <v/>
      </c>
      <c r="J725" s="9" t="str">
        <f aca="false">IFERROR(D725/VLOOKUP(A725,'Dados-Status-Invest'!$1:$1000,10,FALSE()),"")</f>
        <v/>
      </c>
      <c r="K725" s="10" t="str">
        <f aca="false">IFERROR(VLOOKUP(A725,'Dados-Status-Invest'!$1:$1000,3,FALSE())/100,"")</f>
        <v/>
      </c>
      <c r="L725" s="11" t="str">
        <f aca="false">IFERROR(VLOOKUP(A725,'Dados-Status-Invest'!$1:$1000,MATCH(L$1,'Dados-Status-Invest'!$2:$2,0),FALSE())/100,"")</f>
        <v/>
      </c>
      <c r="M725" s="10" t="str">
        <f aca="false">IFERROR(VLOOKUP(A725,'Dados-Status-Invest'!$1:$1000,MATCH(M$1,'Dados-Status-Invest'!$2:$2,0),FALSE())/100,"")</f>
        <v/>
      </c>
      <c r="N725" s="10" t="str">
        <f aca="false">IFERROR(VLOOKUP(A725,'Dados-Status-Invest'!$1:$1000,MATCH(N$1,'Dados-Status-Invest'!$2:$2,0),FALSE())/100,"")</f>
        <v/>
      </c>
      <c r="O725" s="10" t="str">
        <f aca="false">IFERROR(VLOOKUP(A725,'Dados-Status-Invest'!$1:$1000,MATCH(O$1,'Dados-Status-Invest'!$2:$2,0),FALSE())/100,"")</f>
        <v/>
      </c>
      <c r="P725" s="10" t="str">
        <f aca="false">IFERROR(VLOOKUP(A725,'Dados-Status-Invest'!$1:$1000,MATCH(P$1,'Dados-Status-Invest'!$2:$2,0),FALSE())/100,"")</f>
        <v/>
      </c>
      <c r="Q725" s="10" t="str">
        <f aca="false">IFERROR(VLOOKUP(A725,'Dados-Status-Invest'!$1:$1000,MATCH(Q$1,'Dados-Status-Invest'!$2:$2,0),FALSE())/100,"")</f>
        <v/>
      </c>
      <c r="R725" s="12" t="str">
        <f aca="false">IFERROR(VLOOKUP(A725,'Dados-Status-Invest'!$1:$1000,MATCH(R$1,'Dados-Status-Invest'!$2:$2,0),FALSE()),"")</f>
        <v/>
      </c>
      <c r="S725" s="12" t="str">
        <f aca="false">IFERROR(VLOOKUP(A725,'Dados-Status-Invest'!$1:$1000,MATCH(S$1,'Dados-Status-Invest'!$2:$2,0),FALSE()),"")</f>
        <v/>
      </c>
      <c r="T725" s="12" t="str">
        <f aca="false">IFERROR(VLOOKUP(A725,'Dados-Status-Invest'!$1:$1000,MATCH(T$1,'Dados-Status-Invest'!$2:$2,0),FALSE()),"")</f>
        <v/>
      </c>
      <c r="U725" s="12" t="str">
        <f aca="false">IFERROR(VLOOKUP(A725,'Dados-Status-Invest'!$1:$1000,MATCH(U$1,'Dados-Status-Invest'!$2:$2,0),FALSE()),"")</f>
        <v/>
      </c>
      <c r="V725" s="12" t="str">
        <f aca="false">IFERROR(VLOOKUP(A725,'Dados-Status-Invest'!$1:$1000,MATCH(V$1,'Dados-Status-Invest'!$2:$2,0),FALSE()),"")</f>
        <v/>
      </c>
      <c r="W725" s="10" t="str">
        <f aca="false">IFERROR(VLOOKUP(A725,'Dados-Status-Invest'!$1:$1000,MATCH(W$1,'Dados-Status-Invest'!$2:$2,0),FALSE())/100,"")</f>
        <v/>
      </c>
      <c r="X725" s="10" t="str">
        <f aca="false">IFERROR(VLOOKUP(A725,'Dados-Status-Invest'!$1:$1000,MATCH(X$1,'Dados-Status-Invest'!$2:$2,0),FALSE())/100,"")</f>
        <v/>
      </c>
    </row>
    <row r="726" customFormat="false" ht="15.75" hidden="false" customHeight="false" outlineLevel="0" collapsed="false">
      <c r="B726" s="7" t="str">
        <f aca="false">IFERROR(VLOOKUP(LEFT(A726,4),Setor!A:D,2,FALSE()),"")</f>
        <v/>
      </c>
      <c r="C726" s="8" t="str">
        <f aca="false">IFERROR(__xludf.dummyfunction("IFERROR(IFERROR(GOOGLEFINANCE(A732,""price""),VLOOKUP(A732,'Dados-Status-Invest'!A:B,2,FALSE)),"""")"),"")</f>
        <v/>
      </c>
      <c r="D726" s="8" t="str">
        <f aca="false">IFERROR(VLOOKUP(A726,'Dados-Status-Invest'!$1:$1000,MATCH(D$1,'Dados-Status-Invest'!$2:$2,0),FALSE()),"")</f>
        <v/>
      </c>
      <c r="E726" s="8" t="e">
        <f aca="false">IF(D726+H726&gt;0,D726+H726,"")</f>
        <v>#VALUE!</v>
      </c>
      <c r="F726" s="8" t="str">
        <f aca="false">IFERROR(D726/VLOOKUP(A726,'Dados-Status-Invest'!$1:$1000,5,FALSE()),"")</f>
        <v/>
      </c>
      <c r="G726" s="8" t="str">
        <f aca="false">IFERROR(D726/VLOOKUP(A726,'Dados-Status-Invest'!$1:$1000,6,FALSE()),"")</f>
        <v/>
      </c>
      <c r="H726" s="8" t="str">
        <f aca="false">IFERROR(VLOOKUP(A726,'Dados-Status-Invest'!$1:$1000,12,FALSE())*J726,"")</f>
        <v/>
      </c>
      <c r="I726" s="8" t="str">
        <f aca="false">IFERROR(D726/VLOOKUP(A726,'Dados-Status-Invest'!$1:$1000,14,FALSE()),"")</f>
        <v/>
      </c>
      <c r="J726" s="9" t="str">
        <f aca="false">IFERROR(D726/VLOOKUP(A726,'Dados-Status-Invest'!$1:$1000,10,FALSE()),"")</f>
        <v/>
      </c>
      <c r="K726" s="10" t="str">
        <f aca="false">IFERROR(VLOOKUP(A726,'Dados-Status-Invest'!$1:$1000,3,FALSE())/100,"")</f>
        <v/>
      </c>
      <c r="L726" s="11" t="str">
        <f aca="false">IFERROR(VLOOKUP(A726,'Dados-Status-Invest'!$1:$1000,MATCH(L$1,'Dados-Status-Invest'!$2:$2,0),FALSE())/100,"")</f>
        <v/>
      </c>
      <c r="M726" s="10" t="str">
        <f aca="false">IFERROR(VLOOKUP(A726,'Dados-Status-Invest'!$1:$1000,MATCH(M$1,'Dados-Status-Invest'!$2:$2,0),FALSE())/100,"")</f>
        <v/>
      </c>
      <c r="N726" s="10" t="str">
        <f aca="false">IFERROR(VLOOKUP(A726,'Dados-Status-Invest'!$1:$1000,MATCH(N$1,'Dados-Status-Invest'!$2:$2,0),FALSE())/100,"")</f>
        <v/>
      </c>
      <c r="O726" s="10" t="str">
        <f aca="false">IFERROR(VLOOKUP(A726,'Dados-Status-Invest'!$1:$1000,MATCH(O$1,'Dados-Status-Invest'!$2:$2,0),FALSE())/100,"")</f>
        <v/>
      </c>
      <c r="P726" s="10" t="str">
        <f aca="false">IFERROR(VLOOKUP(A726,'Dados-Status-Invest'!$1:$1000,MATCH(P$1,'Dados-Status-Invest'!$2:$2,0),FALSE())/100,"")</f>
        <v/>
      </c>
      <c r="Q726" s="10" t="str">
        <f aca="false">IFERROR(VLOOKUP(A726,'Dados-Status-Invest'!$1:$1000,MATCH(Q$1,'Dados-Status-Invest'!$2:$2,0),FALSE())/100,"")</f>
        <v/>
      </c>
      <c r="R726" s="12" t="str">
        <f aca="false">IFERROR(VLOOKUP(A726,'Dados-Status-Invest'!$1:$1000,MATCH(R$1,'Dados-Status-Invest'!$2:$2,0),FALSE()),"")</f>
        <v/>
      </c>
      <c r="S726" s="12" t="str">
        <f aca="false">IFERROR(VLOOKUP(A726,'Dados-Status-Invest'!$1:$1000,MATCH(S$1,'Dados-Status-Invest'!$2:$2,0),FALSE()),"")</f>
        <v/>
      </c>
      <c r="T726" s="12" t="str">
        <f aca="false">IFERROR(VLOOKUP(A726,'Dados-Status-Invest'!$1:$1000,MATCH(T$1,'Dados-Status-Invest'!$2:$2,0),FALSE()),"")</f>
        <v/>
      </c>
      <c r="U726" s="12" t="str">
        <f aca="false">IFERROR(VLOOKUP(A726,'Dados-Status-Invest'!$1:$1000,MATCH(U$1,'Dados-Status-Invest'!$2:$2,0),FALSE()),"")</f>
        <v/>
      </c>
      <c r="V726" s="12" t="str">
        <f aca="false">IFERROR(VLOOKUP(A726,'Dados-Status-Invest'!$1:$1000,MATCH(V$1,'Dados-Status-Invest'!$2:$2,0),FALSE()),"")</f>
        <v/>
      </c>
      <c r="W726" s="10" t="str">
        <f aca="false">IFERROR(VLOOKUP(A726,'Dados-Status-Invest'!$1:$1000,MATCH(W$1,'Dados-Status-Invest'!$2:$2,0),FALSE())/100,"")</f>
        <v/>
      </c>
      <c r="X726" s="10" t="str">
        <f aca="false">IFERROR(VLOOKUP(A726,'Dados-Status-Invest'!$1:$1000,MATCH(X$1,'Dados-Status-Invest'!$2:$2,0),FALSE())/100,"")</f>
        <v/>
      </c>
    </row>
    <row r="727" customFormat="false" ht="15.75" hidden="false" customHeight="false" outlineLevel="0" collapsed="false">
      <c r="B727" s="7" t="str">
        <f aca="false">IFERROR(VLOOKUP(LEFT(A727,4),Setor!A:D,2,FALSE()),"")</f>
        <v/>
      </c>
      <c r="C727" s="8" t="str">
        <f aca="false">IFERROR(__xludf.dummyfunction("IFERROR(IFERROR(GOOGLEFINANCE(A733,""price""),VLOOKUP(A733,'Dados-Status-Invest'!A:B,2,FALSE)),"""")"),"")</f>
        <v/>
      </c>
      <c r="D727" s="8" t="str">
        <f aca="false">IFERROR(VLOOKUP(A727,'Dados-Status-Invest'!$1:$1000,MATCH(D$1,'Dados-Status-Invest'!$2:$2,0),FALSE()),"")</f>
        <v/>
      </c>
      <c r="E727" s="8" t="e">
        <f aca="false">IF(D727+H727&gt;0,D727+H727,"")</f>
        <v>#VALUE!</v>
      </c>
      <c r="F727" s="8" t="str">
        <f aca="false">IFERROR(D727/VLOOKUP(A727,'Dados-Status-Invest'!$1:$1000,5,FALSE()),"")</f>
        <v/>
      </c>
      <c r="G727" s="8" t="str">
        <f aca="false">IFERROR(D727/VLOOKUP(A727,'Dados-Status-Invest'!$1:$1000,6,FALSE()),"")</f>
        <v/>
      </c>
      <c r="H727" s="8" t="str">
        <f aca="false">IFERROR(VLOOKUP(A727,'Dados-Status-Invest'!$1:$1000,12,FALSE())*J727,"")</f>
        <v/>
      </c>
      <c r="I727" s="8" t="str">
        <f aca="false">IFERROR(D727/VLOOKUP(A727,'Dados-Status-Invest'!$1:$1000,14,FALSE()),"")</f>
        <v/>
      </c>
      <c r="J727" s="9" t="str">
        <f aca="false">IFERROR(D727/VLOOKUP(A727,'Dados-Status-Invest'!$1:$1000,10,FALSE()),"")</f>
        <v/>
      </c>
      <c r="K727" s="10" t="str">
        <f aca="false">IFERROR(VLOOKUP(A727,'Dados-Status-Invest'!$1:$1000,3,FALSE())/100,"")</f>
        <v/>
      </c>
      <c r="L727" s="11" t="str">
        <f aca="false">IFERROR(VLOOKUP(A727,'Dados-Status-Invest'!$1:$1000,MATCH(L$1,'Dados-Status-Invest'!$2:$2,0),FALSE())/100,"")</f>
        <v/>
      </c>
      <c r="M727" s="10" t="str">
        <f aca="false">IFERROR(VLOOKUP(A727,'Dados-Status-Invest'!$1:$1000,MATCH(M$1,'Dados-Status-Invest'!$2:$2,0),FALSE())/100,"")</f>
        <v/>
      </c>
      <c r="N727" s="10" t="str">
        <f aca="false">IFERROR(VLOOKUP(A727,'Dados-Status-Invest'!$1:$1000,MATCH(N$1,'Dados-Status-Invest'!$2:$2,0),FALSE())/100,"")</f>
        <v/>
      </c>
      <c r="O727" s="10" t="str">
        <f aca="false">IFERROR(VLOOKUP(A727,'Dados-Status-Invest'!$1:$1000,MATCH(O$1,'Dados-Status-Invest'!$2:$2,0),FALSE())/100,"")</f>
        <v/>
      </c>
      <c r="P727" s="10" t="str">
        <f aca="false">IFERROR(VLOOKUP(A727,'Dados-Status-Invest'!$1:$1000,MATCH(P$1,'Dados-Status-Invest'!$2:$2,0),FALSE())/100,"")</f>
        <v/>
      </c>
      <c r="Q727" s="10" t="str">
        <f aca="false">IFERROR(VLOOKUP(A727,'Dados-Status-Invest'!$1:$1000,MATCH(Q$1,'Dados-Status-Invest'!$2:$2,0),FALSE())/100,"")</f>
        <v/>
      </c>
      <c r="R727" s="12" t="str">
        <f aca="false">IFERROR(VLOOKUP(A727,'Dados-Status-Invest'!$1:$1000,MATCH(R$1,'Dados-Status-Invest'!$2:$2,0),FALSE()),"")</f>
        <v/>
      </c>
      <c r="S727" s="12" t="str">
        <f aca="false">IFERROR(VLOOKUP(A727,'Dados-Status-Invest'!$1:$1000,MATCH(S$1,'Dados-Status-Invest'!$2:$2,0),FALSE()),"")</f>
        <v/>
      </c>
      <c r="T727" s="12" t="str">
        <f aca="false">IFERROR(VLOOKUP(A727,'Dados-Status-Invest'!$1:$1000,MATCH(T$1,'Dados-Status-Invest'!$2:$2,0),FALSE()),"")</f>
        <v/>
      </c>
      <c r="U727" s="12" t="str">
        <f aca="false">IFERROR(VLOOKUP(A727,'Dados-Status-Invest'!$1:$1000,MATCH(U$1,'Dados-Status-Invest'!$2:$2,0),FALSE()),"")</f>
        <v/>
      </c>
      <c r="V727" s="12" t="str">
        <f aca="false">IFERROR(VLOOKUP(A727,'Dados-Status-Invest'!$1:$1000,MATCH(V$1,'Dados-Status-Invest'!$2:$2,0),FALSE()),"")</f>
        <v/>
      </c>
      <c r="W727" s="10" t="str">
        <f aca="false">IFERROR(VLOOKUP(A727,'Dados-Status-Invest'!$1:$1000,MATCH(W$1,'Dados-Status-Invest'!$2:$2,0),FALSE())/100,"")</f>
        <v/>
      </c>
      <c r="X727" s="10" t="str">
        <f aca="false">IFERROR(VLOOKUP(A727,'Dados-Status-Invest'!$1:$1000,MATCH(X$1,'Dados-Status-Invest'!$2:$2,0),FALSE())/100,"")</f>
        <v/>
      </c>
    </row>
    <row r="728" customFormat="false" ht="15.75" hidden="false" customHeight="false" outlineLevel="0" collapsed="false">
      <c r="B728" s="7" t="str">
        <f aca="false">IFERROR(VLOOKUP(LEFT(A728,4),Setor!A:D,2,FALSE()),"")</f>
        <v/>
      </c>
      <c r="C728" s="8" t="str">
        <f aca="false">IFERROR(__xludf.dummyfunction("IFERROR(IFERROR(GOOGLEFINANCE(A734,""price""),VLOOKUP(A734,'Dados-Status-Invest'!A:B,2,FALSE)),"""")"),"")</f>
        <v/>
      </c>
      <c r="D728" s="8" t="str">
        <f aca="false">IFERROR(VLOOKUP(A728,'Dados-Status-Invest'!$1:$1000,MATCH(D$1,'Dados-Status-Invest'!$2:$2,0),FALSE()),"")</f>
        <v/>
      </c>
      <c r="E728" s="8" t="e">
        <f aca="false">IF(D728+H728&gt;0,D728+H728,"")</f>
        <v>#VALUE!</v>
      </c>
      <c r="F728" s="8" t="str">
        <f aca="false">IFERROR(D728/VLOOKUP(A728,'Dados-Status-Invest'!$1:$1000,5,FALSE()),"")</f>
        <v/>
      </c>
      <c r="G728" s="8" t="str">
        <f aca="false">IFERROR(D728/VLOOKUP(A728,'Dados-Status-Invest'!$1:$1000,6,FALSE()),"")</f>
        <v/>
      </c>
      <c r="H728" s="8" t="str">
        <f aca="false">IFERROR(VLOOKUP(A728,'Dados-Status-Invest'!$1:$1000,12,FALSE())*J728,"")</f>
        <v/>
      </c>
      <c r="I728" s="8" t="str">
        <f aca="false">IFERROR(D728/VLOOKUP(A728,'Dados-Status-Invest'!$1:$1000,14,FALSE()),"")</f>
        <v/>
      </c>
      <c r="J728" s="9" t="str">
        <f aca="false">IFERROR(D728/VLOOKUP(A728,'Dados-Status-Invest'!$1:$1000,10,FALSE()),"")</f>
        <v/>
      </c>
      <c r="K728" s="10" t="str">
        <f aca="false">IFERROR(VLOOKUP(A728,'Dados-Status-Invest'!$1:$1000,3,FALSE())/100,"")</f>
        <v/>
      </c>
      <c r="L728" s="11" t="str">
        <f aca="false">IFERROR(VLOOKUP(A728,'Dados-Status-Invest'!$1:$1000,MATCH(L$1,'Dados-Status-Invest'!$2:$2,0),FALSE())/100,"")</f>
        <v/>
      </c>
      <c r="M728" s="10" t="str">
        <f aca="false">IFERROR(VLOOKUP(A728,'Dados-Status-Invest'!$1:$1000,MATCH(M$1,'Dados-Status-Invest'!$2:$2,0),FALSE())/100,"")</f>
        <v/>
      </c>
      <c r="N728" s="10" t="str">
        <f aca="false">IFERROR(VLOOKUP(A728,'Dados-Status-Invest'!$1:$1000,MATCH(N$1,'Dados-Status-Invest'!$2:$2,0),FALSE())/100,"")</f>
        <v/>
      </c>
      <c r="O728" s="10" t="str">
        <f aca="false">IFERROR(VLOOKUP(A728,'Dados-Status-Invest'!$1:$1000,MATCH(O$1,'Dados-Status-Invest'!$2:$2,0),FALSE())/100,"")</f>
        <v/>
      </c>
      <c r="P728" s="10" t="str">
        <f aca="false">IFERROR(VLOOKUP(A728,'Dados-Status-Invest'!$1:$1000,MATCH(P$1,'Dados-Status-Invest'!$2:$2,0),FALSE())/100,"")</f>
        <v/>
      </c>
      <c r="Q728" s="10" t="str">
        <f aca="false">IFERROR(VLOOKUP(A728,'Dados-Status-Invest'!$1:$1000,MATCH(Q$1,'Dados-Status-Invest'!$2:$2,0),FALSE())/100,"")</f>
        <v/>
      </c>
      <c r="R728" s="12" t="str">
        <f aca="false">IFERROR(VLOOKUP(A728,'Dados-Status-Invest'!$1:$1000,MATCH(R$1,'Dados-Status-Invest'!$2:$2,0),FALSE()),"")</f>
        <v/>
      </c>
      <c r="S728" s="12" t="str">
        <f aca="false">IFERROR(VLOOKUP(A728,'Dados-Status-Invest'!$1:$1000,MATCH(S$1,'Dados-Status-Invest'!$2:$2,0),FALSE()),"")</f>
        <v/>
      </c>
      <c r="T728" s="12" t="str">
        <f aca="false">IFERROR(VLOOKUP(A728,'Dados-Status-Invest'!$1:$1000,MATCH(T$1,'Dados-Status-Invest'!$2:$2,0),FALSE()),"")</f>
        <v/>
      </c>
      <c r="U728" s="12" t="str">
        <f aca="false">IFERROR(VLOOKUP(A728,'Dados-Status-Invest'!$1:$1000,MATCH(U$1,'Dados-Status-Invest'!$2:$2,0),FALSE()),"")</f>
        <v/>
      </c>
      <c r="V728" s="12" t="str">
        <f aca="false">IFERROR(VLOOKUP(A728,'Dados-Status-Invest'!$1:$1000,MATCH(V$1,'Dados-Status-Invest'!$2:$2,0),FALSE()),"")</f>
        <v/>
      </c>
      <c r="W728" s="10" t="str">
        <f aca="false">IFERROR(VLOOKUP(A728,'Dados-Status-Invest'!$1:$1000,MATCH(W$1,'Dados-Status-Invest'!$2:$2,0),FALSE())/100,"")</f>
        <v/>
      </c>
      <c r="X728" s="10" t="str">
        <f aca="false">IFERROR(VLOOKUP(A728,'Dados-Status-Invest'!$1:$1000,MATCH(X$1,'Dados-Status-Invest'!$2:$2,0),FALSE())/100,"")</f>
        <v/>
      </c>
    </row>
    <row r="729" customFormat="false" ht="15.75" hidden="false" customHeight="false" outlineLevel="0" collapsed="false">
      <c r="B729" s="7" t="str">
        <f aca="false">IFERROR(VLOOKUP(LEFT(A729,4),Setor!A:D,2,FALSE()),"")</f>
        <v/>
      </c>
      <c r="C729" s="8" t="str">
        <f aca="false">IFERROR(__xludf.dummyfunction("IFERROR(IFERROR(GOOGLEFINANCE(A735,""price""),VLOOKUP(A735,'Dados-Status-Invest'!A:B,2,FALSE)),"""")"),"")</f>
        <v/>
      </c>
      <c r="D729" s="8" t="str">
        <f aca="false">IFERROR(VLOOKUP(A729,'Dados-Status-Invest'!$1:$1000,MATCH(D$1,'Dados-Status-Invest'!$2:$2,0),FALSE()),"")</f>
        <v/>
      </c>
      <c r="E729" s="8" t="e">
        <f aca="false">IF(D729+H729&gt;0,D729+H729,"")</f>
        <v>#VALUE!</v>
      </c>
      <c r="F729" s="8" t="str">
        <f aca="false">IFERROR(D729/VLOOKUP(A729,'Dados-Status-Invest'!$1:$1000,5,FALSE()),"")</f>
        <v/>
      </c>
      <c r="G729" s="8" t="str">
        <f aca="false">IFERROR(D729/VLOOKUP(A729,'Dados-Status-Invest'!$1:$1000,6,FALSE()),"")</f>
        <v/>
      </c>
      <c r="H729" s="8" t="str">
        <f aca="false">IFERROR(VLOOKUP(A729,'Dados-Status-Invest'!$1:$1000,12,FALSE())*J729,"")</f>
        <v/>
      </c>
      <c r="I729" s="8" t="str">
        <f aca="false">IFERROR(D729/VLOOKUP(A729,'Dados-Status-Invest'!$1:$1000,14,FALSE()),"")</f>
        <v/>
      </c>
      <c r="J729" s="9" t="str">
        <f aca="false">IFERROR(D729/VLOOKUP(A729,'Dados-Status-Invest'!$1:$1000,10,FALSE()),"")</f>
        <v/>
      </c>
      <c r="K729" s="10" t="str">
        <f aca="false">IFERROR(VLOOKUP(A729,'Dados-Status-Invest'!$1:$1000,3,FALSE())/100,"")</f>
        <v/>
      </c>
      <c r="L729" s="11" t="str">
        <f aca="false">IFERROR(VLOOKUP(A729,'Dados-Status-Invest'!$1:$1000,MATCH(L$1,'Dados-Status-Invest'!$2:$2,0),FALSE())/100,"")</f>
        <v/>
      </c>
      <c r="M729" s="10" t="str">
        <f aca="false">IFERROR(VLOOKUP(A729,'Dados-Status-Invest'!$1:$1000,MATCH(M$1,'Dados-Status-Invest'!$2:$2,0),FALSE())/100,"")</f>
        <v/>
      </c>
      <c r="N729" s="10" t="str">
        <f aca="false">IFERROR(VLOOKUP(A729,'Dados-Status-Invest'!$1:$1000,MATCH(N$1,'Dados-Status-Invest'!$2:$2,0),FALSE())/100,"")</f>
        <v/>
      </c>
      <c r="O729" s="10" t="str">
        <f aca="false">IFERROR(VLOOKUP(A729,'Dados-Status-Invest'!$1:$1000,MATCH(O$1,'Dados-Status-Invest'!$2:$2,0),FALSE())/100,"")</f>
        <v/>
      </c>
      <c r="P729" s="10" t="str">
        <f aca="false">IFERROR(VLOOKUP(A729,'Dados-Status-Invest'!$1:$1000,MATCH(P$1,'Dados-Status-Invest'!$2:$2,0),FALSE())/100,"")</f>
        <v/>
      </c>
      <c r="Q729" s="10" t="str">
        <f aca="false">IFERROR(VLOOKUP(A729,'Dados-Status-Invest'!$1:$1000,MATCH(Q$1,'Dados-Status-Invest'!$2:$2,0),FALSE())/100,"")</f>
        <v/>
      </c>
      <c r="R729" s="12" t="str">
        <f aca="false">IFERROR(VLOOKUP(A729,'Dados-Status-Invest'!$1:$1000,MATCH(R$1,'Dados-Status-Invest'!$2:$2,0),FALSE()),"")</f>
        <v/>
      </c>
      <c r="S729" s="12" t="str">
        <f aca="false">IFERROR(VLOOKUP(A729,'Dados-Status-Invest'!$1:$1000,MATCH(S$1,'Dados-Status-Invest'!$2:$2,0),FALSE()),"")</f>
        <v/>
      </c>
      <c r="T729" s="12" t="str">
        <f aca="false">IFERROR(VLOOKUP(A729,'Dados-Status-Invest'!$1:$1000,MATCH(T$1,'Dados-Status-Invest'!$2:$2,0),FALSE()),"")</f>
        <v/>
      </c>
      <c r="U729" s="12" t="str">
        <f aca="false">IFERROR(VLOOKUP(A729,'Dados-Status-Invest'!$1:$1000,MATCH(U$1,'Dados-Status-Invest'!$2:$2,0),FALSE()),"")</f>
        <v/>
      </c>
      <c r="V729" s="12" t="str">
        <f aca="false">IFERROR(VLOOKUP(A729,'Dados-Status-Invest'!$1:$1000,MATCH(V$1,'Dados-Status-Invest'!$2:$2,0),FALSE()),"")</f>
        <v/>
      </c>
      <c r="W729" s="10" t="str">
        <f aca="false">IFERROR(VLOOKUP(A729,'Dados-Status-Invest'!$1:$1000,MATCH(W$1,'Dados-Status-Invest'!$2:$2,0),FALSE())/100,"")</f>
        <v/>
      </c>
      <c r="X729" s="10" t="str">
        <f aca="false">IFERROR(VLOOKUP(A729,'Dados-Status-Invest'!$1:$1000,MATCH(X$1,'Dados-Status-Invest'!$2:$2,0),FALSE())/100,"")</f>
        <v/>
      </c>
    </row>
    <row r="730" customFormat="false" ht="15.75" hidden="false" customHeight="false" outlineLevel="0" collapsed="false">
      <c r="B730" s="7" t="str">
        <f aca="false">IFERROR(VLOOKUP(LEFT(A730,4),Setor!A:D,2,FALSE()),"")</f>
        <v/>
      </c>
      <c r="C730" s="8" t="str">
        <f aca="false">IFERROR(__xludf.dummyfunction("IFERROR(IFERROR(GOOGLEFINANCE(A736,""price""),VLOOKUP(A736,'Dados-Status-Invest'!A:B,2,FALSE)),"""")"),"")</f>
        <v/>
      </c>
      <c r="D730" s="8" t="str">
        <f aca="false">IFERROR(VLOOKUP(A730,'Dados-Status-Invest'!$1:$1000,MATCH(D$1,'Dados-Status-Invest'!$2:$2,0),FALSE()),"")</f>
        <v/>
      </c>
      <c r="E730" s="8" t="e">
        <f aca="false">IF(D730+H730&gt;0,D730+H730,"")</f>
        <v>#VALUE!</v>
      </c>
      <c r="F730" s="8" t="str">
        <f aca="false">IFERROR(D730/VLOOKUP(A730,'Dados-Status-Invest'!$1:$1000,5,FALSE()),"")</f>
        <v/>
      </c>
      <c r="G730" s="8" t="str">
        <f aca="false">IFERROR(D730/VLOOKUP(A730,'Dados-Status-Invest'!$1:$1000,6,FALSE()),"")</f>
        <v/>
      </c>
      <c r="H730" s="8" t="str">
        <f aca="false">IFERROR(VLOOKUP(A730,'Dados-Status-Invest'!$1:$1000,12,FALSE())*J730,"")</f>
        <v/>
      </c>
      <c r="I730" s="8" t="str">
        <f aca="false">IFERROR(D730/VLOOKUP(A730,'Dados-Status-Invest'!$1:$1000,14,FALSE()),"")</f>
        <v/>
      </c>
      <c r="J730" s="9" t="str">
        <f aca="false">IFERROR(D730/VLOOKUP(A730,'Dados-Status-Invest'!$1:$1000,10,FALSE()),"")</f>
        <v/>
      </c>
      <c r="K730" s="10" t="str">
        <f aca="false">IFERROR(VLOOKUP(A730,'Dados-Status-Invest'!$1:$1000,3,FALSE())/100,"")</f>
        <v/>
      </c>
      <c r="L730" s="11" t="str">
        <f aca="false">IFERROR(VLOOKUP(A730,'Dados-Status-Invest'!$1:$1000,MATCH(L$1,'Dados-Status-Invest'!$2:$2,0),FALSE())/100,"")</f>
        <v/>
      </c>
      <c r="M730" s="10" t="str">
        <f aca="false">IFERROR(VLOOKUP(A730,'Dados-Status-Invest'!$1:$1000,MATCH(M$1,'Dados-Status-Invest'!$2:$2,0),FALSE())/100,"")</f>
        <v/>
      </c>
      <c r="N730" s="10" t="str">
        <f aca="false">IFERROR(VLOOKUP(A730,'Dados-Status-Invest'!$1:$1000,MATCH(N$1,'Dados-Status-Invest'!$2:$2,0),FALSE())/100,"")</f>
        <v/>
      </c>
      <c r="O730" s="10" t="str">
        <f aca="false">IFERROR(VLOOKUP(A730,'Dados-Status-Invest'!$1:$1000,MATCH(O$1,'Dados-Status-Invest'!$2:$2,0),FALSE())/100,"")</f>
        <v/>
      </c>
      <c r="P730" s="10" t="str">
        <f aca="false">IFERROR(VLOOKUP(A730,'Dados-Status-Invest'!$1:$1000,MATCH(P$1,'Dados-Status-Invest'!$2:$2,0),FALSE())/100,"")</f>
        <v/>
      </c>
      <c r="Q730" s="10" t="str">
        <f aca="false">IFERROR(VLOOKUP(A730,'Dados-Status-Invest'!$1:$1000,MATCH(Q$1,'Dados-Status-Invest'!$2:$2,0),FALSE())/100,"")</f>
        <v/>
      </c>
      <c r="R730" s="12" t="str">
        <f aca="false">IFERROR(VLOOKUP(A730,'Dados-Status-Invest'!$1:$1000,MATCH(R$1,'Dados-Status-Invest'!$2:$2,0),FALSE()),"")</f>
        <v/>
      </c>
      <c r="S730" s="12" t="str">
        <f aca="false">IFERROR(VLOOKUP(A730,'Dados-Status-Invest'!$1:$1000,MATCH(S$1,'Dados-Status-Invest'!$2:$2,0),FALSE()),"")</f>
        <v/>
      </c>
      <c r="T730" s="12" t="str">
        <f aca="false">IFERROR(VLOOKUP(A730,'Dados-Status-Invest'!$1:$1000,MATCH(T$1,'Dados-Status-Invest'!$2:$2,0),FALSE()),"")</f>
        <v/>
      </c>
      <c r="U730" s="12" t="str">
        <f aca="false">IFERROR(VLOOKUP(A730,'Dados-Status-Invest'!$1:$1000,MATCH(U$1,'Dados-Status-Invest'!$2:$2,0),FALSE()),"")</f>
        <v/>
      </c>
      <c r="V730" s="12" t="str">
        <f aca="false">IFERROR(VLOOKUP(A730,'Dados-Status-Invest'!$1:$1000,MATCH(V$1,'Dados-Status-Invest'!$2:$2,0),FALSE()),"")</f>
        <v/>
      </c>
      <c r="W730" s="10" t="str">
        <f aca="false">IFERROR(VLOOKUP(A730,'Dados-Status-Invest'!$1:$1000,MATCH(W$1,'Dados-Status-Invest'!$2:$2,0),FALSE())/100,"")</f>
        <v/>
      </c>
      <c r="X730" s="10" t="str">
        <f aca="false">IFERROR(VLOOKUP(A730,'Dados-Status-Invest'!$1:$1000,MATCH(X$1,'Dados-Status-Invest'!$2:$2,0),FALSE())/100,"")</f>
        <v/>
      </c>
    </row>
    <row r="731" customFormat="false" ht="15.75" hidden="false" customHeight="false" outlineLevel="0" collapsed="false">
      <c r="B731" s="7" t="str">
        <f aca="false">IFERROR(VLOOKUP(LEFT(A731,4),Setor!A:D,2,FALSE()),"")</f>
        <v/>
      </c>
      <c r="C731" s="8" t="str">
        <f aca="false">IFERROR(__xludf.dummyfunction("IFERROR(IFERROR(GOOGLEFINANCE(A737,""price""),VLOOKUP(A737,'Dados-Status-Invest'!A:B,2,FALSE)),"""")"),"")</f>
        <v/>
      </c>
      <c r="D731" s="8" t="str">
        <f aca="false">IFERROR(VLOOKUP(A731,'Dados-Status-Invest'!$1:$1000,MATCH(D$1,'Dados-Status-Invest'!$2:$2,0),FALSE()),"")</f>
        <v/>
      </c>
      <c r="E731" s="8" t="e">
        <f aca="false">IF(D731+H731&gt;0,D731+H731,"")</f>
        <v>#VALUE!</v>
      </c>
      <c r="F731" s="8" t="str">
        <f aca="false">IFERROR(D731/VLOOKUP(A731,'Dados-Status-Invest'!$1:$1000,5,FALSE()),"")</f>
        <v/>
      </c>
      <c r="G731" s="8" t="str">
        <f aca="false">IFERROR(D731/VLOOKUP(A731,'Dados-Status-Invest'!$1:$1000,6,FALSE()),"")</f>
        <v/>
      </c>
      <c r="H731" s="8" t="str">
        <f aca="false">IFERROR(VLOOKUP(A731,'Dados-Status-Invest'!$1:$1000,12,FALSE())*J731,"")</f>
        <v/>
      </c>
      <c r="I731" s="8" t="str">
        <f aca="false">IFERROR(D731/VLOOKUP(A731,'Dados-Status-Invest'!$1:$1000,14,FALSE()),"")</f>
        <v/>
      </c>
      <c r="J731" s="9" t="str">
        <f aca="false">IFERROR(D731/VLOOKUP(A731,'Dados-Status-Invest'!$1:$1000,10,FALSE()),"")</f>
        <v/>
      </c>
      <c r="K731" s="10" t="str">
        <f aca="false">IFERROR(VLOOKUP(A731,'Dados-Status-Invest'!$1:$1000,3,FALSE())/100,"")</f>
        <v/>
      </c>
      <c r="L731" s="11" t="str">
        <f aca="false">IFERROR(VLOOKUP(A731,'Dados-Status-Invest'!$1:$1000,MATCH(L$1,'Dados-Status-Invest'!$2:$2,0),FALSE())/100,"")</f>
        <v/>
      </c>
      <c r="M731" s="10" t="str">
        <f aca="false">IFERROR(VLOOKUP(A731,'Dados-Status-Invest'!$1:$1000,MATCH(M$1,'Dados-Status-Invest'!$2:$2,0),FALSE())/100,"")</f>
        <v/>
      </c>
      <c r="N731" s="10" t="str">
        <f aca="false">IFERROR(VLOOKUP(A731,'Dados-Status-Invest'!$1:$1000,MATCH(N$1,'Dados-Status-Invest'!$2:$2,0),FALSE())/100,"")</f>
        <v/>
      </c>
      <c r="O731" s="10" t="str">
        <f aca="false">IFERROR(VLOOKUP(A731,'Dados-Status-Invest'!$1:$1000,MATCH(O$1,'Dados-Status-Invest'!$2:$2,0),FALSE())/100,"")</f>
        <v/>
      </c>
      <c r="P731" s="10" t="str">
        <f aca="false">IFERROR(VLOOKUP(A731,'Dados-Status-Invest'!$1:$1000,MATCH(P$1,'Dados-Status-Invest'!$2:$2,0),FALSE())/100,"")</f>
        <v/>
      </c>
      <c r="Q731" s="10" t="str">
        <f aca="false">IFERROR(VLOOKUP(A731,'Dados-Status-Invest'!$1:$1000,MATCH(Q$1,'Dados-Status-Invest'!$2:$2,0),FALSE())/100,"")</f>
        <v/>
      </c>
      <c r="R731" s="12" t="str">
        <f aca="false">IFERROR(VLOOKUP(A731,'Dados-Status-Invest'!$1:$1000,MATCH(R$1,'Dados-Status-Invest'!$2:$2,0),FALSE()),"")</f>
        <v/>
      </c>
      <c r="S731" s="12" t="str">
        <f aca="false">IFERROR(VLOOKUP(A731,'Dados-Status-Invest'!$1:$1000,MATCH(S$1,'Dados-Status-Invest'!$2:$2,0),FALSE()),"")</f>
        <v/>
      </c>
      <c r="T731" s="12" t="str">
        <f aca="false">IFERROR(VLOOKUP(A731,'Dados-Status-Invest'!$1:$1000,MATCH(T$1,'Dados-Status-Invest'!$2:$2,0),FALSE()),"")</f>
        <v/>
      </c>
      <c r="U731" s="12" t="str">
        <f aca="false">IFERROR(VLOOKUP(A731,'Dados-Status-Invest'!$1:$1000,MATCH(U$1,'Dados-Status-Invest'!$2:$2,0),FALSE()),"")</f>
        <v/>
      </c>
      <c r="V731" s="12" t="str">
        <f aca="false">IFERROR(VLOOKUP(A731,'Dados-Status-Invest'!$1:$1000,MATCH(V$1,'Dados-Status-Invest'!$2:$2,0),FALSE()),"")</f>
        <v/>
      </c>
      <c r="W731" s="10" t="str">
        <f aca="false">IFERROR(VLOOKUP(A731,'Dados-Status-Invest'!$1:$1000,MATCH(W$1,'Dados-Status-Invest'!$2:$2,0),FALSE())/100,"")</f>
        <v/>
      </c>
      <c r="X731" s="10" t="str">
        <f aca="false">IFERROR(VLOOKUP(A731,'Dados-Status-Invest'!$1:$1000,MATCH(X$1,'Dados-Status-Invest'!$2:$2,0),FALSE())/100,"")</f>
        <v/>
      </c>
    </row>
    <row r="732" customFormat="false" ht="15.75" hidden="false" customHeight="false" outlineLevel="0" collapsed="false">
      <c r="B732" s="7" t="str">
        <f aca="false">IFERROR(VLOOKUP(LEFT(A732,4),Setor!A:D,2,FALSE()),"")</f>
        <v/>
      </c>
      <c r="C732" s="8" t="str">
        <f aca="false">IFERROR(__xludf.dummyfunction("IFERROR(IFERROR(GOOGLEFINANCE(A738,""price""),VLOOKUP(A738,'Dados-Status-Invest'!A:B,2,FALSE)),"""")"),"")</f>
        <v/>
      </c>
      <c r="D732" s="8" t="str">
        <f aca="false">IFERROR(VLOOKUP(A732,'Dados-Status-Invest'!$1:$1000,MATCH(D$1,'Dados-Status-Invest'!$2:$2,0),FALSE()),"")</f>
        <v/>
      </c>
      <c r="E732" s="8" t="e">
        <f aca="false">IF(D732+H732&gt;0,D732+H732,"")</f>
        <v>#VALUE!</v>
      </c>
      <c r="F732" s="8" t="str">
        <f aca="false">IFERROR(D732/VLOOKUP(A732,'Dados-Status-Invest'!$1:$1000,5,FALSE()),"")</f>
        <v/>
      </c>
      <c r="G732" s="8" t="str">
        <f aca="false">IFERROR(D732/VLOOKUP(A732,'Dados-Status-Invest'!$1:$1000,6,FALSE()),"")</f>
        <v/>
      </c>
      <c r="H732" s="8" t="str">
        <f aca="false">IFERROR(VLOOKUP(A732,'Dados-Status-Invest'!$1:$1000,12,FALSE())*J732,"")</f>
        <v/>
      </c>
      <c r="I732" s="8" t="str">
        <f aca="false">IFERROR(D732/VLOOKUP(A732,'Dados-Status-Invest'!$1:$1000,14,FALSE()),"")</f>
        <v/>
      </c>
      <c r="J732" s="9" t="str">
        <f aca="false">IFERROR(D732/VLOOKUP(A732,'Dados-Status-Invest'!$1:$1000,10,FALSE()),"")</f>
        <v/>
      </c>
      <c r="K732" s="10" t="str">
        <f aca="false">IFERROR(VLOOKUP(A732,'Dados-Status-Invest'!$1:$1000,3,FALSE())/100,"")</f>
        <v/>
      </c>
      <c r="L732" s="11" t="str">
        <f aca="false">IFERROR(VLOOKUP(A732,'Dados-Status-Invest'!$1:$1000,MATCH(L$1,'Dados-Status-Invest'!$2:$2,0),FALSE())/100,"")</f>
        <v/>
      </c>
      <c r="M732" s="10" t="str">
        <f aca="false">IFERROR(VLOOKUP(A732,'Dados-Status-Invest'!$1:$1000,MATCH(M$1,'Dados-Status-Invest'!$2:$2,0),FALSE())/100,"")</f>
        <v/>
      </c>
      <c r="N732" s="10" t="str">
        <f aca="false">IFERROR(VLOOKUP(A732,'Dados-Status-Invest'!$1:$1000,MATCH(N$1,'Dados-Status-Invest'!$2:$2,0),FALSE())/100,"")</f>
        <v/>
      </c>
      <c r="O732" s="10" t="str">
        <f aca="false">IFERROR(VLOOKUP(A732,'Dados-Status-Invest'!$1:$1000,MATCH(O$1,'Dados-Status-Invest'!$2:$2,0),FALSE())/100,"")</f>
        <v/>
      </c>
      <c r="P732" s="10" t="str">
        <f aca="false">IFERROR(VLOOKUP(A732,'Dados-Status-Invest'!$1:$1000,MATCH(P$1,'Dados-Status-Invest'!$2:$2,0),FALSE())/100,"")</f>
        <v/>
      </c>
      <c r="Q732" s="10" t="str">
        <f aca="false">IFERROR(VLOOKUP(A732,'Dados-Status-Invest'!$1:$1000,MATCH(Q$1,'Dados-Status-Invest'!$2:$2,0),FALSE())/100,"")</f>
        <v/>
      </c>
      <c r="R732" s="12" t="str">
        <f aca="false">IFERROR(VLOOKUP(A732,'Dados-Status-Invest'!$1:$1000,MATCH(R$1,'Dados-Status-Invest'!$2:$2,0),FALSE()),"")</f>
        <v/>
      </c>
      <c r="S732" s="12" t="str">
        <f aca="false">IFERROR(VLOOKUP(A732,'Dados-Status-Invest'!$1:$1000,MATCH(S$1,'Dados-Status-Invest'!$2:$2,0),FALSE()),"")</f>
        <v/>
      </c>
      <c r="T732" s="12" t="str">
        <f aca="false">IFERROR(VLOOKUP(A732,'Dados-Status-Invest'!$1:$1000,MATCH(T$1,'Dados-Status-Invest'!$2:$2,0),FALSE()),"")</f>
        <v/>
      </c>
      <c r="U732" s="12" t="str">
        <f aca="false">IFERROR(VLOOKUP(A732,'Dados-Status-Invest'!$1:$1000,MATCH(U$1,'Dados-Status-Invest'!$2:$2,0),FALSE()),"")</f>
        <v/>
      </c>
      <c r="V732" s="12" t="str">
        <f aca="false">IFERROR(VLOOKUP(A732,'Dados-Status-Invest'!$1:$1000,MATCH(V$1,'Dados-Status-Invest'!$2:$2,0),FALSE()),"")</f>
        <v/>
      </c>
      <c r="W732" s="10" t="str">
        <f aca="false">IFERROR(VLOOKUP(A732,'Dados-Status-Invest'!$1:$1000,MATCH(W$1,'Dados-Status-Invest'!$2:$2,0),FALSE())/100,"")</f>
        <v/>
      </c>
      <c r="X732" s="10" t="str">
        <f aca="false">IFERROR(VLOOKUP(A732,'Dados-Status-Invest'!$1:$1000,MATCH(X$1,'Dados-Status-Invest'!$2:$2,0),FALSE())/100,"")</f>
        <v/>
      </c>
    </row>
    <row r="733" customFormat="false" ht="15.75" hidden="false" customHeight="false" outlineLevel="0" collapsed="false">
      <c r="B733" s="7" t="str">
        <f aca="false">IFERROR(VLOOKUP(LEFT(A733,4),Setor!A:D,2,FALSE()),"")</f>
        <v/>
      </c>
      <c r="C733" s="8" t="str">
        <f aca="false">IFERROR(__xludf.dummyfunction("IFERROR(IFERROR(GOOGLEFINANCE(A739,""price""),VLOOKUP(A739,'Dados-Status-Invest'!A:B,2,FALSE)),"""")"),"")</f>
        <v/>
      </c>
      <c r="D733" s="8" t="str">
        <f aca="false">IFERROR(VLOOKUP(A733,'Dados-Status-Invest'!$1:$1000,MATCH(D$1,'Dados-Status-Invest'!$2:$2,0),FALSE()),"")</f>
        <v/>
      </c>
      <c r="E733" s="8" t="e">
        <f aca="false">IF(D733+H733&gt;0,D733+H733,"")</f>
        <v>#VALUE!</v>
      </c>
      <c r="F733" s="8" t="str">
        <f aca="false">IFERROR(D733/VLOOKUP(A733,'Dados-Status-Invest'!$1:$1000,5,FALSE()),"")</f>
        <v/>
      </c>
      <c r="G733" s="8" t="str">
        <f aca="false">IFERROR(D733/VLOOKUP(A733,'Dados-Status-Invest'!$1:$1000,6,FALSE()),"")</f>
        <v/>
      </c>
      <c r="H733" s="8" t="str">
        <f aca="false">IFERROR(VLOOKUP(A733,'Dados-Status-Invest'!$1:$1000,12,FALSE())*J733,"")</f>
        <v/>
      </c>
      <c r="I733" s="8" t="str">
        <f aca="false">IFERROR(D733/VLOOKUP(A733,'Dados-Status-Invest'!$1:$1000,14,FALSE()),"")</f>
        <v/>
      </c>
      <c r="J733" s="9" t="str">
        <f aca="false">IFERROR(D733/VLOOKUP(A733,'Dados-Status-Invest'!$1:$1000,10,FALSE()),"")</f>
        <v/>
      </c>
      <c r="K733" s="10" t="str">
        <f aca="false">IFERROR(VLOOKUP(A733,'Dados-Status-Invest'!$1:$1000,3,FALSE())/100,"")</f>
        <v/>
      </c>
      <c r="L733" s="11" t="str">
        <f aca="false">IFERROR(VLOOKUP(A733,'Dados-Status-Invest'!$1:$1000,MATCH(L$1,'Dados-Status-Invest'!$2:$2,0),FALSE())/100,"")</f>
        <v/>
      </c>
      <c r="M733" s="10" t="str">
        <f aca="false">IFERROR(VLOOKUP(A733,'Dados-Status-Invest'!$1:$1000,MATCH(M$1,'Dados-Status-Invest'!$2:$2,0),FALSE())/100,"")</f>
        <v/>
      </c>
      <c r="N733" s="10" t="str">
        <f aca="false">IFERROR(VLOOKUP(A733,'Dados-Status-Invest'!$1:$1000,MATCH(N$1,'Dados-Status-Invest'!$2:$2,0),FALSE())/100,"")</f>
        <v/>
      </c>
      <c r="O733" s="10" t="str">
        <f aca="false">IFERROR(VLOOKUP(A733,'Dados-Status-Invest'!$1:$1000,MATCH(O$1,'Dados-Status-Invest'!$2:$2,0),FALSE())/100,"")</f>
        <v/>
      </c>
      <c r="P733" s="10" t="str">
        <f aca="false">IFERROR(VLOOKUP(A733,'Dados-Status-Invest'!$1:$1000,MATCH(P$1,'Dados-Status-Invest'!$2:$2,0),FALSE())/100,"")</f>
        <v/>
      </c>
      <c r="Q733" s="10" t="str">
        <f aca="false">IFERROR(VLOOKUP(A733,'Dados-Status-Invest'!$1:$1000,MATCH(Q$1,'Dados-Status-Invest'!$2:$2,0),FALSE())/100,"")</f>
        <v/>
      </c>
      <c r="R733" s="12" t="str">
        <f aca="false">IFERROR(VLOOKUP(A733,'Dados-Status-Invest'!$1:$1000,MATCH(R$1,'Dados-Status-Invest'!$2:$2,0),FALSE()),"")</f>
        <v/>
      </c>
      <c r="S733" s="12" t="str">
        <f aca="false">IFERROR(VLOOKUP(A733,'Dados-Status-Invest'!$1:$1000,MATCH(S$1,'Dados-Status-Invest'!$2:$2,0),FALSE()),"")</f>
        <v/>
      </c>
      <c r="T733" s="12" t="str">
        <f aca="false">IFERROR(VLOOKUP(A733,'Dados-Status-Invest'!$1:$1000,MATCH(T$1,'Dados-Status-Invest'!$2:$2,0),FALSE()),"")</f>
        <v/>
      </c>
      <c r="U733" s="12" t="str">
        <f aca="false">IFERROR(VLOOKUP(A733,'Dados-Status-Invest'!$1:$1000,MATCH(U$1,'Dados-Status-Invest'!$2:$2,0),FALSE()),"")</f>
        <v/>
      </c>
      <c r="V733" s="12" t="str">
        <f aca="false">IFERROR(VLOOKUP(A733,'Dados-Status-Invest'!$1:$1000,MATCH(V$1,'Dados-Status-Invest'!$2:$2,0),FALSE()),"")</f>
        <v/>
      </c>
      <c r="W733" s="10" t="str">
        <f aca="false">IFERROR(VLOOKUP(A733,'Dados-Status-Invest'!$1:$1000,MATCH(W$1,'Dados-Status-Invest'!$2:$2,0),FALSE())/100,"")</f>
        <v/>
      </c>
      <c r="X733" s="10" t="str">
        <f aca="false">IFERROR(VLOOKUP(A733,'Dados-Status-Invest'!$1:$1000,MATCH(X$1,'Dados-Status-Invest'!$2:$2,0),FALSE())/100,"")</f>
        <v/>
      </c>
    </row>
    <row r="734" customFormat="false" ht="15.75" hidden="false" customHeight="false" outlineLevel="0" collapsed="false">
      <c r="B734" s="7" t="str">
        <f aca="false">IFERROR(VLOOKUP(LEFT(A734,4),Setor!A:D,2,FALSE()),"")</f>
        <v/>
      </c>
      <c r="C734" s="8" t="str">
        <f aca="false">IFERROR(__xludf.dummyfunction("IFERROR(IFERROR(GOOGLEFINANCE(A740,""price""),VLOOKUP(A740,'Dados-Status-Invest'!A:B,2,FALSE)),"""")"),"")</f>
        <v/>
      </c>
      <c r="D734" s="8" t="str">
        <f aca="false">IFERROR(VLOOKUP(A734,'Dados-Status-Invest'!$1:$1000,MATCH(D$1,'Dados-Status-Invest'!$2:$2,0),FALSE()),"")</f>
        <v/>
      </c>
      <c r="E734" s="8" t="e">
        <f aca="false">IF(D734+H734&gt;0,D734+H734,"")</f>
        <v>#VALUE!</v>
      </c>
      <c r="F734" s="8" t="str">
        <f aca="false">IFERROR(D734/VLOOKUP(A734,'Dados-Status-Invest'!$1:$1000,5,FALSE()),"")</f>
        <v/>
      </c>
      <c r="G734" s="8" t="str">
        <f aca="false">IFERROR(D734/VLOOKUP(A734,'Dados-Status-Invest'!$1:$1000,6,FALSE()),"")</f>
        <v/>
      </c>
      <c r="H734" s="8" t="str">
        <f aca="false">IFERROR(VLOOKUP(A734,'Dados-Status-Invest'!$1:$1000,12,FALSE())*J734,"")</f>
        <v/>
      </c>
      <c r="I734" s="8" t="str">
        <f aca="false">IFERROR(D734/VLOOKUP(A734,'Dados-Status-Invest'!$1:$1000,14,FALSE()),"")</f>
        <v/>
      </c>
      <c r="J734" s="9" t="str">
        <f aca="false">IFERROR(D734/VLOOKUP(A734,'Dados-Status-Invest'!$1:$1000,10,FALSE()),"")</f>
        <v/>
      </c>
      <c r="K734" s="10" t="str">
        <f aca="false">IFERROR(VLOOKUP(A734,'Dados-Status-Invest'!$1:$1000,3,FALSE())/100,"")</f>
        <v/>
      </c>
      <c r="L734" s="11" t="str">
        <f aca="false">IFERROR(VLOOKUP(A734,'Dados-Status-Invest'!$1:$1000,MATCH(L$1,'Dados-Status-Invest'!$2:$2,0),FALSE())/100,"")</f>
        <v/>
      </c>
      <c r="M734" s="10" t="str">
        <f aca="false">IFERROR(VLOOKUP(A734,'Dados-Status-Invest'!$1:$1000,MATCH(M$1,'Dados-Status-Invest'!$2:$2,0),FALSE())/100,"")</f>
        <v/>
      </c>
      <c r="N734" s="10" t="str">
        <f aca="false">IFERROR(VLOOKUP(A734,'Dados-Status-Invest'!$1:$1000,MATCH(N$1,'Dados-Status-Invest'!$2:$2,0),FALSE())/100,"")</f>
        <v/>
      </c>
      <c r="O734" s="10" t="str">
        <f aca="false">IFERROR(VLOOKUP(A734,'Dados-Status-Invest'!$1:$1000,MATCH(O$1,'Dados-Status-Invest'!$2:$2,0),FALSE())/100,"")</f>
        <v/>
      </c>
      <c r="P734" s="10" t="str">
        <f aca="false">IFERROR(VLOOKUP(A734,'Dados-Status-Invest'!$1:$1000,MATCH(P$1,'Dados-Status-Invest'!$2:$2,0),FALSE())/100,"")</f>
        <v/>
      </c>
      <c r="Q734" s="10" t="str">
        <f aca="false">IFERROR(VLOOKUP(A734,'Dados-Status-Invest'!$1:$1000,MATCH(Q$1,'Dados-Status-Invest'!$2:$2,0),FALSE())/100,"")</f>
        <v/>
      </c>
      <c r="R734" s="12" t="str">
        <f aca="false">IFERROR(VLOOKUP(A734,'Dados-Status-Invest'!$1:$1000,MATCH(R$1,'Dados-Status-Invest'!$2:$2,0),FALSE()),"")</f>
        <v/>
      </c>
      <c r="S734" s="12" t="str">
        <f aca="false">IFERROR(VLOOKUP(A734,'Dados-Status-Invest'!$1:$1000,MATCH(S$1,'Dados-Status-Invest'!$2:$2,0),FALSE()),"")</f>
        <v/>
      </c>
      <c r="T734" s="12" t="str">
        <f aca="false">IFERROR(VLOOKUP(A734,'Dados-Status-Invest'!$1:$1000,MATCH(T$1,'Dados-Status-Invest'!$2:$2,0),FALSE()),"")</f>
        <v/>
      </c>
      <c r="U734" s="12" t="str">
        <f aca="false">IFERROR(VLOOKUP(A734,'Dados-Status-Invest'!$1:$1000,MATCH(U$1,'Dados-Status-Invest'!$2:$2,0),FALSE()),"")</f>
        <v/>
      </c>
      <c r="V734" s="12" t="str">
        <f aca="false">IFERROR(VLOOKUP(A734,'Dados-Status-Invest'!$1:$1000,MATCH(V$1,'Dados-Status-Invest'!$2:$2,0),FALSE()),"")</f>
        <v/>
      </c>
      <c r="W734" s="10" t="str">
        <f aca="false">IFERROR(VLOOKUP(A734,'Dados-Status-Invest'!$1:$1000,MATCH(W$1,'Dados-Status-Invest'!$2:$2,0),FALSE())/100,"")</f>
        <v/>
      </c>
      <c r="X734" s="10" t="str">
        <f aca="false">IFERROR(VLOOKUP(A734,'Dados-Status-Invest'!$1:$1000,MATCH(X$1,'Dados-Status-Invest'!$2:$2,0),FALSE())/100,"")</f>
        <v/>
      </c>
    </row>
    <row r="735" customFormat="false" ht="15.75" hidden="false" customHeight="false" outlineLevel="0" collapsed="false">
      <c r="B735" s="7" t="str">
        <f aca="false">IFERROR(VLOOKUP(LEFT(A735,4),Setor!A:D,2,FALSE()),"")</f>
        <v/>
      </c>
      <c r="C735" s="8" t="str">
        <f aca="false">IFERROR(__xludf.dummyfunction("IFERROR(IFERROR(GOOGLEFINANCE(A741,""price""),VLOOKUP(A741,'Dados-Status-Invest'!A:B,2,FALSE)),"""")"),"")</f>
        <v/>
      </c>
      <c r="D735" s="8" t="str">
        <f aca="false">IFERROR(VLOOKUP(A735,'Dados-Status-Invest'!$1:$1000,MATCH(D$1,'Dados-Status-Invest'!$2:$2,0),FALSE()),"")</f>
        <v/>
      </c>
      <c r="E735" s="8" t="e">
        <f aca="false">IF(D735+H735&gt;0,D735+H735,"")</f>
        <v>#VALUE!</v>
      </c>
      <c r="F735" s="8" t="str">
        <f aca="false">IFERROR(D735/VLOOKUP(A735,'Dados-Status-Invest'!$1:$1000,5,FALSE()),"")</f>
        <v/>
      </c>
      <c r="G735" s="8" t="str">
        <f aca="false">IFERROR(D735/VLOOKUP(A735,'Dados-Status-Invest'!$1:$1000,6,FALSE()),"")</f>
        <v/>
      </c>
      <c r="H735" s="8" t="str">
        <f aca="false">IFERROR(VLOOKUP(A735,'Dados-Status-Invest'!$1:$1000,12,FALSE())*J735,"")</f>
        <v/>
      </c>
      <c r="I735" s="8" t="str">
        <f aca="false">IFERROR(D735/VLOOKUP(A735,'Dados-Status-Invest'!$1:$1000,14,FALSE()),"")</f>
        <v/>
      </c>
      <c r="J735" s="9" t="str">
        <f aca="false">IFERROR(D735/VLOOKUP(A735,'Dados-Status-Invest'!$1:$1000,10,FALSE()),"")</f>
        <v/>
      </c>
      <c r="K735" s="10" t="str">
        <f aca="false">IFERROR(VLOOKUP(A735,'Dados-Status-Invest'!$1:$1000,3,FALSE())/100,"")</f>
        <v/>
      </c>
      <c r="L735" s="11" t="str">
        <f aca="false">IFERROR(VLOOKUP(A735,'Dados-Status-Invest'!$1:$1000,MATCH(L$1,'Dados-Status-Invest'!$2:$2,0),FALSE())/100,"")</f>
        <v/>
      </c>
      <c r="M735" s="10" t="str">
        <f aca="false">IFERROR(VLOOKUP(A735,'Dados-Status-Invest'!$1:$1000,MATCH(M$1,'Dados-Status-Invest'!$2:$2,0),FALSE())/100,"")</f>
        <v/>
      </c>
      <c r="N735" s="10" t="str">
        <f aca="false">IFERROR(VLOOKUP(A735,'Dados-Status-Invest'!$1:$1000,MATCH(N$1,'Dados-Status-Invest'!$2:$2,0),FALSE())/100,"")</f>
        <v/>
      </c>
      <c r="O735" s="10" t="str">
        <f aca="false">IFERROR(VLOOKUP(A735,'Dados-Status-Invest'!$1:$1000,MATCH(O$1,'Dados-Status-Invest'!$2:$2,0),FALSE())/100,"")</f>
        <v/>
      </c>
      <c r="P735" s="10" t="str">
        <f aca="false">IFERROR(VLOOKUP(A735,'Dados-Status-Invest'!$1:$1000,MATCH(P$1,'Dados-Status-Invest'!$2:$2,0),FALSE())/100,"")</f>
        <v/>
      </c>
      <c r="Q735" s="10" t="str">
        <f aca="false">IFERROR(VLOOKUP(A735,'Dados-Status-Invest'!$1:$1000,MATCH(Q$1,'Dados-Status-Invest'!$2:$2,0),FALSE())/100,"")</f>
        <v/>
      </c>
      <c r="R735" s="12" t="str">
        <f aca="false">IFERROR(VLOOKUP(A735,'Dados-Status-Invest'!$1:$1000,MATCH(R$1,'Dados-Status-Invest'!$2:$2,0),FALSE()),"")</f>
        <v/>
      </c>
      <c r="S735" s="12" t="str">
        <f aca="false">IFERROR(VLOOKUP(A735,'Dados-Status-Invest'!$1:$1000,MATCH(S$1,'Dados-Status-Invest'!$2:$2,0),FALSE()),"")</f>
        <v/>
      </c>
      <c r="T735" s="12" t="str">
        <f aca="false">IFERROR(VLOOKUP(A735,'Dados-Status-Invest'!$1:$1000,MATCH(T$1,'Dados-Status-Invest'!$2:$2,0),FALSE()),"")</f>
        <v/>
      </c>
      <c r="U735" s="12" t="str">
        <f aca="false">IFERROR(VLOOKUP(A735,'Dados-Status-Invest'!$1:$1000,MATCH(U$1,'Dados-Status-Invest'!$2:$2,0),FALSE()),"")</f>
        <v/>
      </c>
      <c r="V735" s="12" t="str">
        <f aca="false">IFERROR(VLOOKUP(A735,'Dados-Status-Invest'!$1:$1000,MATCH(V$1,'Dados-Status-Invest'!$2:$2,0),FALSE()),"")</f>
        <v/>
      </c>
      <c r="W735" s="10" t="str">
        <f aca="false">IFERROR(VLOOKUP(A735,'Dados-Status-Invest'!$1:$1000,MATCH(W$1,'Dados-Status-Invest'!$2:$2,0),FALSE())/100,"")</f>
        <v/>
      </c>
      <c r="X735" s="10" t="str">
        <f aca="false">IFERROR(VLOOKUP(A735,'Dados-Status-Invest'!$1:$1000,MATCH(X$1,'Dados-Status-Invest'!$2:$2,0),FALSE())/100,"")</f>
        <v/>
      </c>
    </row>
    <row r="736" customFormat="false" ht="15.75" hidden="false" customHeight="false" outlineLevel="0" collapsed="false">
      <c r="B736" s="7" t="str">
        <f aca="false">IFERROR(VLOOKUP(LEFT(A736,4),Setor!A:D,2,FALSE()),"")</f>
        <v/>
      </c>
      <c r="C736" s="8" t="str">
        <f aca="false">IFERROR(__xludf.dummyfunction("IFERROR(IFERROR(GOOGLEFINANCE(A742,""price""),VLOOKUP(A742,'Dados-Status-Invest'!A:B,2,FALSE)),"""")"),"")</f>
        <v/>
      </c>
      <c r="D736" s="8" t="str">
        <f aca="false">IFERROR(VLOOKUP(A736,'Dados-Status-Invest'!$1:$1000,MATCH(D$1,'Dados-Status-Invest'!$2:$2,0),FALSE()),"")</f>
        <v/>
      </c>
      <c r="E736" s="8" t="e">
        <f aca="false">IF(D736+H736&gt;0,D736+H736,"")</f>
        <v>#VALUE!</v>
      </c>
      <c r="F736" s="8" t="str">
        <f aca="false">IFERROR(D736/VLOOKUP(A736,'Dados-Status-Invest'!$1:$1000,5,FALSE()),"")</f>
        <v/>
      </c>
      <c r="G736" s="8" t="str">
        <f aca="false">IFERROR(D736/VLOOKUP(A736,'Dados-Status-Invest'!$1:$1000,6,FALSE()),"")</f>
        <v/>
      </c>
      <c r="H736" s="8" t="str">
        <f aca="false">IFERROR(VLOOKUP(A736,'Dados-Status-Invest'!$1:$1000,12,FALSE())*J736,"")</f>
        <v/>
      </c>
      <c r="I736" s="8" t="str">
        <f aca="false">IFERROR(D736/VLOOKUP(A736,'Dados-Status-Invest'!$1:$1000,14,FALSE()),"")</f>
        <v/>
      </c>
      <c r="J736" s="9" t="str">
        <f aca="false">IFERROR(D736/VLOOKUP(A736,'Dados-Status-Invest'!$1:$1000,10,FALSE()),"")</f>
        <v/>
      </c>
      <c r="K736" s="10" t="str">
        <f aca="false">IFERROR(VLOOKUP(A736,'Dados-Status-Invest'!$1:$1000,3,FALSE())/100,"")</f>
        <v/>
      </c>
      <c r="L736" s="11" t="str">
        <f aca="false">IFERROR(VLOOKUP(A736,'Dados-Status-Invest'!$1:$1000,MATCH(L$1,'Dados-Status-Invest'!$2:$2,0),FALSE())/100,"")</f>
        <v/>
      </c>
      <c r="M736" s="10" t="str">
        <f aca="false">IFERROR(VLOOKUP(A736,'Dados-Status-Invest'!$1:$1000,MATCH(M$1,'Dados-Status-Invest'!$2:$2,0),FALSE())/100,"")</f>
        <v/>
      </c>
      <c r="N736" s="10" t="str">
        <f aca="false">IFERROR(VLOOKUP(A736,'Dados-Status-Invest'!$1:$1000,MATCH(N$1,'Dados-Status-Invest'!$2:$2,0),FALSE())/100,"")</f>
        <v/>
      </c>
      <c r="O736" s="10" t="str">
        <f aca="false">IFERROR(VLOOKUP(A736,'Dados-Status-Invest'!$1:$1000,MATCH(O$1,'Dados-Status-Invest'!$2:$2,0),FALSE())/100,"")</f>
        <v/>
      </c>
      <c r="P736" s="10" t="str">
        <f aca="false">IFERROR(VLOOKUP(A736,'Dados-Status-Invest'!$1:$1000,MATCH(P$1,'Dados-Status-Invest'!$2:$2,0),FALSE())/100,"")</f>
        <v/>
      </c>
      <c r="Q736" s="10" t="str">
        <f aca="false">IFERROR(VLOOKUP(A736,'Dados-Status-Invest'!$1:$1000,MATCH(Q$1,'Dados-Status-Invest'!$2:$2,0),FALSE())/100,"")</f>
        <v/>
      </c>
      <c r="R736" s="12" t="str">
        <f aca="false">IFERROR(VLOOKUP(A736,'Dados-Status-Invest'!$1:$1000,MATCH(R$1,'Dados-Status-Invest'!$2:$2,0),FALSE()),"")</f>
        <v/>
      </c>
      <c r="S736" s="12" t="str">
        <f aca="false">IFERROR(VLOOKUP(A736,'Dados-Status-Invest'!$1:$1000,MATCH(S$1,'Dados-Status-Invest'!$2:$2,0),FALSE()),"")</f>
        <v/>
      </c>
      <c r="T736" s="12" t="str">
        <f aca="false">IFERROR(VLOOKUP(A736,'Dados-Status-Invest'!$1:$1000,MATCH(T$1,'Dados-Status-Invest'!$2:$2,0),FALSE()),"")</f>
        <v/>
      </c>
      <c r="U736" s="12" t="str">
        <f aca="false">IFERROR(VLOOKUP(A736,'Dados-Status-Invest'!$1:$1000,MATCH(U$1,'Dados-Status-Invest'!$2:$2,0),FALSE()),"")</f>
        <v/>
      </c>
      <c r="V736" s="12" t="str">
        <f aca="false">IFERROR(VLOOKUP(A736,'Dados-Status-Invest'!$1:$1000,MATCH(V$1,'Dados-Status-Invest'!$2:$2,0),FALSE()),"")</f>
        <v/>
      </c>
      <c r="W736" s="10" t="str">
        <f aca="false">IFERROR(VLOOKUP(A736,'Dados-Status-Invest'!$1:$1000,MATCH(W$1,'Dados-Status-Invest'!$2:$2,0),FALSE())/100,"")</f>
        <v/>
      </c>
      <c r="X736" s="10" t="str">
        <f aca="false">IFERROR(VLOOKUP(A736,'Dados-Status-Invest'!$1:$1000,MATCH(X$1,'Dados-Status-Invest'!$2:$2,0),FALSE())/100,"")</f>
        <v/>
      </c>
    </row>
    <row r="737" customFormat="false" ht="15.75" hidden="false" customHeight="false" outlineLevel="0" collapsed="false">
      <c r="B737" s="7" t="str">
        <f aca="false">IFERROR(VLOOKUP(LEFT(A737,4),Setor!A:D,2,FALSE()),"")</f>
        <v/>
      </c>
      <c r="C737" s="8" t="str">
        <f aca="false">IFERROR(__xludf.dummyfunction("IFERROR(IFERROR(GOOGLEFINANCE(A743,""price""),VLOOKUP(A743,'Dados-Status-Invest'!A:B,2,FALSE)),"""")"),"")</f>
        <v/>
      </c>
      <c r="D737" s="8" t="str">
        <f aca="false">IFERROR(VLOOKUP(A737,'Dados-Status-Invest'!$1:$1000,MATCH(D$1,'Dados-Status-Invest'!$2:$2,0),FALSE()),"")</f>
        <v/>
      </c>
      <c r="E737" s="8" t="e">
        <f aca="false">IF(D737+H737&gt;0,D737+H737,"")</f>
        <v>#VALUE!</v>
      </c>
      <c r="F737" s="8" t="str">
        <f aca="false">IFERROR(D737/VLOOKUP(A737,'Dados-Status-Invest'!$1:$1000,5,FALSE()),"")</f>
        <v/>
      </c>
      <c r="G737" s="8" t="str">
        <f aca="false">IFERROR(D737/VLOOKUP(A737,'Dados-Status-Invest'!$1:$1000,6,FALSE()),"")</f>
        <v/>
      </c>
      <c r="H737" s="8" t="str">
        <f aca="false">IFERROR(VLOOKUP(A737,'Dados-Status-Invest'!$1:$1000,12,FALSE())*J737,"")</f>
        <v/>
      </c>
      <c r="I737" s="8" t="str">
        <f aca="false">IFERROR(D737/VLOOKUP(A737,'Dados-Status-Invest'!$1:$1000,14,FALSE()),"")</f>
        <v/>
      </c>
      <c r="J737" s="9" t="str">
        <f aca="false">IFERROR(D737/VLOOKUP(A737,'Dados-Status-Invest'!$1:$1000,10,FALSE()),"")</f>
        <v/>
      </c>
      <c r="K737" s="10" t="str">
        <f aca="false">IFERROR(VLOOKUP(A737,'Dados-Status-Invest'!$1:$1000,3,FALSE())/100,"")</f>
        <v/>
      </c>
      <c r="L737" s="11" t="str">
        <f aca="false">IFERROR(VLOOKUP(A737,'Dados-Status-Invest'!$1:$1000,MATCH(L$1,'Dados-Status-Invest'!$2:$2,0),FALSE())/100,"")</f>
        <v/>
      </c>
      <c r="M737" s="10" t="str">
        <f aca="false">IFERROR(VLOOKUP(A737,'Dados-Status-Invest'!$1:$1000,MATCH(M$1,'Dados-Status-Invest'!$2:$2,0),FALSE())/100,"")</f>
        <v/>
      </c>
      <c r="N737" s="10" t="str">
        <f aca="false">IFERROR(VLOOKUP(A737,'Dados-Status-Invest'!$1:$1000,MATCH(N$1,'Dados-Status-Invest'!$2:$2,0),FALSE())/100,"")</f>
        <v/>
      </c>
      <c r="O737" s="10" t="str">
        <f aca="false">IFERROR(VLOOKUP(A737,'Dados-Status-Invest'!$1:$1000,MATCH(O$1,'Dados-Status-Invest'!$2:$2,0),FALSE())/100,"")</f>
        <v/>
      </c>
      <c r="P737" s="10" t="str">
        <f aca="false">IFERROR(VLOOKUP(A737,'Dados-Status-Invest'!$1:$1000,MATCH(P$1,'Dados-Status-Invest'!$2:$2,0),FALSE())/100,"")</f>
        <v/>
      </c>
      <c r="Q737" s="10" t="str">
        <f aca="false">IFERROR(VLOOKUP(A737,'Dados-Status-Invest'!$1:$1000,MATCH(Q$1,'Dados-Status-Invest'!$2:$2,0),FALSE())/100,"")</f>
        <v/>
      </c>
      <c r="R737" s="12" t="str">
        <f aca="false">IFERROR(VLOOKUP(A737,'Dados-Status-Invest'!$1:$1000,MATCH(R$1,'Dados-Status-Invest'!$2:$2,0),FALSE()),"")</f>
        <v/>
      </c>
      <c r="S737" s="12" t="str">
        <f aca="false">IFERROR(VLOOKUP(A737,'Dados-Status-Invest'!$1:$1000,MATCH(S$1,'Dados-Status-Invest'!$2:$2,0),FALSE()),"")</f>
        <v/>
      </c>
      <c r="T737" s="12" t="str">
        <f aca="false">IFERROR(VLOOKUP(A737,'Dados-Status-Invest'!$1:$1000,MATCH(T$1,'Dados-Status-Invest'!$2:$2,0),FALSE()),"")</f>
        <v/>
      </c>
      <c r="U737" s="12" t="str">
        <f aca="false">IFERROR(VLOOKUP(A737,'Dados-Status-Invest'!$1:$1000,MATCH(U$1,'Dados-Status-Invest'!$2:$2,0),FALSE()),"")</f>
        <v/>
      </c>
      <c r="V737" s="12" t="str">
        <f aca="false">IFERROR(VLOOKUP(A737,'Dados-Status-Invest'!$1:$1000,MATCH(V$1,'Dados-Status-Invest'!$2:$2,0),FALSE()),"")</f>
        <v/>
      </c>
      <c r="W737" s="10" t="str">
        <f aca="false">IFERROR(VLOOKUP(A737,'Dados-Status-Invest'!$1:$1000,MATCH(W$1,'Dados-Status-Invest'!$2:$2,0),FALSE())/100,"")</f>
        <v/>
      </c>
      <c r="X737" s="10" t="str">
        <f aca="false">IFERROR(VLOOKUP(A737,'Dados-Status-Invest'!$1:$1000,MATCH(X$1,'Dados-Status-Invest'!$2:$2,0),FALSE())/100,"")</f>
        <v/>
      </c>
    </row>
    <row r="738" customFormat="false" ht="15.75" hidden="false" customHeight="false" outlineLevel="0" collapsed="false">
      <c r="B738" s="7" t="str">
        <f aca="false">IFERROR(VLOOKUP(LEFT(A738,4),Setor!A:D,2,FALSE()),"")</f>
        <v/>
      </c>
      <c r="C738" s="8" t="str">
        <f aca="false">IFERROR(__xludf.dummyfunction("IFERROR(IFERROR(GOOGLEFINANCE(A744,""price""),VLOOKUP(A744,'Dados-Status-Invest'!A:B,2,FALSE)),"""")"),"")</f>
        <v/>
      </c>
      <c r="D738" s="8" t="str">
        <f aca="false">IFERROR(VLOOKUP(A738,'Dados-Status-Invest'!$1:$1000,MATCH(D$1,'Dados-Status-Invest'!$2:$2,0),FALSE()),"")</f>
        <v/>
      </c>
      <c r="E738" s="8" t="e">
        <f aca="false">IF(D738+H738&gt;0,D738+H738,"")</f>
        <v>#VALUE!</v>
      </c>
      <c r="F738" s="8" t="str">
        <f aca="false">IFERROR(D738/VLOOKUP(A738,'Dados-Status-Invest'!$1:$1000,5,FALSE()),"")</f>
        <v/>
      </c>
      <c r="G738" s="8" t="str">
        <f aca="false">IFERROR(D738/VLOOKUP(A738,'Dados-Status-Invest'!$1:$1000,6,FALSE()),"")</f>
        <v/>
      </c>
      <c r="H738" s="8" t="str">
        <f aca="false">IFERROR(VLOOKUP(A738,'Dados-Status-Invest'!$1:$1000,12,FALSE())*J738,"")</f>
        <v/>
      </c>
      <c r="I738" s="8" t="str">
        <f aca="false">IFERROR(D738/VLOOKUP(A738,'Dados-Status-Invest'!$1:$1000,14,FALSE()),"")</f>
        <v/>
      </c>
      <c r="J738" s="9" t="str">
        <f aca="false">IFERROR(D738/VLOOKUP(A738,'Dados-Status-Invest'!$1:$1000,10,FALSE()),"")</f>
        <v/>
      </c>
      <c r="K738" s="10" t="str">
        <f aca="false">IFERROR(VLOOKUP(A738,'Dados-Status-Invest'!$1:$1000,3,FALSE())/100,"")</f>
        <v/>
      </c>
      <c r="L738" s="11" t="str">
        <f aca="false">IFERROR(VLOOKUP(A738,'Dados-Status-Invest'!$1:$1000,MATCH(L$1,'Dados-Status-Invest'!$2:$2,0),FALSE())/100,"")</f>
        <v/>
      </c>
      <c r="M738" s="10" t="str">
        <f aca="false">IFERROR(VLOOKUP(A738,'Dados-Status-Invest'!$1:$1000,MATCH(M$1,'Dados-Status-Invest'!$2:$2,0),FALSE())/100,"")</f>
        <v/>
      </c>
      <c r="N738" s="10" t="str">
        <f aca="false">IFERROR(VLOOKUP(A738,'Dados-Status-Invest'!$1:$1000,MATCH(N$1,'Dados-Status-Invest'!$2:$2,0),FALSE())/100,"")</f>
        <v/>
      </c>
      <c r="O738" s="10" t="str">
        <f aca="false">IFERROR(VLOOKUP(A738,'Dados-Status-Invest'!$1:$1000,MATCH(O$1,'Dados-Status-Invest'!$2:$2,0),FALSE())/100,"")</f>
        <v/>
      </c>
      <c r="P738" s="10" t="str">
        <f aca="false">IFERROR(VLOOKUP(A738,'Dados-Status-Invest'!$1:$1000,MATCH(P$1,'Dados-Status-Invest'!$2:$2,0),FALSE())/100,"")</f>
        <v/>
      </c>
      <c r="Q738" s="10" t="str">
        <f aca="false">IFERROR(VLOOKUP(A738,'Dados-Status-Invest'!$1:$1000,MATCH(Q$1,'Dados-Status-Invest'!$2:$2,0),FALSE())/100,"")</f>
        <v/>
      </c>
      <c r="R738" s="12" t="str">
        <f aca="false">IFERROR(VLOOKUP(A738,'Dados-Status-Invest'!$1:$1000,MATCH(R$1,'Dados-Status-Invest'!$2:$2,0),FALSE()),"")</f>
        <v/>
      </c>
      <c r="S738" s="12" t="str">
        <f aca="false">IFERROR(VLOOKUP(A738,'Dados-Status-Invest'!$1:$1000,MATCH(S$1,'Dados-Status-Invest'!$2:$2,0),FALSE()),"")</f>
        <v/>
      </c>
      <c r="T738" s="12" t="str">
        <f aca="false">IFERROR(VLOOKUP(A738,'Dados-Status-Invest'!$1:$1000,MATCH(T$1,'Dados-Status-Invest'!$2:$2,0),FALSE()),"")</f>
        <v/>
      </c>
      <c r="U738" s="12" t="str">
        <f aca="false">IFERROR(VLOOKUP(A738,'Dados-Status-Invest'!$1:$1000,MATCH(U$1,'Dados-Status-Invest'!$2:$2,0),FALSE()),"")</f>
        <v/>
      </c>
      <c r="V738" s="12" t="str">
        <f aca="false">IFERROR(VLOOKUP(A738,'Dados-Status-Invest'!$1:$1000,MATCH(V$1,'Dados-Status-Invest'!$2:$2,0),FALSE()),"")</f>
        <v/>
      </c>
      <c r="W738" s="10" t="str">
        <f aca="false">IFERROR(VLOOKUP(A738,'Dados-Status-Invest'!$1:$1000,MATCH(W$1,'Dados-Status-Invest'!$2:$2,0),FALSE())/100,"")</f>
        <v/>
      </c>
      <c r="X738" s="10" t="str">
        <f aca="false">IFERROR(VLOOKUP(A738,'Dados-Status-Invest'!$1:$1000,MATCH(X$1,'Dados-Status-Invest'!$2:$2,0),FALSE())/100,"")</f>
        <v/>
      </c>
    </row>
    <row r="739" customFormat="false" ht="15.75" hidden="false" customHeight="false" outlineLevel="0" collapsed="false">
      <c r="B739" s="7" t="str">
        <f aca="false">IFERROR(VLOOKUP(LEFT(A739,4),Setor!A:D,2,FALSE()),"")</f>
        <v/>
      </c>
      <c r="C739" s="8" t="str">
        <f aca="false">IFERROR(__xludf.dummyfunction("IFERROR(IFERROR(GOOGLEFINANCE(A745,""price""),VLOOKUP(A745,'Dados-Status-Invest'!A:B,2,FALSE)),"""")"),"")</f>
        <v/>
      </c>
      <c r="D739" s="8" t="str">
        <f aca="false">IFERROR(VLOOKUP(A739,'Dados-Status-Invest'!$1:$1000,MATCH(D$1,'Dados-Status-Invest'!$2:$2,0),FALSE()),"")</f>
        <v/>
      </c>
      <c r="E739" s="8" t="e">
        <f aca="false">IF(D739+H739&gt;0,D739+H739,"")</f>
        <v>#VALUE!</v>
      </c>
      <c r="F739" s="8" t="str">
        <f aca="false">IFERROR(D739/VLOOKUP(A739,'Dados-Status-Invest'!$1:$1000,5,FALSE()),"")</f>
        <v/>
      </c>
      <c r="G739" s="8" t="str">
        <f aca="false">IFERROR(D739/VLOOKUP(A739,'Dados-Status-Invest'!$1:$1000,6,FALSE()),"")</f>
        <v/>
      </c>
      <c r="H739" s="8" t="str">
        <f aca="false">IFERROR(VLOOKUP(A739,'Dados-Status-Invest'!$1:$1000,12,FALSE())*J739,"")</f>
        <v/>
      </c>
      <c r="I739" s="8" t="str">
        <f aca="false">IFERROR(D739/VLOOKUP(A739,'Dados-Status-Invest'!$1:$1000,14,FALSE()),"")</f>
        <v/>
      </c>
      <c r="J739" s="9" t="str">
        <f aca="false">IFERROR(D739/VLOOKUP(A739,'Dados-Status-Invest'!$1:$1000,10,FALSE()),"")</f>
        <v/>
      </c>
      <c r="K739" s="10" t="str">
        <f aca="false">IFERROR(VLOOKUP(A739,'Dados-Status-Invest'!$1:$1000,3,FALSE())/100,"")</f>
        <v/>
      </c>
      <c r="L739" s="11" t="str">
        <f aca="false">IFERROR(VLOOKUP(A739,'Dados-Status-Invest'!$1:$1000,MATCH(L$1,'Dados-Status-Invest'!$2:$2,0),FALSE())/100,"")</f>
        <v/>
      </c>
      <c r="M739" s="10" t="str">
        <f aca="false">IFERROR(VLOOKUP(A739,'Dados-Status-Invest'!$1:$1000,MATCH(M$1,'Dados-Status-Invest'!$2:$2,0),FALSE())/100,"")</f>
        <v/>
      </c>
      <c r="N739" s="10" t="str">
        <f aca="false">IFERROR(VLOOKUP(A739,'Dados-Status-Invest'!$1:$1000,MATCH(N$1,'Dados-Status-Invest'!$2:$2,0),FALSE())/100,"")</f>
        <v/>
      </c>
      <c r="O739" s="10" t="str">
        <f aca="false">IFERROR(VLOOKUP(A739,'Dados-Status-Invest'!$1:$1000,MATCH(O$1,'Dados-Status-Invest'!$2:$2,0),FALSE())/100,"")</f>
        <v/>
      </c>
      <c r="P739" s="10" t="str">
        <f aca="false">IFERROR(VLOOKUP(A739,'Dados-Status-Invest'!$1:$1000,MATCH(P$1,'Dados-Status-Invest'!$2:$2,0),FALSE())/100,"")</f>
        <v/>
      </c>
      <c r="Q739" s="10" t="str">
        <f aca="false">IFERROR(VLOOKUP(A739,'Dados-Status-Invest'!$1:$1000,MATCH(Q$1,'Dados-Status-Invest'!$2:$2,0),FALSE())/100,"")</f>
        <v/>
      </c>
      <c r="R739" s="12" t="str">
        <f aca="false">IFERROR(VLOOKUP(A739,'Dados-Status-Invest'!$1:$1000,MATCH(R$1,'Dados-Status-Invest'!$2:$2,0),FALSE()),"")</f>
        <v/>
      </c>
      <c r="S739" s="12" t="str">
        <f aca="false">IFERROR(VLOOKUP(A739,'Dados-Status-Invest'!$1:$1000,MATCH(S$1,'Dados-Status-Invest'!$2:$2,0),FALSE()),"")</f>
        <v/>
      </c>
      <c r="T739" s="12" t="str">
        <f aca="false">IFERROR(VLOOKUP(A739,'Dados-Status-Invest'!$1:$1000,MATCH(T$1,'Dados-Status-Invest'!$2:$2,0),FALSE()),"")</f>
        <v/>
      </c>
      <c r="U739" s="12" t="str">
        <f aca="false">IFERROR(VLOOKUP(A739,'Dados-Status-Invest'!$1:$1000,MATCH(U$1,'Dados-Status-Invest'!$2:$2,0),FALSE()),"")</f>
        <v/>
      </c>
      <c r="V739" s="12" t="str">
        <f aca="false">IFERROR(VLOOKUP(A739,'Dados-Status-Invest'!$1:$1000,MATCH(V$1,'Dados-Status-Invest'!$2:$2,0),FALSE()),"")</f>
        <v/>
      </c>
      <c r="W739" s="10" t="str">
        <f aca="false">IFERROR(VLOOKUP(A739,'Dados-Status-Invest'!$1:$1000,MATCH(W$1,'Dados-Status-Invest'!$2:$2,0),FALSE())/100,"")</f>
        <v/>
      </c>
      <c r="X739" s="10" t="str">
        <f aca="false">IFERROR(VLOOKUP(A739,'Dados-Status-Invest'!$1:$1000,MATCH(X$1,'Dados-Status-Invest'!$2:$2,0),FALSE())/100,"")</f>
        <v/>
      </c>
    </row>
    <row r="740" customFormat="false" ht="15.75" hidden="false" customHeight="false" outlineLevel="0" collapsed="false">
      <c r="B740" s="7" t="str">
        <f aca="false">IFERROR(VLOOKUP(LEFT(A740,4),Setor!A:D,2,FALSE()),"")</f>
        <v/>
      </c>
      <c r="C740" s="8" t="str">
        <f aca="false">IFERROR(__xludf.dummyfunction("IFERROR(IFERROR(GOOGLEFINANCE(A746,""price""),VLOOKUP(A746,'Dados-Status-Invest'!A:B,2,FALSE)),"""")"),"")</f>
        <v/>
      </c>
      <c r="D740" s="8" t="str">
        <f aca="false">IFERROR(VLOOKUP(A740,'Dados-Status-Invest'!$1:$1000,MATCH(D$1,'Dados-Status-Invest'!$2:$2,0),FALSE()),"")</f>
        <v/>
      </c>
      <c r="E740" s="8" t="e">
        <f aca="false">IF(D740+H740&gt;0,D740+H740,"")</f>
        <v>#VALUE!</v>
      </c>
      <c r="F740" s="8" t="str">
        <f aca="false">IFERROR(D740/VLOOKUP(A740,'Dados-Status-Invest'!$1:$1000,5,FALSE()),"")</f>
        <v/>
      </c>
      <c r="G740" s="8" t="str">
        <f aca="false">IFERROR(D740/VLOOKUP(A740,'Dados-Status-Invest'!$1:$1000,6,FALSE()),"")</f>
        <v/>
      </c>
      <c r="H740" s="8" t="str">
        <f aca="false">IFERROR(VLOOKUP(A740,'Dados-Status-Invest'!$1:$1000,12,FALSE())*J740,"")</f>
        <v/>
      </c>
      <c r="I740" s="8" t="str">
        <f aca="false">IFERROR(D740/VLOOKUP(A740,'Dados-Status-Invest'!$1:$1000,14,FALSE()),"")</f>
        <v/>
      </c>
      <c r="J740" s="9" t="str">
        <f aca="false">IFERROR(D740/VLOOKUP(A740,'Dados-Status-Invest'!$1:$1000,10,FALSE()),"")</f>
        <v/>
      </c>
      <c r="K740" s="10" t="str">
        <f aca="false">IFERROR(VLOOKUP(A740,'Dados-Status-Invest'!$1:$1000,3,FALSE())/100,"")</f>
        <v/>
      </c>
      <c r="L740" s="11" t="str">
        <f aca="false">IFERROR(VLOOKUP(A740,'Dados-Status-Invest'!$1:$1000,MATCH(L$1,'Dados-Status-Invest'!$2:$2,0),FALSE())/100,"")</f>
        <v/>
      </c>
      <c r="M740" s="10" t="str">
        <f aca="false">IFERROR(VLOOKUP(A740,'Dados-Status-Invest'!$1:$1000,MATCH(M$1,'Dados-Status-Invest'!$2:$2,0),FALSE())/100,"")</f>
        <v/>
      </c>
      <c r="N740" s="10" t="str">
        <f aca="false">IFERROR(VLOOKUP(A740,'Dados-Status-Invest'!$1:$1000,MATCH(N$1,'Dados-Status-Invest'!$2:$2,0),FALSE())/100,"")</f>
        <v/>
      </c>
      <c r="O740" s="10" t="str">
        <f aca="false">IFERROR(VLOOKUP(A740,'Dados-Status-Invest'!$1:$1000,MATCH(O$1,'Dados-Status-Invest'!$2:$2,0),FALSE())/100,"")</f>
        <v/>
      </c>
      <c r="P740" s="10" t="str">
        <f aca="false">IFERROR(VLOOKUP(A740,'Dados-Status-Invest'!$1:$1000,MATCH(P$1,'Dados-Status-Invest'!$2:$2,0),FALSE())/100,"")</f>
        <v/>
      </c>
      <c r="Q740" s="10" t="str">
        <f aca="false">IFERROR(VLOOKUP(A740,'Dados-Status-Invest'!$1:$1000,MATCH(Q$1,'Dados-Status-Invest'!$2:$2,0),FALSE())/100,"")</f>
        <v/>
      </c>
      <c r="R740" s="12" t="str">
        <f aca="false">IFERROR(VLOOKUP(A740,'Dados-Status-Invest'!$1:$1000,MATCH(R$1,'Dados-Status-Invest'!$2:$2,0),FALSE()),"")</f>
        <v/>
      </c>
      <c r="S740" s="12" t="str">
        <f aca="false">IFERROR(VLOOKUP(A740,'Dados-Status-Invest'!$1:$1000,MATCH(S$1,'Dados-Status-Invest'!$2:$2,0),FALSE()),"")</f>
        <v/>
      </c>
      <c r="T740" s="12" t="str">
        <f aca="false">IFERROR(VLOOKUP(A740,'Dados-Status-Invest'!$1:$1000,MATCH(T$1,'Dados-Status-Invest'!$2:$2,0),FALSE()),"")</f>
        <v/>
      </c>
      <c r="U740" s="12" t="str">
        <f aca="false">IFERROR(VLOOKUP(A740,'Dados-Status-Invest'!$1:$1000,MATCH(U$1,'Dados-Status-Invest'!$2:$2,0),FALSE()),"")</f>
        <v/>
      </c>
      <c r="V740" s="12" t="str">
        <f aca="false">IFERROR(VLOOKUP(A740,'Dados-Status-Invest'!$1:$1000,MATCH(V$1,'Dados-Status-Invest'!$2:$2,0),FALSE()),"")</f>
        <v/>
      </c>
      <c r="W740" s="10" t="str">
        <f aca="false">IFERROR(VLOOKUP(A740,'Dados-Status-Invest'!$1:$1000,MATCH(W$1,'Dados-Status-Invest'!$2:$2,0),FALSE())/100,"")</f>
        <v/>
      </c>
      <c r="X740" s="10" t="str">
        <f aca="false">IFERROR(VLOOKUP(A740,'Dados-Status-Invest'!$1:$1000,MATCH(X$1,'Dados-Status-Invest'!$2:$2,0),FALSE())/100,"")</f>
        <v/>
      </c>
    </row>
    <row r="741" customFormat="false" ht="15.75" hidden="false" customHeight="false" outlineLevel="0" collapsed="false">
      <c r="B741" s="7" t="str">
        <f aca="false">IFERROR(VLOOKUP(LEFT(A741,4),Setor!A:D,2,FALSE()),"")</f>
        <v/>
      </c>
      <c r="C741" s="8" t="str">
        <f aca="false">IFERROR(__xludf.dummyfunction("IFERROR(IFERROR(GOOGLEFINANCE(A747,""price""),VLOOKUP(A747,'Dados-Status-Invest'!A:B,2,FALSE)),"""")"),"")</f>
        <v/>
      </c>
      <c r="D741" s="8" t="str">
        <f aca="false">IFERROR(VLOOKUP(A741,'Dados-Status-Invest'!$1:$1000,MATCH(D$1,'Dados-Status-Invest'!$2:$2,0),FALSE()),"")</f>
        <v/>
      </c>
      <c r="E741" s="8" t="e">
        <f aca="false">IF(D741+H741&gt;0,D741+H741,"")</f>
        <v>#VALUE!</v>
      </c>
      <c r="F741" s="8" t="str">
        <f aca="false">IFERROR(D741/VLOOKUP(A741,'Dados-Status-Invest'!$1:$1000,5,FALSE()),"")</f>
        <v/>
      </c>
      <c r="G741" s="8" t="str">
        <f aca="false">IFERROR(D741/VLOOKUP(A741,'Dados-Status-Invest'!$1:$1000,6,FALSE()),"")</f>
        <v/>
      </c>
      <c r="H741" s="8" t="str">
        <f aca="false">IFERROR(VLOOKUP(A741,'Dados-Status-Invest'!$1:$1000,12,FALSE())*J741,"")</f>
        <v/>
      </c>
      <c r="I741" s="8" t="str">
        <f aca="false">IFERROR(D741/VLOOKUP(A741,'Dados-Status-Invest'!$1:$1000,14,FALSE()),"")</f>
        <v/>
      </c>
      <c r="J741" s="9" t="str">
        <f aca="false">IFERROR(D741/VLOOKUP(A741,'Dados-Status-Invest'!$1:$1000,10,FALSE()),"")</f>
        <v/>
      </c>
      <c r="K741" s="10" t="str">
        <f aca="false">IFERROR(VLOOKUP(A741,'Dados-Status-Invest'!$1:$1000,3,FALSE())/100,"")</f>
        <v/>
      </c>
      <c r="L741" s="11" t="str">
        <f aca="false">IFERROR(VLOOKUP(A741,'Dados-Status-Invest'!$1:$1000,MATCH(L$1,'Dados-Status-Invest'!$2:$2,0),FALSE())/100,"")</f>
        <v/>
      </c>
      <c r="M741" s="10" t="str">
        <f aca="false">IFERROR(VLOOKUP(A741,'Dados-Status-Invest'!$1:$1000,MATCH(M$1,'Dados-Status-Invest'!$2:$2,0),FALSE())/100,"")</f>
        <v/>
      </c>
      <c r="N741" s="10" t="str">
        <f aca="false">IFERROR(VLOOKUP(A741,'Dados-Status-Invest'!$1:$1000,MATCH(N$1,'Dados-Status-Invest'!$2:$2,0),FALSE())/100,"")</f>
        <v/>
      </c>
      <c r="O741" s="10" t="str">
        <f aca="false">IFERROR(VLOOKUP(A741,'Dados-Status-Invest'!$1:$1000,MATCH(O$1,'Dados-Status-Invest'!$2:$2,0),FALSE())/100,"")</f>
        <v/>
      </c>
      <c r="P741" s="10" t="str">
        <f aca="false">IFERROR(VLOOKUP(A741,'Dados-Status-Invest'!$1:$1000,MATCH(P$1,'Dados-Status-Invest'!$2:$2,0),FALSE())/100,"")</f>
        <v/>
      </c>
      <c r="Q741" s="10" t="str">
        <f aca="false">IFERROR(VLOOKUP(A741,'Dados-Status-Invest'!$1:$1000,MATCH(Q$1,'Dados-Status-Invest'!$2:$2,0),FALSE())/100,"")</f>
        <v/>
      </c>
      <c r="R741" s="12" t="str">
        <f aca="false">IFERROR(VLOOKUP(A741,'Dados-Status-Invest'!$1:$1000,MATCH(R$1,'Dados-Status-Invest'!$2:$2,0),FALSE()),"")</f>
        <v/>
      </c>
      <c r="S741" s="12" t="str">
        <f aca="false">IFERROR(VLOOKUP(A741,'Dados-Status-Invest'!$1:$1000,MATCH(S$1,'Dados-Status-Invest'!$2:$2,0),FALSE()),"")</f>
        <v/>
      </c>
      <c r="T741" s="12" t="str">
        <f aca="false">IFERROR(VLOOKUP(A741,'Dados-Status-Invest'!$1:$1000,MATCH(T$1,'Dados-Status-Invest'!$2:$2,0),FALSE()),"")</f>
        <v/>
      </c>
      <c r="U741" s="12" t="str">
        <f aca="false">IFERROR(VLOOKUP(A741,'Dados-Status-Invest'!$1:$1000,MATCH(U$1,'Dados-Status-Invest'!$2:$2,0),FALSE()),"")</f>
        <v/>
      </c>
      <c r="V741" s="12" t="str">
        <f aca="false">IFERROR(VLOOKUP(A741,'Dados-Status-Invest'!$1:$1000,MATCH(V$1,'Dados-Status-Invest'!$2:$2,0),FALSE()),"")</f>
        <v/>
      </c>
      <c r="W741" s="10" t="str">
        <f aca="false">IFERROR(VLOOKUP(A741,'Dados-Status-Invest'!$1:$1000,MATCH(W$1,'Dados-Status-Invest'!$2:$2,0),FALSE())/100,"")</f>
        <v/>
      </c>
      <c r="X741" s="10" t="str">
        <f aca="false">IFERROR(VLOOKUP(A741,'Dados-Status-Invest'!$1:$1000,MATCH(X$1,'Dados-Status-Invest'!$2:$2,0),FALSE())/100,"")</f>
        <v/>
      </c>
    </row>
    <row r="742" customFormat="false" ht="15.75" hidden="false" customHeight="false" outlineLevel="0" collapsed="false">
      <c r="B742" s="7" t="str">
        <f aca="false">IFERROR(VLOOKUP(LEFT(A742,4),Setor!A:D,2,FALSE()),"")</f>
        <v/>
      </c>
      <c r="C742" s="8" t="str">
        <f aca="false">IFERROR(__xludf.dummyfunction("IFERROR(IFERROR(GOOGLEFINANCE(A748,""price""),VLOOKUP(A748,'Dados-Status-Invest'!A:B,2,FALSE)),"""")"),"")</f>
        <v/>
      </c>
      <c r="D742" s="8" t="str">
        <f aca="false">IFERROR(VLOOKUP(A742,'Dados-Status-Invest'!$1:$1000,MATCH(D$1,'Dados-Status-Invest'!$2:$2,0),FALSE()),"")</f>
        <v/>
      </c>
      <c r="E742" s="8" t="e">
        <f aca="false">IF(D742+H742&gt;0,D742+H742,"")</f>
        <v>#VALUE!</v>
      </c>
      <c r="F742" s="8" t="str">
        <f aca="false">IFERROR(D742/VLOOKUP(A742,'Dados-Status-Invest'!$1:$1000,5,FALSE()),"")</f>
        <v/>
      </c>
      <c r="G742" s="8" t="str">
        <f aca="false">IFERROR(D742/VLOOKUP(A742,'Dados-Status-Invest'!$1:$1000,6,FALSE()),"")</f>
        <v/>
      </c>
      <c r="H742" s="8" t="str">
        <f aca="false">IFERROR(VLOOKUP(A742,'Dados-Status-Invest'!$1:$1000,12,FALSE())*J742,"")</f>
        <v/>
      </c>
      <c r="I742" s="8" t="str">
        <f aca="false">IFERROR(D742/VLOOKUP(A742,'Dados-Status-Invest'!$1:$1000,14,FALSE()),"")</f>
        <v/>
      </c>
      <c r="J742" s="9" t="str">
        <f aca="false">IFERROR(D742/VLOOKUP(A742,'Dados-Status-Invest'!$1:$1000,10,FALSE()),"")</f>
        <v/>
      </c>
      <c r="K742" s="10" t="str">
        <f aca="false">IFERROR(VLOOKUP(A742,'Dados-Status-Invest'!$1:$1000,3,FALSE())/100,"")</f>
        <v/>
      </c>
      <c r="L742" s="11" t="str">
        <f aca="false">IFERROR(VLOOKUP(A742,'Dados-Status-Invest'!$1:$1000,MATCH(L$1,'Dados-Status-Invest'!$2:$2,0),FALSE())/100,"")</f>
        <v/>
      </c>
      <c r="M742" s="10" t="str">
        <f aca="false">IFERROR(VLOOKUP(A742,'Dados-Status-Invest'!$1:$1000,MATCH(M$1,'Dados-Status-Invest'!$2:$2,0),FALSE())/100,"")</f>
        <v/>
      </c>
      <c r="N742" s="10" t="str">
        <f aca="false">IFERROR(VLOOKUP(A742,'Dados-Status-Invest'!$1:$1000,MATCH(N$1,'Dados-Status-Invest'!$2:$2,0),FALSE())/100,"")</f>
        <v/>
      </c>
      <c r="O742" s="10" t="str">
        <f aca="false">IFERROR(VLOOKUP(A742,'Dados-Status-Invest'!$1:$1000,MATCH(O$1,'Dados-Status-Invest'!$2:$2,0),FALSE())/100,"")</f>
        <v/>
      </c>
      <c r="P742" s="10" t="str">
        <f aca="false">IFERROR(VLOOKUP(A742,'Dados-Status-Invest'!$1:$1000,MATCH(P$1,'Dados-Status-Invest'!$2:$2,0),FALSE())/100,"")</f>
        <v/>
      </c>
      <c r="Q742" s="10" t="str">
        <f aca="false">IFERROR(VLOOKUP(A742,'Dados-Status-Invest'!$1:$1000,MATCH(Q$1,'Dados-Status-Invest'!$2:$2,0),FALSE())/100,"")</f>
        <v/>
      </c>
      <c r="R742" s="12" t="str">
        <f aca="false">IFERROR(VLOOKUP(A742,'Dados-Status-Invest'!$1:$1000,MATCH(R$1,'Dados-Status-Invest'!$2:$2,0),FALSE()),"")</f>
        <v/>
      </c>
      <c r="S742" s="12" t="str">
        <f aca="false">IFERROR(VLOOKUP(A742,'Dados-Status-Invest'!$1:$1000,MATCH(S$1,'Dados-Status-Invest'!$2:$2,0),FALSE()),"")</f>
        <v/>
      </c>
      <c r="T742" s="12" t="str">
        <f aca="false">IFERROR(VLOOKUP(A742,'Dados-Status-Invest'!$1:$1000,MATCH(T$1,'Dados-Status-Invest'!$2:$2,0),FALSE()),"")</f>
        <v/>
      </c>
      <c r="U742" s="12" t="str">
        <f aca="false">IFERROR(VLOOKUP(A742,'Dados-Status-Invest'!$1:$1000,MATCH(U$1,'Dados-Status-Invest'!$2:$2,0),FALSE()),"")</f>
        <v/>
      </c>
      <c r="V742" s="12" t="str">
        <f aca="false">IFERROR(VLOOKUP(A742,'Dados-Status-Invest'!$1:$1000,MATCH(V$1,'Dados-Status-Invest'!$2:$2,0),FALSE()),"")</f>
        <v/>
      </c>
      <c r="W742" s="10" t="str">
        <f aca="false">IFERROR(VLOOKUP(A742,'Dados-Status-Invest'!$1:$1000,MATCH(W$1,'Dados-Status-Invest'!$2:$2,0),FALSE())/100,"")</f>
        <v/>
      </c>
      <c r="X742" s="10" t="str">
        <f aca="false">IFERROR(VLOOKUP(A742,'Dados-Status-Invest'!$1:$1000,MATCH(X$1,'Dados-Status-Invest'!$2:$2,0),FALSE())/100,"")</f>
        <v/>
      </c>
    </row>
    <row r="743" customFormat="false" ht="15.75" hidden="false" customHeight="false" outlineLevel="0" collapsed="false">
      <c r="B743" s="7" t="str">
        <f aca="false">IFERROR(VLOOKUP(LEFT(A743,4),Setor!A:D,2,FALSE()),"")</f>
        <v/>
      </c>
      <c r="C743" s="8" t="str">
        <f aca="false">IFERROR(__xludf.dummyfunction("IFERROR(IFERROR(GOOGLEFINANCE(A749,""price""),VLOOKUP(A749,'Dados-Status-Invest'!A:B,2,FALSE)),"""")"),"")</f>
        <v/>
      </c>
      <c r="D743" s="8" t="str">
        <f aca="false">IFERROR(VLOOKUP(A743,'Dados-Status-Invest'!$1:$1000,MATCH(D$1,'Dados-Status-Invest'!$2:$2,0),FALSE()),"")</f>
        <v/>
      </c>
      <c r="E743" s="8" t="e">
        <f aca="false">IF(D743+H743&gt;0,D743+H743,"")</f>
        <v>#VALUE!</v>
      </c>
      <c r="F743" s="8" t="str">
        <f aca="false">IFERROR(D743/VLOOKUP(A743,'Dados-Status-Invest'!$1:$1000,5,FALSE()),"")</f>
        <v/>
      </c>
      <c r="G743" s="8" t="str">
        <f aca="false">IFERROR(D743/VLOOKUP(A743,'Dados-Status-Invest'!$1:$1000,6,FALSE()),"")</f>
        <v/>
      </c>
      <c r="H743" s="8" t="str">
        <f aca="false">IFERROR(VLOOKUP(A743,'Dados-Status-Invest'!$1:$1000,12,FALSE())*J743,"")</f>
        <v/>
      </c>
      <c r="I743" s="8" t="str">
        <f aca="false">IFERROR(D743/VLOOKUP(A743,'Dados-Status-Invest'!$1:$1000,14,FALSE()),"")</f>
        <v/>
      </c>
      <c r="J743" s="9" t="str">
        <f aca="false">IFERROR(D743/VLOOKUP(A743,'Dados-Status-Invest'!$1:$1000,10,FALSE()),"")</f>
        <v/>
      </c>
      <c r="K743" s="10" t="str">
        <f aca="false">IFERROR(VLOOKUP(A743,'Dados-Status-Invest'!$1:$1000,3,FALSE())/100,"")</f>
        <v/>
      </c>
      <c r="L743" s="11" t="str">
        <f aca="false">IFERROR(VLOOKUP(A743,'Dados-Status-Invest'!$1:$1000,MATCH(L$1,'Dados-Status-Invest'!$2:$2,0),FALSE())/100,"")</f>
        <v/>
      </c>
      <c r="M743" s="10" t="str">
        <f aca="false">IFERROR(VLOOKUP(A743,'Dados-Status-Invest'!$1:$1000,MATCH(M$1,'Dados-Status-Invest'!$2:$2,0),FALSE())/100,"")</f>
        <v/>
      </c>
      <c r="N743" s="10" t="str">
        <f aca="false">IFERROR(VLOOKUP(A743,'Dados-Status-Invest'!$1:$1000,MATCH(N$1,'Dados-Status-Invest'!$2:$2,0),FALSE())/100,"")</f>
        <v/>
      </c>
      <c r="O743" s="10" t="str">
        <f aca="false">IFERROR(VLOOKUP(A743,'Dados-Status-Invest'!$1:$1000,MATCH(O$1,'Dados-Status-Invest'!$2:$2,0),FALSE())/100,"")</f>
        <v/>
      </c>
      <c r="P743" s="10" t="str">
        <f aca="false">IFERROR(VLOOKUP(A743,'Dados-Status-Invest'!$1:$1000,MATCH(P$1,'Dados-Status-Invest'!$2:$2,0),FALSE())/100,"")</f>
        <v/>
      </c>
      <c r="Q743" s="10" t="str">
        <f aca="false">IFERROR(VLOOKUP(A743,'Dados-Status-Invest'!$1:$1000,MATCH(Q$1,'Dados-Status-Invest'!$2:$2,0),FALSE())/100,"")</f>
        <v/>
      </c>
      <c r="R743" s="12" t="str">
        <f aca="false">IFERROR(VLOOKUP(A743,'Dados-Status-Invest'!$1:$1000,MATCH(R$1,'Dados-Status-Invest'!$2:$2,0),FALSE()),"")</f>
        <v/>
      </c>
      <c r="S743" s="12" t="str">
        <f aca="false">IFERROR(VLOOKUP(A743,'Dados-Status-Invest'!$1:$1000,MATCH(S$1,'Dados-Status-Invest'!$2:$2,0),FALSE()),"")</f>
        <v/>
      </c>
      <c r="T743" s="12" t="str">
        <f aca="false">IFERROR(VLOOKUP(A743,'Dados-Status-Invest'!$1:$1000,MATCH(T$1,'Dados-Status-Invest'!$2:$2,0),FALSE()),"")</f>
        <v/>
      </c>
      <c r="U743" s="12" t="str">
        <f aca="false">IFERROR(VLOOKUP(A743,'Dados-Status-Invest'!$1:$1000,MATCH(U$1,'Dados-Status-Invest'!$2:$2,0),FALSE()),"")</f>
        <v/>
      </c>
      <c r="V743" s="12" t="str">
        <f aca="false">IFERROR(VLOOKUP(A743,'Dados-Status-Invest'!$1:$1000,MATCH(V$1,'Dados-Status-Invest'!$2:$2,0),FALSE()),"")</f>
        <v/>
      </c>
      <c r="W743" s="10" t="str">
        <f aca="false">IFERROR(VLOOKUP(A743,'Dados-Status-Invest'!$1:$1000,MATCH(W$1,'Dados-Status-Invest'!$2:$2,0),FALSE())/100,"")</f>
        <v/>
      </c>
      <c r="X743" s="10" t="str">
        <f aca="false">IFERROR(VLOOKUP(A743,'Dados-Status-Invest'!$1:$1000,MATCH(X$1,'Dados-Status-Invest'!$2:$2,0),FALSE())/100,"")</f>
        <v/>
      </c>
    </row>
    <row r="744" customFormat="false" ht="15.75" hidden="false" customHeight="false" outlineLevel="0" collapsed="false">
      <c r="B744" s="7" t="str">
        <f aca="false">IFERROR(VLOOKUP(LEFT(A744,4),Setor!A:D,2,FALSE()),"")</f>
        <v/>
      </c>
      <c r="C744" s="8" t="str">
        <f aca="false">IFERROR(__xludf.dummyfunction("IFERROR(IFERROR(GOOGLEFINANCE(A750,""price""),VLOOKUP(A750,'Dados-Status-Invest'!A:B,2,FALSE)),"""")"),"")</f>
        <v/>
      </c>
      <c r="D744" s="8" t="str">
        <f aca="false">IFERROR(VLOOKUP(A744,'Dados-Status-Invest'!$1:$1000,MATCH(D$1,'Dados-Status-Invest'!$2:$2,0),FALSE()),"")</f>
        <v/>
      </c>
      <c r="E744" s="8" t="e">
        <f aca="false">IF(D744+H744&gt;0,D744+H744,"")</f>
        <v>#VALUE!</v>
      </c>
      <c r="F744" s="8" t="str">
        <f aca="false">IFERROR(D744/VLOOKUP(A744,'Dados-Status-Invest'!$1:$1000,5,FALSE()),"")</f>
        <v/>
      </c>
      <c r="G744" s="8" t="str">
        <f aca="false">IFERROR(D744/VLOOKUP(A744,'Dados-Status-Invest'!$1:$1000,6,FALSE()),"")</f>
        <v/>
      </c>
      <c r="H744" s="8" t="str">
        <f aca="false">IFERROR(VLOOKUP(A744,'Dados-Status-Invest'!$1:$1000,12,FALSE())*J744,"")</f>
        <v/>
      </c>
      <c r="I744" s="8" t="str">
        <f aca="false">IFERROR(D744/VLOOKUP(A744,'Dados-Status-Invest'!$1:$1000,14,FALSE()),"")</f>
        <v/>
      </c>
      <c r="J744" s="9" t="str">
        <f aca="false">IFERROR(D744/VLOOKUP(A744,'Dados-Status-Invest'!$1:$1000,10,FALSE()),"")</f>
        <v/>
      </c>
      <c r="K744" s="10" t="str">
        <f aca="false">IFERROR(VLOOKUP(A744,'Dados-Status-Invest'!$1:$1000,3,FALSE())/100,"")</f>
        <v/>
      </c>
      <c r="L744" s="11" t="str">
        <f aca="false">IFERROR(VLOOKUP(A744,'Dados-Status-Invest'!$1:$1000,MATCH(L$1,'Dados-Status-Invest'!$2:$2,0),FALSE())/100,"")</f>
        <v/>
      </c>
      <c r="M744" s="10" t="str">
        <f aca="false">IFERROR(VLOOKUP(A744,'Dados-Status-Invest'!$1:$1000,MATCH(M$1,'Dados-Status-Invest'!$2:$2,0),FALSE())/100,"")</f>
        <v/>
      </c>
      <c r="N744" s="10" t="str">
        <f aca="false">IFERROR(VLOOKUP(A744,'Dados-Status-Invest'!$1:$1000,MATCH(N$1,'Dados-Status-Invest'!$2:$2,0),FALSE())/100,"")</f>
        <v/>
      </c>
      <c r="O744" s="10" t="str">
        <f aca="false">IFERROR(VLOOKUP(A744,'Dados-Status-Invest'!$1:$1000,MATCH(O$1,'Dados-Status-Invest'!$2:$2,0),FALSE())/100,"")</f>
        <v/>
      </c>
      <c r="P744" s="10" t="str">
        <f aca="false">IFERROR(VLOOKUP(A744,'Dados-Status-Invest'!$1:$1000,MATCH(P$1,'Dados-Status-Invest'!$2:$2,0),FALSE())/100,"")</f>
        <v/>
      </c>
      <c r="Q744" s="10" t="str">
        <f aca="false">IFERROR(VLOOKUP(A744,'Dados-Status-Invest'!$1:$1000,MATCH(Q$1,'Dados-Status-Invest'!$2:$2,0),FALSE())/100,"")</f>
        <v/>
      </c>
      <c r="R744" s="12" t="str">
        <f aca="false">IFERROR(VLOOKUP(A744,'Dados-Status-Invest'!$1:$1000,MATCH(R$1,'Dados-Status-Invest'!$2:$2,0),FALSE()),"")</f>
        <v/>
      </c>
      <c r="S744" s="12" t="str">
        <f aca="false">IFERROR(VLOOKUP(A744,'Dados-Status-Invest'!$1:$1000,MATCH(S$1,'Dados-Status-Invest'!$2:$2,0),FALSE()),"")</f>
        <v/>
      </c>
      <c r="T744" s="12" t="str">
        <f aca="false">IFERROR(VLOOKUP(A744,'Dados-Status-Invest'!$1:$1000,MATCH(T$1,'Dados-Status-Invest'!$2:$2,0),FALSE()),"")</f>
        <v/>
      </c>
      <c r="U744" s="12" t="str">
        <f aca="false">IFERROR(VLOOKUP(A744,'Dados-Status-Invest'!$1:$1000,MATCH(U$1,'Dados-Status-Invest'!$2:$2,0),FALSE()),"")</f>
        <v/>
      </c>
      <c r="V744" s="12" t="str">
        <f aca="false">IFERROR(VLOOKUP(A744,'Dados-Status-Invest'!$1:$1000,MATCH(V$1,'Dados-Status-Invest'!$2:$2,0),FALSE()),"")</f>
        <v/>
      </c>
      <c r="W744" s="10" t="str">
        <f aca="false">IFERROR(VLOOKUP(A744,'Dados-Status-Invest'!$1:$1000,MATCH(W$1,'Dados-Status-Invest'!$2:$2,0),FALSE())/100,"")</f>
        <v/>
      </c>
      <c r="X744" s="10" t="str">
        <f aca="false">IFERROR(VLOOKUP(A744,'Dados-Status-Invest'!$1:$1000,MATCH(X$1,'Dados-Status-Invest'!$2:$2,0),FALSE())/100,"")</f>
        <v/>
      </c>
    </row>
    <row r="745" customFormat="false" ht="15.75" hidden="false" customHeight="false" outlineLevel="0" collapsed="false">
      <c r="B745" s="7" t="str">
        <f aca="false">IFERROR(VLOOKUP(LEFT(A745,4),Setor!A:D,2,FALSE()),"")</f>
        <v/>
      </c>
      <c r="C745" s="8" t="str">
        <f aca="false">IFERROR(__xludf.dummyfunction("IFERROR(IFERROR(GOOGLEFINANCE(A751,""price""),VLOOKUP(A751,'Dados-Status-Invest'!A:B,2,FALSE)),"""")"),"")</f>
        <v/>
      </c>
      <c r="D745" s="8" t="str">
        <f aca="false">IFERROR(VLOOKUP(A745,'Dados-Status-Invest'!$1:$1000,MATCH(D$1,'Dados-Status-Invest'!$2:$2,0),FALSE()),"")</f>
        <v/>
      </c>
      <c r="E745" s="8" t="e">
        <f aca="false">IF(D745+H745&gt;0,D745+H745,"")</f>
        <v>#VALUE!</v>
      </c>
      <c r="F745" s="8" t="str">
        <f aca="false">IFERROR(D745/VLOOKUP(A745,'Dados-Status-Invest'!$1:$1000,5,FALSE()),"")</f>
        <v/>
      </c>
      <c r="G745" s="8" t="str">
        <f aca="false">IFERROR(D745/VLOOKUP(A745,'Dados-Status-Invest'!$1:$1000,6,FALSE()),"")</f>
        <v/>
      </c>
      <c r="H745" s="8" t="str">
        <f aca="false">IFERROR(VLOOKUP(A745,'Dados-Status-Invest'!$1:$1000,12,FALSE())*J745,"")</f>
        <v/>
      </c>
      <c r="I745" s="8" t="str">
        <f aca="false">IFERROR(D745/VLOOKUP(A745,'Dados-Status-Invest'!$1:$1000,14,FALSE()),"")</f>
        <v/>
      </c>
      <c r="J745" s="9" t="str">
        <f aca="false">IFERROR(D745/VLOOKUP(A745,'Dados-Status-Invest'!$1:$1000,10,FALSE()),"")</f>
        <v/>
      </c>
      <c r="K745" s="10" t="str">
        <f aca="false">IFERROR(VLOOKUP(A745,'Dados-Status-Invest'!$1:$1000,3,FALSE())/100,"")</f>
        <v/>
      </c>
      <c r="L745" s="11" t="str">
        <f aca="false">IFERROR(VLOOKUP(A745,'Dados-Status-Invest'!$1:$1000,MATCH(L$1,'Dados-Status-Invest'!$2:$2,0),FALSE())/100,"")</f>
        <v/>
      </c>
      <c r="M745" s="10" t="str">
        <f aca="false">IFERROR(VLOOKUP(A745,'Dados-Status-Invest'!$1:$1000,MATCH(M$1,'Dados-Status-Invest'!$2:$2,0),FALSE())/100,"")</f>
        <v/>
      </c>
      <c r="N745" s="10" t="str">
        <f aca="false">IFERROR(VLOOKUP(A745,'Dados-Status-Invest'!$1:$1000,MATCH(N$1,'Dados-Status-Invest'!$2:$2,0),FALSE())/100,"")</f>
        <v/>
      </c>
      <c r="O745" s="10" t="str">
        <f aca="false">IFERROR(VLOOKUP(A745,'Dados-Status-Invest'!$1:$1000,MATCH(O$1,'Dados-Status-Invest'!$2:$2,0),FALSE())/100,"")</f>
        <v/>
      </c>
      <c r="P745" s="10" t="str">
        <f aca="false">IFERROR(VLOOKUP(A745,'Dados-Status-Invest'!$1:$1000,MATCH(P$1,'Dados-Status-Invest'!$2:$2,0),FALSE())/100,"")</f>
        <v/>
      </c>
      <c r="Q745" s="10" t="str">
        <f aca="false">IFERROR(VLOOKUP(A745,'Dados-Status-Invest'!$1:$1000,MATCH(Q$1,'Dados-Status-Invest'!$2:$2,0),FALSE())/100,"")</f>
        <v/>
      </c>
      <c r="R745" s="12" t="str">
        <f aca="false">IFERROR(VLOOKUP(A745,'Dados-Status-Invest'!$1:$1000,MATCH(R$1,'Dados-Status-Invest'!$2:$2,0),FALSE()),"")</f>
        <v/>
      </c>
      <c r="S745" s="12" t="str">
        <f aca="false">IFERROR(VLOOKUP(A745,'Dados-Status-Invest'!$1:$1000,MATCH(S$1,'Dados-Status-Invest'!$2:$2,0),FALSE()),"")</f>
        <v/>
      </c>
      <c r="T745" s="12" t="str">
        <f aca="false">IFERROR(VLOOKUP(A745,'Dados-Status-Invest'!$1:$1000,MATCH(T$1,'Dados-Status-Invest'!$2:$2,0),FALSE()),"")</f>
        <v/>
      </c>
      <c r="U745" s="12" t="str">
        <f aca="false">IFERROR(VLOOKUP(A745,'Dados-Status-Invest'!$1:$1000,MATCH(U$1,'Dados-Status-Invest'!$2:$2,0),FALSE()),"")</f>
        <v/>
      </c>
      <c r="V745" s="12" t="str">
        <f aca="false">IFERROR(VLOOKUP(A745,'Dados-Status-Invest'!$1:$1000,MATCH(V$1,'Dados-Status-Invest'!$2:$2,0),FALSE()),"")</f>
        <v/>
      </c>
      <c r="W745" s="10" t="str">
        <f aca="false">IFERROR(VLOOKUP(A745,'Dados-Status-Invest'!$1:$1000,MATCH(W$1,'Dados-Status-Invest'!$2:$2,0),FALSE())/100,"")</f>
        <v/>
      </c>
      <c r="X745" s="10" t="str">
        <f aca="false">IFERROR(VLOOKUP(A745,'Dados-Status-Invest'!$1:$1000,MATCH(X$1,'Dados-Status-Invest'!$2:$2,0),FALSE())/100,"")</f>
        <v/>
      </c>
    </row>
    <row r="746" customFormat="false" ht="15.75" hidden="false" customHeight="false" outlineLevel="0" collapsed="false">
      <c r="B746" s="7" t="str">
        <f aca="false">IFERROR(VLOOKUP(LEFT(A746,4),Setor!A:D,2,FALSE()),"")</f>
        <v/>
      </c>
      <c r="C746" s="8" t="str">
        <f aca="false">IFERROR(__xludf.dummyfunction("IFERROR(IFERROR(GOOGLEFINANCE(A752,""price""),VLOOKUP(A752,'Dados-Status-Invest'!A:B,2,FALSE)),"""")"),"")</f>
        <v/>
      </c>
      <c r="D746" s="8" t="str">
        <f aca="false">IFERROR(VLOOKUP(A746,'Dados-Status-Invest'!$1:$1000,MATCH(D$1,'Dados-Status-Invest'!$2:$2,0),FALSE()),"")</f>
        <v/>
      </c>
      <c r="E746" s="8" t="e">
        <f aca="false">IF(D746+H746&gt;0,D746+H746,"")</f>
        <v>#VALUE!</v>
      </c>
      <c r="F746" s="8" t="str">
        <f aca="false">IFERROR(D746/VLOOKUP(A746,'Dados-Status-Invest'!$1:$1000,5,FALSE()),"")</f>
        <v/>
      </c>
      <c r="G746" s="8" t="str">
        <f aca="false">IFERROR(D746/VLOOKUP(A746,'Dados-Status-Invest'!$1:$1000,6,FALSE()),"")</f>
        <v/>
      </c>
      <c r="H746" s="8" t="str">
        <f aca="false">IFERROR(VLOOKUP(A746,'Dados-Status-Invest'!$1:$1000,12,FALSE())*J746,"")</f>
        <v/>
      </c>
      <c r="I746" s="8" t="str">
        <f aca="false">IFERROR(D746/VLOOKUP(A746,'Dados-Status-Invest'!$1:$1000,14,FALSE()),"")</f>
        <v/>
      </c>
      <c r="J746" s="9" t="str">
        <f aca="false">IFERROR(D746/VLOOKUP(A746,'Dados-Status-Invest'!$1:$1000,10,FALSE()),"")</f>
        <v/>
      </c>
      <c r="K746" s="10" t="str">
        <f aca="false">IFERROR(VLOOKUP(A746,'Dados-Status-Invest'!$1:$1000,3,FALSE())/100,"")</f>
        <v/>
      </c>
      <c r="L746" s="11" t="str">
        <f aca="false">IFERROR(VLOOKUP(A746,'Dados-Status-Invest'!$1:$1000,MATCH(L$1,'Dados-Status-Invest'!$2:$2,0),FALSE())/100,"")</f>
        <v/>
      </c>
      <c r="M746" s="10" t="str">
        <f aca="false">IFERROR(VLOOKUP(A746,'Dados-Status-Invest'!$1:$1000,MATCH(M$1,'Dados-Status-Invest'!$2:$2,0),FALSE())/100,"")</f>
        <v/>
      </c>
      <c r="N746" s="10" t="str">
        <f aca="false">IFERROR(VLOOKUP(A746,'Dados-Status-Invest'!$1:$1000,MATCH(N$1,'Dados-Status-Invest'!$2:$2,0),FALSE())/100,"")</f>
        <v/>
      </c>
      <c r="O746" s="10" t="str">
        <f aca="false">IFERROR(VLOOKUP(A746,'Dados-Status-Invest'!$1:$1000,MATCH(O$1,'Dados-Status-Invest'!$2:$2,0),FALSE())/100,"")</f>
        <v/>
      </c>
      <c r="P746" s="10" t="str">
        <f aca="false">IFERROR(VLOOKUP(A746,'Dados-Status-Invest'!$1:$1000,MATCH(P$1,'Dados-Status-Invest'!$2:$2,0),FALSE())/100,"")</f>
        <v/>
      </c>
      <c r="Q746" s="10" t="str">
        <f aca="false">IFERROR(VLOOKUP(A746,'Dados-Status-Invest'!$1:$1000,MATCH(Q$1,'Dados-Status-Invest'!$2:$2,0),FALSE())/100,"")</f>
        <v/>
      </c>
      <c r="R746" s="12" t="str">
        <f aca="false">IFERROR(VLOOKUP(A746,'Dados-Status-Invest'!$1:$1000,MATCH(R$1,'Dados-Status-Invest'!$2:$2,0),FALSE()),"")</f>
        <v/>
      </c>
      <c r="S746" s="12" t="str">
        <f aca="false">IFERROR(VLOOKUP(A746,'Dados-Status-Invest'!$1:$1000,MATCH(S$1,'Dados-Status-Invest'!$2:$2,0),FALSE()),"")</f>
        <v/>
      </c>
      <c r="T746" s="12" t="str">
        <f aca="false">IFERROR(VLOOKUP(A746,'Dados-Status-Invest'!$1:$1000,MATCH(T$1,'Dados-Status-Invest'!$2:$2,0),FALSE()),"")</f>
        <v/>
      </c>
      <c r="U746" s="12" t="str">
        <f aca="false">IFERROR(VLOOKUP(A746,'Dados-Status-Invest'!$1:$1000,MATCH(U$1,'Dados-Status-Invest'!$2:$2,0),FALSE()),"")</f>
        <v/>
      </c>
      <c r="V746" s="12" t="str">
        <f aca="false">IFERROR(VLOOKUP(A746,'Dados-Status-Invest'!$1:$1000,MATCH(V$1,'Dados-Status-Invest'!$2:$2,0),FALSE()),"")</f>
        <v/>
      </c>
      <c r="W746" s="10" t="str">
        <f aca="false">IFERROR(VLOOKUP(A746,'Dados-Status-Invest'!$1:$1000,MATCH(W$1,'Dados-Status-Invest'!$2:$2,0),FALSE())/100,"")</f>
        <v/>
      </c>
      <c r="X746" s="10" t="str">
        <f aca="false">IFERROR(VLOOKUP(A746,'Dados-Status-Invest'!$1:$1000,MATCH(X$1,'Dados-Status-Invest'!$2:$2,0),FALSE())/100,"")</f>
        <v/>
      </c>
    </row>
    <row r="747" customFormat="false" ht="15.75" hidden="false" customHeight="false" outlineLevel="0" collapsed="false">
      <c r="B747" s="7" t="str">
        <f aca="false">IFERROR(VLOOKUP(LEFT(A747,4),Setor!A:D,2,FALSE()),"")</f>
        <v/>
      </c>
      <c r="C747" s="8" t="str">
        <f aca="false">IFERROR(__xludf.dummyfunction("IFERROR(IFERROR(GOOGLEFINANCE(A753,""price""),VLOOKUP(A753,'Dados-Status-Invest'!A:B,2,FALSE)),"""")"),"")</f>
        <v/>
      </c>
      <c r="D747" s="8" t="str">
        <f aca="false">IFERROR(VLOOKUP(A747,'Dados-Status-Invest'!$1:$1000,MATCH(D$1,'Dados-Status-Invest'!$2:$2,0),FALSE()),"")</f>
        <v/>
      </c>
      <c r="E747" s="8" t="e">
        <f aca="false">IF(D747+H747&gt;0,D747+H747,"")</f>
        <v>#VALUE!</v>
      </c>
      <c r="F747" s="8" t="str">
        <f aca="false">IFERROR(D747/VLOOKUP(A747,'Dados-Status-Invest'!$1:$1000,5,FALSE()),"")</f>
        <v/>
      </c>
      <c r="G747" s="8" t="str">
        <f aca="false">IFERROR(D747/VLOOKUP(A747,'Dados-Status-Invest'!$1:$1000,6,FALSE()),"")</f>
        <v/>
      </c>
      <c r="H747" s="8" t="str">
        <f aca="false">IFERROR(VLOOKUP(A747,'Dados-Status-Invest'!$1:$1000,12,FALSE())*J747,"")</f>
        <v/>
      </c>
      <c r="I747" s="8" t="str">
        <f aca="false">IFERROR(D747/VLOOKUP(A747,'Dados-Status-Invest'!$1:$1000,14,FALSE()),"")</f>
        <v/>
      </c>
      <c r="J747" s="9" t="str">
        <f aca="false">IFERROR(D747/VLOOKUP(A747,'Dados-Status-Invest'!$1:$1000,10,FALSE()),"")</f>
        <v/>
      </c>
      <c r="K747" s="10" t="str">
        <f aca="false">IFERROR(VLOOKUP(A747,'Dados-Status-Invest'!$1:$1000,3,FALSE())/100,"")</f>
        <v/>
      </c>
      <c r="L747" s="11" t="str">
        <f aca="false">IFERROR(VLOOKUP(A747,'Dados-Status-Invest'!$1:$1000,MATCH(L$1,'Dados-Status-Invest'!$2:$2,0),FALSE())/100,"")</f>
        <v/>
      </c>
      <c r="M747" s="10" t="str">
        <f aca="false">IFERROR(VLOOKUP(A747,'Dados-Status-Invest'!$1:$1000,MATCH(M$1,'Dados-Status-Invest'!$2:$2,0),FALSE())/100,"")</f>
        <v/>
      </c>
      <c r="N747" s="10" t="str">
        <f aca="false">IFERROR(VLOOKUP(A747,'Dados-Status-Invest'!$1:$1000,MATCH(N$1,'Dados-Status-Invest'!$2:$2,0),FALSE())/100,"")</f>
        <v/>
      </c>
      <c r="O747" s="10" t="str">
        <f aca="false">IFERROR(VLOOKUP(A747,'Dados-Status-Invest'!$1:$1000,MATCH(O$1,'Dados-Status-Invest'!$2:$2,0),FALSE())/100,"")</f>
        <v/>
      </c>
      <c r="P747" s="10" t="str">
        <f aca="false">IFERROR(VLOOKUP(A747,'Dados-Status-Invest'!$1:$1000,MATCH(P$1,'Dados-Status-Invest'!$2:$2,0),FALSE())/100,"")</f>
        <v/>
      </c>
      <c r="Q747" s="10" t="str">
        <f aca="false">IFERROR(VLOOKUP(A747,'Dados-Status-Invest'!$1:$1000,MATCH(Q$1,'Dados-Status-Invest'!$2:$2,0),FALSE())/100,"")</f>
        <v/>
      </c>
      <c r="R747" s="12" t="str">
        <f aca="false">IFERROR(VLOOKUP(A747,'Dados-Status-Invest'!$1:$1000,MATCH(R$1,'Dados-Status-Invest'!$2:$2,0),FALSE()),"")</f>
        <v/>
      </c>
      <c r="S747" s="12" t="str">
        <f aca="false">IFERROR(VLOOKUP(A747,'Dados-Status-Invest'!$1:$1000,MATCH(S$1,'Dados-Status-Invest'!$2:$2,0),FALSE()),"")</f>
        <v/>
      </c>
      <c r="T747" s="12" t="str">
        <f aca="false">IFERROR(VLOOKUP(A747,'Dados-Status-Invest'!$1:$1000,MATCH(T$1,'Dados-Status-Invest'!$2:$2,0),FALSE()),"")</f>
        <v/>
      </c>
      <c r="U747" s="12" t="str">
        <f aca="false">IFERROR(VLOOKUP(A747,'Dados-Status-Invest'!$1:$1000,MATCH(U$1,'Dados-Status-Invest'!$2:$2,0),FALSE()),"")</f>
        <v/>
      </c>
      <c r="V747" s="12" t="str">
        <f aca="false">IFERROR(VLOOKUP(A747,'Dados-Status-Invest'!$1:$1000,MATCH(V$1,'Dados-Status-Invest'!$2:$2,0),FALSE()),"")</f>
        <v/>
      </c>
      <c r="W747" s="10" t="str">
        <f aca="false">IFERROR(VLOOKUP(A747,'Dados-Status-Invest'!$1:$1000,MATCH(W$1,'Dados-Status-Invest'!$2:$2,0),FALSE())/100,"")</f>
        <v/>
      </c>
      <c r="X747" s="10" t="str">
        <f aca="false">IFERROR(VLOOKUP(A747,'Dados-Status-Invest'!$1:$1000,MATCH(X$1,'Dados-Status-Invest'!$2:$2,0),FALSE())/100,"")</f>
        <v/>
      </c>
    </row>
    <row r="748" customFormat="false" ht="15.75" hidden="false" customHeight="false" outlineLevel="0" collapsed="false">
      <c r="B748" s="7" t="str">
        <f aca="false">IFERROR(VLOOKUP(LEFT(A748,4),Setor!A:D,2,FALSE()),"")</f>
        <v/>
      </c>
      <c r="C748" s="8" t="str">
        <f aca="false">IFERROR(__xludf.dummyfunction("IFERROR(IFERROR(GOOGLEFINANCE(A754,""price""),VLOOKUP(A754,'Dados-Status-Invest'!A:B,2,FALSE)),"""")"),"")</f>
        <v/>
      </c>
      <c r="D748" s="8" t="str">
        <f aca="false">IFERROR(VLOOKUP(A748,'Dados-Status-Invest'!$1:$1000,MATCH(D$1,'Dados-Status-Invest'!$2:$2,0),FALSE()),"")</f>
        <v/>
      </c>
      <c r="E748" s="8" t="e">
        <f aca="false">IF(D748+H748&gt;0,D748+H748,"")</f>
        <v>#VALUE!</v>
      </c>
      <c r="F748" s="8" t="str">
        <f aca="false">IFERROR(D748/VLOOKUP(A748,'Dados-Status-Invest'!$1:$1000,5,FALSE()),"")</f>
        <v/>
      </c>
      <c r="G748" s="8" t="str">
        <f aca="false">IFERROR(D748/VLOOKUP(A748,'Dados-Status-Invest'!$1:$1000,6,FALSE()),"")</f>
        <v/>
      </c>
      <c r="H748" s="8" t="str">
        <f aca="false">IFERROR(VLOOKUP(A748,'Dados-Status-Invest'!$1:$1000,12,FALSE())*J748,"")</f>
        <v/>
      </c>
      <c r="I748" s="8" t="str">
        <f aca="false">IFERROR(D748/VLOOKUP(A748,'Dados-Status-Invest'!$1:$1000,14,FALSE()),"")</f>
        <v/>
      </c>
      <c r="J748" s="9" t="str">
        <f aca="false">IFERROR(D748/VLOOKUP(A748,'Dados-Status-Invest'!$1:$1000,10,FALSE()),"")</f>
        <v/>
      </c>
      <c r="K748" s="10" t="str">
        <f aca="false">IFERROR(VLOOKUP(A748,'Dados-Status-Invest'!$1:$1000,3,FALSE())/100,"")</f>
        <v/>
      </c>
      <c r="L748" s="11" t="str">
        <f aca="false">IFERROR(VLOOKUP(A748,'Dados-Status-Invest'!$1:$1000,MATCH(L$1,'Dados-Status-Invest'!$2:$2,0),FALSE())/100,"")</f>
        <v/>
      </c>
      <c r="M748" s="10" t="str">
        <f aca="false">IFERROR(VLOOKUP(A748,'Dados-Status-Invest'!$1:$1000,MATCH(M$1,'Dados-Status-Invest'!$2:$2,0),FALSE())/100,"")</f>
        <v/>
      </c>
      <c r="N748" s="10" t="str">
        <f aca="false">IFERROR(VLOOKUP(A748,'Dados-Status-Invest'!$1:$1000,MATCH(N$1,'Dados-Status-Invest'!$2:$2,0),FALSE())/100,"")</f>
        <v/>
      </c>
      <c r="O748" s="10" t="str">
        <f aca="false">IFERROR(VLOOKUP(A748,'Dados-Status-Invest'!$1:$1000,MATCH(O$1,'Dados-Status-Invest'!$2:$2,0),FALSE())/100,"")</f>
        <v/>
      </c>
      <c r="P748" s="10" t="str">
        <f aca="false">IFERROR(VLOOKUP(A748,'Dados-Status-Invest'!$1:$1000,MATCH(P$1,'Dados-Status-Invest'!$2:$2,0),FALSE())/100,"")</f>
        <v/>
      </c>
      <c r="Q748" s="10" t="str">
        <f aca="false">IFERROR(VLOOKUP(A748,'Dados-Status-Invest'!$1:$1000,MATCH(Q$1,'Dados-Status-Invest'!$2:$2,0),FALSE())/100,"")</f>
        <v/>
      </c>
      <c r="R748" s="12" t="str">
        <f aca="false">IFERROR(VLOOKUP(A748,'Dados-Status-Invest'!$1:$1000,MATCH(R$1,'Dados-Status-Invest'!$2:$2,0),FALSE()),"")</f>
        <v/>
      </c>
      <c r="S748" s="12" t="str">
        <f aca="false">IFERROR(VLOOKUP(A748,'Dados-Status-Invest'!$1:$1000,MATCH(S$1,'Dados-Status-Invest'!$2:$2,0),FALSE()),"")</f>
        <v/>
      </c>
      <c r="T748" s="12" t="str">
        <f aca="false">IFERROR(VLOOKUP(A748,'Dados-Status-Invest'!$1:$1000,MATCH(T$1,'Dados-Status-Invest'!$2:$2,0),FALSE()),"")</f>
        <v/>
      </c>
      <c r="U748" s="12" t="str">
        <f aca="false">IFERROR(VLOOKUP(A748,'Dados-Status-Invest'!$1:$1000,MATCH(U$1,'Dados-Status-Invest'!$2:$2,0),FALSE()),"")</f>
        <v/>
      </c>
      <c r="V748" s="12" t="str">
        <f aca="false">IFERROR(VLOOKUP(A748,'Dados-Status-Invest'!$1:$1000,MATCH(V$1,'Dados-Status-Invest'!$2:$2,0),FALSE()),"")</f>
        <v/>
      </c>
      <c r="W748" s="10" t="str">
        <f aca="false">IFERROR(VLOOKUP(A748,'Dados-Status-Invest'!$1:$1000,MATCH(W$1,'Dados-Status-Invest'!$2:$2,0),FALSE())/100,"")</f>
        <v/>
      </c>
      <c r="X748" s="10" t="str">
        <f aca="false">IFERROR(VLOOKUP(A748,'Dados-Status-Invest'!$1:$1000,MATCH(X$1,'Dados-Status-Invest'!$2:$2,0),FALSE())/100,"")</f>
        <v/>
      </c>
    </row>
    <row r="749" customFormat="false" ht="15.75" hidden="false" customHeight="false" outlineLevel="0" collapsed="false">
      <c r="B749" s="7" t="str">
        <f aca="false">IFERROR(VLOOKUP(LEFT(A749,4),Setor!A:D,2,FALSE()),"")</f>
        <v/>
      </c>
      <c r="C749" s="8" t="str">
        <f aca="false">IFERROR(__xludf.dummyfunction("IFERROR(IFERROR(GOOGLEFINANCE(A755,""price""),VLOOKUP(A755,'Dados-Status-Invest'!A:B,2,FALSE)),"""")"),"")</f>
        <v/>
      </c>
      <c r="D749" s="8" t="str">
        <f aca="false">IFERROR(VLOOKUP(A749,'Dados-Status-Invest'!$1:$1000,MATCH(D$1,'Dados-Status-Invest'!$2:$2,0),FALSE()),"")</f>
        <v/>
      </c>
      <c r="E749" s="8" t="e">
        <f aca="false">IF(D749+H749&gt;0,D749+H749,"")</f>
        <v>#VALUE!</v>
      </c>
      <c r="F749" s="8" t="str">
        <f aca="false">IFERROR(D749/VLOOKUP(A749,'Dados-Status-Invest'!$1:$1000,5,FALSE()),"")</f>
        <v/>
      </c>
      <c r="G749" s="8" t="str">
        <f aca="false">IFERROR(D749/VLOOKUP(A749,'Dados-Status-Invest'!$1:$1000,6,FALSE()),"")</f>
        <v/>
      </c>
      <c r="H749" s="8" t="str">
        <f aca="false">IFERROR(VLOOKUP(A749,'Dados-Status-Invest'!$1:$1000,12,FALSE())*J749,"")</f>
        <v/>
      </c>
      <c r="I749" s="8" t="str">
        <f aca="false">IFERROR(D749/VLOOKUP(A749,'Dados-Status-Invest'!$1:$1000,14,FALSE()),"")</f>
        <v/>
      </c>
      <c r="J749" s="9" t="str">
        <f aca="false">IFERROR(D749/VLOOKUP(A749,'Dados-Status-Invest'!$1:$1000,10,FALSE()),"")</f>
        <v/>
      </c>
      <c r="K749" s="10" t="str">
        <f aca="false">IFERROR(VLOOKUP(A749,'Dados-Status-Invest'!$1:$1000,3,FALSE())/100,"")</f>
        <v/>
      </c>
      <c r="L749" s="11" t="str">
        <f aca="false">IFERROR(VLOOKUP(A749,'Dados-Status-Invest'!$1:$1000,MATCH(L$1,'Dados-Status-Invest'!$2:$2,0),FALSE())/100,"")</f>
        <v/>
      </c>
      <c r="M749" s="10" t="str">
        <f aca="false">IFERROR(VLOOKUP(A749,'Dados-Status-Invest'!$1:$1000,MATCH(M$1,'Dados-Status-Invest'!$2:$2,0),FALSE())/100,"")</f>
        <v/>
      </c>
      <c r="N749" s="10" t="str">
        <f aca="false">IFERROR(VLOOKUP(A749,'Dados-Status-Invest'!$1:$1000,MATCH(N$1,'Dados-Status-Invest'!$2:$2,0),FALSE())/100,"")</f>
        <v/>
      </c>
      <c r="O749" s="10" t="str">
        <f aca="false">IFERROR(VLOOKUP(A749,'Dados-Status-Invest'!$1:$1000,MATCH(O$1,'Dados-Status-Invest'!$2:$2,0),FALSE())/100,"")</f>
        <v/>
      </c>
      <c r="P749" s="10" t="str">
        <f aca="false">IFERROR(VLOOKUP(A749,'Dados-Status-Invest'!$1:$1000,MATCH(P$1,'Dados-Status-Invest'!$2:$2,0),FALSE())/100,"")</f>
        <v/>
      </c>
      <c r="Q749" s="10" t="str">
        <f aca="false">IFERROR(VLOOKUP(A749,'Dados-Status-Invest'!$1:$1000,MATCH(Q$1,'Dados-Status-Invest'!$2:$2,0),FALSE())/100,"")</f>
        <v/>
      </c>
      <c r="R749" s="12" t="str">
        <f aca="false">IFERROR(VLOOKUP(A749,'Dados-Status-Invest'!$1:$1000,MATCH(R$1,'Dados-Status-Invest'!$2:$2,0),FALSE()),"")</f>
        <v/>
      </c>
      <c r="S749" s="12" t="str">
        <f aca="false">IFERROR(VLOOKUP(A749,'Dados-Status-Invest'!$1:$1000,MATCH(S$1,'Dados-Status-Invest'!$2:$2,0),FALSE()),"")</f>
        <v/>
      </c>
      <c r="T749" s="12" t="str">
        <f aca="false">IFERROR(VLOOKUP(A749,'Dados-Status-Invest'!$1:$1000,MATCH(T$1,'Dados-Status-Invest'!$2:$2,0),FALSE()),"")</f>
        <v/>
      </c>
      <c r="U749" s="12" t="str">
        <f aca="false">IFERROR(VLOOKUP(A749,'Dados-Status-Invest'!$1:$1000,MATCH(U$1,'Dados-Status-Invest'!$2:$2,0),FALSE()),"")</f>
        <v/>
      </c>
      <c r="V749" s="12" t="str">
        <f aca="false">IFERROR(VLOOKUP(A749,'Dados-Status-Invest'!$1:$1000,MATCH(V$1,'Dados-Status-Invest'!$2:$2,0),FALSE()),"")</f>
        <v/>
      </c>
      <c r="W749" s="10" t="str">
        <f aca="false">IFERROR(VLOOKUP(A749,'Dados-Status-Invest'!$1:$1000,MATCH(W$1,'Dados-Status-Invest'!$2:$2,0),FALSE())/100,"")</f>
        <v/>
      </c>
      <c r="X749" s="10" t="str">
        <f aca="false">IFERROR(VLOOKUP(A749,'Dados-Status-Invest'!$1:$1000,MATCH(X$1,'Dados-Status-Invest'!$2:$2,0),FALSE())/100,"")</f>
        <v/>
      </c>
    </row>
    <row r="750" customFormat="false" ht="15.75" hidden="false" customHeight="false" outlineLevel="0" collapsed="false">
      <c r="B750" s="7" t="str">
        <f aca="false">IFERROR(VLOOKUP(LEFT(A750,4),Setor!A:D,2,FALSE()),"")</f>
        <v/>
      </c>
      <c r="C750" s="8" t="str">
        <f aca="false">IFERROR(__xludf.dummyfunction("IFERROR(IFERROR(GOOGLEFINANCE(A756,""price""),VLOOKUP(A756,'Dados-Status-Invest'!A:B,2,FALSE)),"""")"),"")</f>
        <v/>
      </c>
      <c r="D750" s="8" t="str">
        <f aca="false">IFERROR(VLOOKUP(A750,'Dados-Status-Invest'!$1:$1000,MATCH(D$1,'Dados-Status-Invest'!$2:$2,0),FALSE()),"")</f>
        <v/>
      </c>
      <c r="E750" s="8" t="e">
        <f aca="false">IF(D750+H750&gt;0,D750+H750,"")</f>
        <v>#VALUE!</v>
      </c>
      <c r="F750" s="8" t="str">
        <f aca="false">IFERROR(D750/VLOOKUP(A750,'Dados-Status-Invest'!$1:$1000,5,FALSE()),"")</f>
        <v/>
      </c>
      <c r="G750" s="8" t="str">
        <f aca="false">IFERROR(D750/VLOOKUP(A750,'Dados-Status-Invest'!$1:$1000,6,FALSE()),"")</f>
        <v/>
      </c>
      <c r="H750" s="8" t="str">
        <f aca="false">IFERROR(VLOOKUP(A750,'Dados-Status-Invest'!$1:$1000,12,FALSE())*J750,"")</f>
        <v/>
      </c>
      <c r="I750" s="8" t="str">
        <f aca="false">IFERROR(D750/VLOOKUP(A750,'Dados-Status-Invest'!$1:$1000,14,FALSE()),"")</f>
        <v/>
      </c>
      <c r="J750" s="9" t="str">
        <f aca="false">IFERROR(D750/VLOOKUP(A750,'Dados-Status-Invest'!$1:$1000,10,FALSE()),"")</f>
        <v/>
      </c>
      <c r="K750" s="10" t="str">
        <f aca="false">IFERROR(VLOOKUP(A750,'Dados-Status-Invest'!$1:$1000,3,FALSE())/100,"")</f>
        <v/>
      </c>
      <c r="L750" s="11" t="str">
        <f aca="false">IFERROR(VLOOKUP(A750,'Dados-Status-Invest'!$1:$1000,MATCH(L$1,'Dados-Status-Invest'!$2:$2,0),FALSE())/100,"")</f>
        <v/>
      </c>
      <c r="M750" s="10" t="str">
        <f aca="false">IFERROR(VLOOKUP(A750,'Dados-Status-Invest'!$1:$1000,MATCH(M$1,'Dados-Status-Invest'!$2:$2,0),FALSE())/100,"")</f>
        <v/>
      </c>
      <c r="N750" s="10" t="str">
        <f aca="false">IFERROR(VLOOKUP(A750,'Dados-Status-Invest'!$1:$1000,MATCH(N$1,'Dados-Status-Invest'!$2:$2,0),FALSE())/100,"")</f>
        <v/>
      </c>
      <c r="O750" s="10" t="str">
        <f aca="false">IFERROR(VLOOKUP(A750,'Dados-Status-Invest'!$1:$1000,MATCH(O$1,'Dados-Status-Invest'!$2:$2,0),FALSE())/100,"")</f>
        <v/>
      </c>
      <c r="P750" s="10" t="str">
        <f aca="false">IFERROR(VLOOKUP(A750,'Dados-Status-Invest'!$1:$1000,MATCH(P$1,'Dados-Status-Invest'!$2:$2,0),FALSE())/100,"")</f>
        <v/>
      </c>
      <c r="Q750" s="10" t="str">
        <f aca="false">IFERROR(VLOOKUP(A750,'Dados-Status-Invest'!$1:$1000,MATCH(Q$1,'Dados-Status-Invest'!$2:$2,0),FALSE())/100,"")</f>
        <v/>
      </c>
      <c r="R750" s="12" t="str">
        <f aca="false">IFERROR(VLOOKUP(A750,'Dados-Status-Invest'!$1:$1000,MATCH(R$1,'Dados-Status-Invest'!$2:$2,0),FALSE()),"")</f>
        <v/>
      </c>
      <c r="S750" s="12" t="str">
        <f aca="false">IFERROR(VLOOKUP(A750,'Dados-Status-Invest'!$1:$1000,MATCH(S$1,'Dados-Status-Invest'!$2:$2,0),FALSE()),"")</f>
        <v/>
      </c>
      <c r="T750" s="12" t="str">
        <f aca="false">IFERROR(VLOOKUP(A750,'Dados-Status-Invest'!$1:$1000,MATCH(T$1,'Dados-Status-Invest'!$2:$2,0),FALSE()),"")</f>
        <v/>
      </c>
      <c r="U750" s="12" t="str">
        <f aca="false">IFERROR(VLOOKUP(A750,'Dados-Status-Invest'!$1:$1000,MATCH(U$1,'Dados-Status-Invest'!$2:$2,0),FALSE()),"")</f>
        <v/>
      </c>
      <c r="V750" s="12" t="str">
        <f aca="false">IFERROR(VLOOKUP(A750,'Dados-Status-Invest'!$1:$1000,MATCH(V$1,'Dados-Status-Invest'!$2:$2,0),FALSE()),"")</f>
        <v/>
      </c>
      <c r="W750" s="10" t="str">
        <f aca="false">IFERROR(VLOOKUP(A750,'Dados-Status-Invest'!$1:$1000,MATCH(W$1,'Dados-Status-Invest'!$2:$2,0),FALSE())/100,"")</f>
        <v/>
      </c>
      <c r="X750" s="10" t="str">
        <f aca="false">IFERROR(VLOOKUP(A750,'Dados-Status-Invest'!$1:$1000,MATCH(X$1,'Dados-Status-Invest'!$2:$2,0),FALSE())/100,"")</f>
        <v/>
      </c>
    </row>
    <row r="751" customFormat="false" ht="15.75" hidden="false" customHeight="false" outlineLevel="0" collapsed="false">
      <c r="B751" s="7" t="str">
        <f aca="false">IFERROR(VLOOKUP(LEFT(A751,4),Setor!A:D,2,FALSE()),"")</f>
        <v/>
      </c>
      <c r="C751" s="8" t="str">
        <f aca="false">IFERROR(__xludf.dummyfunction("IFERROR(IFERROR(GOOGLEFINANCE(A757,""price""),VLOOKUP(A757,'Dados-Status-Invest'!A:B,2,FALSE)),"""")"),"")</f>
        <v/>
      </c>
      <c r="D751" s="8" t="str">
        <f aca="false">IFERROR(VLOOKUP(A751,'Dados-Status-Invest'!$1:$1000,MATCH(D$1,'Dados-Status-Invest'!$2:$2,0),FALSE()),"")</f>
        <v/>
      </c>
      <c r="E751" s="8" t="e">
        <f aca="false">IF(D751+H751&gt;0,D751+H751,"")</f>
        <v>#VALUE!</v>
      </c>
      <c r="F751" s="8" t="str">
        <f aca="false">IFERROR(D751/VLOOKUP(A751,'Dados-Status-Invest'!$1:$1000,5,FALSE()),"")</f>
        <v/>
      </c>
      <c r="G751" s="8" t="str">
        <f aca="false">IFERROR(D751/VLOOKUP(A751,'Dados-Status-Invest'!$1:$1000,6,FALSE()),"")</f>
        <v/>
      </c>
      <c r="H751" s="8" t="str">
        <f aca="false">IFERROR(VLOOKUP(A751,'Dados-Status-Invest'!$1:$1000,12,FALSE())*J751,"")</f>
        <v/>
      </c>
      <c r="I751" s="8" t="str">
        <f aca="false">IFERROR(D751/VLOOKUP(A751,'Dados-Status-Invest'!$1:$1000,14,FALSE()),"")</f>
        <v/>
      </c>
      <c r="J751" s="9" t="str">
        <f aca="false">IFERROR(D751/VLOOKUP(A751,'Dados-Status-Invest'!$1:$1000,10,FALSE()),"")</f>
        <v/>
      </c>
      <c r="K751" s="10" t="str">
        <f aca="false">IFERROR(VLOOKUP(A751,'Dados-Status-Invest'!$1:$1000,3,FALSE())/100,"")</f>
        <v/>
      </c>
      <c r="L751" s="11" t="str">
        <f aca="false">IFERROR(VLOOKUP(A751,'Dados-Status-Invest'!$1:$1000,MATCH(L$1,'Dados-Status-Invest'!$2:$2,0),FALSE())/100,"")</f>
        <v/>
      </c>
      <c r="M751" s="10" t="str">
        <f aca="false">IFERROR(VLOOKUP(A751,'Dados-Status-Invest'!$1:$1000,MATCH(M$1,'Dados-Status-Invest'!$2:$2,0),FALSE())/100,"")</f>
        <v/>
      </c>
      <c r="N751" s="10" t="str">
        <f aca="false">IFERROR(VLOOKUP(A751,'Dados-Status-Invest'!$1:$1000,MATCH(N$1,'Dados-Status-Invest'!$2:$2,0),FALSE())/100,"")</f>
        <v/>
      </c>
      <c r="O751" s="10" t="str">
        <f aca="false">IFERROR(VLOOKUP(A751,'Dados-Status-Invest'!$1:$1000,MATCH(O$1,'Dados-Status-Invest'!$2:$2,0),FALSE())/100,"")</f>
        <v/>
      </c>
      <c r="P751" s="10" t="str">
        <f aca="false">IFERROR(VLOOKUP(A751,'Dados-Status-Invest'!$1:$1000,MATCH(P$1,'Dados-Status-Invest'!$2:$2,0),FALSE())/100,"")</f>
        <v/>
      </c>
      <c r="Q751" s="10" t="str">
        <f aca="false">IFERROR(VLOOKUP(A751,'Dados-Status-Invest'!$1:$1000,MATCH(Q$1,'Dados-Status-Invest'!$2:$2,0),FALSE())/100,"")</f>
        <v/>
      </c>
      <c r="R751" s="12" t="str">
        <f aca="false">IFERROR(VLOOKUP(A751,'Dados-Status-Invest'!$1:$1000,MATCH(R$1,'Dados-Status-Invest'!$2:$2,0),FALSE()),"")</f>
        <v/>
      </c>
      <c r="S751" s="12" t="str">
        <f aca="false">IFERROR(VLOOKUP(A751,'Dados-Status-Invest'!$1:$1000,MATCH(S$1,'Dados-Status-Invest'!$2:$2,0),FALSE()),"")</f>
        <v/>
      </c>
      <c r="T751" s="12" t="str">
        <f aca="false">IFERROR(VLOOKUP(A751,'Dados-Status-Invest'!$1:$1000,MATCH(T$1,'Dados-Status-Invest'!$2:$2,0),FALSE()),"")</f>
        <v/>
      </c>
      <c r="U751" s="12" t="str">
        <f aca="false">IFERROR(VLOOKUP(A751,'Dados-Status-Invest'!$1:$1000,MATCH(U$1,'Dados-Status-Invest'!$2:$2,0),FALSE()),"")</f>
        <v/>
      </c>
      <c r="V751" s="12" t="str">
        <f aca="false">IFERROR(VLOOKUP(A751,'Dados-Status-Invest'!$1:$1000,MATCH(V$1,'Dados-Status-Invest'!$2:$2,0),FALSE()),"")</f>
        <v/>
      </c>
      <c r="W751" s="10" t="str">
        <f aca="false">IFERROR(VLOOKUP(A751,'Dados-Status-Invest'!$1:$1000,MATCH(W$1,'Dados-Status-Invest'!$2:$2,0),FALSE())/100,"")</f>
        <v/>
      </c>
      <c r="X751" s="10" t="str">
        <f aca="false">IFERROR(VLOOKUP(A751,'Dados-Status-Invest'!$1:$1000,MATCH(X$1,'Dados-Status-Invest'!$2:$2,0),FALSE())/100,"")</f>
        <v/>
      </c>
    </row>
    <row r="752" customFormat="false" ht="15.75" hidden="false" customHeight="false" outlineLevel="0" collapsed="false">
      <c r="B752" s="7" t="str">
        <f aca="false">IFERROR(VLOOKUP(LEFT(A752,4),Setor!A:D,2,FALSE()),"")</f>
        <v/>
      </c>
      <c r="C752" s="8" t="str">
        <f aca="false">IFERROR(__xludf.dummyfunction("IFERROR(IFERROR(GOOGLEFINANCE(A758,""price""),VLOOKUP(A758,'Dados-Status-Invest'!A:B,2,FALSE)),"""")"),"")</f>
        <v/>
      </c>
      <c r="D752" s="8" t="str">
        <f aca="false">IFERROR(VLOOKUP(A752,'Dados-Status-Invest'!$1:$1000,MATCH(D$1,'Dados-Status-Invest'!$2:$2,0),FALSE()),"")</f>
        <v/>
      </c>
      <c r="E752" s="8" t="e">
        <f aca="false">IF(D752+H752&gt;0,D752+H752,"")</f>
        <v>#VALUE!</v>
      </c>
      <c r="F752" s="8" t="str">
        <f aca="false">IFERROR(D752/VLOOKUP(A752,'Dados-Status-Invest'!$1:$1000,5,FALSE()),"")</f>
        <v/>
      </c>
      <c r="G752" s="8" t="str">
        <f aca="false">IFERROR(D752/VLOOKUP(A752,'Dados-Status-Invest'!$1:$1000,6,FALSE()),"")</f>
        <v/>
      </c>
      <c r="H752" s="8" t="str">
        <f aca="false">IFERROR(VLOOKUP(A752,'Dados-Status-Invest'!$1:$1000,12,FALSE())*J752,"")</f>
        <v/>
      </c>
      <c r="I752" s="8" t="str">
        <f aca="false">IFERROR(D752/VLOOKUP(A752,'Dados-Status-Invest'!$1:$1000,14,FALSE()),"")</f>
        <v/>
      </c>
      <c r="J752" s="9" t="str">
        <f aca="false">IFERROR(D752/VLOOKUP(A752,'Dados-Status-Invest'!$1:$1000,10,FALSE()),"")</f>
        <v/>
      </c>
      <c r="K752" s="10" t="str">
        <f aca="false">IFERROR(VLOOKUP(A752,'Dados-Status-Invest'!$1:$1000,3,FALSE())/100,"")</f>
        <v/>
      </c>
      <c r="L752" s="11" t="str">
        <f aca="false">IFERROR(VLOOKUP(A752,'Dados-Status-Invest'!$1:$1000,MATCH(L$1,'Dados-Status-Invest'!$2:$2,0),FALSE())/100,"")</f>
        <v/>
      </c>
      <c r="M752" s="10" t="str">
        <f aca="false">IFERROR(VLOOKUP(A752,'Dados-Status-Invest'!$1:$1000,MATCH(M$1,'Dados-Status-Invest'!$2:$2,0),FALSE())/100,"")</f>
        <v/>
      </c>
      <c r="N752" s="10" t="str">
        <f aca="false">IFERROR(VLOOKUP(A752,'Dados-Status-Invest'!$1:$1000,MATCH(N$1,'Dados-Status-Invest'!$2:$2,0),FALSE())/100,"")</f>
        <v/>
      </c>
      <c r="O752" s="10" t="str">
        <f aca="false">IFERROR(VLOOKUP(A752,'Dados-Status-Invest'!$1:$1000,MATCH(O$1,'Dados-Status-Invest'!$2:$2,0),FALSE())/100,"")</f>
        <v/>
      </c>
      <c r="P752" s="10" t="str">
        <f aca="false">IFERROR(VLOOKUP(A752,'Dados-Status-Invest'!$1:$1000,MATCH(P$1,'Dados-Status-Invest'!$2:$2,0),FALSE())/100,"")</f>
        <v/>
      </c>
      <c r="Q752" s="10" t="str">
        <f aca="false">IFERROR(VLOOKUP(A752,'Dados-Status-Invest'!$1:$1000,MATCH(Q$1,'Dados-Status-Invest'!$2:$2,0),FALSE())/100,"")</f>
        <v/>
      </c>
      <c r="R752" s="12" t="str">
        <f aca="false">IFERROR(VLOOKUP(A752,'Dados-Status-Invest'!$1:$1000,MATCH(R$1,'Dados-Status-Invest'!$2:$2,0),FALSE()),"")</f>
        <v/>
      </c>
      <c r="S752" s="12" t="str">
        <f aca="false">IFERROR(VLOOKUP(A752,'Dados-Status-Invest'!$1:$1000,MATCH(S$1,'Dados-Status-Invest'!$2:$2,0),FALSE()),"")</f>
        <v/>
      </c>
      <c r="T752" s="12" t="str">
        <f aca="false">IFERROR(VLOOKUP(A752,'Dados-Status-Invest'!$1:$1000,MATCH(T$1,'Dados-Status-Invest'!$2:$2,0),FALSE()),"")</f>
        <v/>
      </c>
      <c r="U752" s="12" t="str">
        <f aca="false">IFERROR(VLOOKUP(A752,'Dados-Status-Invest'!$1:$1000,MATCH(U$1,'Dados-Status-Invest'!$2:$2,0),FALSE()),"")</f>
        <v/>
      </c>
      <c r="V752" s="12" t="str">
        <f aca="false">IFERROR(VLOOKUP(A752,'Dados-Status-Invest'!$1:$1000,MATCH(V$1,'Dados-Status-Invest'!$2:$2,0),FALSE()),"")</f>
        <v/>
      </c>
      <c r="W752" s="10" t="str">
        <f aca="false">IFERROR(VLOOKUP(A752,'Dados-Status-Invest'!$1:$1000,MATCH(W$1,'Dados-Status-Invest'!$2:$2,0),FALSE())/100,"")</f>
        <v/>
      </c>
      <c r="X752" s="10" t="str">
        <f aca="false">IFERROR(VLOOKUP(A752,'Dados-Status-Invest'!$1:$1000,MATCH(X$1,'Dados-Status-Invest'!$2:$2,0),FALSE())/100,"")</f>
        <v/>
      </c>
    </row>
    <row r="753" customFormat="false" ht="15.75" hidden="false" customHeight="false" outlineLevel="0" collapsed="false">
      <c r="B753" s="7" t="str">
        <f aca="false">IFERROR(VLOOKUP(LEFT(A753,4),Setor!A:D,2,FALSE()),"")</f>
        <v/>
      </c>
      <c r="C753" s="8" t="str">
        <f aca="false">IFERROR(__xludf.dummyfunction("IFERROR(IFERROR(GOOGLEFINANCE(A759,""price""),VLOOKUP(A759,'Dados-Status-Invest'!A:B,2,FALSE)),"""")"),"")</f>
        <v/>
      </c>
      <c r="D753" s="8" t="str">
        <f aca="false">IFERROR(VLOOKUP(A753,'Dados-Status-Invest'!$1:$1000,MATCH(D$1,'Dados-Status-Invest'!$2:$2,0),FALSE()),"")</f>
        <v/>
      </c>
      <c r="E753" s="8" t="e">
        <f aca="false">IF(D753+H753&gt;0,D753+H753,"")</f>
        <v>#VALUE!</v>
      </c>
      <c r="F753" s="8" t="str">
        <f aca="false">IFERROR(D753/VLOOKUP(A753,'Dados-Status-Invest'!$1:$1000,5,FALSE()),"")</f>
        <v/>
      </c>
      <c r="G753" s="8" t="str">
        <f aca="false">IFERROR(D753/VLOOKUP(A753,'Dados-Status-Invest'!$1:$1000,6,FALSE()),"")</f>
        <v/>
      </c>
      <c r="H753" s="8" t="str">
        <f aca="false">IFERROR(VLOOKUP(A753,'Dados-Status-Invest'!$1:$1000,12,FALSE())*J753,"")</f>
        <v/>
      </c>
      <c r="I753" s="8" t="str">
        <f aca="false">IFERROR(D753/VLOOKUP(A753,'Dados-Status-Invest'!$1:$1000,14,FALSE()),"")</f>
        <v/>
      </c>
      <c r="J753" s="9" t="str">
        <f aca="false">IFERROR(D753/VLOOKUP(A753,'Dados-Status-Invest'!$1:$1000,10,FALSE()),"")</f>
        <v/>
      </c>
      <c r="K753" s="10" t="str">
        <f aca="false">IFERROR(VLOOKUP(A753,'Dados-Status-Invest'!$1:$1000,3,FALSE())/100,"")</f>
        <v/>
      </c>
      <c r="L753" s="11" t="str">
        <f aca="false">IFERROR(VLOOKUP(A753,'Dados-Status-Invest'!$1:$1000,MATCH(L$1,'Dados-Status-Invest'!$2:$2,0),FALSE())/100,"")</f>
        <v/>
      </c>
      <c r="M753" s="10" t="str">
        <f aca="false">IFERROR(VLOOKUP(A753,'Dados-Status-Invest'!$1:$1000,MATCH(M$1,'Dados-Status-Invest'!$2:$2,0),FALSE())/100,"")</f>
        <v/>
      </c>
      <c r="N753" s="10" t="str">
        <f aca="false">IFERROR(VLOOKUP(A753,'Dados-Status-Invest'!$1:$1000,MATCH(N$1,'Dados-Status-Invest'!$2:$2,0),FALSE())/100,"")</f>
        <v/>
      </c>
      <c r="O753" s="10" t="str">
        <f aca="false">IFERROR(VLOOKUP(A753,'Dados-Status-Invest'!$1:$1000,MATCH(O$1,'Dados-Status-Invest'!$2:$2,0),FALSE())/100,"")</f>
        <v/>
      </c>
      <c r="P753" s="10" t="str">
        <f aca="false">IFERROR(VLOOKUP(A753,'Dados-Status-Invest'!$1:$1000,MATCH(P$1,'Dados-Status-Invest'!$2:$2,0),FALSE())/100,"")</f>
        <v/>
      </c>
      <c r="Q753" s="10" t="str">
        <f aca="false">IFERROR(VLOOKUP(A753,'Dados-Status-Invest'!$1:$1000,MATCH(Q$1,'Dados-Status-Invest'!$2:$2,0),FALSE())/100,"")</f>
        <v/>
      </c>
      <c r="R753" s="12" t="str">
        <f aca="false">IFERROR(VLOOKUP(A753,'Dados-Status-Invest'!$1:$1000,MATCH(R$1,'Dados-Status-Invest'!$2:$2,0),FALSE()),"")</f>
        <v/>
      </c>
      <c r="S753" s="12" t="str">
        <f aca="false">IFERROR(VLOOKUP(A753,'Dados-Status-Invest'!$1:$1000,MATCH(S$1,'Dados-Status-Invest'!$2:$2,0),FALSE()),"")</f>
        <v/>
      </c>
      <c r="T753" s="12" t="str">
        <f aca="false">IFERROR(VLOOKUP(A753,'Dados-Status-Invest'!$1:$1000,MATCH(T$1,'Dados-Status-Invest'!$2:$2,0),FALSE()),"")</f>
        <v/>
      </c>
      <c r="U753" s="12" t="str">
        <f aca="false">IFERROR(VLOOKUP(A753,'Dados-Status-Invest'!$1:$1000,MATCH(U$1,'Dados-Status-Invest'!$2:$2,0),FALSE()),"")</f>
        <v/>
      </c>
      <c r="V753" s="12" t="str">
        <f aca="false">IFERROR(VLOOKUP(A753,'Dados-Status-Invest'!$1:$1000,MATCH(V$1,'Dados-Status-Invest'!$2:$2,0),FALSE()),"")</f>
        <v/>
      </c>
      <c r="W753" s="10" t="str">
        <f aca="false">IFERROR(VLOOKUP(A753,'Dados-Status-Invest'!$1:$1000,MATCH(W$1,'Dados-Status-Invest'!$2:$2,0),FALSE())/100,"")</f>
        <v/>
      </c>
      <c r="X753" s="10" t="str">
        <f aca="false">IFERROR(VLOOKUP(A753,'Dados-Status-Invest'!$1:$1000,MATCH(X$1,'Dados-Status-Invest'!$2:$2,0),FALSE())/100,"")</f>
        <v/>
      </c>
    </row>
    <row r="754" customFormat="false" ht="15.75" hidden="false" customHeight="false" outlineLevel="0" collapsed="false">
      <c r="B754" s="7" t="str">
        <f aca="false">IFERROR(VLOOKUP(LEFT(A754,4),Setor!A:D,2,FALSE()),"")</f>
        <v/>
      </c>
      <c r="C754" s="8" t="str">
        <f aca="false">IFERROR(__xludf.dummyfunction("IFERROR(IFERROR(GOOGLEFINANCE(A760,""price""),VLOOKUP(A760,'Dados-Status-Invest'!A:B,2,FALSE)),"""")"),"")</f>
        <v/>
      </c>
      <c r="D754" s="8" t="str">
        <f aca="false">IFERROR(VLOOKUP(A754,'Dados-Status-Invest'!$1:$1000,MATCH(D$1,'Dados-Status-Invest'!$2:$2,0),FALSE()),"")</f>
        <v/>
      </c>
      <c r="E754" s="8" t="e">
        <f aca="false">IF(D754+H754&gt;0,D754+H754,"")</f>
        <v>#VALUE!</v>
      </c>
      <c r="F754" s="8" t="str">
        <f aca="false">IFERROR(D754/VLOOKUP(A754,'Dados-Status-Invest'!$1:$1000,5,FALSE()),"")</f>
        <v/>
      </c>
      <c r="G754" s="8" t="str">
        <f aca="false">IFERROR(D754/VLOOKUP(A754,'Dados-Status-Invest'!$1:$1000,6,FALSE()),"")</f>
        <v/>
      </c>
      <c r="H754" s="8" t="str">
        <f aca="false">IFERROR(VLOOKUP(A754,'Dados-Status-Invest'!$1:$1000,12,FALSE())*J754,"")</f>
        <v/>
      </c>
      <c r="I754" s="8" t="str">
        <f aca="false">IFERROR(D754/VLOOKUP(A754,'Dados-Status-Invest'!$1:$1000,14,FALSE()),"")</f>
        <v/>
      </c>
      <c r="J754" s="9" t="str">
        <f aca="false">IFERROR(D754/VLOOKUP(A754,'Dados-Status-Invest'!$1:$1000,10,FALSE()),"")</f>
        <v/>
      </c>
      <c r="K754" s="10" t="str">
        <f aca="false">IFERROR(VLOOKUP(A754,'Dados-Status-Invest'!$1:$1000,3,FALSE())/100,"")</f>
        <v/>
      </c>
      <c r="L754" s="11" t="str">
        <f aca="false">IFERROR(VLOOKUP(A754,'Dados-Status-Invest'!$1:$1000,MATCH(L$1,'Dados-Status-Invest'!$2:$2,0),FALSE())/100,"")</f>
        <v/>
      </c>
      <c r="M754" s="10" t="str">
        <f aca="false">IFERROR(VLOOKUP(A754,'Dados-Status-Invest'!$1:$1000,MATCH(M$1,'Dados-Status-Invest'!$2:$2,0),FALSE())/100,"")</f>
        <v/>
      </c>
      <c r="N754" s="10" t="str">
        <f aca="false">IFERROR(VLOOKUP(A754,'Dados-Status-Invest'!$1:$1000,MATCH(N$1,'Dados-Status-Invest'!$2:$2,0),FALSE())/100,"")</f>
        <v/>
      </c>
      <c r="O754" s="10" t="str">
        <f aca="false">IFERROR(VLOOKUP(A754,'Dados-Status-Invest'!$1:$1000,MATCH(O$1,'Dados-Status-Invest'!$2:$2,0),FALSE())/100,"")</f>
        <v/>
      </c>
      <c r="P754" s="10" t="str">
        <f aca="false">IFERROR(VLOOKUP(A754,'Dados-Status-Invest'!$1:$1000,MATCH(P$1,'Dados-Status-Invest'!$2:$2,0),FALSE())/100,"")</f>
        <v/>
      </c>
      <c r="Q754" s="10" t="str">
        <f aca="false">IFERROR(VLOOKUP(A754,'Dados-Status-Invest'!$1:$1000,MATCH(Q$1,'Dados-Status-Invest'!$2:$2,0),FALSE())/100,"")</f>
        <v/>
      </c>
      <c r="R754" s="12" t="str">
        <f aca="false">IFERROR(VLOOKUP(A754,'Dados-Status-Invest'!$1:$1000,MATCH(R$1,'Dados-Status-Invest'!$2:$2,0),FALSE()),"")</f>
        <v/>
      </c>
      <c r="S754" s="12" t="str">
        <f aca="false">IFERROR(VLOOKUP(A754,'Dados-Status-Invest'!$1:$1000,MATCH(S$1,'Dados-Status-Invest'!$2:$2,0),FALSE()),"")</f>
        <v/>
      </c>
      <c r="T754" s="12" t="str">
        <f aca="false">IFERROR(VLOOKUP(A754,'Dados-Status-Invest'!$1:$1000,MATCH(T$1,'Dados-Status-Invest'!$2:$2,0),FALSE()),"")</f>
        <v/>
      </c>
      <c r="U754" s="12" t="str">
        <f aca="false">IFERROR(VLOOKUP(A754,'Dados-Status-Invest'!$1:$1000,MATCH(U$1,'Dados-Status-Invest'!$2:$2,0),FALSE()),"")</f>
        <v/>
      </c>
      <c r="V754" s="12" t="str">
        <f aca="false">IFERROR(VLOOKUP(A754,'Dados-Status-Invest'!$1:$1000,MATCH(V$1,'Dados-Status-Invest'!$2:$2,0),FALSE()),"")</f>
        <v/>
      </c>
      <c r="W754" s="10" t="str">
        <f aca="false">IFERROR(VLOOKUP(A754,'Dados-Status-Invest'!$1:$1000,MATCH(W$1,'Dados-Status-Invest'!$2:$2,0),FALSE())/100,"")</f>
        <v/>
      </c>
      <c r="X754" s="10" t="str">
        <f aca="false">IFERROR(VLOOKUP(A754,'Dados-Status-Invest'!$1:$1000,MATCH(X$1,'Dados-Status-Invest'!$2:$2,0),FALSE())/100,"")</f>
        <v/>
      </c>
    </row>
    <row r="755" customFormat="false" ht="15.75" hidden="false" customHeight="false" outlineLevel="0" collapsed="false">
      <c r="B755" s="7" t="str">
        <f aca="false">IFERROR(VLOOKUP(LEFT(A755,4),Setor!A:D,2,FALSE()),"")</f>
        <v/>
      </c>
      <c r="C755" s="8" t="str">
        <f aca="false">IFERROR(__xludf.dummyfunction("IFERROR(IFERROR(GOOGLEFINANCE(A761,""price""),VLOOKUP(A761,'Dados-Status-Invest'!A:B,2,FALSE)),"""")"),"")</f>
        <v/>
      </c>
      <c r="D755" s="8" t="str">
        <f aca="false">IFERROR(VLOOKUP(A755,'Dados-Status-Invest'!$1:$1000,MATCH(D$1,'Dados-Status-Invest'!$2:$2,0),FALSE()),"")</f>
        <v/>
      </c>
      <c r="E755" s="8" t="e">
        <f aca="false">IF(D755+H755&gt;0,D755+H755,"")</f>
        <v>#VALUE!</v>
      </c>
      <c r="F755" s="8" t="str">
        <f aca="false">IFERROR(D755/VLOOKUP(A755,'Dados-Status-Invest'!$1:$1000,5,FALSE()),"")</f>
        <v/>
      </c>
      <c r="G755" s="8" t="str">
        <f aca="false">IFERROR(D755/VLOOKUP(A755,'Dados-Status-Invest'!$1:$1000,6,FALSE()),"")</f>
        <v/>
      </c>
      <c r="H755" s="8" t="str">
        <f aca="false">IFERROR(VLOOKUP(A755,'Dados-Status-Invest'!$1:$1000,12,FALSE())*J755,"")</f>
        <v/>
      </c>
      <c r="I755" s="8" t="str">
        <f aca="false">IFERROR(D755/VLOOKUP(A755,'Dados-Status-Invest'!$1:$1000,14,FALSE()),"")</f>
        <v/>
      </c>
      <c r="J755" s="9" t="str">
        <f aca="false">IFERROR(D755/VLOOKUP(A755,'Dados-Status-Invest'!$1:$1000,10,FALSE()),"")</f>
        <v/>
      </c>
      <c r="K755" s="10" t="str">
        <f aca="false">IFERROR(VLOOKUP(A755,'Dados-Status-Invest'!$1:$1000,3,FALSE())/100,"")</f>
        <v/>
      </c>
      <c r="L755" s="11" t="str">
        <f aca="false">IFERROR(VLOOKUP(A755,'Dados-Status-Invest'!$1:$1000,MATCH(L$1,'Dados-Status-Invest'!$2:$2,0),FALSE())/100,"")</f>
        <v/>
      </c>
      <c r="M755" s="10" t="str">
        <f aca="false">IFERROR(VLOOKUP(A755,'Dados-Status-Invest'!$1:$1000,MATCH(M$1,'Dados-Status-Invest'!$2:$2,0),FALSE())/100,"")</f>
        <v/>
      </c>
      <c r="N755" s="10" t="str">
        <f aca="false">IFERROR(VLOOKUP(A755,'Dados-Status-Invest'!$1:$1000,MATCH(N$1,'Dados-Status-Invest'!$2:$2,0),FALSE())/100,"")</f>
        <v/>
      </c>
      <c r="O755" s="10" t="str">
        <f aca="false">IFERROR(VLOOKUP(A755,'Dados-Status-Invest'!$1:$1000,MATCH(O$1,'Dados-Status-Invest'!$2:$2,0),FALSE())/100,"")</f>
        <v/>
      </c>
      <c r="P755" s="10" t="str">
        <f aca="false">IFERROR(VLOOKUP(A755,'Dados-Status-Invest'!$1:$1000,MATCH(P$1,'Dados-Status-Invest'!$2:$2,0),FALSE())/100,"")</f>
        <v/>
      </c>
      <c r="Q755" s="10" t="str">
        <f aca="false">IFERROR(VLOOKUP(A755,'Dados-Status-Invest'!$1:$1000,MATCH(Q$1,'Dados-Status-Invest'!$2:$2,0),FALSE())/100,"")</f>
        <v/>
      </c>
      <c r="R755" s="12" t="str">
        <f aca="false">IFERROR(VLOOKUP(A755,'Dados-Status-Invest'!$1:$1000,MATCH(R$1,'Dados-Status-Invest'!$2:$2,0),FALSE()),"")</f>
        <v/>
      </c>
      <c r="S755" s="12" t="str">
        <f aca="false">IFERROR(VLOOKUP(A755,'Dados-Status-Invest'!$1:$1000,MATCH(S$1,'Dados-Status-Invest'!$2:$2,0),FALSE()),"")</f>
        <v/>
      </c>
      <c r="T755" s="12" t="str">
        <f aca="false">IFERROR(VLOOKUP(A755,'Dados-Status-Invest'!$1:$1000,MATCH(T$1,'Dados-Status-Invest'!$2:$2,0),FALSE()),"")</f>
        <v/>
      </c>
      <c r="U755" s="12" t="str">
        <f aca="false">IFERROR(VLOOKUP(A755,'Dados-Status-Invest'!$1:$1000,MATCH(U$1,'Dados-Status-Invest'!$2:$2,0),FALSE()),"")</f>
        <v/>
      </c>
      <c r="V755" s="12" t="str">
        <f aca="false">IFERROR(VLOOKUP(A755,'Dados-Status-Invest'!$1:$1000,MATCH(V$1,'Dados-Status-Invest'!$2:$2,0),FALSE()),"")</f>
        <v/>
      </c>
      <c r="W755" s="10" t="str">
        <f aca="false">IFERROR(VLOOKUP(A755,'Dados-Status-Invest'!$1:$1000,MATCH(W$1,'Dados-Status-Invest'!$2:$2,0),FALSE())/100,"")</f>
        <v/>
      </c>
      <c r="X755" s="10" t="str">
        <f aca="false">IFERROR(VLOOKUP(A755,'Dados-Status-Invest'!$1:$1000,MATCH(X$1,'Dados-Status-Invest'!$2:$2,0),FALSE())/100,"")</f>
        <v/>
      </c>
    </row>
    <row r="756" customFormat="false" ht="15.75" hidden="false" customHeight="false" outlineLevel="0" collapsed="false">
      <c r="B756" s="7" t="str">
        <f aca="false">IFERROR(VLOOKUP(LEFT(A756,4),Setor!A:D,2,FALSE()),"")</f>
        <v/>
      </c>
      <c r="C756" s="8" t="str">
        <f aca="false">IFERROR(__xludf.dummyfunction("IFERROR(IFERROR(GOOGLEFINANCE(A762,""price""),VLOOKUP(A762,'Dados-Status-Invest'!A:B,2,FALSE)),"""")"),"")</f>
        <v/>
      </c>
      <c r="D756" s="8" t="str">
        <f aca="false">IFERROR(VLOOKUP(A756,'Dados-Status-Invest'!$1:$1000,MATCH(D$1,'Dados-Status-Invest'!$2:$2,0),FALSE()),"")</f>
        <v/>
      </c>
      <c r="E756" s="8" t="e">
        <f aca="false">IF(D756+H756&gt;0,D756+H756,"")</f>
        <v>#VALUE!</v>
      </c>
      <c r="F756" s="8" t="str">
        <f aca="false">IFERROR(D756/VLOOKUP(A756,'Dados-Status-Invest'!$1:$1000,5,FALSE()),"")</f>
        <v/>
      </c>
      <c r="G756" s="8" t="str">
        <f aca="false">IFERROR(D756/VLOOKUP(A756,'Dados-Status-Invest'!$1:$1000,6,FALSE()),"")</f>
        <v/>
      </c>
      <c r="H756" s="8" t="str">
        <f aca="false">IFERROR(VLOOKUP(A756,'Dados-Status-Invest'!$1:$1000,12,FALSE())*J756,"")</f>
        <v/>
      </c>
      <c r="I756" s="8" t="str">
        <f aca="false">IFERROR(D756/VLOOKUP(A756,'Dados-Status-Invest'!$1:$1000,14,FALSE()),"")</f>
        <v/>
      </c>
      <c r="J756" s="9" t="str">
        <f aca="false">IFERROR(D756/VLOOKUP(A756,'Dados-Status-Invest'!$1:$1000,10,FALSE()),"")</f>
        <v/>
      </c>
      <c r="K756" s="10" t="str">
        <f aca="false">IFERROR(VLOOKUP(A756,'Dados-Status-Invest'!$1:$1000,3,FALSE())/100,"")</f>
        <v/>
      </c>
      <c r="L756" s="11" t="str">
        <f aca="false">IFERROR(VLOOKUP(A756,'Dados-Status-Invest'!$1:$1000,MATCH(L$1,'Dados-Status-Invest'!$2:$2,0),FALSE())/100,"")</f>
        <v/>
      </c>
      <c r="M756" s="10" t="str">
        <f aca="false">IFERROR(VLOOKUP(A756,'Dados-Status-Invest'!$1:$1000,MATCH(M$1,'Dados-Status-Invest'!$2:$2,0),FALSE())/100,"")</f>
        <v/>
      </c>
      <c r="N756" s="10" t="str">
        <f aca="false">IFERROR(VLOOKUP(A756,'Dados-Status-Invest'!$1:$1000,MATCH(N$1,'Dados-Status-Invest'!$2:$2,0),FALSE())/100,"")</f>
        <v/>
      </c>
      <c r="O756" s="10" t="str">
        <f aca="false">IFERROR(VLOOKUP(A756,'Dados-Status-Invest'!$1:$1000,MATCH(O$1,'Dados-Status-Invest'!$2:$2,0),FALSE())/100,"")</f>
        <v/>
      </c>
      <c r="P756" s="10" t="str">
        <f aca="false">IFERROR(VLOOKUP(A756,'Dados-Status-Invest'!$1:$1000,MATCH(P$1,'Dados-Status-Invest'!$2:$2,0),FALSE())/100,"")</f>
        <v/>
      </c>
      <c r="Q756" s="10" t="str">
        <f aca="false">IFERROR(VLOOKUP(A756,'Dados-Status-Invest'!$1:$1000,MATCH(Q$1,'Dados-Status-Invest'!$2:$2,0),FALSE())/100,"")</f>
        <v/>
      </c>
      <c r="R756" s="12" t="str">
        <f aca="false">IFERROR(VLOOKUP(A756,'Dados-Status-Invest'!$1:$1000,MATCH(R$1,'Dados-Status-Invest'!$2:$2,0),FALSE()),"")</f>
        <v/>
      </c>
      <c r="S756" s="12" t="str">
        <f aca="false">IFERROR(VLOOKUP(A756,'Dados-Status-Invest'!$1:$1000,MATCH(S$1,'Dados-Status-Invest'!$2:$2,0),FALSE()),"")</f>
        <v/>
      </c>
      <c r="T756" s="12" t="str">
        <f aca="false">IFERROR(VLOOKUP(A756,'Dados-Status-Invest'!$1:$1000,MATCH(T$1,'Dados-Status-Invest'!$2:$2,0),FALSE()),"")</f>
        <v/>
      </c>
      <c r="U756" s="12" t="str">
        <f aca="false">IFERROR(VLOOKUP(A756,'Dados-Status-Invest'!$1:$1000,MATCH(U$1,'Dados-Status-Invest'!$2:$2,0),FALSE()),"")</f>
        <v/>
      </c>
      <c r="V756" s="12" t="str">
        <f aca="false">IFERROR(VLOOKUP(A756,'Dados-Status-Invest'!$1:$1000,MATCH(V$1,'Dados-Status-Invest'!$2:$2,0),FALSE()),"")</f>
        <v/>
      </c>
      <c r="W756" s="10" t="str">
        <f aca="false">IFERROR(VLOOKUP(A756,'Dados-Status-Invest'!$1:$1000,MATCH(W$1,'Dados-Status-Invest'!$2:$2,0),FALSE())/100,"")</f>
        <v/>
      </c>
      <c r="X756" s="10" t="str">
        <f aca="false">IFERROR(VLOOKUP(A756,'Dados-Status-Invest'!$1:$1000,MATCH(X$1,'Dados-Status-Invest'!$2:$2,0),FALSE())/100,"")</f>
        <v/>
      </c>
    </row>
    <row r="757" customFormat="false" ht="15.75" hidden="false" customHeight="false" outlineLevel="0" collapsed="false">
      <c r="B757" s="7" t="str">
        <f aca="false">IFERROR(VLOOKUP(LEFT(A757,4),Setor!A:D,2,FALSE()),"")</f>
        <v/>
      </c>
      <c r="C757" s="8" t="str">
        <f aca="false">IFERROR(__xludf.dummyfunction("IFERROR(IFERROR(GOOGLEFINANCE(A763,""price""),VLOOKUP(A763,'Dados-Status-Invest'!A:B,2,FALSE)),"""")"),"")</f>
        <v/>
      </c>
      <c r="D757" s="8" t="str">
        <f aca="false">IFERROR(VLOOKUP(A757,'Dados-Status-Invest'!$1:$1000,MATCH(D$1,'Dados-Status-Invest'!$2:$2,0),FALSE()),"")</f>
        <v/>
      </c>
      <c r="E757" s="8" t="e">
        <f aca="false">IF(D757+H757&gt;0,D757+H757,"")</f>
        <v>#VALUE!</v>
      </c>
      <c r="F757" s="8" t="str">
        <f aca="false">IFERROR(D757/VLOOKUP(A757,'Dados-Status-Invest'!$1:$1000,5,FALSE()),"")</f>
        <v/>
      </c>
      <c r="G757" s="8" t="str">
        <f aca="false">IFERROR(D757/VLOOKUP(A757,'Dados-Status-Invest'!$1:$1000,6,FALSE()),"")</f>
        <v/>
      </c>
      <c r="H757" s="8" t="str">
        <f aca="false">IFERROR(VLOOKUP(A757,'Dados-Status-Invest'!$1:$1000,12,FALSE())*J757,"")</f>
        <v/>
      </c>
      <c r="I757" s="8" t="str">
        <f aca="false">IFERROR(D757/VLOOKUP(A757,'Dados-Status-Invest'!$1:$1000,14,FALSE()),"")</f>
        <v/>
      </c>
      <c r="J757" s="9" t="str">
        <f aca="false">IFERROR(D757/VLOOKUP(A757,'Dados-Status-Invest'!$1:$1000,10,FALSE()),"")</f>
        <v/>
      </c>
      <c r="K757" s="10" t="str">
        <f aca="false">IFERROR(VLOOKUP(A757,'Dados-Status-Invest'!$1:$1000,3,FALSE())/100,"")</f>
        <v/>
      </c>
      <c r="L757" s="11" t="str">
        <f aca="false">IFERROR(VLOOKUP(A757,'Dados-Status-Invest'!$1:$1000,MATCH(L$1,'Dados-Status-Invest'!$2:$2,0),FALSE())/100,"")</f>
        <v/>
      </c>
      <c r="M757" s="10" t="str">
        <f aca="false">IFERROR(VLOOKUP(A757,'Dados-Status-Invest'!$1:$1000,MATCH(M$1,'Dados-Status-Invest'!$2:$2,0),FALSE())/100,"")</f>
        <v/>
      </c>
      <c r="N757" s="10" t="str">
        <f aca="false">IFERROR(VLOOKUP(A757,'Dados-Status-Invest'!$1:$1000,MATCH(N$1,'Dados-Status-Invest'!$2:$2,0),FALSE())/100,"")</f>
        <v/>
      </c>
      <c r="O757" s="10" t="str">
        <f aca="false">IFERROR(VLOOKUP(A757,'Dados-Status-Invest'!$1:$1000,MATCH(O$1,'Dados-Status-Invest'!$2:$2,0),FALSE())/100,"")</f>
        <v/>
      </c>
      <c r="P757" s="10" t="str">
        <f aca="false">IFERROR(VLOOKUP(A757,'Dados-Status-Invest'!$1:$1000,MATCH(P$1,'Dados-Status-Invest'!$2:$2,0),FALSE())/100,"")</f>
        <v/>
      </c>
      <c r="Q757" s="10" t="str">
        <f aca="false">IFERROR(VLOOKUP(A757,'Dados-Status-Invest'!$1:$1000,MATCH(Q$1,'Dados-Status-Invest'!$2:$2,0),FALSE())/100,"")</f>
        <v/>
      </c>
      <c r="R757" s="12" t="str">
        <f aca="false">IFERROR(VLOOKUP(A757,'Dados-Status-Invest'!$1:$1000,MATCH(R$1,'Dados-Status-Invest'!$2:$2,0),FALSE()),"")</f>
        <v/>
      </c>
      <c r="S757" s="12" t="str">
        <f aca="false">IFERROR(VLOOKUP(A757,'Dados-Status-Invest'!$1:$1000,MATCH(S$1,'Dados-Status-Invest'!$2:$2,0),FALSE()),"")</f>
        <v/>
      </c>
      <c r="T757" s="12" t="str">
        <f aca="false">IFERROR(VLOOKUP(A757,'Dados-Status-Invest'!$1:$1000,MATCH(T$1,'Dados-Status-Invest'!$2:$2,0),FALSE()),"")</f>
        <v/>
      </c>
      <c r="U757" s="12" t="str">
        <f aca="false">IFERROR(VLOOKUP(A757,'Dados-Status-Invest'!$1:$1000,MATCH(U$1,'Dados-Status-Invest'!$2:$2,0),FALSE()),"")</f>
        <v/>
      </c>
      <c r="V757" s="12" t="str">
        <f aca="false">IFERROR(VLOOKUP(A757,'Dados-Status-Invest'!$1:$1000,MATCH(V$1,'Dados-Status-Invest'!$2:$2,0),FALSE()),"")</f>
        <v/>
      </c>
      <c r="W757" s="10" t="str">
        <f aca="false">IFERROR(VLOOKUP(A757,'Dados-Status-Invest'!$1:$1000,MATCH(W$1,'Dados-Status-Invest'!$2:$2,0),FALSE())/100,"")</f>
        <v/>
      </c>
      <c r="X757" s="10" t="str">
        <f aca="false">IFERROR(VLOOKUP(A757,'Dados-Status-Invest'!$1:$1000,MATCH(X$1,'Dados-Status-Invest'!$2:$2,0),FALSE())/100,"")</f>
        <v/>
      </c>
    </row>
    <row r="758" customFormat="false" ht="15.75" hidden="false" customHeight="false" outlineLevel="0" collapsed="false">
      <c r="B758" s="7" t="str">
        <f aca="false">IFERROR(VLOOKUP(LEFT(A758,4),Setor!A:D,2,FALSE()),"")</f>
        <v/>
      </c>
      <c r="C758" s="8" t="str">
        <f aca="false">IFERROR(__xludf.dummyfunction("IFERROR(IFERROR(GOOGLEFINANCE(A764,""price""),VLOOKUP(A764,'Dados-Status-Invest'!A:B,2,FALSE)),"""")"),"")</f>
        <v/>
      </c>
      <c r="D758" s="8" t="str">
        <f aca="false">IFERROR(VLOOKUP(A758,'Dados-Status-Invest'!$1:$1000,MATCH(D$1,'Dados-Status-Invest'!$2:$2,0),FALSE()),"")</f>
        <v/>
      </c>
      <c r="E758" s="8" t="e">
        <f aca="false">IF(D758+H758&gt;0,D758+H758,"")</f>
        <v>#VALUE!</v>
      </c>
      <c r="F758" s="8" t="str">
        <f aca="false">IFERROR(D758/VLOOKUP(A758,'Dados-Status-Invest'!$1:$1000,5,FALSE()),"")</f>
        <v/>
      </c>
      <c r="G758" s="8" t="str">
        <f aca="false">IFERROR(D758/VLOOKUP(A758,'Dados-Status-Invest'!$1:$1000,6,FALSE()),"")</f>
        <v/>
      </c>
      <c r="H758" s="8" t="str">
        <f aca="false">IFERROR(VLOOKUP(A758,'Dados-Status-Invest'!$1:$1000,12,FALSE())*J758,"")</f>
        <v/>
      </c>
      <c r="I758" s="8" t="str">
        <f aca="false">IFERROR(D758/VLOOKUP(A758,'Dados-Status-Invest'!$1:$1000,14,FALSE()),"")</f>
        <v/>
      </c>
      <c r="J758" s="9" t="str">
        <f aca="false">IFERROR(D758/VLOOKUP(A758,'Dados-Status-Invest'!$1:$1000,10,FALSE()),"")</f>
        <v/>
      </c>
      <c r="K758" s="10" t="str">
        <f aca="false">IFERROR(VLOOKUP(A758,'Dados-Status-Invest'!$1:$1000,3,FALSE())/100,"")</f>
        <v/>
      </c>
      <c r="L758" s="11" t="str">
        <f aca="false">IFERROR(VLOOKUP(A758,'Dados-Status-Invest'!$1:$1000,MATCH(L$1,'Dados-Status-Invest'!$2:$2,0),FALSE())/100,"")</f>
        <v/>
      </c>
      <c r="M758" s="10" t="str">
        <f aca="false">IFERROR(VLOOKUP(A758,'Dados-Status-Invest'!$1:$1000,MATCH(M$1,'Dados-Status-Invest'!$2:$2,0),FALSE())/100,"")</f>
        <v/>
      </c>
      <c r="N758" s="10" t="str">
        <f aca="false">IFERROR(VLOOKUP(A758,'Dados-Status-Invest'!$1:$1000,MATCH(N$1,'Dados-Status-Invest'!$2:$2,0),FALSE())/100,"")</f>
        <v/>
      </c>
      <c r="O758" s="10" t="str">
        <f aca="false">IFERROR(VLOOKUP(A758,'Dados-Status-Invest'!$1:$1000,MATCH(O$1,'Dados-Status-Invest'!$2:$2,0),FALSE())/100,"")</f>
        <v/>
      </c>
      <c r="P758" s="10" t="str">
        <f aca="false">IFERROR(VLOOKUP(A758,'Dados-Status-Invest'!$1:$1000,MATCH(P$1,'Dados-Status-Invest'!$2:$2,0),FALSE())/100,"")</f>
        <v/>
      </c>
      <c r="Q758" s="10" t="str">
        <f aca="false">IFERROR(VLOOKUP(A758,'Dados-Status-Invest'!$1:$1000,MATCH(Q$1,'Dados-Status-Invest'!$2:$2,0),FALSE())/100,"")</f>
        <v/>
      </c>
      <c r="R758" s="12" t="str">
        <f aca="false">IFERROR(VLOOKUP(A758,'Dados-Status-Invest'!$1:$1000,MATCH(R$1,'Dados-Status-Invest'!$2:$2,0),FALSE()),"")</f>
        <v/>
      </c>
      <c r="S758" s="12" t="str">
        <f aca="false">IFERROR(VLOOKUP(A758,'Dados-Status-Invest'!$1:$1000,MATCH(S$1,'Dados-Status-Invest'!$2:$2,0),FALSE()),"")</f>
        <v/>
      </c>
      <c r="T758" s="12" t="str">
        <f aca="false">IFERROR(VLOOKUP(A758,'Dados-Status-Invest'!$1:$1000,MATCH(T$1,'Dados-Status-Invest'!$2:$2,0),FALSE()),"")</f>
        <v/>
      </c>
      <c r="U758" s="12" t="str">
        <f aca="false">IFERROR(VLOOKUP(A758,'Dados-Status-Invest'!$1:$1000,MATCH(U$1,'Dados-Status-Invest'!$2:$2,0),FALSE()),"")</f>
        <v/>
      </c>
      <c r="V758" s="12" t="str">
        <f aca="false">IFERROR(VLOOKUP(A758,'Dados-Status-Invest'!$1:$1000,MATCH(V$1,'Dados-Status-Invest'!$2:$2,0),FALSE()),"")</f>
        <v/>
      </c>
      <c r="W758" s="10" t="str">
        <f aca="false">IFERROR(VLOOKUP(A758,'Dados-Status-Invest'!$1:$1000,MATCH(W$1,'Dados-Status-Invest'!$2:$2,0),FALSE())/100,"")</f>
        <v/>
      </c>
      <c r="X758" s="10" t="str">
        <f aca="false">IFERROR(VLOOKUP(A758,'Dados-Status-Invest'!$1:$1000,MATCH(X$1,'Dados-Status-Invest'!$2:$2,0),FALSE())/100,"")</f>
        <v/>
      </c>
    </row>
    <row r="759" customFormat="false" ht="15.75" hidden="false" customHeight="false" outlineLevel="0" collapsed="false">
      <c r="B759" s="7" t="str">
        <f aca="false">IFERROR(VLOOKUP(LEFT(A759,4),Setor!A:D,2,FALSE()),"")</f>
        <v/>
      </c>
      <c r="C759" s="8" t="str">
        <f aca="false">IFERROR(__xludf.dummyfunction("IFERROR(IFERROR(GOOGLEFINANCE(A765,""price""),VLOOKUP(A765,'Dados-Status-Invest'!A:B,2,FALSE)),"""")"),"")</f>
        <v/>
      </c>
      <c r="D759" s="8" t="str">
        <f aca="false">IFERROR(VLOOKUP(A759,'Dados-Status-Invest'!$1:$1000,MATCH(D$1,'Dados-Status-Invest'!$2:$2,0),FALSE()),"")</f>
        <v/>
      </c>
      <c r="E759" s="8" t="e">
        <f aca="false">IF(D759+H759&gt;0,D759+H759,"")</f>
        <v>#VALUE!</v>
      </c>
      <c r="F759" s="8" t="str">
        <f aca="false">IFERROR(D759/VLOOKUP(A759,'Dados-Status-Invest'!$1:$1000,5,FALSE()),"")</f>
        <v/>
      </c>
      <c r="G759" s="8" t="str">
        <f aca="false">IFERROR(D759/VLOOKUP(A759,'Dados-Status-Invest'!$1:$1000,6,FALSE()),"")</f>
        <v/>
      </c>
      <c r="H759" s="8" t="str">
        <f aca="false">IFERROR(VLOOKUP(A759,'Dados-Status-Invest'!$1:$1000,12,FALSE())*J759,"")</f>
        <v/>
      </c>
      <c r="I759" s="8" t="str">
        <f aca="false">IFERROR(D759/VLOOKUP(A759,'Dados-Status-Invest'!$1:$1000,14,FALSE()),"")</f>
        <v/>
      </c>
      <c r="J759" s="9" t="str">
        <f aca="false">IFERROR(D759/VLOOKUP(A759,'Dados-Status-Invest'!$1:$1000,10,FALSE()),"")</f>
        <v/>
      </c>
      <c r="K759" s="10" t="str">
        <f aca="false">IFERROR(VLOOKUP(A759,'Dados-Status-Invest'!$1:$1000,3,FALSE())/100,"")</f>
        <v/>
      </c>
      <c r="L759" s="11" t="str">
        <f aca="false">IFERROR(VLOOKUP(A759,'Dados-Status-Invest'!$1:$1000,MATCH(L$1,'Dados-Status-Invest'!$2:$2,0),FALSE())/100,"")</f>
        <v/>
      </c>
      <c r="M759" s="10" t="str">
        <f aca="false">IFERROR(VLOOKUP(A759,'Dados-Status-Invest'!$1:$1000,MATCH(M$1,'Dados-Status-Invest'!$2:$2,0),FALSE())/100,"")</f>
        <v/>
      </c>
      <c r="N759" s="10" t="str">
        <f aca="false">IFERROR(VLOOKUP(A759,'Dados-Status-Invest'!$1:$1000,MATCH(N$1,'Dados-Status-Invest'!$2:$2,0),FALSE())/100,"")</f>
        <v/>
      </c>
      <c r="O759" s="10" t="str">
        <f aca="false">IFERROR(VLOOKUP(A759,'Dados-Status-Invest'!$1:$1000,MATCH(O$1,'Dados-Status-Invest'!$2:$2,0),FALSE())/100,"")</f>
        <v/>
      </c>
      <c r="P759" s="10" t="str">
        <f aca="false">IFERROR(VLOOKUP(A759,'Dados-Status-Invest'!$1:$1000,MATCH(P$1,'Dados-Status-Invest'!$2:$2,0),FALSE())/100,"")</f>
        <v/>
      </c>
      <c r="Q759" s="10" t="str">
        <f aca="false">IFERROR(VLOOKUP(A759,'Dados-Status-Invest'!$1:$1000,MATCH(Q$1,'Dados-Status-Invest'!$2:$2,0),FALSE())/100,"")</f>
        <v/>
      </c>
      <c r="R759" s="12" t="str">
        <f aca="false">IFERROR(VLOOKUP(A759,'Dados-Status-Invest'!$1:$1000,MATCH(R$1,'Dados-Status-Invest'!$2:$2,0),FALSE()),"")</f>
        <v/>
      </c>
      <c r="S759" s="12" t="str">
        <f aca="false">IFERROR(VLOOKUP(A759,'Dados-Status-Invest'!$1:$1000,MATCH(S$1,'Dados-Status-Invest'!$2:$2,0),FALSE()),"")</f>
        <v/>
      </c>
      <c r="T759" s="12" t="str">
        <f aca="false">IFERROR(VLOOKUP(A759,'Dados-Status-Invest'!$1:$1000,MATCH(T$1,'Dados-Status-Invest'!$2:$2,0),FALSE()),"")</f>
        <v/>
      </c>
      <c r="U759" s="12" t="str">
        <f aca="false">IFERROR(VLOOKUP(A759,'Dados-Status-Invest'!$1:$1000,MATCH(U$1,'Dados-Status-Invest'!$2:$2,0),FALSE()),"")</f>
        <v/>
      </c>
      <c r="V759" s="12" t="str">
        <f aca="false">IFERROR(VLOOKUP(A759,'Dados-Status-Invest'!$1:$1000,MATCH(V$1,'Dados-Status-Invest'!$2:$2,0),FALSE()),"")</f>
        <v/>
      </c>
      <c r="W759" s="10" t="str">
        <f aca="false">IFERROR(VLOOKUP(A759,'Dados-Status-Invest'!$1:$1000,MATCH(W$1,'Dados-Status-Invest'!$2:$2,0),FALSE())/100,"")</f>
        <v/>
      </c>
      <c r="X759" s="10" t="str">
        <f aca="false">IFERROR(VLOOKUP(A759,'Dados-Status-Invest'!$1:$1000,MATCH(X$1,'Dados-Status-Invest'!$2:$2,0),FALSE())/100,"")</f>
        <v/>
      </c>
    </row>
    <row r="760" customFormat="false" ht="15.75" hidden="false" customHeight="false" outlineLevel="0" collapsed="false">
      <c r="B760" s="7" t="str">
        <f aca="false">IFERROR(VLOOKUP(LEFT(A760,4),Setor!A:D,2,FALSE()),"")</f>
        <v/>
      </c>
      <c r="C760" s="8" t="str">
        <f aca="false">IFERROR(__xludf.dummyfunction("IFERROR(IFERROR(GOOGLEFINANCE(A766,""price""),VLOOKUP(A766,'Dados-Status-Invest'!A:B,2,FALSE)),"""")"),"")</f>
        <v/>
      </c>
      <c r="D760" s="8" t="str">
        <f aca="false">IFERROR(VLOOKUP(A760,'Dados-Status-Invest'!$1:$1000,MATCH(D$1,'Dados-Status-Invest'!$2:$2,0),FALSE()),"")</f>
        <v/>
      </c>
      <c r="E760" s="8" t="e">
        <f aca="false">IF(D760+H760&gt;0,D760+H760,"")</f>
        <v>#VALUE!</v>
      </c>
      <c r="F760" s="8" t="str">
        <f aca="false">IFERROR(D760/VLOOKUP(A760,'Dados-Status-Invest'!$1:$1000,5,FALSE()),"")</f>
        <v/>
      </c>
      <c r="G760" s="8" t="str">
        <f aca="false">IFERROR(D760/VLOOKUP(A760,'Dados-Status-Invest'!$1:$1000,6,FALSE()),"")</f>
        <v/>
      </c>
      <c r="H760" s="8" t="str">
        <f aca="false">IFERROR(VLOOKUP(A760,'Dados-Status-Invest'!$1:$1000,12,FALSE())*J760,"")</f>
        <v/>
      </c>
      <c r="I760" s="8" t="str">
        <f aca="false">IFERROR(D760/VLOOKUP(A760,'Dados-Status-Invest'!$1:$1000,14,FALSE()),"")</f>
        <v/>
      </c>
      <c r="J760" s="9" t="str">
        <f aca="false">IFERROR(D760/VLOOKUP(A760,'Dados-Status-Invest'!$1:$1000,10,FALSE()),"")</f>
        <v/>
      </c>
      <c r="K760" s="10" t="str">
        <f aca="false">IFERROR(VLOOKUP(A760,'Dados-Status-Invest'!$1:$1000,3,FALSE())/100,"")</f>
        <v/>
      </c>
      <c r="L760" s="11" t="str">
        <f aca="false">IFERROR(VLOOKUP(A760,'Dados-Status-Invest'!$1:$1000,MATCH(L$1,'Dados-Status-Invest'!$2:$2,0),FALSE())/100,"")</f>
        <v/>
      </c>
      <c r="M760" s="10" t="str">
        <f aca="false">IFERROR(VLOOKUP(A760,'Dados-Status-Invest'!$1:$1000,MATCH(M$1,'Dados-Status-Invest'!$2:$2,0),FALSE())/100,"")</f>
        <v/>
      </c>
      <c r="N760" s="10" t="str">
        <f aca="false">IFERROR(VLOOKUP(A760,'Dados-Status-Invest'!$1:$1000,MATCH(N$1,'Dados-Status-Invest'!$2:$2,0),FALSE())/100,"")</f>
        <v/>
      </c>
      <c r="O760" s="10" t="str">
        <f aca="false">IFERROR(VLOOKUP(A760,'Dados-Status-Invest'!$1:$1000,MATCH(O$1,'Dados-Status-Invest'!$2:$2,0),FALSE())/100,"")</f>
        <v/>
      </c>
      <c r="P760" s="10" t="str">
        <f aca="false">IFERROR(VLOOKUP(A760,'Dados-Status-Invest'!$1:$1000,MATCH(P$1,'Dados-Status-Invest'!$2:$2,0),FALSE())/100,"")</f>
        <v/>
      </c>
      <c r="Q760" s="10" t="str">
        <f aca="false">IFERROR(VLOOKUP(A760,'Dados-Status-Invest'!$1:$1000,MATCH(Q$1,'Dados-Status-Invest'!$2:$2,0),FALSE())/100,"")</f>
        <v/>
      </c>
      <c r="R760" s="12" t="str">
        <f aca="false">IFERROR(VLOOKUP(A760,'Dados-Status-Invest'!$1:$1000,MATCH(R$1,'Dados-Status-Invest'!$2:$2,0),FALSE()),"")</f>
        <v/>
      </c>
      <c r="S760" s="12" t="str">
        <f aca="false">IFERROR(VLOOKUP(A760,'Dados-Status-Invest'!$1:$1000,MATCH(S$1,'Dados-Status-Invest'!$2:$2,0),FALSE()),"")</f>
        <v/>
      </c>
      <c r="T760" s="12" t="str">
        <f aca="false">IFERROR(VLOOKUP(A760,'Dados-Status-Invest'!$1:$1000,MATCH(T$1,'Dados-Status-Invest'!$2:$2,0),FALSE()),"")</f>
        <v/>
      </c>
      <c r="U760" s="12" t="str">
        <f aca="false">IFERROR(VLOOKUP(A760,'Dados-Status-Invest'!$1:$1000,MATCH(U$1,'Dados-Status-Invest'!$2:$2,0),FALSE()),"")</f>
        <v/>
      </c>
      <c r="V760" s="12" t="str">
        <f aca="false">IFERROR(VLOOKUP(A760,'Dados-Status-Invest'!$1:$1000,MATCH(V$1,'Dados-Status-Invest'!$2:$2,0),FALSE()),"")</f>
        <v/>
      </c>
      <c r="W760" s="10" t="str">
        <f aca="false">IFERROR(VLOOKUP(A760,'Dados-Status-Invest'!$1:$1000,MATCH(W$1,'Dados-Status-Invest'!$2:$2,0),FALSE())/100,"")</f>
        <v/>
      </c>
      <c r="X760" s="10" t="str">
        <f aca="false">IFERROR(VLOOKUP(A760,'Dados-Status-Invest'!$1:$1000,MATCH(X$1,'Dados-Status-Invest'!$2:$2,0),FALSE())/100,"")</f>
        <v/>
      </c>
    </row>
    <row r="761" customFormat="false" ht="15.75" hidden="false" customHeight="false" outlineLevel="0" collapsed="false">
      <c r="B761" s="7" t="str">
        <f aca="false">IFERROR(VLOOKUP(LEFT(A761,4),Setor!A:D,2,FALSE()),"")</f>
        <v/>
      </c>
      <c r="C761" s="8" t="str">
        <f aca="false">IFERROR(__xludf.dummyfunction("IFERROR(IFERROR(GOOGLEFINANCE(A767,""price""),VLOOKUP(A767,'Dados-Status-Invest'!A:B,2,FALSE)),"""")"),"")</f>
        <v/>
      </c>
      <c r="D761" s="8" t="str">
        <f aca="false">IFERROR(VLOOKUP(A761,'Dados-Status-Invest'!$1:$1000,MATCH(D$1,'Dados-Status-Invest'!$2:$2,0),FALSE()),"")</f>
        <v/>
      </c>
      <c r="E761" s="8" t="e">
        <f aca="false">IF(D761+H761&gt;0,D761+H761,"")</f>
        <v>#VALUE!</v>
      </c>
      <c r="F761" s="8" t="str">
        <f aca="false">IFERROR(D761/VLOOKUP(A761,'Dados-Status-Invest'!$1:$1000,5,FALSE()),"")</f>
        <v/>
      </c>
      <c r="G761" s="8" t="str">
        <f aca="false">IFERROR(D761/VLOOKUP(A761,'Dados-Status-Invest'!$1:$1000,6,FALSE()),"")</f>
        <v/>
      </c>
      <c r="H761" s="8" t="str">
        <f aca="false">IFERROR(VLOOKUP(A761,'Dados-Status-Invest'!$1:$1000,12,FALSE())*J761,"")</f>
        <v/>
      </c>
      <c r="I761" s="8" t="str">
        <f aca="false">IFERROR(D761/VLOOKUP(A761,'Dados-Status-Invest'!$1:$1000,14,FALSE()),"")</f>
        <v/>
      </c>
      <c r="J761" s="9" t="str">
        <f aca="false">IFERROR(D761/VLOOKUP(A761,'Dados-Status-Invest'!$1:$1000,10,FALSE()),"")</f>
        <v/>
      </c>
      <c r="K761" s="10" t="str">
        <f aca="false">IFERROR(VLOOKUP(A761,'Dados-Status-Invest'!$1:$1000,3,FALSE())/100,"")</f>
        <v/>
      </c>
      <c r="L761" s="11" t="str">
        <f aca="false">IFERROR(VLOOKUP(A761,'Dados-Status-Invest'!$1:$1000,MATCH(L$1,'Dados-Status-Invest'!$2:$2,0),FALSE())/100,"")</f>
        <v/>
      </c>
      <c r="M761" s="10" t="str">
        <f aca="false">IFERROR(VLOOKUP(A761,'Dados-Status-Invest'!$1:$1000,MATCH(M$1,'Dados-Status-Invest'!$2:$2,0),FALSE())/100,"")</f>
        <v/>
      </c>
      <c r="N761" s="10" t="str">
        <f aca="false">IFERROR(VLOOKUP(A761,'Dados-Status-Invest'!$1:$1000,MATCH(N$1,'Dados-Status-Invest'!$2:$2,0),FALSE())/100,"")</f>
        <v/>
      </c>
      <c r="O761" s="10" t="str">
        <f aca="false">IFERROR(VLOOKUP(A761,'Dados-Status-Invest'!$1:$1000,MATCH(O$1,'Dados-Status-Invest'!$2:$2,0),FALSE())/100,"")</f>
        <v/>
      </c>
      <c r="P761" s="10" t="str">
        <f aca="false">IFERROR(VLOOKUP(A761,'Dados-Status-Invest'!$1:$1000,MATCH(P$1,'Dados-Status-Invest'!$2:$2,0),FALSE())/100,"")</f>
        <v/>
      </c>
      <c r="Q761" s="10" t="str">
        <f aca="false">IFERROR(VLOOKUP(A761,'Dados-Status-Invest'!$1:$1000,MATCH(Q$1,'Dados-Status-Invest'!$2:$2,0),FALSE())/100,"")</f>
        <v/>
      </c>
      <c r="R761" s="12" t="str">
        <f aca="false">IFERROR(VLOOKUP(A761,'Dados-Status-Invest'!$1:$1000,MATCH(R$1,'Dados-Status-Invest'!$2:$2,0),FALSE()),"")</f>
        <v/>
      </c>
      <c r="S761" s="12" t="str">
        <f aca="false">IFERROR(VLOOKUP(A761,'Dados-Status-Invest'!$1:$1000,MATCH(S$1,'Dados-Status-Invest'!$2:$2,0),FALSE()),"")</f>
        <v/>
      </c>
      <c r="T761" s="12" t="str">
        <f aca="false">IFERROR(VLOOKUP(A761,'Dados-Status-Invest'!$1:$1000,MATCH(T$1,'Dados-Status-Invest'!$2:$2,0),FALSE()),"")</f>
        <v/>
      </c>
      <c r="U761" s="12" t="str">
        <f aca="false">IFERROR(VLOOKUP(A761,'Dados-Status-Invest'!$1:$1000,MATCH(U$1,'Dados-Status-Invest'!$2:$2,0),FALSE()),"")</f>
        <v/>
      </c>
      <c r="V761" s="12" t="str">
        <f aca="false">IFERROR(VLOOKUP(A761,'Dados-Status-Invest'!$1:$1000,MATCH(V$1,'Dados-Status-Invest'!$2:$2,0),FALSE()),"")</f>
        <v/>
      </c>
      <c r="W761" s="10" t="str">
        <f aca="false">IFERROR(VLOOKUP(A761,'Dados-Status-Invest'!$1:$1000,MATCH(W$1,'Dados-Status-Invest'!$2:$2,0),FALSE())/100,"")</f>
        <v/>
      </c>
      <c r="X761" s="10" t="str">
        <f aca="false">IFERROR(VLOOKUP(A761,'Dados-Status-Invest'!$1:$1000,MATCH(X$1,'Dados-Status-Invest'!$2:$2,0),FALSE())/100,"")</f>
        <v/>
      </c>
    </row>
    <row r="762" customFormat="false" ht="15.75" hidden="false" customHeight="false" outlineLevel="0" collapsed="false">
      <c r="B762" s="7" t="str">
        <f aca="false">IFERROR(VLOOKUP(LEFT(A762,4),Setor!A:D,2,FALSE()),"")</f>
        <v/>
      </c>
      <c r="C762" s="8" t="str">
        <f aca="false">IFERROR(__xludf.dummyfunction("IFERROR(IFERROR(GOOGLEFINANCE(A768,""price""),VLOOKUP(A768,'Dados-Status-Invest'!A:B,2,FALSE)),"""")"),"")</f>
        <v/>
      </c>
      <c r="D762" s="8" t="str">
        <f aca="false">IFERROR(VLOOKUP(A762,'Dados-Status-Invest'!$1:$1000,MATCH(D$1,'Dados-Status-Invest'!$2:$2,0),FALSE()),"")</f>
        <v/>
      </c>
      <c r="E762" s="8" t="e">
        <f aca="false">IF(D762+H762&gt;0,D762+H762,"")</f>
        <v>#VALUE!</v>
      </c>
      <c r="F762" s="8" t="str">
        <f aca="false">IFERROR(D762/VLOOKUP(A762,'Dados-Status-Invest'!$1:$1000,5,FALSE()),"")</f>
        <v/>
      </c>
      <c r="G762" s="8" t="str">
        <f aca="false">IFERROR(D762/VLOOKUP(A762,'Dados-Status-Invest'!$1:$1000,6,FALSE()),"")</f>
        <v/>
      </c>
      <c r="H762" s="8" t="str">
        <f aca="false">IFERROR(VLOOKUP(A762,'Dados-Status-Invest'!$1:$1000,12,FALSE())*J762,"")</f>
        <v/>
      </c>
      <c r="I762" s="8" t="str">
        <f aca="false">IFERROR(D762/VLOOKUP(A762,'Dados-Status-Invest'!$1:$1000,14,FALSE()),"")</f>
        <v/>
      </c>
      <c r="J762" s="9" t="str">
        <f aca="false">IFERROR(D762/VLOOKUP(A762,'Dados-Status-Invest'!$1:$1000,10,FALSE()),"")</f>
        <v/>
      </c>
      <c r="K762" s="10" t="str">
        <f aca="false">IFERROR(VLOOKUP(A762,'Dados-Status-Invest'!$1:$1000,3,FALSE())/100,"")</f>
        <v/>
      </c>
      <c r="L762" s="11" t="str">
        <f aca="false">IFERROR(VLOOKUP(A762,'Dados-Status-Invest'!$1:$1000,MATCH(L$1,'Dados-Status-Invest'!$2:$2,0),FALSE())/100,"")</f>
        <v/>
      </c>
      <c r="M762" s="10" t="str">
        <f aca="false">IFERROR(VLOOKUP(A762,'Dados-Status-Invest'!$1:$1000,MATCH(M$1,'Dados-Status-Invest'!$2:$2,0),FALSE())/100,"")</f>
        <v/>
      </c>
      <c r="N762" s="10" t="str">
        <f aca="false">IFERROR(VLOOKUP(A762,'Dados-Status-Invest'!$1:$1000,MATCH(N$1,'Dados-Status-Invest'!$2:$2,0),FALSE())/100,"")</f>
        <v/>
      </c>
      <c r="O762" s="10" t="str">
        <f aca="false">IFERROR(VLOOKUP(A762,'Dados-Status-Invest'!$1:$1000,MATCH(O$1,'Dados-Status-Invest'!$2:$2,0),FALSE())/100,"")</f>
        <v/>
      </c>
      <c r="P762" s="10" t="str">
        <f aca="false">IFERROR(VLOOKUP(A762,'Dados-Status-Invest'!$1:$1000,MATCH(P$1,'Dados-Status-Invest'!$2:$2,0),FALSE())/100,"")</f>
        <v/>
      </c>
      <c r="Q762" s="10" t="str">
        <f aca="false">IFERROR(VLOOKUP(A762,'Dados-Status-Invest'!$1:$1000,MATCH(Q$1,'Dados-Status-Invest'!$2:$2,0),FALSE())/100,"")</f>
        <v/>
      </c>
      <c r="R762" s="12" t="str">
        <f aca="false">IFERROR(VLOOKUP(A762,'Dados-Status-Invest'!$1:$1000,MATCH(R$1,'Dados-Status-Invest'!$2:$2,0),FALSE()),"")</f>
        <v/>
      </c>
      <c r="S762" s="12" t="str">
        <f aca="false">IFERROR(VLOOKUP(A762,'Dados-Status-Invest'!$1:$1000,MATCH(S$1,'Dados-Status-Invest'!$2:$2,0),FALSE()),"")</f>
        <v/>
      </c>
      <c r="T762" s="12" t="str">
        <f aca="false">IFERROR(VLOOKUP(A762,'Dados-Status-Invest'!$1:$1000,MATCH(T$1,'Dados-Status-Invest'!$2:$2,0),FALSE()),"")</f>
        <v/>
      </c>
      <c r="U762" s="12" t="str">
        <f aca="false">IFERROR(VLOOKUP(A762,'Dados-Status-Invest'!$1:$1000,MATCH(U$1,'Dados-Status-Invest'!$2:$2,0),FALSE()),"")</f>
        <v/>
      </c>
      <c r="V762" s="12" t="str">
        <f aca="false">IFERROR(VLOOKUP(A762,'Dados-Status-Invest'!$1:$1000,MATCH(V$1,'Dados-Status-Invest'!$2:$2,0),FALSE()),"")</f>
        <v/>
      </c>
      <c r="W762" s="10" t="str">
        <f aca="false">IFERROR(VLOOKUP(A762,'Dados-Status-Invest'!$1:$1000,MATCH(W$1,'Dados-Status-Invest'!$2:$2,0),FALSE())/100,"")</f>
        <v/>
      </c>
      <c r="X762" s="10" t="str">
        <f aca="false">IFERROR(VLOOKUP(A762,'Dados-Status-Invest'!$1:$1000,MATCH(X$1,'Dados-Status-Invest'!$2:$2,0),FALSE())/100,"")</f>
        <v/>
      </c>
    </row>
    <row r="763" customFormat="false" ht="15.75" hidden="false" customHeight="false" outlineLevel="0" collapsed="false">
      <c r="B763" s="7" t="str">
        <f aca="false">IFERROR(VLOOKUP(LEFT(A763,4),Setor!A:D,2,FALSE()),"")</f>
        <v/>
      </c>
      <c r="C763" s="8" t="str">
        <f aca="false">IFERROR(__xludf.dummyfunction("IFERROR(IFERROR(GOOGLEFINANCE(A769,""price""),VLOOKUP(A769,'Dados-Status-Invest'!A:B,2,FALSE)),"""")"),"")</f>
        <v/>
      </c>
      <c r="D763" s="8" t="str">
        <f aca="false">IFERROR(VLOOKUP(A763,'Dados-Status-Invest'!$1:$1000,MATCH(D$1,'Dados-Status-Invest'!$2:$2,0),FALSE()),"")</f>
        <v/>
      </c>
      <c r="E763" s="8" t="e">
        <f aca="false">IF(D763+H763&gt;0,D763+H763,"")</f>
        <v>#VALUE!</v>
      </c>
      <c r="F763" s="8" t="str">
        <f aca="false">IFERROR(D763/VLOOKUP(A763,'Dados-Status-Invest'!$1:$1000,5,FALSE()),"")</f>
        <v/>
      </c>
      <c r="G763" s="8" t="str">
        <f aca="false">IFERROR(D763/VLOOKUP(A763,'Dados-Status-Invest'!$1:$1000,6,FALSE()),"")</f>
        <v/>
      </c>
      <c r="H763" s="8" t="str">
        <f aca="false">IFERROR(VLOOKUP(A763,'Dados-Status-Invest'!$1:$1000,12,FALSE())*J763,"")</f>
        <v/>
      </c>
      <c r="I763" s="8" t="str">
        <f aca="false">IFERROR(D763/VLOOKUP(A763,'Dados-Status-Invest'!$1:$1000,14,FALSE()),"")</f>
        <v/>
      </c>
      <c r="J763" s="9" t="str">
        <f aca="false">IFERROR(D763/VLOOKUP(A763,'Dados-Status-Invest'!$1:$1000,10,FALSE()),"")</f>
        <v/>
      </c>
      <c r="K763" s="10" t="str">
        <f aca="false">IFERROR(VLOOKUP(A763,'Dados-Status-Invest'!$1:$1000,3,FALSE())/100,"")</f>
        <v/>
      </c>
      <c r="L763" s="11" t="str">
        <f aca="false">IFERROR(VLOOKUP(A763,'Dados-Status-Invest'!$1:$1000,MATCH(L$1,'Dados-Status-Invest'!$2:$2,0),FALSE())/100,"")</f>
        <v/>
      </c>
      <c r="M763" s="10" t="str">
        <f aca="false">IFERROR(VLOOKUP(A763,'Dados-Status-Invest'!$1:$1000,MATCH(M$1,'Dados-Status-Invest'!$2:$2,0),FALSE())/100,"")</f>
        <v/>
      </c>
      <c r="N763" s="10" t="str">
        <f aca="false">IFERROR(VLOOKUP(A763,'Dados-Status-Invest'!$1:$1000,MATCH(N$1,'Dados-Status-Invest'!$2:$2,0),FALSE())/100,"")</f>
        <v/>
      </c>
      <c r="O763" s="10" t="str">
        <f aca="false">IFERROR(VLOOKUP(A763,'Dados-Status-Invest'!$1:$1000,MATCH(O$1,'Dados-Status-Invest'!$2:$2,0),FALSE())/100,"")</f>
        <v/>
      </c>
      <c r="P763" s="10" t="str">
        <f aca="false">IFERROR(VLOOKUP(A763,'Dados-Status-Invest'!$1:$1000,MATCH(P$1,'Dados-Status-Invest'!$2:$2,0),FALSE())/100,"")</f>
        <v/>
      </c>
      <c r="Q763" s="10" t="str">
        <f aca="false">IFERROR(VLOOKUP(A763,'Dados-Status-Invest'!$1:$1000,MATCH(Q$1,'Dados-Status-Invest'!$2:$2,0),FALSE())/100,"")</f>
        <v/>
      </c>
      <c r="R763" s="12" t="str">
        <f aca="false">IFERROR(VLOOKUP(A763,'Dados-Status-Invest'!$1:$1000,MATCH(R$1,'Dados-Status-Invest'!$2:$2,0),FALSE()),"")</f>
        <v/>
      </c>
      <c r="S763" s="12" t="str">
        <f aca="false">IFERROR(VLOOKUP(A763,'Dados-Status-Invest'!$1:$1000,MATCH(S$1,'Dados-Status-Invest'!$2:$2,0),FALSE()),"")</f>
        <v/>
      </c>
      <c r="T763" s="12" t="str">
        <f aca="false">IFERROR(VLOOKUP(A763,'Dados-Status-Invest'!$1:$1000,MATCH(T$1,'Dados-Status-Invest'!$2:$2,0),FALSE()),"")</f>
        <v/>
      </c>
      <c r="U763" s="12" t="str">
        <f aca="false">IFERROR(VLOOKUP(A763,'Dados-Status-Invest'!$1:$1000,MATCH(U$1,'Dados-Status-Invest'!$2:$2,0),FALSE()),"")</f>
        <v/>
      </c>
      <c r="V763" s="12" t="str">
        <f aca="false">IFERROR(VLOOKUP(A763,'Dados-Status-Invest'!$1:$1000,MATCH(V$1,'Dados-Status-Invest'!$2:$2,0),FALSE()),"")</f>
        <v/>
      </c>
      <c r="W763" s="10" t="str">
        <f aca="false">IFERROR(VLOOKUP(A763,'Dados-Status-Invest'!$1:$1000,MATCH(W$1,'Dados-Status-Invest'!$2:$2,0),FALSE())/100,"")</f>
        <v/>
      </c>
      <c r="X763" s="10" t="str">
        <f aca="false">IFERROR(VLOOKUP(A763,'Dados-Status-Invest'!$1:$1000,MATCH(X$1,'Dados-Status-Invest'!$2:$2,0),FALSE())/100,"")</f>
        <v/>
      </c>
    </row>
    <row r="764" customFormat="false" ht="15.75" hidden="false" customHeight="false" outlineLevel="0" collapsed="false">
      <c r="B764" s="7" t="str">
        <f aca="false">IFERROR(VLOOKUP(LEFT(A764,4),Setor!A:D,2,FALSE()),"")</f>
        <v/>
      </c>
      <c r="C764" s="8" t="str">
        <f aca="false">IFERROR(__xludf.dummyfunction("IFERROR(IFERROR(GOOGLEFINANCE(A770,""price""),VLOOKUP(A770,'Dados-Status-Invest'!A:B,2,FALSE)),"""")"),"")</f>
        <v/>
      </c>
      <c r="D764" s="8" t="str">
        <f aca="false">IFERROR(VLOOKUP(A764,'Dados-Status-Invest'!$1:$1000,MATCH(D$1,'Dados-Status-Invest'!$2:$2,0),FALSE()),"")</f>
        <v/>
      </c>
      <c r="E764" s="8" t="e">
        <f aca="false">IF(D764+H764&gt;0,D764+H764,"")</f>
        <v>#VALUE!</v>
      </c>
      <c r="F764" s="8" t="str">
        <f aca="false">IFERROR(D764/VLOOKUP(A764,'Dados-Status-Invest'!$1:$1000,5,FALSE()),"")</f>
        <v/>
      </c>
      <c r="G764" s="8" t="str">
        <f aca="false">IFERROR(D764/VLOOKUP(A764,'Dados-Status-Invest'!$1:$1000,6,FALSE()),"")</f>
        <v/>
      </c>
      <c r="H764" s="8" t="str">
        <f aca="false">IFERROR(VLOOKUP(A764,'Dados-Status-Invest'!$1:$1000,12,FALSE())*J764,"")</f>
        <v/>
      </c>
      <c r="I764" s="8" t="str">
        <f aca="false">IFERROR(D764/VLOOKUP(A764,'Dados-Status-Invest'!$1:$1000,14,FALSE()),"")</f>
        <v/>
      </c>
      <c r="J764" s="9" t="str">
        <f aca="false">IFERROR(D764/VLOOKUP(A764,'Dados-Status-Invest'!$1:$1000,10,FALSE()),"")</f>
        <v/>
      </c>
      <c r="K764" s="10" t="str">
        <f aca="false">IFERROR(VLOOKUP(A764,'Dados-Status-Invest'!$1:$1000,3,FALSE())/100,"")</f>
        <v/>
      </c>
      <c r="L764" s="11" t="str">
        <f aca="false">IFERROR(VLOOKUP(A764,'Dados-Status-Invest'!$1:$1000,MATCH(L$1,'Dados-Status-Invest'!$2:$2,0),FALSE())/100,"")</f>
        <v/>
      </c>
      <c r="M764" s="10" t="str">
        <f aca="false">IFERROR(VLOOKUP(A764,'Dados-Status-Invest'!$1:$1000,MATCH(M$1,'Dados-Status-Invest'!$2:$2,0),FALSE())/100,"")</f>
        <v/>
      </c>
      <c r="N764" s="10" t="str">
        <f aca="false">IFERROR(VLOOKUP(A764,'Dados-Status-Invest'!$1:$1000,MATCH(N$1,'Dados-Status-Invest'!$2:$2,0),FALSE())/100,"")</f>
        <v/>
      </c>
      <c r="O764" s="10" t="str">
        <f aca="false">IFERROR(VLOOKUP(A764,'Dados-Status-Invest'!$1:$1000,MATCH(O$1,'Dados-Status-Invest'!$2:$2,0),FALSE())/100,"")</f>
        <v/>
      </c>
      <c r="P764" s="10" t="str">
        <f aca="false">IFERROR(VLOOKUP(A764,'Dados-Status-Invest'!$1:$1000,MATCH(P$1,'Dados-Status-Invest'!$2:$2,0),FALSE())/100,"")</f>
        <v/>
      </c>
      <c r="Q764" s="10" t="str">
        <f aca="false">IFERROR(VLOOKUP(A764,'Dados-Status-Invest'!$1:$1000,MATCH(Q$1,'Dados-Status-Invest'!$2:$2,0),FALSE())/100,"")</f>
        <v/>
      </c>
      <c r="R764" s="12" t="str">
        <f aca="false">IFERROR(VLOOKUP(A764,'Dados-Status-Invest'!$1:$1000,MATCH(R$1,'Dados-Status-Invest'!$2:$2,0),FALSE()),"")</f>
        <v/>
      </c>
      <c r="S764" s="12" t="str">
        <f aca="false">IFERROR(VLOOKUP(A764,'Dados-Status-Invest'!$1:$1000,MATCH(S$1,'Dados-Status-Invest'!$2:$2,0),FALSE()),"")</f>
        <v/>
      </c>
      <c r="T764" s="12" t="str">
        <f aca="false">IFERROR(VLOOKUP(A764,'Dados-Status-Invest'!$1:$1000,MATCH(T$1,'Dados-Status-Invest'!$2:$2,0),FALSE()),"")</f>
        <v/>
      </c>
      <c r="U764" s="12" t="str">
        <f aca="false">IFERROR(VLOOKUP(A764,'Dados-Status-Invest'!$1:$1000,MATCH(U$1,'Dados-Status-Invest'!$2:$2,0),FALSE()),"")</f>
        <v/>
      </c>
      <c r="V764" s="12" t="str">
        <f aca="false">IFERROR(VLOOKUP(A764,'Dados-Status-Invest'!$1:$1000,MATCH(V$1,'Dados-Status-Invest'!$2:$2,0),FALSE()),"")</f>
        <v/>
      </c>
      <c r="W764" s="10" t="str">
        <f aca="false">IFERROR(VLOOKUP(A764,'Dados-Status-Invest'!$1:$1000,MATCH(W$1,'Dados-Status-Invest'!$2:$2,0),FALSE())/100,"")</f>
        <v/>
      </c>
      <c r="X764" s="10" t="str">
        <f aca="false">IFERROR(VLOOKUP(A764,'Dados-Status-Invest'!$1:$1000,MATCH(X$1,'Dados-Status-Invest'!$2:$2,0),FALSE())/100,"")</f>
        <v/>
      </c>
    </row>
    <row r="765" customFormat="false" ht="15.75" hidden="false" customHeight="false" outlineLevel="0" collapsed="false">
      <c r="B765" s="7" t="str">
        <f aca="false">IFERROR(VLOOKUP(LEFT(A765,4),Setor!A:D,2,FALSE()),"")</f>
        <v/>
      </c>
      <c r="C765" s="8" t="str">
        <f aca="false">IFERROR(__xludf.dummyfunction("IFERROR(IFERROR(GOOGLEFINANCE(A771,""price""),VLOOKUP(A771,'Dados-Status-Invest'!A:B,2,FALSE)),"""")"),"")</f>
        <v/>
      </c>
      <c r="D765" s="8" t="str">
        <f aca="false">IFERROR(VLOOKUP(A765,'Dados-Status-Invest'!$1:$1000,MATCH(D$1,'Dados-Status-Invest'!$2:$2,0),FALSE()),"")</f>
        <v/>
      </c>
      <c r="E765" s="8" t="e">
        <f aca="false">IF(D765+H765&gt;0,D765+H765,"")</f>
        <v>#VALUE!</v>
      </c>
      <c r="F765" s="8" t="str">
        <f aca="false">IFERROR(D765/VLOOKUP(A765,'Dados-Status-Invest'!$1:$1000,5,FALSE()),"")</f>
        <v/>
      </c>
      <c r="G765" s="8" t="str">
        <f aca="false">IFERROR(D765/VLOOKUP(A765,'Dados-Status-Invest'!$1:$1000,6,FALSE()),"")</f>
        <v/>
      </c>
      <c r="H765" s="8" t="str">
        <f aca="false">IFERROR(VLOOKUP(A765,'Dados-Status-Invest'!$1:$1000,12,FALSE())*J765,"")</f>
        <v/>
      </c>
      <c r="I765" s="8" t="str">
        <f aca="false">IFERROR(D765/VLOOKUP(A765,'Dados-Status-Invest'!$1:$1000,14,FALSE()),"")</f>
        <v/>
      </c>
      <c r="J765" s="9" t="str">
        <f aca="false">IFERROR(D765/VLOOKUP(A765,'Dados-Status-Invest'!$1:$1000,10,FALSE()),"")</f>
        <v/>
      </c>
      <c r="K765" s="10" t="str">
        <f aca="false">IFERROR(VLOOKUP(A765,'Dados-Status-Invest'!$1:$1000,3,FALSE())/100,"")</f>
        <v/>
      </c>
      <c r="L765" s="11" t="str">
        <f aca="false">IFERROR(VLOOKUP(A765,'Dados-Status-Invest'!$1:$1000,MATCH(L$1,'Dados-Status-Invest'!$2:$2,0),FALSE())/100,"")</f>
        <v/>
      </c>
      <c r="M765" s="10" t="str">
        <f aca="false">IFERROR(VLOOKUP(A765,'Dados-Status-Invest'!$1:$1000,MATCH(M$1,'Dados-Status-Invest'!$2:$2,0),FALSE())/100,"")</f>
        <v/>
      </c>
      <c r="N765" s="10" t="str">
        <f aca="false">IFERROR(VLOOKUP(A765,'Dados-Status-Invest'!$1:$1000,MATCH(N$1,'Dados-Status-Invest'!$2:$2,0),FALSE())/100,"")</f>
        <v/>
      </c>
      <c r="O765" s="10" t="str">
        <f aca="false">IFERROR(VLOOKUP(A765,'Dados-Status-Invest'!$1:$1000,MATCH(O$1,'Dados-Status-Invest'!$2:$2,0),FALSE())/100,"")</f>
        <v/>
      </c>
      <c r="P765" s="10" t="str">
        <f aca="false">IFERROR(VLOOKUP(A765,'Dados-Status-Invest'!$1:$1000,MATCH(P$1,'Dados-Status-Invest'!$2:$2,0),FALSE())/100,"")</f>
        <v/>
      </c>
      <c r="Q765" s="10" t="str">
        <f aca="false">IFERROR(VLOOKUP(A765,'Dados-Status-Invest'!$1:$1000,MATCH(Q$1,'Dados-Status-Invest'!$2:$2,0),FALSE())/100,"")</f>
        <v/>
      </c>
      <c r="R765" s="12" t="str">
        <f aca="false">IFERROR(VLOOKUP(A765,'Dados-Status-Invest'!$1:$1000,MATCH(R$1,'Dados-Status-Invest'!$2:$2,0),FALSE()),"")</f>
        <v/>
      </c>
      <c r="S765" s="12" t="str">
        <f aca="false">IFERROR(VLOOKUP(A765,'Dados-Status-Invest'!$1:$1000,MATCH(S$1,'Dados-Status-Invest'!$2:$2,0),FALSE()),"")</f>
        <v/>
      </c>
      <c r="T765" s="12" t="str">
        <f aca="false">IFERROR(VLOOKUP(A765,'Dados-Status-Invest'!$1:$1000,MATCH(T$1,'Dados-Status-Invest'!$2:$2,0),FALSE()),"")</f>
        <v/>
      </c>
      <c r="U765" s="12" t="str">
        <f aca="false">IFERROR(VLOOKUP(A765,'Dados-Status-Invest'!$1:$1000,MATCH(U$1,'Dados-Status-Invest'!$2:$2,0),FALSE()),"")</f>
        <v/>
      </c>
      <c r="V765" s="12" t="str">
        <f aca="false">IFERROR(VLOOKUP(A765,'Dados-Status-Invest'!$1:$1000,MATCH(V$1,'Dados-Status-Invest'!$2:$2,0),FALSE()),"")</f>
        <v/>
      </c>
      <c r="W765" s="10" t="str">
        <f aca="false">IFERROR(VLOOKUP(A765,'Dados-Status-Invest'!$1:$1000,MATCH(W$1,'Dados-Status-Invest'!$2:$2,0),FALSE())/100,"")</f>
        <v/>
      </c>
      <c r="X765" s="10" t="str">
        <f aca="false">IFERROR(VLOOKUP(A765,'Dados-Status-Invest'!$1:$1000,MATCH(X$1,'Dados-Status-Invest'!$2:$2,0),FALSE())/100,"")</f>
        <v/>
      </c>
    </row>
    <row r="766" customFormat="false" ht="15.75" hidden="false" customHeight="false" outlineLevel="0" collapsed="false">
      <c r="B766" s="7" t="str">
        <f aca="false">IFERROR(VLOOKUP(LEFT(A766,4),Setor!A:D,2,FALSE()),"")</f>
        <v/>
      </c>
      <c r="C766" s="8" t="str">
        <f aca="false">IFERROR(__xludf.dummyfunction("IFERROR(IFERROR(GOOGLEFINANCE(A772,""price""),VLOOKUP(A772,'Dados-Status-Invest'!A:B,2,FALSE)),"""")"),"")</f>
        <v/>
      </c>
      <c r="D766" s="8" t="str">
        <f aca="false">IFERROR(VLOOKUP(A766,'Dados-Status-Invest'!$1:$1000,MATCH(D$1,'Dados-Status-Invest'!$2:$2,0),FALSE()),"")</f>
        <v/>
      </c>
      <c r="E766" s="8" t="e">
        <f aca="false">IF(D766+H766&gt;0,D766+H766,"")</f>
        <v>#VALUE!</v>
      </c>
      <c r="F766" s="8" t="str">
        <f aca="false">IFERROR(D766/VLOOKUP(A766,'Dados-Status-Invest'!$1:$1000,5,FALSE()),"")</f>
        <v/>
      </c>
      <c r="G766" s="8" t="str">
        <f aca="false">IFERROR(D766/VLOOKUP(A766,'Dados-Status-Invest'!$1:$1000,6,FALSE()),"")</f>
        <v/>
      </c>
      <c r="H766" s="8" t="str">
        <f aca="false">IFERROR(VLOOKUP(A766,'Dados-Status-Invest'!$1:$1000,12,FALSE())*J766,"")</f>
        <v/>
      </c>
      <c r="I766" s="8" t="str">
        <f aca="false">IFERROR(D766/VLOOKUP(A766,'Dados-Status-Invest'!$1:$1000,14,FALSE()),"")</f>
        <v/>
      </c>
      <c r="J766" s="9" t="str">
        <f aca="false">IFERROR(D766/VLOOKUP(A766,'Dados-Status-Invest'!$1:$1000,10,FALSE()),"")</f>
        <v/>
      </c>
      <c r="K766" s="10" t="str">
        <f aca="false">IFERROR(VLOOKUP(A766,'Dados-Status-Invest'!$1:$1000,3,FALSE())/100,"")</f>
        <v/>
      </c>
      <c r="L766" s="11" t="str">
        <f aca="false">IFERROR(VLOOKUP(A766,'Dados-Status-Invest'!$1:$1000,MATCH(L$1,'Dados-Status-Invest'!$2:$2,0),FALSE())/100,"")</f>
        <v/>
      </c>
      <c r="M766" s="10" t="str">
        <f aca="false">IFERROR(VLOOKUP(A766,'Dados-Status-Invest'!$1:$1000,MATCH(M$1,'Dados-Status-Invest'!$2:$2,0),FALSE())/100,"")</f>
        <v/>
      </c>
      <c r="N766" s="10" t="str">
        <f aca="false">IFERROR(VLOOKUP(A766,'Dados-Status-Invest'!$1:$1000,MATCH(N$1,'Dados-Status-Invest'!$2:$2,0),FALSE())/100,"")</f>
        <v/>
      </c>
      <c r="O766" s="10" t="str">
        <f aca="false">IFERROR(VLOOKUP(A766,'Dados-Status-Invest'!$1:$1000,MATCH(O$1,'Dados-Status-Invest'!$2:$2,0),FALSE())/100,"")</f>
        <v/>
      </c>
      <c r="P766" s="10" t="str">
        <f aca="false">IFERROR(VLOOKUP(A766,'Dados-Status-Invest'!$1:$1000,MATCH(P$1,'Dados-Status-Invest'!$2:$2,0),FALSE())/100,"")</f>
        <v/>
      </c>
      <c r="Q766" s="10" t="str">
        <f aca="false">IFERROR(VLOOKUP(A766,'Dados-Status-Invest'!$1:$1000,MATCH(Q$1,'Dados-Status-Invest'!$2:$2,0),FALSE())/100,"")</f>
        <v/>
      </c>
      <c r="R766" s="12" t="str">
        <f aca="false">IFERROR(VLOOKUP(A766,'Dados-Status-Invest'!$1:$1000,MATCH(R$1,'Dados-Status-Invest'!$2:$2,0),FALSE()),"")</f>
        <v/>
      </c>
      <c r="S766" s="12" t="str">
        <f aca="false">IFERROR(VLOOKUP(A766,'Dados-Status-Invest'!$1:$1000,MATCH(S$1,'Dados-Status-Invest'!$2:$2,0),FALSE()),"")</f>
        <v/>
      </c>
      <c r="T766" s="12" t="str">
        <f aca="false">IFERROR(VLOOKUP(A766,'Dados-Status-Invest'!$1:$1000,MATCH(T$1,'Dados-Status-Invest'!$2:$2,0),FALSE()),"")</f>
        <v/>
      </c>
      <c r="U766" s="12" t="str">
        <f aca="false">IFERROR(VLOOKUP(A766,'Dados-Status-Invest'!$1:$1000,MATCH(U$1,'Dados-Status-Invest'!$2:$2,0),FALSE()),"")</f>
        <v/>
      </c>
      <c r="V766" s="12" t="str">
        <f aca="false">IFERROR(VLOOKUP(A766,'Dados-Status-Invest'!$1:$1000,MATCH(V$1,'Dados-Status-Invest'!$2:$2,0),FALSE()),"")</f>
        <v/>
      </c>
      <c r="W766" s="10" t="str">
        <f aca="false">IFERROR(VLOOKUP(A766,'Dados-Status-Invest'!$1:$1000,MATCH(W$1,'Dados-Status-Invest'!$2:$2,0),FALSE())/100,"")</f>
        <v/>
      </c>
      <c r="X766" s="10" t="str">
        <f aca="false">IFERROR(VLOOKUP(A766,'Dados-Status-Invest'!$1:$1000,MATCH(X$1,'Dados-Status-Invest'!$2:$2,0),FALSE())/100,"")</f>
        <v/>
      </c>
    </row>
    <row r="767" customFormat="false" ht="15.75" hidden="false" customHeight="false" outlineLevel="0" collapsed="false">
      <c r="B767" s="7" t="str">
        <f aca="false">IFERROR(VLOOKUP(LEFT(A767,4),Setor!A:D,2,FALSE()),"")</f>
        <v/>
      </c>
      <c r="C767" s="8" t="str">
        <f aca="false">IFERROR(__xludf.dummyfunction("IFERROR(IFERROR(GOOGLEFINANCE(A773,""price""),VLOOKUP(A773,'Dados-Status-Invest'!A:B,2,FALSE)),"""")"),"")</f>
        <v/>
      </c>
      <c r="D767" s="8" t="str">
        <f aca="false">IFERROR(VLOOKUP(A767,'Dados-Status-Invest'!$1:$1000,MATCH(D$1,'Dados-Status-Invest'!$2:$2,0),FALSE()),"")</f>
        <v/>
      </c>
      <c r="E767" s="8" t="e">
        <f aca="false">IF(D767+H767&gt;0,D767+H767,"")</f>
        <v>#VALUE!</v>
      </c>
      <c r="F767" s="8" t="str">
        <f aca="false">IFERROR(D767/VLOOKUP(A767,'Dados-Status-Invest'!$1:$1000,5,FALSE()),"")</f>
        <v/>
      </c>
      <c r="G767" s="8" t="str">
        <f aca="false">IFERROR(D767/VLOOKUP(A767,'Dados-Status-Invest'!$1:$1000,6,FALSE()),"")</f>
        <v/>
      </c>
      <c r="H767" s="8" t="str">
        <f aca="false">IFERROR(VLOOKUP(A767,'Dados-Status-Invest'!$1:$1000,12,FALSE())*J767,"")</f>
        <v/>
      </c>
      <c r="I767" s="8" t="str">
        <f aca="false">IFERROR(D767/VLOOKUP(A767,'Dados-Status-Invest'!$1:$1000,14,FALSE()),"")</f>
        <v/>
      </c>
      <c r="J767" s="9" t="str">
        <f aca="false">IFERROR(D767/VLOOKUP(A767,'Dados-Status-Invest'!$1:$1000,10,FALSE()),"")</f>
        <v/>
      </c>
      <c r="K767" s="10" t="str">
        <f aca="false">IFERROR(VLOOKUP(A767,'Dados-Status-Invest'!$1:$1000,3,FALSE())/100,"")</f>
        <v/>
      </c>
      <c r="L767" s="11" t="str">
        <f aca="false">IFERROR(VLOOKUP(A767,'Dados-Status-Invest'!$1:$1000,MATCH(L$1,'Dados-Status-Invest'!$2:$2,0),FALSE())/100,"")</f>
        <v/>
      </c>
      <c r="M767" s="10" t="str">
        <f aca="false">IFERROR(VLOOKUP(A767,'Dados-Status-Invest'!$1:$1000,MATCH(M$1,'Dados-Status-Invest'!$2:$2,0),FALSE())/100,"")</f>
        <v/>
      </c>
      <c r="N767" s="10" t="str">
        <f aca="false">IFERROR(VLOOKUP(A767,'Dados-Status-Invest'!$1:$1000,MATCH(N$1,'Dados-Status-Invest'!$2:$2,0),FALSE())/100,"")</f>
        <v/>
      </c>
      <c r="O767" s="10" t="str">
        <f aca="false">IFERROR(VLOOKUP(A767,'Dados-Status-Invest'!$1:$1000,MATCH(O$1,'Dados-Status-Invest'!$2:$2,0),FALSE())/100,"")</f>
        <v/>
      </c>
      <c r="P767" s="10" t="str">
        <f aca="false">IFERROR(VLOOKUP(A767,'Dados-Status-Invest'!$1:$1000,MATCH(P$1,'Dados-Status-Invest'!$2:$2,0),FALSE())/100,"")</f>
        <v/>
      </c>
      <c r="Q767" s="10" t="str">
        <f aca="false">IFERROR(VLOOKUP(A767,'Dados-Status-Invest'!$1:$1000,MATCH(Q$1,'Dados-Status-Invest'!$2:$2,0),FALSE())/100,"")</f>
        <v/>
      </c>
      <c r="R767" s="12" t="str">
        <f aca="false">IFERROR(VLOOKUP(A767,'Dados-Status-Invest'!$1:$1000,MATCH(R$1,'Dados-Status-Invest'!$2:$2,0),FALSE()),"")</f>
        <v/>
      </c>
      <c r="S767" s="12" t="str">
        <f aca="false">IFERROR(VLOOKUP(A767,'Dados-Status-Invest'!$1:$1000,MATCH(S$1,'Dados-Status-Invest'!$2:$2,0),FALSE()),"")</f>
        <v/>
      </c>
      <c r="T767" s="12" t="str">
        <f aca="false">IFERROR(VLOOKUP(A767,'Dados-Status-Invest'!$1:$1000,MATCH(T$1,'Dados-Status-Invest'!$2:$2,0),FALSE()),"")</f>
        <v/>
      </c>
      <c r="U767" s="12" t="str">
        <f aca="false">IFERROR(VLOOKUP(A767,'Dados-Status-Invest'!$1:$1000,MATCH(U$1,'Dados-Status-Invest'!$2:$2,0),FALSE()),"")</f>
        <v/>
      </c>
      <c r="V767" s="12" t="str">
        <f aca="false">IFERROR(VLOOKUP(A767,'Dados-Status-Invest'!$1:$1000,MATCH(V$1,'Dados-Status-Invest'!$2:$2,0),FALSE()),"")</f>
        <v/>
      </c>
      <c r="W767" s="10" t="str">
        <f aca="false">IFERROR(VLOOKUP(A767,'Dados-Status-Invest'!$1:$1000,MATCH(W$1,'Dados-Status-Invest'!$2:$2,0),FALSE())/100,"")</f>
        <v/>
      </c>
      <c r="X767" s="10" t="str">
        <f aca="false">IFERROR(VLOOKUP(A767,'Dados-Status-Invest'!$1:$1000,MATCH(X$1,'Dados-Status-Invest'!$2:$2,0),FALSE())/100,"")</f>
        <v/>
      </c>
    </row>
    <row r="768" customFormat="false" ht="15.75" hidden="false" customHeight="false" outlineLevel="0" collapsed="false">
      <c r="B768" s="7" t="str">
        <f aca="false">IFERROR(VLOOKUP(LEFT(A768,4),Setor!A:D,2,FALSE()),"")</f>
        <v/>
      </c>
      <c r="C768" s="8" t="str">
        <f aca="false">IFERROR(__xludf.dummyfunction("IFERROR(IFERROR(GOOGLEFINANCE(A774,""price""),VLOOKUP(A774,'Dados-Status-Invest'!A:B,2,FALSE)),"""")"),"")</f>
        <v/>
      </c>
      <c r="D768" s="8" t="str">
        <f aca="false">IFERROR(VLOOKUP(A768,'Dados-Status-Invest'!$1:$1000,MATCH(D$1,'Dados-Status-Invest'!$2:$2,0),FALSE()),"")</f>
        <v/>
      </c>
      <c r="E768" s="8" t="e">
        <f aca="false">IF(D768+H768&gt;0,D768+H768,"")</f>
        <v>#VALUE!</v>
      </c>
      <c r="F768" s="8" t="str">
        <f aca="false">IFERROR(D768/VLOOKUP(A768,'Dados-Status-Invest'!$1:$1000,5,FALSE()),"")</f>
        <v/>
      </c>
      <c r="G768" s="8" t="str">
        <f aca="false">IFERROR(D768/VLOOKUP(A768,'Dados-Status-Invest'!$1:$1000,6,FALSE()),"")</f>
        <v/>
      </c>
      <c r="H768" s="8" t="str">
        <f aca="false">IFERROR(VLOOKUP(A768,'Dados-Status-Invest'!$1:$1000,12,FALSE())*J768,"")</f>
        <v/>
      </c>
      <c r="I768" s="8" t="str">
        <f aca="false">IFERROR(D768/VLOOKUP(A768,'Dados-Status-Invest'!$1:$1000,14,FALSE()),"")</f>
        <v/>
      </c>
      <c r="J768" s="9" t="str">
        <f aca="false">IFERROR(D768/VLOOKUP(A768,'Dados-Status-Invest'!$1:$1000,10,FALSE()),"")</f>
        <v/>
      </c>
      <c r="K768" s="10" t="str">
        <f aca="false">IFERROR(VLOOKUP(A768,'Dados-Status-Invest'!$1:$1000,3,FALSE())/100,"")</f>
        <v/>
      </c>
      <c r="L768" s="11" t="str">
        <f aca="false">IFERROR(VLOOKUP(A768,'Dados-Status-Invest'!$1:$1000,MATCH(L$1,'Dados-Status-Invest'!$2:$2,0),FALSE())/100,"")</f>
        <v/>
      </c>
      <c r="M768" s="10" t="str">
        <f aca="false">IFERROR(VLOOKUP(A768,'Dados-Status-Invest'!$1:$1000,MATCH(M$1,'Dados-Status-Invest'!$2:$2,0),FALSE())/100,"")</f>
        <v/>
      </c>
      <c r="N768" s="10" t="str">
        <f aca="false">IFERROR(VLOOKUP(A768,'Dados-Status-Invest'!$1:$1000,MATCH(N$1,'Dados-Status-Invest'!$2:$2,0),FALSE())/100,"")</f>
        <v/>
      </c>
      <c r="O768" s="10" t="str">
        <f aca="false">IFERROR(VLOOKUP(A768,'Dados-Status-Invest'!$1:$1000,MATCH(O$1,'Dados-Status-Invest'!$2:$2,0),FALSE())/100,"")</f>
        <v/>
      </c>
      <c r="P768" s="10" t="str">
        <f aca="false">IFERROR(VLOOKUP(A768,'Dados-Status-Invest'!$1:$1000,MATCH(P$1,'Dados-Status-Invest'!$2:$2,0),FALSE())/100,"")</f>
        <v/>
      </c>
      <c r="Q768" s="10" t="str">
        <f aca="false">IFERROR(VLOOKUP(A768,'Dados-Status-Invest'!$1:$1000,MATCH(Q$1,'Dados-Status-Invest'!$2:$2,0),FALSE())/100,"")</f>
        <v/>
      </c>
      <c r="R768" s="12" t="str">
        <f aca="false">IFERROR(VLOOKUP(A768,'Dados-Status-Invest'!$1:$1000,MATCH(R$1,'Dados-Status-Invest'!$2:$2,0),FALSE()),"")</f>
        <v/>
      </c>
      <c r="S768" s="12" t="str">
        <f aca="false">IFERROR(VLOOKUP(A768,'Dados-Status-Invest'!$1:$1000,MATCH(S$1,'Dados-Status-Invest'!$2:$2,0),FALSE()),"")</f>
        <v/>
      </c>
      <c r="T768" s="12" t="str">
        <f aca="false">IFERROR(VLOOKUP(A768,'Dados-Status-Invest'!$1:$1000,MATCH(T$1,'Dados-Status-Invest'!$2:$2,0),FALSE()),"")</f>
        <v/>
      </c>
      <c r="U768" s="12" t="str">
        <f aca="false">IFERROR(VLOOKUP(A768,'Dados-Status-Invest'!$1:$1000,MATCH(U$1,'Dados-Status-Invest'!$2:$2,0),FALSE()),"")</f>
        <v/>
      </c>
      <c r="V768" s="12" t="str">
        <f aca="false">IFERROR(VLOOKUP(A768,'Dados-Status-Invest'!$1:$1000,MATCH(V$1,'Dados-Status-Invest'!$2:$2,0),FALSE()),"")</f>
        <v/>
      </c>
      <c r="W768" s="10" t="str">
        <f aca="false">IFERROR(VLOOKUP(A768,'Dados-Status-Invest'!$1:$1000,MATCH(W$1,'Dados-Status-Invest'!$2:$2,0),FALSE())/100,"")</f>
        <v/>
      </c>
      <c r="X768" s="10" t="str">
        <f aca="false">IFERROR(VLOOKUP(A768,'Dados-Status-Invest'!$1:$1000,MATCH(X$1,'Dados-Status-Invest'!$2:$2,0),FALSE())/100,"")</f>
        <v/>
      </c>
    </row>
    <row r="769" customFormat="false" ht="15.75" hidden="false" customHeight="false" outlineLevel="0" collapsed="false">
      <c r="B769" s="7" t="str">
        <f aca="false">IFERROR(VLOOKUP(LEFT(A769,4),Setor!A:D,2,FALSE()),"")</f>
        <v/>
      </c>
      <c r="C769" s="8" t="str">
        <f aca="false">IFERROR(__xludf.dummyfunction("IFERROR(IFERROR(GOOGLEFINANCE(A775,""price""),VLOOKUP(A775,'Dados-Status-Invest'!A:B,2,FALSE)),"""")"),"")</f>
        <v/>
      </c>
      <c r="D769" s="8" t="str">
        <f aca="false">IFERROR(VLOOKUP(A769,'Dados-Status-Invest'!$1:$1000,MATCH(D$1,'Dados-Status-Invest'!$2:$2,0),FALSE()),"")</f>
        <v/>
      </c>
      <c r="E769" s="8" t="e">
        <f aca="false">IF(D769+H769&gt;0,D769+H769,"")</f>
        <v>#VALUE!</v>
      </c>
      <c r="F769" s="8" t="str">
        <f aca="false">IFERROR(D769/VLOOKUP(A769,'Dados-Status-Invest'!$1:$1000,5,FALSE()),"")</f>
        <v/>
      </c>
      <c r="G769" s="8" t="str">
        <f aca="false">IFERROR(D769/VLOOKUP(A769,'Dados-Status-Invest'!$1:$1000,6,FALSE()),"")</f>
        <v/>
      </c>
      <c r="H769" s="8" t="str">
        <f aca="false">IFERROR(VLOOKUP(A769,'Dados-Status-Invest'!$1:$1000,12,FALSE())*J769,"")</f>
        <v/>
      </c>
      <c r="I769" s="8" t="str">
        <f aca="false">IFERROR(D769/VLOOKUP(A769,'Dados-Status-Invest'!$1:$1000,14,FALSE()),"")</f>
        <v/>
      </c>
      <c r="J769" s="9" t="str">
        <f aca="false">IFERROR(D769/VLOOKUP(A769,'Dados-Status-Invest'!$1:$1000,10,FALSE()),"")</f>
        <v/>
      </c>
      <c r="K769" s="10" t="str">
        <f aca="false">IFERROR(VLOOKUP(A769,'Dados-Status-Invest'!$1:$1000,3,FALSE())/100,"")</f>
        <v/>
      </c>
      <c r="L769" s="11" t="str">
        <f aca="false">IFERROR(VLOOKUP(A769,'Dados-Status-Invest'!$1:$1000,MATCH(L$1,'Dados-Status-Invest'!$2:$2,0),FALSE())/100,"")</f>
        <v/>
      </c>
      <c r="M769" s="10" t="str">
        <f aca="false">IFERROR(VLOOKUP(A769,'Dados-Status-Invest'!$1:$1000,MATCH(M$1,'Dados-Status-Invest'!$2:$2,0),FALSE())/100,"")</f>
        <v/>
      </c>
      <c r="N769" s="10" t="str">
        <f aca="false">IFERROR(VLOOKUP(A769,'Dados-Status-Invest'!$1:$1000,MATCH(N$1,'Dados-Status-Invest'!$2:$2,0),FALSE())/100,"")</f>
        <v/>
      </c>
      <c r="O769" s="10" t="str">
        <f aca="false">IFERROR(VLOOKUP(A769,'Dados-Status-Invest'!$1:$1000,MATCH(O$1,'Dados-Status-Invest'!$2:$2,0),FALSE())/100,"")</f>
        <v/>
      </c>
      <c r="P769" s="10" t="str">
        <f aca="false">IFERROR(VLOOKUP(A769,'Dados-Status-Invest'!$1:$1000,MATCH(P$1,'Dados-Status-Invest'!$2:$2,0),FALSE())/100,"")</f>
        <v/>
      </c>
      <c r="Q769" s="10" t="str">
        <f aca="false">IFERROR(VLOOKUP(A769,'Dados-Status-Invest'!$1:$1000,MATCH(Q$1,'Dados-Status-Invest'!$2:$2,0),FALSE())/100,"")</f>
        <v/>
      </c>
      <c r="R769" s="12" t="str">
        <f aca="false">IFERROR(VLOOKUP(A769,'Dados-Status-Invest'!$1:$1000,MATCH(R$1,'Dados-Status-Invest'!$2:$2,0),FALSE()),"")</f>
        <v/>
      </c>
      <c r="S769" s="12" t="str">
        <f aca="false">IFERROR(VLOOKUP(A769,'Dados-Status-Invest'!$1:$1000,MATCH(S$1,'Dados-Status-Invest'!$2:$2,0),FALSE()),"")</f>
        <v/>
      </c>
      <c r="T769" s="12" t="str">
        <f aca="false">IFERROR(VLOOKUP(A769,'Dados-Status-Invest'!$1:$1000,MATCH(T$1,'Dados-Status-Invest'!$2:$2,0),FALSE()),"")</f>
        <v/>
      </c>
      <c r="U769" s="12" t="str">
        <f aca="false">IFERROR(VLOOKUP(A769,'Dados-Status-Invest'!$1:$1000,MATCH(U$1,'Dados-Status-Invest'!$2:$2,0),FALSE()),"")</f>
        <v/>
      </c>
      <c r="V769" s="12" t="str">
        <f aca="false">IFERROR(VLOOKUP(A769,'Dados-Status-Invest'!$1:$1000,MATCH(V$1,'Dados-Status-Invest'!$2:$2,0),FALSE()),"")</f>
        <v/>
      </c>
      <c r="W769" s="10" t="str">
        <f aca="false">IFERROR(VLOOKUP(A769,'Dados-Status-Invest'!$1:$1000,MATCH(W$1,'Dados-Status-Invest'!$2:$2,0),FALSE())/100,"")</f>
        <v/>
      </c>
      <c r="X769" s="10" t="str">
        <f aca="false">IFERROR(VLOOKUP(A769,'Dados-Status-Invest'!$1:$1000,MATCH(X$1,'Dados-Status-Invest'!$2:$2,0),FALSE())/100,"")</f>
        <v/>
      </c>
    </row>
    <row r="770" customFormat="false" ht="15.75" hidden="false" customHeight="false" outlineLevel="0" collapsed="false">
      <c r="B770" s="7" t="str">
        <f aca="false">IFERROR(VLOOKUP(LEFT(A770,4),Setor!A:D,2,FALSE()),"")</f>
        <v/>
      </c>
      <c r="C770" s="8" t="str">
        <f aca="false">IFERROR(__xludf.dummyfunction("IFERROR(IFERROR(GOOGLEFINANCE(A776,""price""),VLOOKUP(A776,'Dados-Status-Invest'!A:B,2,FALSE)),"""")"),"")</f>
        <v/>
      </c>
      <c r="D770" s="8" t="str">
        <f aca="false">IFERROR(VLOOKUP(A770,'Dados-Status-Invest'!$1:$1000,MATCH(D$1,'Dados-Status-Invest'!$2:$2,0),FALSE()),"")</f>
        <v/>
      </c>
      <c r="E770" s="8" t="e">
        <f aca="false">IF(D770+H770&gt;0,D770+H770,"")</f>
        <v>#VALUE!</v>
      </c>
      <c r="F770" s="8" t="str">
        <f aca="false">IFERROR(D770/VLOOKUP(A770,'Dados-Status-Invest'!$1:$1000,5,FALSE()),"")</f>
        <v/>
      </c>
      <c r="G770" s="8" t="str">
        <f aca="false">IFERROR(D770/VLOOKUP(A770,'Dados-Status-Invest'!$1:$1000,6,FALSE()),"")</f>
        <v/>
      </c>
      <c r="H770" s="8" t="str">
        <f aca="false">IFERROR(VLOOKUP(A770,'Dados-Status-Invest'!$1:$1000,12,FALSE())*J770,"")</f>
        <v/>
      </c>
      <c r="I770" s="8" t="str">
        <f aca="false">IFERROR(D770/VLOOKUP(A770,'Dados-Status-Invest'!$1:$1000,14,FALSE()),"")</f>
        <v/>
      </c>
      <c r="J770" s="9" t="str">
        <f aca="false">IFERROR(D770/VLOOKUP(A770,'Dados-Status-Invest'!$1:$1000,10,FALSE()),"")</f>
        <v/>
      </c>
      <c r="K770" s="10" t="str">
        <f aca="false">IFERROR(VLOOKUP(A770,'Dados-Status-Invest'!$1:$1000,3,FALSE())/100,"")</f>
        <v/>
      </c>
      <c r="L770" s="11" t="str">
        <f aca="false">IFERROR(VLOOKUP(A770,'Dados-Status-Invest'!$1:$1000,MATCH(L$1,'Dados-Status-Invest'!$2:$2,0),FALSE())/100,"")</f>
        <v/>
      </c>
      <c r="M770" s="10" t="str">
        <f aca="false">IFERROR(VLOOKUP(A770,'Dados-Status-Invest'!$1:$1000,MATCH(M$1,'Dados-Status-Invest'!$2:$2,0),FALSE())/100,"")</f>
        <v/>
      </c>
      <c r="N770" s="10" t="str">
        <f aca="false">IFERROR(VLOOKUP(A770,'Dados-Status-Invest'!$1:$1000,MATCH(N$1,'Dados-Status-Invest'!$2:$2,0),FALSE())/100,"")</f>
        <v/>
      </c>
      <c r="O770" s="10" t="str">
        <f aca="false">IFERROR(VLOOKUP(A770,'Dados-Status-Invest'!$1:$1000,MATCH(O$1,'Dados-Status-Invest'!$2:$2,0),FALSE())/100,"")</f>
        <v/>
      </c>
      <c r="P770" s="10" t="str">
        <f aca="false">IFERROR(VLOOKUP(A770,'Dados-Status-Invest'!$1:$1000,MATCH(P$1,'Dados-Status-Invest'!$2:$2,0),FALSE())/100,"")</f>
        <v/>
      </c>
      <c r="Q770" s="10" t="str">
        <f aca="false">IFERROR(VLOOKUP(A770,'Dados-Status-Invest'!$1:$1000,MATCH(Q$1,'Dados-Status-Invest'!$2:$2,0),FALSE())/100,"")</f>
        <v/>
      </c>
      <c r="R770" s="12" t="str">
        <f aca="false">IFERROR(VLOOKUP(A770,'Dados-Status-Invest'!$1:$1000,MATCH(R$1,'Dados-Status-Invest'!$2:$2,0),FALSE()),"")</f>
        <v/>
      </c>
      <c r="S770" s="12" t="str">
        <f aca="false">IFERROR(VLOOKUP(A770,'Dados-Status-Invest'!$1:$1000,MATCH(S$1,'Dados-Status-Invest'!$2:$2,0),FALSE()),"")</f>
        <v/>
      </c>
      <c r="T770" s="12" t="str">
        <f aca="false">IFERROR(VLOOKUP(A770,'Dados-Status-Invest'!$1:$1000,MATCH(T$1,'Dados-Status-Invest'!$2:$2,0),FALSE()),"")</f>
        <v/>
      </c>
      <c r="U770" s="12" t="str">
        <f aca="false">IFERROR(VLOOKUP(A770,'Dados-Status-Invest'!$1:$1000,MATCH(U$1,'Dados-Status-Invest'!$2:$2,0),FALSE()),"")</f>
        <v/>
      </c>
      <c r="V770" s="12" t="str">
        <f aca="false">IFERROR(VLOOKUP(A770,'Dados-Status-Invest'!$1:$1000,MATCH(V$1,'Dados-Status-Invest'!$2:$2,0),FALSE()),"")</f>
        <v/>
      </c>
      <c r="W770" s="10" t="str">
        <f aca="false">IFERROR(VLOOKUP(A770,'Dados-Status-Invest'!$1:$1000,MATCH(W$1,'Dados-Status-Invest'!$2:$2,0),FALSE())/100,"")</f>
        <v/>
      </c>
      <c r="X770" s="10" t="str">
        <f aca="false">IFERROR(VLOOKUP(A770,'Dados-Status-Invest'!$1:$1000,MATCH(X$1,'Dados-Status-Invest'!$2:$2,0),FALSE())/100,"")</f>
        <v/>
      </c>
    </row>
    <row r="771" customFormat="false" ht="15.75" hidden="false" customHeight="false" outlineLevel="0" collapsed="false">
      <c r="B771" s="7" t="str">
        <f aca="false">IFERROR(VLOOKUP(LEFT(A771,4),Setor!A:D,2,FALSE()),"")</f>
        <v/>
      </c>
      <c r="C771" s="8" t="str">
        <f aca="false">IFERROR(__xludf.dummyfunction("IFERROR(IFERROR(GOOGLEFINANCE(A777,""price""),VLOOKUP(A777,'Dados-Status-Invest'!A:B,2,FALSE)),"""")"),"")</f>
        <v/>
      </c>
      <c r="D771" s="8" t="str">
        <f aca="false">IFERROR(VLOOKUP(A771,'Dados-Status-Invest'!$1:$1000,MATCH(D$1,'Dados-Status-Invest'!$2:$2,0),FALSE()),"")</f>
        <v/>
      </c>
      <c r="E771" s="8" t="e">
        <f aca="false">IF(D771+H771&gt;0,D771+H771,"")</f>
        <v>#VALUE!</v>
      </c>
      <c r="F771" s="8" t="str">
        <f aca="false">IFERROR(D771/VLOOKUP(A771,'Dados-Status-Invest'!$1:$1000,5,FALSE()),"")</f>
        <v/>
      </c>
      <c r="G771" s="8" t="str">
        <f aca="false">IFERROR(D771/VLOOKUP(A771,'Dados-Status-Invest'!$1:$1000,6,FALSE()),"")</f>
        <v/>
      </c>
      <c r="H771" s="8" t="str">
        <f aca="false">IFERROR(VLOOKUP(A771,'Dados-Status-Invest'!$1:$1000,12,FALSE())*J771,"")</f>
        <v/>
      </c>
      <c r="I771" s="8" t="str">
        <f aca="false">IFERROR(D771/VLOOKUP(A771,'Dados-Status-Invest'!$1:$1000,14,FALSE()),"")</f>
        <v/>
      </c>
      <c r="J771" s="9" t="str">
        <f aca="false">IFERROR(D771/VLOOKUP(A771,'Dados-Status-Invest'!$1:$1000,10,FALSE()),"")</f>
        <v/>
      </c>
      <c r="K771" s="10" t="str">
        <f aca="false">IFERROR(VLOOKUP(A771,'Dados-Status-Invest'!$1:$1000,3,FALSE())/100,"")</f>
        <v/>
      </c>
      <c r="L771" s="11" t="str">
        <f aca="false">IFERROR(VLOOKUP(A771,'Dados-Status-Invest'!$1:$1000,MATCH(L$1,'Dados-Status-Invest'!$2:$2,0),FALSE())/100,"")</f>
        <v/>
      </c>
      <c r="M771" s="10" t="str">
        <f aca="false">IFERROR(VLOOKUP(A771,'Dados-Status-Invest'!$1:$1000,MATCH(M$1,'Dados-Status-Invest'!$2:$2,0),FALSE())/100,"")</f>
        <v/>
      </c>
      <c r="N771" s="10" t="str">
        <f aca="false">IFERROR(VLOOKUP(A771,'Dados-Status-Invest'!$1:$1000,MATCH(N$1,'Dados-Status-Invest'!$2:$2,0),FALSE())/100,"")</f>
        <v/>
      </c>
      <c r="O771" s="10" t="str">
        <f aca="false">IFERROR(VLOOKUP(A771,'Dados-Status-Invest'!$1:$1000,MATCH(O$1,'Dados-Status-Invest'!$2:$2,0),FALSE())/100,"")</f>
        <v/>
      </c>
      <c r="P771" s="10" t="str">
        <f aca="false">IFERROR(VLOOKUP(A771,'Dados-Status-Invest'!$1:$1000,MATCH(P$1,'Dados-Status-Invest'!$2:$2,0),FALSE())/100,"")</f>
        <v/>
      </c>
      <c r="Q771" s="10" t="str">
        <f aca="false">IFERROR(VLOOKUP(A771,'Dados-Status-Invest'!$1:$1000,MATCH(Q$1,'Dados-Status-Invest'!$2:$2,0),FALSE())/100,"")</f>
        <v/>
      </c>
      <c r="R771" s="12" t="str">
        <f aca="false">IFERROR(VLOOKUP(A771,'Dados-Status-Invest'!$1:$1000,MATCH(R$1,'Dados-Status-Invest'!$2:$2,0),FALSE()),"")</f>
        <v/>
      </c>
      <c r="S771" s="12" t="str">
        <f aca="false">IFERROR(VLOOKUP(A771,'Dados-Status-Invest'!$1:$1000,MATCH(S$1,'Dados-Status-Invest'!$2:$2,0),FALSE()),"")</f>
        <v/>
      </c>
      <c r="T771" s="12" t="str">
        <f aca="false">IFERROR(VLOOKUP(A771,'Dados-Status-Invest'!$1:$1000,MATCH(T$1,'Dados-Status-Invest'!$2:$2,0),FALSE()),"")</f>
        <v/>
      </c>
      <c r="U771" s="12" t="str">
        <f aca="false">IFERROR(VLOOKUP(A771,'Dados-Status-Invest'!$1:$1000,MATCH(U$1,'Dados-Status-Invest'!$2:$2,0),FALSE()),"")</f>
        <v/>
      </c>
      <c r="V771" s="12" t="str">
        <f aca="false">IFERROR(VLOOKUP(A771,'Dados-Status-Invest'!$1:$1000,MATCH(V$1,'Dados-Status-Invest'!$2:$2,0),FALSE()),"")</f>
        <v/>
      </c>
      <c r="W771" s="10" t="str">
        <f aca="false">IFERROR(VLOOKUP(A771,'Dados-Status-Invest'!$1:$1000,MATCH(W$1,'Dados-Status-Invest'!$2:$2,0),FALSE())/100,"")</f>
        <v/>
      </c>
      <c r="X771" s="10" t="str">
        <f aca="false">IFERROR(VLOOKUP(A771,'Dados-Status-Invest'!$1:$1000,MATCH(X$1,'Dados-Status-Invest'!$2:$2,0),FALSE())/100,"")</f>
        <v/>
      </c>
    </row>
    <row r="772" customFormat="false" ht="15.75" hidden="false" customHeight="false" outlineLevel="0" collapsed="false">
      <c r="B772" s="7" t="str">
        <f aca="false">IFERROR(VLOOKUP(LEFT(A772,4),Setor!A:D,2,FALSE()),"")</f>
        <v/>
      </c>
      <c r="C772" s="8" t="str">
        <f aca="false">IFERROR(__xludf.dummyfunction("IFERROR(IFERROR(GOOGLEFINANCE(A778,""price""),VLOOKUP(A778,'Dados-Status-Invest'!A:B,2,FALSE)),"""")"),"")</f>
        <v/>
      </c>
      <c r="D772" s="8" t="str">
        <f aca="false">IFERROR(VLOOKUP(A772,'Dados-Status-Invest'!$1:$1000,MATCH(D$1,'Dados-Status-Invest'!$2:$2,0),FALSE()),"")</f>
        <v/>
      </c>
      <c r="E772" s="8" t="e">
        <f aca="false">IF(D772+H772&gt;0,D772+H772,"")</f>
        <v>#VALUE!</v>
      </c>
      <c r="F772" s="8" t="str">
        <f aca="false">IFERROR(D772/VLOOKUP(A772,'Dados-Status-Invest'!$1:$1000,5,FALSE()),"")</f>
        <v/>
      </c>
      <c r="G772" s="8" t="str">
        <f aca="false">IFERROR(D772/VLOOKUP(A772,'Dados-Status-Invest'!$1:$1000,6,FALSE()),"")</f>
        <v/>
      </c>
      <c r="H772" s="8" t="str">
        <f aca="false">IFERROR(VLOOKUP(A772,'Dados-Status-Invest'!$1:$1000,12,FALSE())*J772,"")</f>
        <v/>
      </c>
      <c r="I772" s="8" t="str">
        <f aca="false">IFERROR(D772/VLOOKUP(A772,'Dados-Status-Invest'!$1:$1000,14,FALSE()),"")</f>
        <v/>
      </c>
      <c r="J772" s="9" t="str">
        <f aca="false">IFERROR(D772/VLOOKUP(A772,'Dados-Status-Invest'!$1:$1000,10,FALSE()),"")</f>
        <v/>
      </c>
      <c r="K772" s="10" t="str">
        <f aca="false">IFERROR(VLOOKUP(A772,'Dados-Status-Invest'!$1:$1000,3,FALSE())/100,"")</f>
        <v/>
      </c>
      <c r="L772" s="11" t="str">
        <f aca="false">IFERROR(VLOOKUP(A772,'Dados-Status-Invest'!$1:$1000,MATCH(L$1,'Dados-Status-Invest'!$2:$2,0),FALSE())/100,"")</f>
        <v/>
      </c>
      <c r="M772" s="10" t="str">
        <f aca="false">IFERROR(VLOOKUP(A772,'Dados-Status-Invest'!$1:$1000,MATCH(M$1,'Dados-Status-Invest'!$2:$2,0),FALSE())/100,"")</f>
        <v/>
      </c>
      <c r="N772" s="10" t="str">
        <f aca="false">IFERROR(VLOOKUP(A772,'Dados-Status-Invest'!$1:$1000,MATCH(N$1,'Dados-Status-Invest'!$2:$2,0),FALSE())/100,"")</f>
        <v/>
      </c>
      <c r="O772" s="10" t="str">
        <f aca="false">IFERROR(VLOOKUP(A772,'Dados-Status-Invest'!$1:$1000,MATCH(O$1,'Dados-Status-Invest'!$2:$2,0),FALSE())/100,"")</f>
        <v/>
      </c>
      <c r="P772" s="10" t="str">
        <f aca="false">IFERROR(VLOOKUP(A772,'Dados-Status-Invest'!$1:$1000,MATCH(P$1,'Dados-Status-Invest'!$2:$2,0),FALSE())/100,"")</f>
        <v/>
      </c>
      <c r="Q772" s="10" t="str">
        <f aca="false">IFERROR(VLOOKUP(A772,'Dados-Status-Invest'!$1:$1000,MATCH(Q$1,'Dados-Status-Invest'!$2:$2,0),FALSE())/100,"")</f>
        <v/>
      </c>
      <c r="R772" s="12" t="str">
        <f aca="false">IFERROR(VLOOKUP(A772,'Dados-Status-Invest'!$1:$1000,MATCH(R$1,'Dados-Status-Invest'!$2:$2,0),FALSE()),"")</f>
        <v/>
      </c>
      <c r="S772" s="12" t="str">
        <f aca="false">IFERROR(VLOOKUP(A772,'Dados-Status-Invest'!$1:$1000,MATCH(S$1,'Dados-Status-Invest'!$2:$2,0),FALSE()),"")</f>
        <v/>
      </c>
      <c r="T772" s="12" t="str">
        <f aca="false">IFERROR(VLOOKUP(A772,'Dados-Status-Invest'!$1:$1000,MATCH(T$1,'Dados-Status-Invest'!$2:$2,0),FALSE()),"")</f>
        <v/>
      </c>
      <c r="U772" s="12" t="str">
        <f aca="false">IFERROR(VLOOKUP(A772,'Dados-Status-Invest'!$1:$1000,MATCH(U$1,'Dados-Status-Invest'!$2:$2,0),FALSE()),"")</f>
        <v/>
      </c>
      <c r="V772" s="12" t="str">
        <f aca="false">IFERROR(VLOOKUP(A772,'Dados-Status-Invest'!$1:$1000,MATCH(V$1,'Dados-Status-Invest'!$2:$2,0),FALSE()),"")</f>
        <v/>
      </c>
      <c r="W772" s="10" t="str">
        <f aca="false">IFERROR(VLOOKUP(A772,'Dados-Status-Invest'!$1:$1000,MATCH(W$1,'Dados-Status-Invest'!$2:$2,0),FALSE())/100,"")</f>
        <v/>
      </c>
      <c r="X772" s="10" t="str">
        <f aca="false">IFERROR(VLOOKUP(A772,'Dados-Status-Invest'!$1:$1000,MATCH(X$1,'Dados-Status-Invest'!$2:$2,0),FALSE())/100,"")</f>
        <v/>
      </c>
    </row>
    <row r="773" customFormat="false" ht="15.75" hidden="false" customHeight="false" outlineLevel="0" collapsed="false">
      <c r="B773" s="7" t="str">
        <f aca="false">IFERROR(VLOOKUP(LEFT(A773,4),Setor!A:D,2,FALSE()),"")</f>
        <v/>
      </c>
      <c r="C773" s="8" t="str">
        <f aca="false">IFERROR(__xludf.dummyfunction("IFERROR(IFERROR(GOOGLEFINANCE(A779,""price""),VLOOKUP(A779,'Dados-Status-Invest'!A:B,2,FALSE)),"""")"),"")</f>
        <v/>
      </c>
      <c r="D773" s="8" t="str">
        <f aca="false">IFERROR(VLOOKUP(A773,'Dados-Status-Invest'!$1:$1000,MATCH(D$1,'Dados-Status-Invest'!$2:$2,0),FALSE()),"")</f>
        <v/>
      </c>
      <c r="E773" s="8" t="e">
        <f aca="false">IF(D773+H773&gt;0,D773+H773,"")</f>
        <v>#VALUE!</v>
      </c>
      <c r="F773" s="8" t="str">
        <f aca="false">IFERROR(D773/VLOOKUP(A773,'Dados-Status-Invest'!$1:$1000,5,FALSE()),"")</f>
        <v/>
      </c>
      <c r="G773" s="8" t="str">
        <f aca="false">IFERROR(D773/VLOOKUP(A773,'Dados-Status-Invest'!$1:$1000,6,FALSE()),"")</f>
        <v/>
      </c>
      <c r="H773" s="8" t="str">
        <f aca="false">IFERROR(VLOOKUP(A773,'Dados-Status-Invest'!$1:$1000,12,FALSE())*J773,"")</f>
        <v/>
      </c>
      <c r="I773" s="8" t="str">
        <f aca="false">IFERROR(D773/VLOOKUP(A773,'Dados-Status-Invest'!$1:$1000,14,FALSE()),"")</f>
        <v/>
      </c>
      <c r="J773" s="9" t="str">
        <f aca="false">IFERROR(D773/VLOOKUP(A773,'Dados-Status-Invest'!$1:$1000,10,FALSE()),"")</f>
        <v/>
      </c>
      <c r="K773" s="10" t="str">
        <f aca="false">IFERROR(VLOOKUP(A773,'Dados-Status-Invest'!$1:$1000,3,FALSE())/100,"")</f>
        <v/>
      </c>
      <c r="L773" s="11" t="str">
        <f aca="false">IFERROR(VLOOKUP(A773,'Dados-Status-Invest'!$1:$1000,MATCH(L$1,'Dados-Status-Invest'!$2:$2,0),FALSE())/100,"")</f>
        <v/>
      </c>
      <c r="M773" s="10" t="str">
        <f aca="false">IFERROR(VLOOKUP(A773,'Dados-Status-Invest'!$1:$1000,MATCH(M$1,'Dados-Status-Invest'!$2:$2,0),FALSE())/100,"")</f>
        <v/>
      </c>
      <c r="N773" s="10" t="str">
        <f aca="false">IFERROR(VLOOKUP(A773,'Dados-Status-Invest'!$1:$1000,MATCH(N$1,'Dados-Status-Invest'!$2:$2,0),FALSE())/100,"")</f>
        <v/>
      </c>
      <c r="O773" s="10" t="str">
        <f aca="false">IFERROR(VLOOKUP(A773,'Dados-Status-Invest'!$1:$1000,MATCH(O$1,'Dados-Status-Invest'!$2:$2,0),FALSE())/100,"")</f>
        <v/>
      </c>
      <c r="P773" s="10" t="str">
        <f aca="false">IFERROR(VLOOKUP(A773,'Dados-Status-Invest'!$1:$1000,MATCH(P$1,'Dados-Status-Invest'!$2:$2,0),FALSE())/100,"")</f>
        <v/>
      </c>
      <c r="Q773" s="10" t="str">
        <f aca="false">IFERROR(VLOOKUP(A773,'Dados-Status-Invest'!$1:$1000,MATCH(Q$1,'Dados-Status-Invest'!$2:$2,0),FALSE())/100,"")</f>
        <v/>
      </c>
      <c r="R773" s="12" t="str">
        <f aca="false">IFERROR(VLOOKUP(A773,'Dados-Status-Invest'!$1:$1000,MATCH(R$1,'Dados-Status-Invest'!$2:$2,0),FALSE()),"")</f>
        <v/>
      </c>
      <c r="S773" s="12" t="str">
        <f aca="false">IFERROR(VLOOKUP(A773,'Dados-Status-Invest'!$1:$1000,MATCH(S$1,'Dados-Status-Invest'!$2:$2,0),FALSE()),"")</f>
        <v/>
      </c>
      <c r="T773" s="12" t="str">
        <f aca="false">IFERROR(VLOOKUP(A773,'Dados-Status-Invest'!$1:$1000,MATCH(T$1,'Dados-Status-Invest'!$2:$2,0),FALSE()),"")</f>
        <v/>
      </c>
      <c r="U773" s="12" t="str">
        <f aca="false">IFERROR(VLOOKUP(A773,'Dados-Status-Invest'!$1:$1000,MATCH(U$1,'Dados-Status-Invest'!$2:$2,0),FALSE()),"")</f>
        <v/>
      </c>
      <c r="V773" s="12" t="str">
        <f aca="false">IFERROR(VLOOKUP(A773,'Dados-Status-Invest'!$1:$1000,MATCH(V$1,'Dados-Status-Invest'!$2:$2,0),FALSE()),"")</f>
        <v/>
      </c>
      <c r="W773" s="10" t="str">
        <f aca="false">IFERROR(VLOOKUP(A773,'Dados-Status-Invest'!$1:$1000,MATCH(W$1,'Dados-Status-Invest'!$2:$2,0),FALSE())/100,"")</f>
        <v/>
      </c>
      <c r="X773" s="10" t="str">
        <f aca="false">IFERROR(VLOOKUP(A773,'Dados-Status-Invest'!$1:$1000,MATCH(X$1,'Dados-Status-Invest'!$2:$2,0),FALSE())/100,"")</f>
        <v/>
      </c>
    </row>
    <row r="774" customFormat="false" ht="15.75" hidden="false" customHeight="false" outlineLevel="0" collapsed="false">
      <c r="B774" s="7" t="str">
        <f aca="false">IFERROR(VLOOKUP(LEFT(A774,4),Setor!A:D,2,FALSE()),"")</f>
        <v/>
      </c>
      <c r="C774" s="8" t="str">
        <f aca="false">IFERROR(__xludf.dummyfunction("IFERROR(IFERROR(GOOGLEFINANCE(A780,""price""),VLOOKUP(A780,'Dados-Status-Invest'!A:B,2,FALSE)),"""")"),"")</f>
        <v/>
      </c>
      <c r="D774" s="8" t="str">
        <f aca="false">IFERROR(VLOOKUP(A774,'Dados-Status-Invest'!$1:$1000,MATCH(D$1,'Dados-Status-Invest'!$2:$2,0),FALSE()),"")</f>
        <v/>
      </c>
      <c r="E774" s="8" t="e">
        <f aca="false">IF(D774+H774&gt;0,D774+H774,"")</f>
        <v>#VALUE!</v>
      </c>
      <c r="F774" s="8" t="str">
        <f aca="false">IFERROR(D774/VLOOKUP(A774,'Dados-Status-Invest'!$1:$1000,5,FALSE()),"")</f>
        <v/>
      </c>
      <c r="G774" s="8" t="str">
        <f aca="false">IFERROR(D774/VLOOKUP(A774,'Dados-Status-Invest'!$1:$1000,6,FALSE()),"")</f>
        <v/>
      </c>
      <c r="H774" s="8" t="str">
        <f aca="false">IFERROR(VLOOKUP(A774,'Dados-Status-Invest'!$1:$1000,12,FALSE())*J774,"")</f>
        <v/>
      </c>
      <c r="I774" s="8" t="str">
        <f aca="false">IFERROR(D774/VLOOKUP(A774,'Dados-Status-Invest'!$1:$1000,14,FALSE()),"")</f>
        <v/>
      </c>
      <c r="J774" s="9" t="str">
        <f aca="false">IFERROR(D774/VLOOKUP(A774,'Dados-Status-Invest'!$1:$1000,10,FALSE()),"")</f>
        <v/>
      </c>
      <c r="K774" s="10" t="str">
        <f aca="false">IFERROR(VLOOKUP(A774,'Dados-Status-Invest'!$1:$1000,3,FALSE())/100,"")</f>
        <v/>
      </c>
      <c r="L774" s="11" t="str">
        <f aca="false">IFERROR(VLOOKUP(A774,'Dados-Status-Invest'!$1:$1000,MATCH(L$1,'Dados-Status-Invest'!$2:$2,0),FALSE())/100,"")</f>
        <v/>
      </c>
      <c r="M774" s="10" t="str">
        <f aca="false">IFERROR(VLOOKUP(A774,'Dados-Status-Invest'!$1:$1000,MATCH(M$1,'Dados-Status-Invest'!$2:$2,0),FALSE())/100,"")</f>
        <v/>
      </c>
      <c r="N774" s="10" t="str">
        <f aca="false">IFERROR(VLOOKUP(A774,'Dados-Status-Invest'!$1:$1000,MATCH(N$1,'Dados-Status-Invest'!$2:$2,0),FALSE())/100,"")</f>
        <v/>
      </c>
      <c r="O774" s="10" t="str">
        <f aca="false">IFERROR(VLOOKUP(A774,'Dados-Status-Invest'!$1:$1000,MATCH(O$1,'Dados-Status-Invest'!$2:$2,0),FALSE())/100,"")</f>
        <v/>
      </c>
      <c r="P774" s="10" t="str">
        <f aca="false">IFERROR(VLOOKUP(A774,'Dados-Status-Invest'!$1:$1000,MATCH(P$1,'Dados-Status-Invest'!$2:$2,0),FALSE())/100,"")</f>
        <v/>
      </c>
      <c r="Q774" s="10" t="str">
        <f aca="false">IFERROR(VLOOKUP(A774,'Dados-Status-Invest'!$1:$1000,MATCH(Q$1,'Dados-Status-Invest'!$2:$2,0),FALSE())/100,"")</f>
        <v/>
      </c>
      <c r="R774" s="12" t="str">
        <f aca="false">IFERROR(VLOOKUP(A774,'Dados-Status-Invest'!$1:$1000,MATCH(R$1,'Dados-Status-Invest'!$2:$2,0),FALSE()),"")</f>
        <v/>
      </c>
      <c r="S774" s="12" t="str">
        <f aca="false">IFERROR(VLOOKUP(A774,'Dados-Status-Invest'!$1:$1000,MATCH(S$1,'Dados-Status-Invest'!$2:$2,0),FALSE()),"")</f>
        <v/>
      </c>
      <c r="T774" s="12" t="str">
        <f aca="false">IFERROR(VLOOKUP(A774,'Dados-Status-Invest'!$1:$1000,MATCH(T$1,'Dados-Status-Invest'!$2:$2,0),FALSE()),"")</f>
        <v/>
      </c>
      <c r="U774" s="12" t="str">
        <f aca="false">IFERROR(VLOOKUP(A774,'Dados-Status-Invest'!$1:$1000,MATCH(U$1,'Dados-Status-Invest'!$2:$2,0),FALSE()),"")</f>
        <v/>
      </c>
      <c r="V774" s="12" t="str">
        <f aca="false">IFERROR(VLOOKUP(A774,'Dados-Status-Invest'!$1:$1000,MATCH(V$1,'Dados-Status-Invest'!$2:$2,0),FALSE()),"")</f>
        <v/>
      </c>
      <c r="W774" s="10" t="str">
        <f aca="false">IFERROR(VLOOKUP(A774,'Dados-Status-Invest'!$1:$1000,MATCH(W$1,'Dados-Status-Invest'!$2:$2,0),FALSE())/100,"")</f>
        <v/>
      </c>
      <c r="X774" s="10" t="str">
        <f aca="false">IFERROR(VLOOKUP(A774,'Dados-Status-Invest'!$1:$1000,MATCH(X$1,'Dados-Status-Invest'!$2:$2,0),FALSE())/100,"")</f>
        <v/>
      </c>
    </row>
    <row r="775" customFormat="false" ht="15.75" hidden="false" customHeight="false" outlineLevel="0" collapsed="false">
      <c r="B775" s="7" t="str">
        <f aca="false">IFERROR(VLOOKUP(LEFT(A775,4),Setor!A:D,2,FALSE()),"")</f>
        <v/>
      </c>
      <c r="C775" s="8" t="str">
        <f aca="false">IFERROR(__xludf.dummyfunction("IFERROR(IFERROR(GOOGLEFINANCE(A781,""price""),VLOOKUP(A781,'Dados-Status-Invest'!A:B,2,FALSE)),"""")"),"")</f>
        <v/>
      </c>
      <c r="D775" s="8" t="str">
        <f aca="false">IFERROR(VLOOKUP(A775,'Dados-Status-Invest'!$1:$1000,MATCH(D$1,'Dados-Status-Invest'!$2:$2,0),FALSE()),"")</f>
        <v/>
      </c>
      <c r="E775" s="8" t="e">
        <f aca="false">IF(D775+H775&gt;0,D775+H775,"")</f>
        <v>#VALUE!</v>
      </c>
      <c r="F775" s="8" t="str">
        <f aca="false">IFERROR(D775/VLOOKUP(A775,'Dados-Status-Invest'!$1:$1000,5,FALSE()),"")</f>
        <v/>
      </c>
      <c r="G775" s="8" t="str">
        <f aca="false">IFERROR(D775/VLOOKUP(A775,'Dados-Status-Invest'!$1:$1000,6,FALSE()),"")</f>
        <v/>
      </c>
      <c r="H775" s="8" t="str">
        <f aca="false">IFERROR(VLOOKUP(A775,'Dados-Status-Invest'!$1:$1000,12,FALSE())*J775,"")</f>
        <v/>
      </c>
      <c r="I775" s="8" t="str">
        <f aca="false">IFERROR(D775/VLOOKUP(A775,'Dados-Status-Invest'!$1:$1000,14,FALSE()),"")</f>
        <v/>
      </c>
      <c r="J775" s="9" t="str">
        <f aca="false">IFERROR(D775/VLOOKUP(A775,'Dados-Status-Invest'!$1:$1000,10,FALSE()),"")</f>
        <v/>
      </c>
      <c r="K775" s="10" t="str">
        <f aca="false">IFERROR(VLOOKUP(A775,'Dados-Status-Invest'!$1:$1000,3,FALSE())/100,"")</f>
        <v/>
      </c>
      <c r="L775" s="11" t="str">
        <f aca="false">IFERROR(VLOOKUP(A775,'Dados-Status-Invest'!$1:$1000,MATCH(L$1,'Dados-Status-Invest'!$2:$2,0),FALSE())/100,"")</f>
        <v/>
      </c>
      <c r="M775" s="10" t="str">
        <f aca="false">IFERROR(VLOOKUP(A775,'Dados-Status-Invest'!$1:$1000,MATCH(M$1,'Dados-Status-Invest'!$2:$2,0),FALSE())/100,"")</f>
        <v/>
      </c>
      <c r="N775" s="10" t="str">
        <f aca="false">IFERROR(VLOOKUP(A775,'Dados-Status-Invest'!$1:$1000,MATCH(N$1,'Dados-Status-Invest'!$2:$2,0),FALSE())/100,"")</f>
        <v/>
      </c>
      <c r="O775" s="10" t="str">
        <f aca="false">IFERROR(VLOOKUP(A775,'Dados-Status-Invest'!$1:$1000,MATCH(O$1,'Dados-Status-Invest'!$2:$2,0),FALSE())/100,"")</f>
        <v/>
      </c>
      <c r="P775" s="10" t="str">
        <f aca="false">IFERROR(VLOOKUP(A775,'Dados-Status-Invest'!$1:$1000,MATCH(P$1,'Dados-Status-Invest'!$2:$2,0),FALSE())/100,"")</f>
        <v/>
      </c>
      <c r="Q775" s="10" t="str">
        <f aca="false">IFERROR(VLOOKUP(A775,'Dados-Status-Invest'!$1:$1000,MATCH(Q$1,'Dados-Status-Invest'!$2:$2,0),FALSE())/100,"")</f>
        <v/>
      </c>
      <c r="R775" s="12" t="str">
        <f aca="false">IFERROR(VLOOKUP(A775,'Dados-Status-Invest'!$1:$1000,MATCH(R$1,'Dados-Status-Invest'!$2:$2,0),FALSE()),"")</f>
        <v/>
      </c>
      <c r="S775" s="12" t="str">
        <f aca="false">IFERROR(VLOOKUP(A775,'Dados-Status-Invest'!$1:$1000,MATCH(S$1,'Dados-Status-Invest'!$2:$2,0),FALSE()),"")</f>
        <v/>
      </c>
      <c r="T775" s="12" t="str">
        <f aca="false">IFERROR(VLOOKUP(A775,'Dados-Status-Invest'!$1:$1000,MATCH(T$1,'Dados-Status-Invest'!$2:$2,0),FALSE()),"")</f>
        <v/>
      </c>
      <c r="U775" s="12" t="str">
        <f aca="false">IFERROR(VLOOKUP(A775,'Dados-Status-Invest'!$1:$1000,MATCH(U$1,'Dados-Status-Invest'!$2:$2,0),FALSE()),"")</f>
        <v/>
      </c>
      <c r="V775" s="12" t="str">
        <f aca="false">IFERROR(VLOOKUP(A775,'Dados-Status-Invest'!$1:$1000,MATCH(V$1,'Dados-Status-Invest'!$2:$2,0),FALSE()),"")</f>
        <v/>
      </c>
      <c r="W775" s="10" t="str">
        <f aca="false">IFERROR(VLOOKUP(A775,'Dados-Status-Invest'!$1:$1000,MATCH(W$1,'Dados-Status-Invest'!$2:$2,0),FALSE())/100,"")</f>
        <v/>
      </c>
      <c r="X775" s="10" t="str">
        <f aca="false">IFERROR(VLOOKUP(A775,'Dados-Status-Invest'!$1:$1000,MATCH(X$1,'Dados-Status-Invest'!$2:$2,0),FALSE())/100,"")</f>
        <v/>
      </c>
    </row>
    <row r="776" customFormat="false" ht="15.75" hidden="false" customHeight="false" outlineLevel="0" collapsed="false">
      <c r="B776" s="7" t="str">
        <f aca="false">IFERROR(VLOOKUP(LEFT(A776,4),Setor!A:D,2,FALSE()),"")</f>
        <v/>
      </c>
      <c r="C776" s="8" t="str">
        <f aca="false">IFERROR(__xludf.dummyfunction("IFERROR(IFERROR(GOOGLEFINANCE(A782,""price""),VLOOKUP(A782,'Dados-Status-Invest'!A:B,2,FALSE)),"""")"),"")</f>
        <v/>
      </c>
      <c r="D776" s="8" t="str">
        <f aca="false">IFERROR(VLOOKUP(A776,'Dados-Status-Invest'!$1:$1000,MATCH(D$1,'Dados-Status-Invest'!$2:$2,0),FALSE()),"")</f>
        <v/>
      </c>
      <c r="E776" s="8" t="e">
        <f aca="false">IF(D776+H776&gt;0,D776+H776,"")</f>
        <v>#VALUE!</v>
      </c>
      <c r="F776" s="8" t="str">
        <f aca="false">IFERROR(D776/VLOOKUP(A776,'Dados-Status-Invest'!$1:$1000,5,FALSE()),"")</f>
        <v/>
      </c>
      <c r="G776" s="8" t="str">
        <f aca="false">IFERROR(D776/VLOOKUP(A776,'Dados-Status-Invest'!$1:$1000,6,FALSE()),"")</f>
        <v/>
      </c>
      <c r="H776" s="8" t="str">
        <f aca="false">IFERROR(VLOOKUP(A776,'Dados-Status-Invest'!$1:$1000,12,FALSE())*J776,"")</f>
        <v/>
      </c>
      <c r="I776" s="8" t="str">
        <f aca="false">IFERROR(D776/VLOOKUP(A776,'Dados-Status-Invest'!$1:$1000,14,FALSE()),"")</f>
        <v/>
      </c>
      <c r="J776" s="9" t="str">
        <f aca="false">IFERROR(D776/VLOOKUP(A776,'Dados-Status-Invest'!$1:$1000,10,FALSE()),"")</f>
        <v/>
      </c>
      <c r="K776" s="10" t="str">
        <f aca="false">IFERROR(VLOOKUP(A776,'Dados-Status-Invest'!$1:$1000,3,FALSE())/100,"")</f>
        <v/>
      </c>
      <c r="L776" s="11" t="str">
        <f aca="false">IFERROR(VLOOKUP(A776,'Dados-Status-Invest'!$1:$1000,MATCH(L$1,'Dados-Status-Invest'!$2:$2,0),FALSE())/100,"")</f>
        <v/>
      </c>
      <c r="M776" s="10" t="str">
        <f aca="false">IFERROR(VLOOKUP(A776,'Dados-Status-Invest'!$1:$1000,MATCH(M$1,'Dados-Status-Invest'!$2:$2,0),FALSE())/100,"")</f>
        <v/>
      </c>
      <c r="N776" s="10" t="str">
        <f aca="false">IFERROR(VLOOKUP(A776,'Dados-Status-Invest'!$1:$1000,MATCH(N$1,'Dados-Status-Invest'!$2:$2,0),FALSE())/100,"")</f>
        <v/>
      </c>
      <c r="O776" s="10" t="str">
        <f aca="false">IFERROR(VLOOKUP(A776,'Dados-Status-Invest'!$1:$1000,MATCH(O$1,'Dados-Status-Invest'!$2:$2,0),FALSE())/100,"")</f>
        <v/>
      </c>
      <c r="P776" s="10" t="str">
        <f aca="false">IFERROR(VLOOKUP(A776,'Dados-Status-Invest'!$1:$1000,MATCH(P$1,'Dados-Status-Invest'!$2:$2,0),FALSE())/100,"")</f>
        <v/>
      </c>
      <c r="Q776" s="10" t="str">
        <f aca="false">IFERROR(VLOOKUP(A776,'Dados-Status-Invest'!$1:$1000,MATCH(Q$1,'Dados-Status-Invest'!$2:$2,0),FALSE())/100,"")</f>
        <v/>
      </c>
      <c r="R776" s="12" t="str">
        <f aca="false">IFERROR(VLOOKUP(A776,'Dados-Status-Invest'!$1:$1000,MATCH(R$1,'Dados-Status-Invest'!$2:$2,0),FALSE()),"")</f>
        <v/>
      </c>
      <c r="S776" s="12" t="str">
        <f aca="false">IFERROR(VLOOKUP(A776,'Dados-Status-Invest'!$1:$1000,MATCH(S$1,'Dados-Status-Invest'!$2:$2,0),FALSE()),"")</f>
        <v/>
      </c>
      <c r="T776" s="12" t="str">
        <f aca="false">IFERROR(VLOOKUP(A776,'Dados-Status-Invest'!$1:$1000,MATCH(T$1,'Dados-Status-Invest'!$2:$2,0),FALSE()),"")</f>
        <v/>
      </c>
      <c r="U776" s="12" t="str">
        <f aca="false">IFERROR(VLOOKUP(A776,'Dados-Status-Invest'!$1:$1000,MATCH(U$1,'Dados-Status-Invest'!$2:$2,0),FALSE()),"")</f>
        <v/>
      </c>
      <c r="V776" s="12" t="str">
        <f aca="false">IFERROR(VLOOKUP(A776,'Dados-Status-Invest'!$1:$1000,MATCH(V$1,'Dados-Status-Invest'!$2:$2,0),FALSE()),"")</f>
        <v/>
      </c>
      <c r="W776" s="10" t="str">
        <f aca="false">IFERROR(VLOOKUP(A776,'Dados-Status-Invest'!$1:$1000,MATCH(W$1,'Dados-Status-Invest'!$2:$2,0),FALSE())/100,"")</f>
        <v/>
      </c>
      <c r="X776" s="10" t="str">
        <f aca="false">IFERROR(VLOOKUP(A776,'Dados-Status-Invest'!$1:$1000,MATCH(X$1,'Dados-Status-Invest'!$2:$2,0),FALSE())/100,"")</f>
        <v/>
      </c>
    </row>
    <row r="777" customFormat="false" ht="15.75" hidden="false" customHeight="false" outlineLevel="0" collapsed="false">
      <c r="B777" s="7" t="str">
        <f aca="false">IFERROR(VLOOKUP(LEFT(A777,4),Setor!A:D,2,FALSE()),"")</f>
        <v/>
      </c>
      <c r="C777" s="8" t="str">
        <f aca="false">IFERROR(__xludf.dummyfunction("IFERROR(IFERROR(GOOGLEFINANCE(A783,""price""),VLOOKUP(A783,'Dados-Status-Invest'!A:B,2,FALSE)),"""")"),"")</f>
        <v/>
      </c>
      <c r="D777" s="8" t="str">
        <f aca="false">IFERROR(VLOOKUP(A777,'Dados-Status-Invest'!$1:$1000,MATCH(D$1,'Dados-Status-Invest'!$2:$2,0),FALSE()),"")</f>
        <v/>
      </c>
      <c r="E777" s="8" t="e">
        <f aca="false">IF(D777+H777&gt;0,D777+H777,"")</f>
        <v>#VALUE!</v>
      </c>
      <c r="F777" s="8" t="str">
        <f aca="false">IFERROR(D777/VLOOKUP(A777,'Dados-Status-Invest'!$1:$1000,5,FALSE()),"")</f>
        <v/>
      </c>
      <c r="G777" s="8" t="str">
        <f aca="false">IFERROR(D777/VLOOKUP(A777,'Dados-Status-Invest'!$1:$1000,6,FALSE()),"")</f>
        <v/>
      </c>
      <c r="H777" s="8" t="str">
        <f aca="false">IFERROR(VLOOKUP(A777,'Dados-Status-Invest'!$1:$1000,12,FALSE())*J777,"")</f>
        <v/>
      </c>
      <c r="I777" s="8" t="str">
        <f aca="false">IFERROR(D777/VLOOKUP(A777,'Dados-Status-Invest'!$1:$1000,14,FALSE()),"")</f>
        <v/>
      </c>
      <c r="J777" s="9" t="str">
        <f aca="false">IFERROR(D777/VLOOKUP(A777,'Dados-Status-Invest'!$1:$1000,10,FALSE()),"")</f>
        <v/>
      </c>
      <c r="K777" s="10" t="str">
        <f aca="false">IFERROR(VLOOKUP(A777,'Dados-Status-Invest'!$1:$1000,3,FALSE())/100,"")</f>
        <v/>
      </c>
      <c r="L777" s="11" t="str">
        <f aca="false">IFERROR(VLOOKUP(A777,'Dados-Status-Invest'!$1:$1000,MATCH(L$1,'Dados-Status-Invest'!$2:$2,0),FALSE())/100,"")</f>
        <v/>
      </c>
      <c r="M777" s="10" t="str">
        <f aca="false">IFERROR(VLOOKUP(A777,'Dados-Status-Invest'!$1:$1000,MATCH(M$1,'Dados-Status-Invest'!$2:$2,0),FALSE())/100,"")</f>
        <v/>
      </c>
      <c r="N777" s="10" t="str">
        <f aca="false">IFERROR(VLOOKUP(A777,'Dados-Status-Invest'!$1:$1000,MATCH(N$1,'Dados-Status-Invest'!$2:$2,0),FALSE())/100,"")</f>
        <v/>
      </c>
      <c r="O777" s="10" t="str">
        <f aca="false">IFERROR(VLOOKUP(A777,'Dados-Status-Invest'!$1:$1000,MATCH(O$1,'Dados-Status-Invest'!$2:$2,0),FALSE())/100,"")</f>
        <v/>
      </c>
      <c r="P777" s="10" t="str">
        <f aca="false">IFERROR(VLOOKUP(A777,'Dados-Status-Invest'!$1:$1000,MATCH(P$1,'Dados-Status-Invest'!$2:$2,0),FALSE())/100,"")</f>
        <v/>
      </c>
      <c r="Q777" s="10" t="str">
        <f aca="false">IFERROR(VLOOKUP(A777,'Dados-Status-Invest'!$1:$1000,MATCH(Q$1,'Dados-Status-Invest'!$2:$2,0),FALSE())/100,"")</f>
        <v/>
      </c>
      <c r="R777" s="12" t="str">
        <f aca="false">IFERROR(VLOOKUP(A777,'Dados-Status-Invest'!$1:$1000,MATCH(R$1,'Dados-Status-Invest'!$2:$2,0),FALSE()),"")</f>
        <v/>
      </c>
      <c r="S777" s="12" t="str">
        <f aca="false">IFERROR(VLOOKUP(A777,'Dados-Status-Invest'!$1:$1000,MATCH(S$1,'Dados-Status-Invest'!$2:$2,0),FALSE()),"")</f>
        <v/>
      </c>
      <c r="T777" s="12" t="str">
        <f aca="false">IFERROR(VLOOKUP(A777,'Dados-Status-Invest'!$1:$1000,MATCH(T$1,'Dados-Status-Invest'!$2:$2,0),FALSE()),"")</f>
        <v/>
      </c>
      <c r="U777" s="12" t="str">
        <f aca="false">IFERROR(VLOOKUP(A777,'Dados-Status-Invest'!$1:$1000,MATCH(U$1,'Dados-Status-Invest'!$2:$2,0),FALSE()),"")</f>
        <v/>
      </c>
      <c r="V777" s="12" t="str">
        <f aca="false">IFERROR(VLOOKUP(A777,'Dados-Status-Invest'!$1:$1000,MATCH(V$1,'Dados-Status-Invest'!$2:$2,0),FALSE()),"")</f>
        <v/>
      </c>
      <c r="W777" s="10" t="str">
        <f aca="false">IFERROR(VLOOKUP(A777,'Dados-Status-Invest'!$1:$1000,MATCH(W$1,'Dados-Status-Invest'!$2:$2,0),FALSE())/100,"")</f>
        <v/>
      </c>
      <c r="X777" s="10" t="str">
        <f aca="false">IFERROR(VLOOKUP(A777,'Dados-Status-Invest'!$1:$1000,MATCH(X$1,'Dados-Status-Invest'!$2:$2,0),FALSE())/100,"")</f>
        <v/>
      </c>
    </row>
    <row r="778" customFormat="false" ht="15.75" hidden="false" customHeight="false" outlineLevel="0" collapsed="false">
      <c r="B778" s="7" t="str">
        <f aca="false">IFERROR(VLOOKUP(LEFT(A778,4),Setor!A:D,2,FALSE()),"")</f>
        <v/>
      </c>
      <c r="C778" s="8" t="str">
        <f aca="false">IFERROR(__xludf.dummyfunction("IFERROR(IFERROR(GOOGLEFINANCE(A784,""price""),VLOOKUP(A784,'Dados-Status-Invest'!A:B,2,FALSE)),"""")"),"")</f>
        <v/>
      </c>
      <c r="D778" s="8" t="str">
        <f aca="false">IFERROR(VLOOKUP(A778,'Dados-Status-Invest'!$1:$1000,MATCH(D$1,'Dados-Status-Invest'!$2:$2,0),FALSE()),"")</f>
        <v/>
      </c>
      <c r="E778" s="8" t="e">
        <f aca="false">IF(D778+H778&gt;0,D778+H778,"")</f>
        <v>#VALUE!</v>
      </c>
      <c r="F778" s="8" t="str">
        <f aca="false">IFERROR(D778/VLOOKUP(A778,'Dados-Status-Invest'!$1:$1000,5,FALSE()),"")</f>
        <v/>
      </c>
      <c r="G778" s="8" t="str">
        <f aca="false">IFERROR(D778/VLOOKUP(A778,'Dados-Status-Invest'!$1:$1000,6,FALSE()),"")</f>
        <v/>
      </c>
      <c r="H778" s="8" t="str">
        <f aca="false">IFERROR(VLOOKUP(A778,'Dados-Status-Invest'!$1:$1000,12,FALSE())*J778,"")</f>
        <v/>
      </c>
      <c r="I778" s="8" t="str">
        <f aca="false">IFERROR(D778/VLOOKUP(A778,'Dados-Status-Invest'!$1:$1000,14,FALSE()),"")</f>
        <v/>
      </c>
      <c r="J778" s="9" t="str">
        <f aca="false">IFERROR(D778/VLOOKUP(A778,'Dados-Status-Invest'!$1:$1000,10,FALSE()),"")</f>
        <v/>
      </c>
      <c r="K778" s="10" t="str">
        <f aca="false">IFERROR(VLOOKUP(A778,'Dados-Status-Invest'!$1:$1000,3,FALSE())/100,"")</f>
        <v/>
      </c>
      <c r="L778" s="11" t="str">
        <f aca="false">IFERROR(VLOOKUP(A778,'Dados-Status-Invest'!$1:$1000,MATCH(L$1,'Dados-Status-Invest'!$2:$2,0),FALSE())/100,"")</f>
        <v/>
      </c>
      <c r="M778" s="10" t="str">
        <f aca="false">IFERROR(VLOOKUP(A778,'Dados-Status-Invest'!$1:$1000,MATCH(M$1,'Dados-Status-Invest'!$2:$2,0),FALSE())/100,"")</f>
        <v/>
      </c>
      <c r="N778" s="10" t="str">
        <f aca="false">IFERROR(VLOOKUP(A778,'Dados-Status-Invest'!$1:$1000,MATCH(N$1,'Dados-Status-Invest'!$2:$2,0),FALSE())/100,"")</f>
        <v/>
      </c>
      <c r="O778" s="10" t="str">
        <f aca="false">IFERROR(VLOOKUP(A778,'Dados-Status-Invest'!$1:$1000,MATCH(O$1,'Dados-Status-Invest'!$2:$2,0),FALSE())/100,"")</f>
        <v/>
      </c>
      <c r="P778" s="10" t="str">
        <f aca="false">IFERROR(VLOOKUP(A778,'Dados-Status-Invest'!$1:$1000,MATCH(P$1,'Dados-Status-Invest'!$2:$2,0),FALSE())/100,"")</f>
        <v/>
      </c>
      <c r="Q778" s="10" t="str">
        <f aca="false">IFERROR(VLOOKUP(A778,'Dados-Status-Invest'!$1:$1000,MATCH(Q$1,'Dados-Status-Invest'!$2:$2,0),FALSE())/100,"")</f>
        <v/>
      </c>
      <c r="R778" s="12" t="str">
        <f aca="false">IFERROR(VLOOKUP(A778,'Dados-Status-Invest'!$1:$1000,MATCH(R$1,'Dados-Status-Invest'!$2:$2,0),FALSE()),"")</f>
        <v/>
      </c>
      <c r="S778" s="12" t="str">
        <f aca="false">IFERROR(VLOOKUP(A778,'Dados-Status-Invest'!$1:$1000,MATCH(S$1,'Dados-Status-Invest'!$2:$2,0),FALSE()),"")</f>
        <v/>
      </c>
      <c r="T778" s="12" t="str">
        <f aca="false">IFERROR(VLOOKUP(A778,'Dados-Status-Invest'!$1:$1000,MATCH(T$1,'Dados-Status-Invest'!$2:$2,0),FALSE()),"")</f>
        <v/>
      </c>
      <c r="U778" s="12" t="str">
        <f aca="false">IFERROR(VLOOKUP(A778,'Dados-Status-Invest'!$1:$1000,MATCH(U$1,'Dados-Status-Invest'!$2:$2,0),FALSE()),"")</f>
        <v/>
      </c>
      <c r="V778" s="12" t="str">
        <f aca="false">IFERROR(VLOOKUP(A778,'Dados-Status-Invest'!$1:$1000,MATCH(V$1,'Dados-Status-Invest'!$2:$2,0),FALSE()),"")</f>
        <v/>
      </c>
      <c r="W778" s="10" t="str">
        <f aca="false">IFERROR(VLOOKUP(A778,'Dados-Status-Invest'!$1:$1000,MATCH(W$1,'Dados-Status-Invest'!$2:$2,0),FALSE())/100,"")</f>
        <v/>
      </c>
      <c r="X778" s="10" t="str">
        <f aca="false">IFERROR(VLOOKUP(A778,'Dados-Status-Invest'!$1:$1000,MATCH(X$1,'Dados-Status-Invest'!$2:$2,0),FALSE())/100,"")</f>
        <v/>
      </c>
    </row>
    <row r="779" customFormat="false" ht="15.75" hidden="false" customHeight="false" outlineLevel="0" collapsed="false">
      <c r="B779" s="7" t="str">
        <f aca="false">IFERROR(VLOOKUP(LEFT(A779,4),Setor!A:D,2,FALSE()),"")</f>
        <v/>
      </c>
      <c r="C779" s="8" t="str">
        <f aca="false">IFERROR(__xludf.dummyfunction("IFERROR(IFERROR(GOOGLEFINANCE(A785,""price""),VLOOKUP(A785,'Dados-Status-Invest'!A:B,2,FALSE)),"""")"),"")</f>
        <v/>
      </c>
      <c r="D779" s="8" t="str">
        <f aca="false">IFERROR(VLOOKUP(A779,'Dados-Status-Invest'!$1:$1000,MATCH(D$1,'Dados-Status-Invest'!$2:$2,0),FALSE()),"")</f>
        <v/>
      </c>
      <c r="E779" s="8" t="e">
        <f aca="false">IF(D779+H779&gt;0,D779+H779,"")</f>
        <v>#VALUE!</v>
      </c>
      <c r="F779" s="8" t="str">
        <f aca="false">IFERROR(D779/VLOOKUP(A779,'Dados-Status-Invest'!$1:$1000,5,FALSE()),"")</f>
        <v/>
      </c>
      <c r="G779" s="8" t="str">
        <f aca="false">IFERROR(D779/VLOOKUP(A779,'Dados-Status-Invest'!$1:$1000,6,FALSE()),"")</f>
        <v/>
      </c>
      <c r="H779" s="8" t="str">
        <f aca="false">IFERROR(VLOOKUP(A779,'Dados-Status-Invest'!$1:$1000,12,FALSE())*J779,"")</f>
        <v/>
      </c>
      <c r="I779" s="8" t="str">
        <f aca="false">IFERROR(D779/VLOOKUP(A779,'Dados-Status-Invest'!$1:$1000,14,FALSE()),"")</f>
        <v/>
      </c>
      <c r="J779" s="9" t="str">
        <f aca="false">IFERROR(D779/VLOOKUP(A779,'Dados-Status-Invest'!$1:$1000,10,FALSE()),"")</f>
        <v/>
      </c>
      <c r="K779" s="10" t="str">
        <f aca="false">IFERROR(VLOOKUP(A779,'Dados-Status-Invest'!$1:$1000,3,FALSE())/100,"")</f>
        <v/>
      </c>
      <c r="L779" s="11" t="str">
        <f aca="false">IFERROR(VLOOKUP(A779,'Dados-Status-Invest'!$1:$1000,MATCH(L$1,'Dados-Status-Invest'!$2:$2,0),FALSE())/100,"")</f>
        <v/>
      </c>
      <c r="M779" s="10" t="str">
        <f aca="false">IFERROR(VLOOKUP(A779,'Dados-Status-Invest'!$1:$1000,MATCH(M$1,'Dados-Status-Invest'!$2:$2,0),FALSE())/100,"")</f>
        <v/>
      </c>
      <c r="N779" s="10" t="str">
        <f aca="false">IFERROR(VLOOKUP(A779,'Dados-Status-Invest'!$1:$1000,MATCH(N$1,'Dados-Status-Invest'!$2:$2,0),FALSE())/100,"")</f>
        <v/>
      </c>
      <c r="O779" s="10" t="str">
        <f aca="false">IFERROR(VLOOKUP(A779,'Dados-Status-Invest'!$1:$1000,MATCH(O$1,'Dados-Status-Invest'!$2:$2,0),FALSE())/100,"")</f>
        <v/>
      </c>
      <c r="P779" s="10" t="str">
        <f aca="false">IFERROR(VLOOKUP(A779,'Dados-Status-Invest'!$1:$1000,MATCH(P$1,'Dados-Status-Invest'!$2:$2,0),FALSE())/100,"")</f>
        <v/>
      </c>
      <c r="Q779" s="10" t="str">
        <f aca="false">IFERROR(VLOOKUP(A779,'Dados-Status-Invest'!$1:$1000,MATCH(Q$1,'Dados-Status-Invest'!$2:$2,0),FALSE())/100,"")</f>
        <v/>
      </c>
      <c r="R779" s="12" t="str">
        <f aca="false">IFERROR(VLOOKUP(A779,'Dados-Status-Invest'!$1:$1000,MATCH(R$1,'Dados-Status-Invest'!$2:$2,0),FALSE()),"")</f>
        <v/>
      </c>
      <c r="S779" s="12" t="str">
        <f aca="false">IFERROR(VLOOKUP(A779,'Dados-Status-Invest'!$1:$1000,MATCH(S$1,'Dados-Status-Invest'!$2:$2,0),FALSE()),"")</f>
        <v/>
      </c>
      <c r="T779" s="12" t="str">
        <f aca="false">IFERROR(VLOOKUP(A779,'Dados-Status-Invest'!$1:$1000,MATCH(T$1,'Dados-Status-Invest'!$2:$2,0),FALSE()),"")</f>
        <v/>
      </c>
      <c r="U779" s="12" t="str">
        <f aca="false">IFERROR(VLOOKUP(A779,'Dados-Status-Invest'!$1:$1000,MATCH(U$1,'Dados-Status-Invest'!$2:$2,0),FALSE()),"")</f>
        <v/>
      </c>
      <c r="V779" s="12" t="str">
        <f aca="false">IFERROR(VLOOKUP(A779,'Dados-Status-Invest'!$1:$1000,MATCH(V$1,'Dados-Status-Invest'!$2:$2,0),FALSE()),"")</f>
        <v/>
      </c>
      <c r="W779" s="10" t="str">
        <f aca="false">IFERROR(VLOOKUP(A779,'Dados-Status-Invest'!$1:$1000,MATCH(W$1,'Dados-Status-Invest'!$2:$2,0),FALSE())/100,"")</f>
        <v/>
      </c>
      <c r="X779" s="10" t="str">
        <f aca="false">IFERROR(VLOOKUP(A779,'Dados-Status-Invest'!$1:$1000,MATCH(X$1,'Dados-Status-Invest'!$2:$2,0),FALSE())/100,"")</f>
        <v/>
      </c>
    </row>
    <row r="780" customFormat="false" ht="15.75" hidden="false" customHeight="false" outlineLevel="0" collapsed="false">
      <c r="B780" s="7" t="str">
        <f aca="false">IFERROR(VLOOKUP(LEFT(A780,4),Setor!A:D,2,FALSE()),"")</f>
        <v/>
      </c>
      <c r="C780" s="8" t="str">
        <f aca="false">IFERROR(__xludf.dummyfunction("IFERROR(IFERROR(GOOGLEFINANCE(A786,""price""),VLOOKUP(A786,'Dados-Status-Invest'!A:B,2,FALSE)),"""")"),"")</f>
        <v/>
      </c>
      <c r="D780" s="8" t="str">
        <f aca="false">IFERROR(VLOOKUP(A780,'Dados-Status-Invest'!$1:$1000,MATCH(D$1,'Dados-Status-Invest'!$2:$2,0),FALSE()),"")</f>
        <v/>
      </c>
      <c r="E780" s="8" t="e">
        <f aca="false">IF(D780+H780&gt;0,D780+H780,"")</f>
        <v>#VALUE!</v>
      </c>
      <c r="F780" s="8" t="str">
        <f aca="false">IFERROR(D780/VLOOKUP(A780,'Dados-Status-Invest'!$1:$1000,5,FALSE()),"")</f>
        <v/>
      </c>
      <c r="G780" s="8" t="str">
        <f aca="false">IFERROR(D780/VLOOKUP(A780,'Dados-Status-Invest'!$1:$1000,6,FALSE()),"")</f>
        <v/>
      </c>
      <c r="H780" s="8" t="str">
        <f aca="false">IFERROR(VLOOKUP(A780,'Dados-Status-Invest'!$1:$1000,12,FALSE())*J780,"")</f>
        <v/>
      </c>
      <c r="I780" s="8" t="str">
        <f aca="false">IFERROR(D780/VLOOKUP(A780,'Dados-Status-Invest'!$1:$1000,14,FALSE()),"")</f>
        <v/>
      </c>
      <c r="J780" s="9" t="str">
        <f aca="false">IFERROR(D780/VLOOKUP(A780,'Dados-Status-Invest'!$1:$1000,10,FALSE()),"")</f>
        <v/>
      </c>
      <c r="K780" s="10" t="str">
        <f aca="false">IFERROR(VLOOKUP(A780,'Dados-Status-Invest'!$1:$1000,3,FALSE())/100,"")</f>
        <v/>
      </c>
      <c r="L780" s="11" t="str">
        <f aca="false">IFERROR(VLOOKUP(A780,'Dados-Status-Invest'!$1:$1000,MATCH(L$1,'Dados-Status-Invest'!$2:$2,0),FALSE())/100,"")</f>
        <v/>
      </c>
      <c r="M780" s="10" t="str">
        <f aca="false">IFERROR(VLOOKUP(A780,'Dados-Status-Invest'!$1:$1000,MATCH(M$1,'Dados-Status-Invest'!$2:$2,0),FALSE())/100,"")</f>
        <v/>
      </c>
      <c r="N780" s="10" t="str">
        <f aca="false">IFERROR(VLOOKUP(A780,'Dados-Status-Invest'!$1:$1000,MATCH(N$1,'Dados-Status-Invest'!$2:$2,0),FALSE())/100,"")</f>
        <v/>
      </c>
      <c r="O780" s="10" t="str">
        <f aca="false">IFERROR(VLOOKUP(A780,'Dados-Status-Invest'!$1:$1000,MATCH(O$1,'Dados-Status-Invest'!$2:$2,0),FALSE())/100,"")</f>
        <v/>
      </c>
      <c r="P780" s="10" t="str">
        <f aca="false">IFERROR(VLOOKUP(A780,'Dados-Status-Invest'!$1:$1000,MATCH(P$1,'Dados-Status-Invest'!$2:$2,0),FALSE())/100,"")</f>
        <v/>
      </c>
      <c r="Q780" s="10" t="str">
        <f aca="false">IFERROR(VLOOKUP(A780,'Dados-Status-Invest'!$1:$1000,MATCH(Q$1,'Dados-Status-Invest'!$2:$2,0),FALSE())/100,"")</f>
        <v/>
      </c>
      <c r="R780" s="12" t="str">
        <f aca="false">IFERROR(VLOOKUP(A780,'Dados-Status-Invest'!$1:$1000,MATCH(R$1,'Dados-Status-Invest'!$2:$2,0),FALSE()),"")</f>
        <v/>
      </c>
      <c r="S780" s="12" t="str">
        <f aca="false">IFERROR(VLOOKUP(A780,'Dados-Status-Invest'!$1:$1000,MATCH(S$1,'Dados-Status-Invest'!$2:$2,0),FALSE()),"")</f>
        <v/>
      </c>
      <c r="T780" s="12" t="str">
        <f aca="false">IFERROR(VLOOKUP(A780,'Dados-Status-Invest'!$1:$1000,MATCH(T$1,'Dados-Status-Invest'!$2:$2,0),FALSE()),"")</f>
        <v/>
      </c>
      <c r="U780" s="12" t="str">
        <f aca="false">IFERROR(VLOOKUP(A780,'Dados-Status-Invest'!$1:$1000,MATCH(U$1,'Dados-Status-Invest'!$2:$2,0),FALSE()),"")</f>
        <v/>
      </c>
      <c r="V780" s="12" t="str">
        <f aca="false">IFERROR(VLOOKUP(A780,'Dados-Status-Invest'!$1:$1000,MATCH(V$1,'Dados-Status-Invest'!$2:$2,0),FALSE()),"")</f>
        <v/>
      </c>
      <c r="W780" s="10" t="str">
        <f aca="false">IFERROR(VLOOKUP(A780,'Dados-Status-Invest'!$1:$1000,MATCH(W$1,'Dados-Status-Invest'!$2:$2,0),FALSE())/100,"")</f>
        <v/>
      </c>
      <c r="X780" s="10" t="str">
        <f aca="false">IFERROR(VLOOKUP(A780,'Dados-Status-Invest'!$1:$1000,MATCH(X$1,'Dados-Status-Invest'!$2:$2,0),FALSE())/100,"")</f>
        <v/>
      </c>
    </row>
    <row r="781" customFormat="false" ht="15.75" hidden="false" customHeight="false" outlineLevel="0" collapsed="false">
      <c r="B781" s="7" t="str">
        <f aca="false">IFERROR(VLOOKUP(LEFT(A781,4),Setor!A:D,2,FALSE()),"")</f>
        <v/>
      </c>
      <c r="C781" s="8" t="str">
        <f aca="false">IFERROR(__xludf.dummyfunction("IFERROR(IFERROR(GOOGLEFINANCE(A787,""price""),VLOOKUP(A787,'Dados-Status-Invest'!A:B,2,FALSE)),"""")"),"")</f>
        <v/>
      </c>
      <c r="D781" s="8" t="str">
        <f aca="false">IFERROR(VLOOKUP(A781,'Dados-Status-Invest'!$1:$1000,MATCH(D$1,'Dados-Status-Invest'!$2:$2,0),FALSE()),"")</f>
        <v/>
      </c>
      <c r="E781" s="8" t="e">
        <f aca="false">IF(D781+H781&gt;0,D781+H781,"")</f>
        <v>#VALUE!</v>
      </c>
      <c r="F781" s="8" t="str">
        <f aca="false">IFERROR(D781/VLOOKUP(A781,'Dados-Status-Invest'!$1:$1000,5,FALSE()),"")</f>
        <v/>
      </c>
      <c r="G781" s="8" t="str">
        <f aca="false">IFERROR(D781/VLOOKUP(A781,'Dados-Status-Invest'!$1:$1000,6,FALSE()),"")</f>
        <v/>
      </c>
      <c r="H781" s="8" t="str">
        <f aca="false">IFERROR(VLOOKUP(A781,'Dados-Status-Invest'!$1:$1000,12,FALSE())*J781,"")</f>
        <v/>
      </c>
      <c r="I781" s="8" t="str">
        <f aca="false">IFERROR(D781/VLOOKUP(A781,'Dados-Status-Invest'!$1:$1000,14,FALSE()),"")</f>
        <v/>
      </c>
      <c r="J781" s="9" t="str">
        <f aca="false">IFERROR(D781/VLOOKUP(A781,'Dados-Status-Invest'!$1:$1000,10,FALSE()),"")</f>
        <v/>
      </c>
      <c r="K781" s="10" t="str">
        <f aca="false">IFERROR(VLOOKUP(A781,'Dados-Status-Invest'!$1:$1000,3,FALSE())/100,"")</f>
        <v/>
      </c>
      <c r="L781" s="11" t="str">
        <f aca="false">IFERROR(VLOOKUP(A781,'Dados-Status-Invest'!$1:$1000,MATCH(L$1,'Dados-Status-Invest'!$2:$2,0),FALSE())/100,"")</f>
        <v/>
      </c>
      <c r="M781" s="10" t="str">
        <f aca="false">IFERROR(VLOOKUP(A781,'Dados-Status-Invest'!$1:$1000,MATCH(M$1,'Dados-Status-Invest'!$2:$2,0),FALSE())/100,"")</f>
        <v/>
      </c>
      <c r="N781" s="10" t="str">
        <f aca="false">IFERROR(VLOOKUP(A781,'Dados-Status-Invest'!$1:$1000,MATCH(N$1,'Dados-Status-Invest'!$2:$2,0),FALSE())/100,"")</f>
        <v/>
      </c>
      <c r="O781" s="10" t="str">
        <f aca="false">IFERROR(VLOOKUP(A781,'Dados-Status-Invest'!$1:$1000,MATCH(O$1,'Dados-Status-Invest'!$2:$2,0),FALSE())/100,"")</f>
        <v/>
      </c>
      <c r="P781" s="10" t="str">
        <f aca="false">IFERROR(VLOOKUP(A781,'Dados-Status-Invest'!$1:$1000,MATCH(P$1,'Dados-Status-Invest'!$2:$2,0),FALSE())/100,"")</f>
        <v/>
      </c>
      <c r="Q781" s="10" t="str">
        <f aca="false">IFERROR(VLOOKUP(A781,'Dados-Status-Invest'!$1:$1000,MATCH(Q$1,'Dados-Status-Invest'!$2:$2,0),FALSE())/100,"")</f>
        <v/>
      </c>
      <c r="R781" s="12" t="str">
        <f aca="false">IFERROR(VLOOKUP(A781,'Dados-Status-Invest'!$1:$1000,MATCH(R$1,'Dados-Status-Invest'!$2:$2,0),FALSE()),"")</f>
        <v/>
      </c>
      <c r="S781" s="12" t="str">
        <f aca="false">IFERROR(VLOOKUP(A781,'Dados-Status-Invest'!$1:$1000,MATCH(S$1,'Dados-Status-Invest'!$2:$2,0),FALSE()),"")</f>
        <v/>
      </c>
      <c r="T781" s="12" t="str">
        <f aca="false">IFERROR(VLOOKUP(A781,'Dados-Status-Invest'!$1:$1000,MATCH(T$1,'Dados-Status-Invest'!$2:$2,0),FALSE()),"")</f>
        <v/>
      </c>
      <c r="U781" s="12" t="str">
        <f aca="false">IFERROR(VLOOKUP(A781,'Dados-Status-Invest'!$1:$1000,MATCH(U$1,'Dados-Status-Invest'!$2:$2,0),FALSE()),"")</f>
        <v/>
      </c>
      <c r="V781" s="12" t="str">
        <f aca="false">IFERROR(VLOOKUP(A781,'Dados-Status-Invest'!$1:$1000,MATCH(V$1,'Dados-Status-Invest'!$2:$2,0),FALSE()),"")</f>
        <v/>
      </c>
      <c r="W781" s="10" t="str">
        <f aca="false">IFERROR(VLOOKUP(A781,'Dados-Status-Invest'!$1:$1000,MATCH(W$1,'Dados-Status-Invest'!$2:$2,0),FALSE())/100,"")</f>
        <v/>
      </c>
      <c r="X781" s="10" t="str">
        <f aca="false">IFERROR(VLOOKUP(A781,'Dados-Status-Invest'!$1:$1000,MATCH(X$1,'Dados-Status-Invest'!$2:$2,0),FALSE())/100,"")</f>
        <v/>
      </c>
    </row>
    <row r="782" customFormat="false" ht="15.75" hidden="false" customHeight="false" outlineLevel="0" collapsed="false">
      <c r="B782" s="7" t="str">
        <f aca="false">IFERROR(VLOOKUP(LEFT(A782,4),Setor!A:D,2,FALSE()),"")</f>
        <v/>
      </c>
      <c r="C782" s="8" t="str">
        <f aca="false">IFERROR(__xludf.dummyfunction("IFERROR(IFERROR(GOOGLEFINANCE(A788,""price""),VLOOKUP(A788,'Dados-Status-Invest'!A:B,2,FALSE)),"""")"),"")</f>
        <v/>
      </c>
      <c r="D782" s="8" t="str">
        <f aca="false">IFERROR(VLOOKUP(A782,'Dados-Status-Invest'!$1:$1000,MATCH(D$1,'Dados-Status-Invest'!$2:$2,0),FALSE()),"")</f>
        <v/>
      </c>
      <c r="E782" s="8" t="e">
        <f aca="false">IF(D782+H782&gt;0,D782+H782,"")</f>
        <v>#VALUE!</v>
      </c>
      <c r="F782" s="8" t="str">
        <f aca="false">IFERROR(D782/VLOOKUP(A782,'Dados-Status-Invest'!$1:$1000,5,FALSE()),"")</f>
        <v/>
      </c>
      <c r="G782" s="8" t="str">
        <f aca="false">IFERROR(D782/VLOOKUP(A782,'Dados-Status-Invest'!$1:$1000,6,FALSE()),"")</f>
        <v/>
      </c>
      <c r="H782" s="8" t="str">
        <f aca="false">IFERROR(VLOOKUP(A782,'Dados-Status-Invest'!$1:$1000,12,FALSE())*J782,"")</f>
        <v/>
      </c>
      <c r="I782" s="8" t="str">
        <f aca="false">IFERROR(D782/VLOOKUP(A782,'Dados-Status-Invest'!$1:$1000,14,FALSE()),"")</f>
        <v/>
      </c>
      <c r="J782" s="9" t="str">
        <f aca="false">IFERROR(D782/VLOOKUP(A782,'Dados-Status-Invest'!$1:$1000,10,FALSE()),"")</f>
        <v/>
      </c>
      <c r="K782" s="10" t="str">
        <f aca="false">IFERROR(VLOOKUP(A782,'Dados-Status-Invest'!$1:$1000,3,FALSE())/100,"")</f>
        <v/>
      </c>
      <c r="L782" s="11" t="str">
        <f aca="false">IFERROR(VLOOKUP(A782,'Dados-Status-Invest'!$1:$1000,MATCH(L$1,'Dados-Status-Invest'!$2:$2,0),FALSE())/100,"")</f>
        <v/>
      </c>
      <c r="M782" s="10" t="str">
        <f aca="false">IFERROR(VLOOKUP(A782,'Dados-Status-Invest'!$1:$1000,MATCH(M$1,'Dados-Status-Invest'!$2:$2,0),FALSE())/100,"")</f>
        <v/>
      </c>
      <c r="N782" s="10" t="str">
        <f aca="false">IFERROR(VLOOKUP(A782,'Dados-Status-Invest'!$1:$1000,MATCH(N$1,'Dados-Status-Invest'!$2:$2,0),FALSE())/100,"")</f>
        <v/>
      </c>
      <c r="O782" s="10" t="str">
        <f aca="false">IFERROR(VLOOKUP(A782,'Dados-Status-Invest'!$1:$1000,MATCH(O$1,'Dados-Status-Invest'!$2:$2,0),FALSE())/100,"")</f>
        <v/>
      </c>
      <c r="P782" s="10" t="str">
        <f aca="false">IFERROR(VLOOKUP(A782,'Dados-Status-Invest'!$1:$1000,MATCH(P$1,'Dados-Status-Invest'!$2:$2,0),FALSE())/100,"")</f>
        <v/>
      </c>
      <c r="Q782" s="10" t="str">
        <f aca="false">IFERROR(VLOOKUP(A782,'Dados-Status-Invest'!$1:$1000,MATCH(Q$1,'Dados-Status-Invest'!$2:$2,0),FALSE())/100,"")</f>
        <v/>
      </c>
      <c r="R782" s="12" t="str">
        <f aca="false">IFERROR(VLOOKUP(A782,'Dados-Status-Invest'!$1:$1000,MATCH(R$1,'Dados-Status-Invest'!$2:$2,0),FALSE()),"")</f>
        <v/>
      </c>
      <c r="S782" s="12" t="str">
        <f aca="false">IFERROR(VLOOKUP(A782,'Dados-Status-Invest'!$1:$1000,MATCH(S$1,'Dados-Status-Invest'!$2:$2,0),FALSE()),"")</f>
        <v/>
      </c>
      <c r="T782" s="12" t="str">
        <f aca="false">IFERROR(VLOOKUP(A782,'Dados-Status-Invest'!$1:$1000,MATCH(T$1,'Dados-Status-Invest'!$2:$2,0),FALSE()),"")</f>
        <v/>
      </c>
      <c r="U782" s="12" t="str">
        <f aca="false">IFERROR(VLOOKUP(A782,'Dados-Status-Invest'!$1:$1000,MATCH(U$1,'Dados-Status-Invest'!$2:$2,0),FALSE()),"")</f>
        <v/>
      </c>
      <c r="V782" s="12" t="str">
        <f aca="false">IFERROR(VLOOKUP(A782,'Dados-Status-Invest'!$1:$1000,MATCH(V$1,'Dados-Status-Invest'!$2:$2,0),FALSE()),"")</f>
        <v/>
      </c>
      <c r="W782" s="10" t="str">
        <f aca="false">IFERROR(VLOOKUP(A782,'Dados-Status-Invest'!$1:$1000,MATCH(W$1,'Dados-Status-Invest'!$2:$2,0),FALSE())/100,"")</f>
        <v/>
      </c>
      <c r="X782" s="10" t="str">
        <f aca="false">IFERROR(VLOOKUP(A782,'Dados-Status-Invest'!$1:$1000,MATCH(X$1,'Dados-Status-Invest'!$2:$2,0),FALSE())/100,"")</f>
        <v/>
      </c>
    </row>
    <row r="783" customFormat="false" ht="15.75" hidden="false" customHeight="false" outlineLevel="0" collapsed="false">
      <c r="B783" s="7" t="str">
        <f aca="false">IFERROR(VLOOKUP(LEFT(A783,4),Setor!A:D,2,FALSE()),"")</f>
        <v/>
      </c>
      <c r="C783" s="8" t="str">
        <f aca="false">IFERROR(__xludf.dummyfunction("IFERROR(IFERROR(GOOGLEFINANCE(A789,""price""),VLOOKUP(A789,'Dados-Status-Invest'!A:B,2,FALSE)),"""")"),"")</f>
        <v/>
      </c>
      <c r="D783" s="8" t="str">
        <f aca="false">IFERROR(VLOOKUP(A783,'Dados-Status-Invest'!$1:$1000,MATCH(D$1,'Dados-Status-Invest'!$2:$2,0),FALSE()),"")</f>
        <v/>
      </c>
      <c r="E783" s="8" t="e">
        <f aca="false">IF(D783+H783&gt;0,D783+H783,"")</f>
        <v>#VALUE!</v>
      </c>
      <c r="F783" s="8" t="str">
        <f aca="false">IFERROR(D783/VLOOKUP(A783,'Dados-Status-Invest'!$1:$1000,5,FALSE()),"")</f>
        <v/>
      </c>
      <c r="G783" s="8" t="str">
        <f aca="false">IFERROR(D783/VLOOKUP(A783,'Dados-Status-Invest'!$1:$1000,6,FALSE()),"")</f>
        <v/>
      </c>
      <c r="H783" s="8" t="str">
        <f aca="false">IFERROR(VLOOKUP(A783,'Dados-Status-Invest'!$1:$1000,12,FALSE())*J783,"")</f>
        <v/>
      </c>
      <c r="I783" s="8" t="str">
        <f aca="false">IFERROR(D783/VLOOKUP(A783,'Dados-Status-Invest'!$1:$1000,14,FALSE()),"")</f>
        <v/>
      </c>
      <c r="J783" s="9" t="str">
        <f aca="false">IFERROR(D783/VLOOKUP(A783,'Dados-Status-Invest'!$1:$1000,10,FALSE()),"")</f>
        <v/>
      </c>
      <c r="K783" s="10" t="str">
        <f aca="false">IFERROR(VLOOKUP(A783,'Dados-Status-Invest'!$1:$1000,3,FALSE())/100,"")</f>
        <v/>
      </c>
      <c r="L783" s="11" t="str">
        <f aca="false">IFERROR(VLOOKUP(A783,'Dados-Status-Invest'!$1:$1000,MATCH(L$1,'Dados-Status-Invest'!$2:$2,0),FALSE())/100,"")</f>
        <v/>
      </c>
      <c r="M783" s="10" t="str">
        <f aca="false">IFERROR(VLOOKUP(A783,'Dados-Status-Invest'!$1:$1000,MATCH(M$1,'Dados-Status-Invest'!$2:$2,0),FALSE())/100,"")</f>
        <v/>
      </c>
      <c r="N783" s="10" t="str">
        <f aca="false">IFERROR(VLOOKUP(A783,'Dados-Status-Invest'!$1:$1000,MATCH(N$1,'Dados-Status-Invest'!$2:$2,0),FALSE())/100,"")</f>
        <v/>
      </c>
      <c r="O783" s="10" t="str">
        <f aca="false">IFERROR(VLOOKUP(A783,'Dados-Status-Invest'!$1:$1000,MATCH(O$1,'Dados-Status-Invest'!$2:$2,0),FALSE())/100,"")</f>
        <v/>
      </c>
      <c r="P783" s="10" t="str">
        <f aca="false">IFERROR(VLOOKUP(A783,'Dados-Status-Invest'!$1:$1000,MATCH(P$1,'Dados-Status-Invest'!$2:$2,0),FALSE())/100,"")</f>
        <v/>
      </c>
      <c r="Q783" s="10" t="str">
        <f aca="false">IFERROR(VLOOKUP(A783,'Dados-Status-Invest'!$1:$1000,MATCH(Q$1,'Dados-Status-Invest'!$2:$2,0),FALSE())/100,"")</f>
        <v/>
      </c>
      <c r="R783" s="12" t="str">
        <f aca="false">IFERROR(VLOOKUP(A783,'Dados-Status-Invest'!$1:$1000,MATCH(R$1,'Dados-Status-Invest'!$2:$2,0),FALSE()),"")</f>
        <v/>
      </c>
      <c r="S783" s="12" t="str">
        <f aca="false">IFERROR(VLOOKUP(A783,'Dados-Status-Invest'!$1:$1000,MATCH(S$1,'Dados-Status-Invest'!$2:$2,0),FALSE()),"")</f>
        <v/>
      </c>
      <c r="T783" s="12" t="str">
        <f aca="false">IFERROR(VLOOKUP(A783,'Dados-Status-Invest'!$1:$1000,MATCH(T$1,'Dados-Status-Invest'!$2:$2,0),FALSE()),"")</f>
        <v/>
      </c>
      <c r="U783" s="12" t="str">
        <f aca="false">IFERROR(VLOOKUP(A783,'Dados-Status-Invest'!$1:$1000,MATCH(U$1,'Dados-Status-Invest'!$2:$2,0),FALSE()),"")</f>
        <v/>
      </c>
      <c r="V783" s="12" t="str">
        <f aca="false">IFERROR(VLOOKUP(A783,'Dados-Status-Invest'!$1:$1000,MATCH(V$1,'Dados-Status-Invest'!$2:$2,0),FALSE()),"")</f>
        <v/>
      </c>
      <c r="W783" s="10" t="str">
        <f aca="false">IFERROR(VLOOKUP(A783,'Dados-Status-Invest'!$1:$1000,MATCH(W$1,'Dados-Status-Invest'!$2:$2,0),FALSE())/100,"")</f>
        <v/>
      </c>
      <c r="X783" s="10" t="str">
        <f aca="false">IFERROR(VLOOKUP(A783,'Dados-Status-Invest'!$1:$1000,MATCH(X$1,'Dados-Status-Invest'!$2:$2,0),FALSE())/100,"")</f>
        <v/>
      </c>
    </row>
    <row r="784" customFormat="false" ht="15.75" hidden="false" customHeight="false" outlineLevel="0" collapsed="false">
      <c r="B784" s="7" t="str">
        <f aca="false">IFERROR(VLOOKUP(LEFT(A784,4),Setor!A:D,2,FALSE()),"")</f>
        <v/>
      </c>
      <c r="C784" s="8" t="str">
        <f aca="false">IFERROR(__xludf.dummyfunction("IFERROR(IFERROR(GOOGLEFINANCE(A790,""price""),VLOOKUP(A790,'Dados-Status-Invest'!A:B,2,FALSE)),"""")"),"")</f>
        <v/>
      </c>
      <c r="D784" s="8" t="str">
        <f aca="false">IFERROR(VLOOKUP(A784,'Dados-Status-Invest'!$1:$1000,MATCH(D$1,'Dados-Status-Invest'!$2:$2,0),FALSE()),"")</f>
        <v/>
      </c>
      <c r="E784" s="8" t="e">
        <f aca="false">IF(D784+H784&gt;0,D784+H784,"")</f>
        <v>#VALUE!</v>
      </c>
      <c r="F784" s="8" t="str">
        <f aca="false">IFERROR(D784/VLOOKUP(A784,'Dados-Status-Invest'!$1:$1000,5,FALSE()),"")</f>
        <v/>
      </c>
      <c r="G784" s="8" t="str">
        <f aca="false">IFERROR(D784/VLOOKUP(A784,'Dados-Status-Invest'!$1:$1000,6,FALSE()),"")</f>
        <v/>
      </c>
      <c r="H784" s="8" t="str">
        <f aca="false">IFERROR(VLOOKUP(A784,'Dados-Status-Invest'!$1:$1000,12,FALSE())*J784,"")</f>
        <v/>
      </c>
      <c r="I784" s="8" t="str">
        <f aca="false">IFERROR(D784/VLOOKUP(A784,'Dados-Status-Invest'!$1:$1000,14,FALSE()),"")</f>
        <v/>
      </c>
      <c r="J784" s="9" t="str">
        <f aca="false">IFERROR(D784/VLOOKUP(A784,'Dados-Status-Invest'!$1:$1000,10,FALSE()),"")</f>
        <v/>
      </c>
      <c r="K784" s="10" t="str">
        <f aca="false">IFERROR(VLOOKUP(A784,'Dados-Status-Invest'!$1:$1000,3,FALSE())/100,"")</f>
        <v/>
      </c>
      <c r="L784" s="11" t="str">
        <f aca="false">IFERROR(VLOOKUP(A784,'Dados-Status-Invest'!$1:$1000,MATCH(L$1,'Dados-Status-Invest'!$2:$2,0),FALSE())/100,"")</f>
        <v/>
      </c>
      <c r="M784" s="10" t="str">
        <f aca="false">IFERROR(VLOOKUP(A784,'Dados-Status-Invest'!$1:$1000,MATCH(M$1,'Dados-Status-Invest'!$2:$2,0),FALSE())/100,"")</f>
        <v/>
      </c>
      <c r="N784" s="10" t="str">
        <f aca="false">IFERROR(VLOOKUP(A784,'Dados-Status-Invest'!$1:$1000,MATCH(N$1,'Dados-Status-Invest'!$2:$2,0),FALSE())/100,"")</f>
        <v/>
      </c>
      <c r="O784" s="10" t="str">
        <f aca="false">IFERROR(VLOOKUP(A784,'Dados-Status-Invest'!$1:$1000,MATCH(O$1,'Dados-Status-Invest'!$2:$2,0),FALSE())/100,"")</f>
        <v/>
      </c>
      <c r="P784" s="10" t="str">
        <f aca="false">IFERROR(VLOOKUP(A784,'Dados-Status-Invest'!$1:$1000,MATCH(P$1,'Dados-Status-Invest'!$2:$2,0),FALSE())/100,"")</f>
        <v/>
      </c>
      <c r="Q784" s="10" t="str">
        <f aca="false">IFERROR(VLOOKUP(A784,'Dados-Status-Invest'!$1:$1000,MATCH(Q$1,'Dados-Status-Invest'!$2:$2,0),FALSE())/100,"")</f>
        <v/>
      </c>
      <c r="R784" s="12" t="str">
        <f aca="false">IFERROR(VLOOKUP(A784,'Dados-Status-Invest'!$1:$1000,MATCH(R$1,'Dados-Status-Invest'!$2:$2,0),FALSE()),"")</f>
        <v/>
      </c>
      <c r="S784" s="12" t="str">
        <f aca="false">IFERROR(VLOOKUP(A784,'Dados-Status-Invest'!$1:$1000,MATCH(S$1,'Dados-Status-Invest'!$2:$2,0),FALSE()),"")</f>
        <v/>
      </c>
      <c r="T784" s="12" t="str">
        <f aca="false">IFERROR(VLOOKUP(A784,'Dados-Status-Invest'!$1:$1000,MATCH(T$1,'Dados-Status-Invest'!$2:$2,0),FALSE()),"")</f>
        <v/>
      </c>
      <c r="U784" s="12" t="str">
        <f aca="false">IFERROR(VLOOKUP(A784,'Dados-Status-Invest'!$1:$1000,MATCH(U$1,'Dados-Status-Invest'!$2:$2,0),FALSE()),"")</f>
        <v/>
      </c>
      <c r="V784" s="12" t="str">
        <f aca="false">IFERROR(VLOOKUP(A784,'Dados-Status-Invest'!$1:$1000,MATCH(V$1,'Dados-Status-Invest'!$2:$2,0),FALSE()),"")</f>
        <v/>
      </c>
      <c r="W784" s="10" t="str">
        <f aca="false">IFERROR(VLOOKUP(A784,'Dados-Status-Invest'!$1:$1000,MATCH(W$1,'Dados-Status-Invest'!$2:$2,0),FALSE())/100,"")</f>
        <v/>
      </c>
      <c r="X784" s="10" t="str">
        <f aca="false">IFERROR(VLOOKUP(A784,'Dados-Status-Invest'!$1:$1000,MATCH(X$1,'Dados-Status-Invest'!$2:$2,0),FALSE())/100,"")</f>
        <v/>
      </c>
    </row>
    <row r="785" customFormat="false" ht="15.75" hidden="false" customHeight="false" outlineLevel="0" collapsed="false">
      <c r="B785" s="7" t="str">
        <f aca="false">IFERROR(VLOOKUP(LEFT(A785,4),Setor!A:D,2,FALSE()),"")</f>
        <v/>
      </c>
      <c r="C785" s="8" t="str">
        <f aca="false">IFERROR(__xludf.dummyfunction("IFERROR(IFERROR(GOOGLEFINANCE(A791,""price""),VLOOKUP(A791,'Dados-Status-Invest'!A:B,2,FALSE)),"""")"),"")</f>
        <v/>
      </c>
      <c r="D785" s="8" t="str">
        <f aca="false">IFERROR(VLOOKUP(A785,'Dados-Status-Invest'!$1:$1000,MATCH(D$1,'Dados-Status-Invest'!$2:$2,0),FALSE()),"")</f>
        <v/>
      </c>
      <c r="E785" s="8" t="e">
        <f aca="false">IF(D785+H785&gt;0,D785+H785,"")</f>
        <v>#VALUE!</v>
      </c>
      <c r="F785" s="8" t="str">
        <f aca="false">IFERROR(D785/VLOOKUP(A785,'Dados-Status-Invest'!$1:$1000,5,FALSE()),"")</f>
        <v/>
      </c>
      <c r="G785" s="8" t="str">
        <f aca="false">IFERROR(D785/VLOOKUP(A785,'Dados-Status-Invest'!$1:$1000,6,FALSE()),"")</f>
        <v/>
      </c>
      <c r="H785" s="8" t="str">
        <f aca="false">IFERROR(VLOOKUP(A785,'Dados-Status-Invest'!$1:$1000,12,FALSE())*J785,"")</f>
        <v/>
      </c>
      <c r="I785" s="8" t="str">
        <f aca="false">IFERROR(D785/VLOOKUP(A785,'Dados-Status-Invest'!$1:$1000,14,FALSE()),"")</f>
        <v/>
      </c>
      <c r="J785" s="9" t="str">
        <f aca="false">IFERROR(D785/VLOOKUP(A785,'Dados-Status-Invest'!$1:$1000,10,FALSE()),"")</f>
        <v/>
      </c>
      <c r="K785" s="10" t="str">
        <f aca="false">IFERROR(VLOOKUP(A785,'Dados-Status-Invest'!$1:$1000,3,FALSE())/100,"")</f>
        <v/>
      </c>
      <c r="L785" s="11" t="str">
        <f aca="false">IFERROR(VLOOKUP(A785,'Dados-Status-Invest'!$1:$1000,MATCH(L$1,'Dados-Status-Invest'!$2:$2,0),FALSE())/100,"")</f>
        <v/>
      </c>
      <c r="M785" s="10" t="str">
        <f aca="false">IFERROR(VLOOKUP(A785,'Dados-Status-Invest'!$1:$1000,MATCH(M$1,'Dados-Status-Invest'!$2:$2,0),FALSE())/100,"")</f>
        <v/>
      </c>
      <c r="N785" s="10" t="str">
        <f aca="false">IFERROR(VLOOKUP(A785,'Dados-Status-Invest'!$1:$1000,MATCH(N$1,'Dados-Status-Invest'!$2:$2,0),FALSE())/100,"")</f>
        <v/>
      </c>
      <c r="O785" s="10" t="str">
        <f aca="false">IFERROR(VLOOKUP(A785,'Dados-Status-Invest'!$1:$1000,MATCH(O$1,'Dados-Status-Invest'!$2:$2,0),FALSE())/100,"")</f>
        <v/>
      </c>
      <c r="P785" s="10" t="str">
        <f aca="false">IFERROR(VLOOKUP(A785,'Dados-Status-Invest'!$1:$1000,MATCH(P$1,'Dados-Status-Invest'!$2:$2,0),FALSE())/100,"")</f>
        <v/>
      </c>
      <c r="Q785" s="10" t="str">
        <f aca="false">IFERROR(VLOOKUP(A785,'Dados-Status-Invest'!$1:$1000,MATCH(Q$1,'Dados-Status-Invest'!$2:$2,0),FALSE())/100,"")</f>
        <v/>
      </c>
      <c r="R785" s="12" t="str">
        <f aca="false">IFERROR(VLOOKUP(A785,'Dados-Status-Invest'!$1:$1000,MATCH(R$1,'Dados-Status-Invest'!$2:$2,0),FALSE()),"")</f>
        <v/>
      </c>
      <c r="S785" s="12" t="str">
        <f aca="false">IFERROR(VLOOKUP(A785,'Dados-Status-Invest'!$1:$1000,MATCH(S$1,'Dados-Status-Invest'!$2:$2,0),FALSE()),"")</f>
        <v/>
      </c>
      <c r="T785" s="12" t="str">
        <f aca="false">IFERROR(VLOOKUP(A785,'Dados-Status-Invest'!$1:$1000,MATCH(T$1,'Dados-Status-Invest'!$2:$2,0),FALSE()),"")</f>
        <v/>
      </c>
      <c r="U785" s="12" t="str">
        <f aca="false">IFERROR(VLOOKUP(A785,'Dados-Status-Invest'!$1:$1000,MATCH(U$1,'Dados-Status-Invest'!$2:$2,0),FALSE()),"")</f>
        <v/>
      </c>
      <c r="V785" s="12" t="str">
        <f aca="false">IFERROR(VLOOKUP(A785,'Dados-Status-Invest'!$1:$1000,MATCH(V$1,'Dados-Status-Invest'!$2:$2,0),FALSE()),"")</f>
        <v/>
      </c>
      <c r="W785" s="10" t="str">
        <f aca="false">IFERROR(VLOOKUP(A785,'Dados-Status-Invest'!$1:$1000,MATCH(W$1,'Dados-Status-Invest'!$2:$2,0),FALSE())/100,"")</f>
        <v/>
      </c>
      <c r="X785" s="10" t="str">
        <f aca="false">IFERROR(VLOOKUP(A785,'Dados-Status-Invest'!$1:$1000,MATCH(X$1,'Dados-Status-Invest'!$2:$2,0),FALSE())/100,"")</f>
        <v/>
      </c>
    </row>
    <row r="786" customFormat="false" ht="15.75" hidden="false" customHeight="false" outlineLevel="0" collapsed="false">
      <c r="B786" s="7" t="str">
        <f aca="false">IFERROR(VLOOKUP(LEFT(A786,4),Setor!A:D,2,FALSE()),"")</f>
        <v/>
      </c>
      <c r="C786" s="8" t="str">
        <f aca="false">IFERROR(__xludf.dummyfunction("IFERROR(IFERROR(GOOGLEFINANCE(A792,""price""),VLOOKUP(A792,'Dados-Status-Invest'!A:B,2,FALSE)),"""")"),"")</f>
        <v/>
      </c>
      <c r="D786" s="8" t="str">
        <f aca="false">IFERROR(VLOOKUP(A786,'Dados-Status-Invest'!$1:$1000,MATCH(D$1,'Dados-Status-Invest'!$2:$2,0),FALSE()),"")</f>
        <v/>
      </c>
      <c r="E786" s="8" t="e">
        <f aca="false">IF(D786+H786&gt;0,D786+H786,"")</f>
        <v>#VALUE!</v>
      </c>
      <c r="F786" s="8" t="str">
        <f aca="false">IFERROR(D786/VLOOKUP(A786,'Dados-Status-Invest'!$1:$1000,5,FALSE()),"")</f>
        <v/>
      </c>
      <c r="G786" s="8" t="str">
        <f aca="false">IFERROR(D786/VLOOKUP(A786,'Dados-Status-Invest'!$1:$1000,6,FALSE()),"")</f>
        <v/>
      </c>
      <c r="H786" s="8" t="str">
        <f aca="false">IFERROR(VLOOKUP(A786,'Dados-Status-Invest'!$1:$1000,12,FALSE())*J786,"")</f>
        <v/>
      </c>
      <c r="I786" s="8" t="str">
        <f aca="false">IFERROR(D786/VLOOKUP(A786,'Dados-Status-Invest'!$1:$1000,14,FALSE()),"")</f>
        <v/>
      </c>
      <c r="J786" s="9" t="str">
        <f aca="false">IFERROR(D786/VLOOKUP(A786,'Dados-Status-Invest'!$1:$1000,10,FALSE()),"")</f>
        <v/>
      </c>
      <c r="K786" s="10" t="str">
        <f aca="false">IFERROR(VLOOKUP(A786,'Dados-Status-Invest'!$1:$1000,3,FALSE())/100,"")</f>
        <v/>
      </c>
      <c r="L786" s="11" t="str">
        <f aca="false">IFERROR(VLOOKUP(A786,'Dados-Status-Invest'!$1:$1000,MATCH(L$1,'Dados-Status-Invest'!$2:$2,0),FALSE())/100,"")</f>
        <v/>
      </c>
      <c r="M786" s="10" t="str">
        <f aca="false">IFERROR(VLOOKUP(A786,'Dados-Status-Invest'!$1:$1000,MATCH(M$1,'Dados-Status-Invest'!$2:$2,0),FALSE())/100,"")</f>
        <v/>
      </c>
      <c r="N786" s="10" t="str">
        <f aca="false">IFERROR(VLOOKUP(A786,'Dados-Status-Invest'!$1:$1000,MATCH(N$1,'Dados-Status-Invest'!$2:$2,0),FALSE())/100,"")</f>
        <v/>
      </c>
      <c r="O786" s="10" t="str">
        <f aca="false">IFERROR(VLOOKUP(A786,'Dados-Status-Invest'!$1:$1000,MATCH(O$1,'Dados-Status-Invest'!$2:$2,0),FALSE())/100,"")</f>
        <v/>
      </c>
      <c r="P786" s="10" t="str">
        <f aca="false">IFERROR(VLOOKUP(A786,'Dados-Status-Invest'!$1:$1000,MATCH(P$1,'Dados-Status-Invest'!$2:$2,0),FALSE())/100,"")</f>
        <v/>
      </c>
      <c r="Q786" s="10" t="str">
        <f aca="false">IFERROR(VLOOKUP(A786,'Dados-Status-Invest'!$1:$1000,MATCH(Q$1,'Dados-Status-Invest'!$2:$2,0),FALSE())/100,"")</f>
        <v/>
      </c>
      <c r="R786" s="12" t="str">
        <f aca="false">IFERROR(VLOOKUP(A786,'Dados-Status-Invest'!$1:$1000,MATCH(R$1,'Dados-Status-Invest'!$2:$2,0),FALSE()),"")</f>
        <v/>
      </c>
      <c r="S786" s="12" t="str">
        <f aca="false">IFERROR(VLOOKUP(A786,'Dados-Status-Invest'!$1:$1000,MATCH(S$1,'Dados-Status-Invest'!$2:$2,0),FALSE()),"")</f>
        <v/>
      </c>
      <c r="T786" s="12" t="str">
        <f aca="false">IFERROR(VLOOKUP(A786,'Dados-Status-Invest'!$1:$1000,MATCH(T$1,'Dados-Status-Invest'!$2:$2,0),FALSE()),"")</f>
        <v/>
      </c>
      <c r="U786" s="12" t="str">
        <f aca="false">IFERROR(VLOOKUP(A786,'Dados-Status-Invest'!$1:$1000,MATCH(U$1,'Dados-Status-Invest'!$2:$2,0),FALSE()),"")</f>
        <v/>
      </c>
      <c r="V786" s="12" t="str">
        <f aca="false">IFERROR(VLOOKUP(A786,'Dados-Status-Invest'!$1:$1000,MATCH(V$1,'Dados-Status-Invest'!$2:$2,0),FALSE()),"")</f>
        <v/>
      </c>
      <c r="W786" s="10" t="str">
        <f aca="false">IFERROR(VLOOKUP(A786,'Dados-Status-Invest'!$1:$1000,MATCH(W$1,'Dados-Status-Invest'!$2:$2,0),FALSE())/100,"")</f>
        <v/>
      </c>
      <c r="X786" s="10" t="str">
        <f aca="false">IFERROR(VLOOKUP(A786,'Dados-Status-Invest'!$1:$1000,MATCH(X$1,'Dados-Status-Invest'!$2:$2,0),FALSE())/100,"")</f>
        <v/>
      </c>
    </row>
    <row r="787" customFormat="false" ht="15.75" hidden="false" customHeight="false" outlineLevel="0" collapsed="false">
      <c r="B787" s="7" t="str">
        <f aca="false">IFERROR(VLOOKUP(LEFT(A787,4),Setor!A:D,2,FALSE()),"")</f>
        <v/>
      </c>
      <c r="C787" s="8" t="str">
        <f aca="false">IFERROR(__xludf.dummyfunction("IFERROR(IFERROR(GOOGLEFINANCE(A793,""price""),VLOOKUP(A793,'Dados-Status-Invest'!A:B,2,FALSE)),"""")"),"")</f>
        <v/>
      </c>
      <c r="D787" s="8" t="str">
        <f aca="false">IFERROR(VLOOKUP(A787,'Dados-Status-Invest'!$1:$1000,MATCH(D$1,'Dados-Status-Invest'!$2:$2,0),FALSE()),"")</f>
        <v/>
      </c>
      <c r="E787" s="8" t="e">
        <f aca="false">IF(D787+H787&gt;0,D787+H787,"")</f>
        <v>#VALUE!</v>
      </c>
      <c r="F787" s="8" t="str">
        <f aca="false">IFERROR(D787/VLOOKUP(A787,'Dados-Status-Invest'!$1:$1000,5,FALSE()),"")</f>
        <v/>
      </c>
      <c r="G787" s="8" t="str">
        <f aca="false">IFERROR(D787/VLOOKUP(A787,'Dados-Status-Invest'!$1:$1000,6,FALSE()),"")</f>
        <v/>
      </c>
      <c r="H787" s="8" t="str">
        <f aca="false">IFERROR(VLOOKUP(A787,'Dados-Status-Invest'!$1:$1000,12,FALSE())*J787,"")</f>
        <v/>
      </c>
      <c r="I787" s="8" t="str">
        <f aca="false">IFERROR(D787/VLOOKUP(A787,'Dados-Status-Invest'!$1:$1000,14,FALSE()),"")</f>
        <v/>
      </c>
      <c r="J787" s="9" t="str">
        <f aca="false">IFERROR(D787/VLOOKUP(A787,'Dados-Status-Invest'!$1:$1000,10,FALSE()),"")</f>
        <v/>
      </c>
      <c r="K787" s="10" t="str">
        <f aca="false">IFERROR(VLOOKUP(A787,'Dados-Status-Invest'!$1:$1000,3,FALSE())/100,"")</f>
        <v/>
      </c>
      <c r="L787" s="11" t="str">
        <f aca="false">IFERROR(VLOOKUP(A787,'Dados-Status-Invest'!$1:$1000,MATCH(L$1,'Dados-Status-Invest'!$2:$2,0),FALSE())/100,"")</f>
        <v/>
      </c>
      <c r="M787" s="10" t="str">
        <f aca="false">IFERROR(VLOOKUP(A787,'Dados-Status-Invest'!$1:$1000,MATCH(M$1,'Dados-Status-Invest'!$2:$2,0),FALSE())/100,"")</f>
        <v/>
      </c>
      <c r="N787" s="10" t="str">
        <f aca="false">IFERROR(VLOOKUP(A787,'Dados-Status-Invest'!$1:$1000,MATCH(N$1,'Dados-Status-Invest'!$2:$2,0),FALSE())/100,"")</f>
        <v/>
      </c>
      <c r="O787" s="10" t="str">
        <f aca="false">IFERROR(VLOOKUP(A787,'Dados-Status-Invest'!$1:$1000,MATCH(O$1,'Dados-Status-Invest'!$2:$2,0),FALSE())/100,"")</f>
        <v/>
      </c>
      <c r="P787" s="10" t="str">
        <f aca="false">IFERROR(VLOOKUP(A787,'Dados-Status-Invest'!$1:$1000,MATCH(P$1,'Dados-Status-Invest'!$2:$2,0),FALSE())/100,"")</f>
        <v/>
      </c>
      <c r="Q787" s="10" t="str">
        <f aca="false">IFERROR(VLOOKUP(A787,'Dados-Status-Invest'!$1:$1000,MATCH(Q$1,'Dados-Status-Invest'!$2:$2,0),FALSE())/100,"")</f>
        <v/>
      </c>
      <c r="R787" s="12" t="str">
        <f aca="false">IFERROR(VLOOKUP(A787,'Dados-Status-Invest'!$1:$1000,MATCH(R$1,'Dados-Status-Invest'!$2:$2,0),FALSE()),"")</f>
        <v/>
      </c>
      <c r="S787" s="12" t="str">
        <f aca="false">IFERROR(VLOOKUP(A787,'Dados-Status-Invest'!$1:$1000,MATCH(S$1,'Dados-Status-Invest'!$2:$2,0),FALSE()),"")</f>
        <v/>
      </c>
      <c r="T787" s="12" t="str">
        <f aca="false">IFERROR(VLOOKUP(A787,'Dados-Status-Invest'!$1:$1000,MATCH(T$1,'Dados-Status-Invest'!$2:$2,0),FALSE()),"")</f>
        <v/>
      </c>
      <c r="U787" s="12" t="str">
        <f aca="false">IFERROR(VLOOKUP(A787,'Dados-Status-Invest'!$1:$1000,MATCH(U$1,'Dados-Status-Invest'!$2:$2,0),FALSE()),"")</f>
        <v/>
      </c>
      <c r="V787" s="12" t="str">
        <f aca="false">IFERROR(VLOOKUP(A787,'Dados-Status-Invest'!$1:$1000,MATCH(V$1,'Dados-Status-Invest'!$2:$2,0),FALSE()),"")</f>
        <v/>
      </c>
      <c r="W787" s="10" t="str">
        <f aca="false">IFERROR(VLOOKUP(A787,'Dados-Status-Invest'!$1:$1000,MATCH(W$1,'Dados-Status-Invest'!$2:$2,0),FALSE())/100,"")</f>
        <v/>
      </c>
      <c r="X787" s="10" t="str">
        <f aca="false">IFERROR(VLOOKUP(A787,'Dados-Status-Invest'!$1:$1000,MATCH(X$1,'Dados-Status-Invest'!$2:$2,0),FALSE())/100,"")</f>
        <v/>
      </c>
    </row>
    <row r="788" customFormat="false" ht="15.75" hidden="false" customHeight="false" outlineLevel="0" collapsed="false">
      <c r="B788" s="7" t="str">
        <f aca="false">IFERROR(VLOOKUP(LEFT(A788,4),Setor!A:D,2,FALSE()),"")</f>
        <v/>
      </c>
      <c r="C788" s="8" t="str">
        <f aca="false">IFERROR(__xludf.dummyfunction("IFERROR(IFERROR(GOOGLEFINANCE(A794,""price""),VLOOKUP(A794,'Dados-Status-Invest'!A:B,2,FALSE)),"""")"),"")</f>
        <v/>
      </c>
      <c r="D788" s="8" t="str">
        <f aca="false">IFERROR(VLOOKUP(A788,'Dados-Status-Invest'!$1:$1000,MATCH(D$1,'Dados-Status-Invest'!$2:$2,0),FALSE()),"")</f>
        <v/>
      </c>
      <c r="E788" s="8" t="e">
        <f aca="false">IF(D788+H788&gt;0,D788+H788,"")</f>
        <v>#VALUE!</v>
      </c>
      <c r="F788" s="8" t="str">
        <f aca="false">IFERROR(D788/VLOOKUP(A788,'Dados-Status-Invest'!$1:$1000,5,FALSE()),"")</f>
        <v/>
      </c>
      <c r="G788" s="8" t="str">
        <f aca="false">IFERROR(D788/VLOOKUP(A788,'Dados-Status-Invest'!$1:$1000,6,FALSE()),"")</f>
        <v/>
      </c>
      <c r="H788" s="8" t="str">
        <f aca="false">IFERROR(VLOOKUP(A788,'Dados-Status-Invest'!$1:$1000,12,FALSE())*J788,"")</f>
        <v/>
      </c>
      <c r="I788" s="8" t="str">
        <f aca="false">IFERROR(D788/VLOOKUP(A788,'Dados-Status-Invest'!$1:$1000,14,FALSE()),"")</f>
        <v/>
      </c>
      <c r="J788" s="9" t="str">
        <f aca="false">IFERROR(D788/VLOOKUP(A788,'Dados-Status-Invest'!$1:$1000,10,FALSE()),"")</f>
        <v/>
      </c>
      <c r="K788" s="10" t="str">
        <f aca="false">IFERROR(VLOOKUP(A788,'Dados-Status-Invest'!$1:$1000,3,FALSE())/100,"")</f>
        <v/>
      </c>
      <c r="L788" s="11" t="str">
        <f aca="false">IFERROR(VLOOKUP(A788,'Dados-Status-Invest'!$1:$1000,MATCH(L$1,'Dados-Status-Invest'!$2:$2,0),FALSE())/100,"")</f>
        <v/>
      </c>
      <c r="M788" s="10" t="str">
        <f aca="false">IFERROR(VLOOKUP(A788,'Dados-Status-Invest'!$1:$1000,MATCH(M$1,'Dados-Status-Invest'!$2:$2,0),FALSE())/100,"")</f>
        <v/>
      </c>
      <c r="N788" s="10" t="str">
        <f aca="false">IFERROR(VLOOKUP(A788,'Dados-Status-Invest'!$1:$1000,MATCH(N$1,'Dados-Status-Invest'!$2:$2,0),FALSE())/100,"")</f>
        <v/>
      </c>
      <c r="O788" s="10" t="str">
        <f aca="false">IFERROR(VLOOKUP(A788,'Dados-Status-Invest'!$1:$1000,MATCH(O$1,'Dados-Status-Invest'!$2:$2,0),FALSE())/100,"")</f>
        <v/>
      </c>
      <c r="P788" s="10" t="str">
        <f aca="false">IFERROR(VLOOKUP(A788,'Dados-Status-Invest'!$1:$1000,MATCH(P$1,'Dados-Status-Invest'!$2:$2,0),FALSE())/100,"")</f>
        <v/>
      </c>
      <c r="Q788" s="10" t="str">
        <f aca="false">IFERROR(VLOOKUP(A788,'Dados-Status-Invest'!$1:$1000,MATCH(Q$1,'Dados-Status-Invest'!$2:$2,0),FALSE())/100,"")</f>
        <v/>
      </c>
      <c r="R788" s="12" t="str">
        <f aca="false">IFERROR(VLOOKUP(A788,'Dados-Status-Invest'!$1:$1000,MATCH(R$1,'Dados-Status-Invest'!$2:$2,0),FALSE()),"")</f>
        <v/>
      </c>
      <c r="S788" s="12" t="str">
        <f aca="false">IFERROR(VLOOKUP(A788,'Dados-Status-Invest'!$1:$1000,MATCH(S$1,'Dados-Status-Invest'!$2:$2,0),FALSE()),"")</f>
        <v/>
      </c>
      <c r="T788" s="12" t="str">
        <f aca="false">IFERROR(VLOOKUP(A788,'Dados-Status-Invest'!$1:$1000,MATCH(T$1,'Dados-Status-Invest'!$2:$2,0),FALSE()),"")</f>
        <v/>
      </c>
      <c r="U788" s="12" t="str">
        <f aca="false">IFERROR(VLOOKUP(A788,'Dados-Status-Invest'!$1:$1000,MATCH(U$1,'Dados-Status-Invest'!$2:$2,0),FALSE()),"")</f>
        <v/>
      </c>
      <c r="V788" s="12" t="str">
        <f aca="false">IFERROR(VLOOKUP(A788,'Dados-Status-Invest'!$1:$1000,MATCH(V$1,'Dados-Status-Invest'!$2:$2,0),FALSE()),"")</f>
        <v/>
      </c>
      <c r="W788" s="10" t="str">
        <f aca="false">IFERROR(VLOOKUP(A788,'Dados-Status-Invest'!$1:$1000,MATCH(W$1,'Dados-Status-Invest'!$2:$2,0),FALSE())/100,"")</f>
        <v/>
      </c>
      <c r="X788" s="10" t="str">
        <f aca="false">IFERROR(VLOOKUP(A788,'Dados-Status-Invest'!$1:$1000,MATCH(X$1,'Dados-Status-Invest'!$2:$2,0),FALSE())/100,"")</f>
        <v/>
      </c>
    </row>
    <row r="789" customFormat="false" ht="15.75" hidden="false" customHeight="false" outlineLevel="0" collapsed="false">
      <c r="B789" s="7" t="str">
        <f aca="false">IFERROR(VLOOKUP(LEFT(A789,4),Setor!A:D,2,FALSE()),"")</f>
        <v/>
      </c>
      <c r="C789" s="8" t="str">
        <f aca="false">IFERROR(__xludf.dummyfunction("IFERROR(IFERROR(GOOGLEFINANCE(A795,""price""),VLOOKUP(A795,'Dados-Status-Invest'!A:B,2,FALSE)),"""")"),"")</f>
        <v/>
      </c>
      <c r="D789" s="8" t="str">
        <f aca="false">IFERROR(VLOOKUP(A789,'Dados-Status-Invest'!$1:$1000,MATCH(D$1,'Dados-Status-Invest'!$2:$2,0),FALSE()),"")</f>
        <v/>
      </c>
      <c r="E789" s="8" t="e">
        <f aca="false">IF(D789+H789&gt;0,D789+H789,"")</f>
        <v>#VALUE!</v>
      </c>
      <c r="F789" s="8" t="str">
        <f aca="false">IFERROR(D789/VLOOKUP(A789,'Dados-Status-Invest'!$1:$1000,5,FALSE()),"")</f>
        <v/>
      </c>
      <c r="G789" s="8" t="str">
        <f aca="false">IFERROR(D789/VLOOKUP(A789,'Dados-Status-Invest'!$1:$1000,6,FALSE()),"")</f>
        <v/>
      </c>
      <c r="H789" s="8" t="str">
        <f aca="false">IFERROR(VLOOKUP(A789,'Dados-Status-Invest'!$1:$1000,12,FALSE())*J789,"")</f>
        <v/>
      </c>
      <c r="I789" s="8" t="str">
        <f aca="false">IFERROR(D789/VLOOKUP(A789,'Dados-Status-Invest'!$1:$1000,14,FALSE()),"")</f>
        <v/>
      </c>
      <c r="J789" s="9" t="str">
        <f aca="false">IFERROR(D789/VLOOKUP(A789,'Dados-Status-Invest'!$1:$1000,10,FALSE()),"")</f>
        <v/>
      </c>
      <c r="K789" s="10" t="str">
        <f aca="false">IFERROR(VLOOKUP(A789,'Dados-Status-Invest'!$1:$1000,3,FALSE())/100,"")</f>
        <v/>
      </c>
      <c r="L789" s="11" t="str">
        <f aca="false">IFERROR(VLOOKUP(A789,'Dados-Status-Invest'!$1:$1000,MATCH(L$1,'Dados-Status-Invest'!$2:$2,0),FALSE())/100,"")</f>
        <v/>
      </c>
      <c r="M789" s="10" t="str">
        <f aca="false">IFERROR(VLOOKUP(A789,'Dados-Status-Invest'!$1:$1000,MATCH(M$1,'Dados-Status-Invest'!$2:$2,0),FALSE())/100,"")</f>
        <v/>
      </c>
      <c r="N789" s="10" t="str">
        <f aca="false">IFERROR(VLOOKUP(A789,'Dados-Status-Invest'!$1:$1000,MATCH(N$1,'Dados-Status-Invest'!$2:$2,0),FALSE())/100,"")</f>
        <v/>
      </c>
      <c r="O789" s="10" t="str">
        <f aca="false">IFERROR(VLOOKUP(A789,'Dados-Status-Invest'!$1:$1000,MATCH(O$1,'Dados-Status-Invest'!$2:$2,0),FALSE())/100,"")</f>
        <v/>
      </c>
      <c r="P789" s="10" t="str">
        <f aca="false">IFERROR(VLOOKUP(A789,'Dados-Status-Invest'!$1:$1000,MATCH(P$1,'Dados-Status-Invest'!$2:$2,0),FALSE())/100,"")</f>
        <v/>
      </c>
      <c r="Q789" s="10" t="str">
        <f aca="false">IFERROR(VLOOKUP(A789,'Dados-Status-Invest'!$1:$1000,MATCH(Q$1,'Dados-Status-Invest'!$2:$2,0),FALSE())/100,"")</f>
        <v/>
      </c>
      <c r="R789" s="12" t="str">
        <f aca="false">IFERROR(VLOOKUP(A789,'Dados-Status-Invest'!$1:$1000,MATCH(R$1,'Dados-Status-Invest'!$2:$2,0),FALSE()),"")</f>
        <v/>
      </c>
      <c r="S789" s="12" t="str">
        <f aca="false">IFERROR(VLOOKUP(A789,'Dados-Status-Invest'!$1:$1000,MATCH(S$1,'Dados-Status-Invest'!$2:$2,0),FALSE()),"")</f>
        <v/>
      </c>
      <c r="T789" s="12" t="str">
        <f aca="false">IFERROR(VLOOKUP(A789,'Dados-Status-Invest'!$1:$1000,MATCH(T$1,'Dados-Status-Invest'!$2:$2,0),FALSE()),"")</f>
        <v/>
      </c>
      <c r="U789" s="12" t="str">
        <f aca="false">IFERROR(VLOOKUP(A789,'Dados-Status-Invest'!$1:$1000,MATCH(U$1,'Dados-Status-Invest'!$2:$2,0),FALSE()),"")</f>
        <v/>
      </c>
      <c r="V789" s="12" t="str">
        <f aca="false">IFERROR(VLOOKUP(A789,'Dados-Status-Invest'!$1:$1000,MATCH(V$1,'Dados-Status-Invest'!$2:$2,0),FALSE()),"")</f>
        <v/>
      </c>
      <c r="W789" s="10" t="str">
        <f aca="false">IFERROR(VLOOKUP(A789,'Dados-Status-Invest'!$1:$1000,MATCH(W$1,'Dados-Status-Invest'!$2:$2,0),FALSE())/100,"")</f>
        <v/>
      </c>
      <c r="X789" s="10" t="str">
        <f aca="false">IFERROR(VLOOKUP(A789,'Dados-Status-Invest'!$1:$1000,MATCH(X$1,'Dados-Status-Invest'!$2:$2,0),FALSE())/100,"")</f>
        <v/>
      </c>
    </row>
    <row r="790" customFormat="false" ht="15.75" hidden="false" customHeight="false" outlineLevel="0" collapsed="false">
      <c r="B790" s="7" t="str">
        <f aca="false">IFERROR(VLOOKUP(LEFT(A790,4),Setor!A:D,2,FALSE()),"")</f>
        <v/>
      </c>
      <c r="C790" s="8" t="str">
        <f aca="false">IFERROR(__xludf.dummyfunction("IFERROR(IFERROR(GOOGLEFINANCE(A796,""price""),VLOOKUP(A796,'Dados-Status-Invest'!A:B,2,FALSE)),"""")"),"")</f>
        <v/>
      </c>
      <c r="D790" s="8" t="str">
        <f aca="false">IFERROR(VLOOKUP(A790,'Dados-Status-Invest'!$1:$1000,MATCH(D$1,'Dados-Status-Invest'!$2:$2,0),FALSE()),"")</f>
        <v/>
      </c>
      <c r="E790" s="8" t="e">
        <f aca="false">IF(D790+H790&gt;0,D790+H790,"")</f>
        <v>#VALUE!</v>
      </c>
      <c r="F790" s="8" t="str">
        <f aca="false">IFERROR(D790/VLOOKUP(A790,'Dados-Status-Invest'!$1:$1000,5,FALSE()),"")</f>
        <v/>
      </c>
      <c r="G790" s="8" t="str">
        <f aca="false">IFERROR(D790/VLOOKUP(A790,'Dados-Status-Invest'!$1:$1000,6,FALSE()),"")</f>
        <v/>
      </c>
      <c r="H790" s="8" t="str">
        <f aca="false">IFERROR(VLOOKUP(A790,'Dados-Status-Invest'!$1:$1000,12,FALSE())*J790,"")</f>
        <v/>
      </c>
      <c r="I790" s="8" t="str">
        <f aca="false">IFERROR(D790/VLOOKUP(A790,'Dados-Status-Invest'!$1:$1000,14,FALSE()),"")</f>
        <v/>
      </c>
      <c r="J790" s="9" t="str">
        <f aca="false">IFERROR(D790/VLOOKUP(A790,'Dados-Status-Invest'!$1:$1000,10,FALSE()),"")</f>
        <v/>
      </c>
      <c r="K790" s="10" t="str">
        <f aca="false">IFERROR(VLOOKUP(A790,'Dados-Status-Invest'!$1:$1000,3,FALSE())/100,"")</f>
        <v/>
      </c>
      <c r="L790" s="11" t="str">
        <f aca="false">IFERROR(VLOOKUP(A790,'Dados-Status-Invest'!$1:$1000,MATCH(L$1,'Dados-Status-Invest'!$2:$2,0),FALSE())/100,"")</f>
        <v/>
      </c>
      <c r="M790" s="10" t="str">
        <f aca="false">IFERROR(VLOOKUP(A790,'Dados-Status-Invest'!$1:$1000,MATCH(M$1,'Dados-Status-Invest'!$2:$2,0),FALSE())/100,"")</f>
        <v/>
      </c>
      <c r="N790" s="10" t="str">
        <f aca="false">IFERROR(VLOOKUP(A790,'Dados-Status-Invest'!$1:$1000,MATCH(N$1,'Dados-Status-Invest'!$2:$2,0),FALSE())/100,"")</f>
        <v/>
      </c>
      <c r="O790" s="10" t="str">
        <f aca="false">IFERROR(VLOOKUP(A790,'Dados-Status-Invest'!$1:$1000,MATCH(O$1,'Dados-Status-Invest'!$2:$2,0),FALSE())/100,"")</f>
        <v/>
      </c>
      <c r="P790" s="10" t="str">
        <f aca="false">IFERROR(VLOOKUP(A790,'Dados-Status-Invest'!$1:$1000,MATCH(P$1,'Dados-Status-Invest'!$2:$2,0),FALSE())/100,"")</f>
        <v/>
      </c>
      <c r="Q790" s="10" t="str">
        <f aca="false">IFERROR(VLOOKUP(A790,'Dados-Status-Invest'!$1:$1000,MATCH(Q$1,'Dados-Status-Invest'!$2:$2,0),FALSE())/100,"")</f>
        <v/>
      </c>
      <c r="R790" s="12" t="str">
        <f aca="false">IFERROR(VLOOKUP(A790,'Dados-Status-Invest'!$1:$1000,MATCH(R$1,'Dados-Status-Invest'!$2:$2,0),FALSE()),"")</f>
        <v/>
      </c>
      <c r="S790" s="12" t="str">
        <f aca="false">IFERROR(VLOOKUP(A790,'Dados-Status-Invest'!$1:$1000,MATCH(S$1,'Dados-Status-Invest'!$2:$2,0),FALSE()),"")</f>
        <v/>
      </c>
      <c r="T790" s="12" t="str">
        <f aca="false">IFERROR(VLOOKUP(A790,'Dados-Status-Invest'!$1:$1000,MATCH(T$1,'Dados-Status-Invest'!$2:$2,0),FALSE()),"")</f>
        <v/>
      </c>
      <c r="U790" s="12" t="str">
        <f aca="false">IFERROR(VLOOKUP(A790,'Dados-Status-Invest'!$1:$1000,MATCH(U$1,'Dados-Status-Invest'!$2:$2,0),FALSE()),"")</f>
        <v/>
      </c>
      <c r="V790" s="12" t="str">
        <f aca="false">IFERROR(VLOOKUP(A790,'Dados-Status-Invest'!$1:$1000,MATCH(V$1,'Dados-Status-Invest'!$2:$2,0),FALSE()),"")</f>
        <v/>
      </c>
      <c r="W790" s="10" t="str">
        <f aca="false">IFERROR(VLOOKUP(A790,'Dados-Status-Invest'!$1:$1000,MATCH(W$1,'Dados-Status-Invest'!$2:$2,0),FALSE())/100,"")</f>
        <v/>
      </c>
      <c r="X790" s="10" t="str">
        <f aca="false">IFERROR(VLOOKUP(A790,'Dados-Status-Invest'!$1:$1000,MATCH(X$1,'Dados-Status-Invest'!$2:$2,0),FALSE())/100,"")</f>
        <v/>
      </c>
    </row>
    <row r="791" customFormat="false" ht="15.75" hidden="false" customHeight="false" outlineLevel="0" collapsed="false">
      <c r="B791" s="7" t="str">
        <f aca="false">IFERROR(VLOOKUP(LEFT(A791,4),Setor!A:D,2,FALSE()),"")</f>
        <v/>
      </c>
      <c r="C791" s="8" t="str">
        <f aca="false">IFERROR(__xludf.dummyfunction("IFERROR(IFERROR(GOOGLEFINANCE(A797,""price""),VLOOKUP(A797,'Dados-Status-Invest'!A:B,2,FALSE)),"""")"),"")</f>
        <v/>
      </c>
      <c r="D791" s="8" t="str">
        <f aca="false">IFERROR(VLOOKUP(A791,'Dados-Status-Invest'!$1:$1000,MATCH(D$1,'Dados-Status-Invest'!$2:$2,0),FALSE()),"")</f>
        <v/>
      </c>
      <c r="E791" s="8" t="e">
        <f aca="false">IF(D791+H791&gt;0,D791+H791,"")</f>
        <v>#VALUE!</v>
      </c>
      <c r="F791" s="8" t="str">
        <f aca="false">IFERROR(D791/VLOOKUP(A791,'Dados-Status-Invest'!$1:$1000,5,FALSE()),"")</f>
        <v/>
      </c>
      <c r="G791" s="8" t="str">
        <f aca="false">IFERROR(D791/VLOOKUP(A791,'Dados-Status-Invest'!$1:$1000,6,FALSE()),"")</f>
        <v/>
      </c>
      <c r="H791" s="8" t="str">
        <f aca="false">IFERROR(VLOOKUP(A791,'Dados-Status-Invest'!$1:$1000,12,FALSE())*J791,"")</f>
        <v/>
      </c>
      <c r="I791" s="8" t="str">
        <f aca="false">IFERROR(D791/VLOOKUP(A791,'Dados-Status-Invest'!$1:$1000,14,FALSE()),"")</f>
        <v/>
      </c>
      <c r="J791" s="9" t="str">
        <f aca="false">IFERROR(D791/VLOOKUP(A791,'Dados-Status-Invest'!$1:$1000,10,FALSE()),"")</f>
        <v/>
      </c>
      <c r="K791" s="10" t="str">
        <f aca="false">IFERROR(VLOOKUP(A791,'Dados-Status-Invest'!$1:$1000,3,FALSE())/100,"")</f>
        <v/>
      </c>
      <c r="L791" s="11" t="str">
        <f aca="false">IFERROR(VLOOKUP(A791,'Dados-Status-Invest'!$1:$1000,MATCH(L$1,'Dados-Status-Invest'!$2:$2,0),FALSE())/100,"")</f>
        <v/>
      </c>
      <c r="M791" s="10" t="str">
        <f aca="false">IFERROR(VLOOKUP(A791,'Dados-Status-Invest'!$1:$1000,MATCH(M$1,'Dados-Status-Invest'!$2:$2,0),FALSE())/100,"")</f>
        <v/>
      </c>
      <c r="N791" s="10" t="str">
        <f aca="false">IFERROR(VLOOKUP(A791,'Dados-Status-Invest'!$1:$1000,MATCH(N$1,'Dados-Status-Invest'!$2:$2,0),FALSE())/100,"")</f>
        <v/>
      </c>
      <c r="O791" s="10" t="str">
        <f aca="false">IFERROR(VLOOKUP(A791,'Dados-Status-Invest'!$1:$1000,MATCH(O$1,'Dados-Status-Invest'!$2:$2,0),FALSE())/100,"")</f>
        <v/>
      </c>
      <c r="P791" s="10" t="str">
        <f aca="false">IFERROR(VLOOKUP(A791,'Dados-Status-Invest'!$1:$1000,MATCH(P$1,'Dados-Status-Invest'!$2:$2,0),FALSE())/100,"")</f>
        <v/>
      </c>
      <c r="Q791" s="10" t="str">
        <f aca="false">IFERROR(VLOOKUP(A791,'Dados-Status-Invest'!$1:$1000,MATCH(Q$1,'Dados-Status-Invest'!$2:$2,0),FALSE())/100,"")</f>
        <v/>
      </c>
      <c r="R791" s="12" t="str">
        <f aca="false">IFERROR(VLOOKUP(A791,'Dados-Status-Invest'!$1:$1000,MATCH(R$1,'Dados-Status-Invest'!$2:$2,0),FALSE()),"")</f>
        <v/>
      </c>
      <c r="S791" s="12" t="str">
        <f aca="false">IFERROR(VLOOKUP(A791,'Dados-Status-Invest'!$1:$1000,MATCH(S$1,'Dados-Status-Invest'!$2:$2,0),FALSE()),"")</f>
        <v/>
      </c>
      <c r="T791" s="12" t="str">
        <f aca="false">IFERROR(VLOOKUP(A791,'Dados-Status-Invest'!$1:$1000,MATCH(T$1,'Dados-Status-Invest'!$2:$2,0),FALSE()),"")</f>
        <v/>
      </c>
      <c r="U791" s="12" t="str">
        <f aca="false">IFERROR(VLOOKUP(A791,'Dados-Status-Invest'!$1:$1000,MATCH(U$1,'Dados-Status-Invest'!$2:$2,0),FALSE()),"")</f>
        <v/>
      </c>
      <c r="V791" s="12" t="str">
        <f aca="false">IFERROR(VLOOKUP(A791,'Dados-Status-Invest'!$1:$1000,MATCH(V$1,'Dados-Status-Invest'!$2:$2,0),FALSE()),"")</f>
        <v/>
      </c>
      <c r="W791" s="10" t="str">
        <f aca="false">IFERROR(VLOOKUP(A791,'Dados-Status-Invest'!$1:$1000,MATCH(W$1,'Dados-Status-Invest'!$2:$2,0),FALSE())/100,"")</f>
        <v/>
      </c>
      <c r="X791" s="10" t="str">
        <f aca="false">IFERROR(VLOOKUP(A791,'Dados-Status-Invest'!$1:$1000,MATCH(X$1,'Dados-Status-Invest'!$2:$2,0),FALSE())/100,"")</f>
        <v/>
      </c>
    </row>
    <row r="792" customFormat="false" ht="15.75" hidden="false" customHeight="false" outlineLevel="0" collapsed="false">
      <c r="B792" s="7" t="str">
        <f aca="false">IFERROR(VLOOKUP(LEFT(A792,4),Setor!A:D,2,FALSE()),"")</f>
        <v/>
      </c>
      <c r="C792" s="8" t="str">
        <f aca="false">IFERROR(__xludf.dummyfunction("IFERROR(IFERROR(GOOGLEFINANCE(A798,""price""),VLOOKUP(A798,'Dados-Status-Invest'!A:B,2,FALSE)),"""")"),"")</f>
        <v/>
      </c>
      <c r="D792" s="8" t="str">
        <f aca="false">IFERROR(VLOOKUP(A792,'Dados-Status-Invest'!$1:$1000,MATCH(D$1,'Dados-Status-Invest'!$2:$2,0),FALSE()),"")</f>
        <v/>
      </c>
      <c r="E792" s="8" t="e">
        <f aca="false">IF(D792+H792&gt;0,D792+H792,"")</f>
        <v>#VALUE!</v>
      </c>
      <c r="F792" s="8" t="str">
        <f aca="false">IFERROR(D792/VLOOKUP(A792,'Dados-Status-Invest'!$1:$1000,5,FALSE()),"")</f>
        <v/>
      </c>
      <c r="G792" s="8" t="str">
        <f aca="false">IFERROR(D792/VLOOKUP(A792,'Dados-Status-Invest'!$1:$1000,6,FALSE()),"")</f>
        <v/>
      </c>
      <c r="H792" s="8" t="str">
        <f aca="false">IFERROR(VLOOKUP(A792,'Dados-Status-Invest'!$1:$1000,12,FALSE())*J792,"")</f>
        <v/>
      </c>
      <c r="I792" s="8" t="str">
        <f aca="false">IFERROR(D792/VLOOKUP(A792,'Dados-Status-Invest'!$1:$1000,14,FALSE()),"")</f>
        <v/>
      </c>
      <c r="J792" s="9" t="str">
        <f aca="false">IFERROR(D792/VLOOKUP(A792,'Dados-Status-Invest'!$1:$1000,10,FALSE()),"")</f>
        <v/>
      </c>
      <c r="K792" s="10" t="str">
        <f aca="false">IFERROR(VLOOKUP(A792,'Dados-Status-Invest'!$1:$1000,3,FALSE())/100,"")</f>
        <v/>
      </c>
      <c r="L792" s="11" t="str">
        <f aca="false">IFERROR(VLOOKUP(A792,'Dados-Status-Invest'!$1:$1000,MATCH(L$1,'Dados-Status-Invest'!$2:$2,0),FALSE())/100,"")</f>
        <v/>
      </c>
      <c r="M792" s="10" t="str">
        <f aca="false">IFERROR(VLOOKUP(A792,'Dados-Status-Invest'!$1:$1000,MATCH(M$1,'Dados-Status-Invest'!$2:$2,0),FALSE())/100,"")</f>
        <v/>
      </c>
      <c r="N792" s="10" t="str">
        <f aca="false">IFERROR(VLOOKUP(A792,'Dados-Status-Invest'!$1:$1000,MATCH(N$1,'Dados-Status-Invest'!$2:$2,0),FALSE())/100,"")</f>
        <v/>
      </c>
      <c r="O792" s="10" t="str">
        <f aca="false">IFERROR(VLOOKUP(A792,'Dados-Status-Invest'!$1:$1000,MATCH(O$1,'Dados-Status-Invest'!$2:$2,0),FALSE())/100,"")</f>
        <v/>
      </c>
      <c r="P792" s="10" t="str">
        <f aca="false">IFERROR(VLOOKUP(A792,'Dados-Status-Invest'!$1:$1000,MATCH(P$1,'Dados-Status-Invest'!$2:$2,0),FALSE())/100,"")</f>
        <v/>
      </c>
      <c r="Q792" s="10" t="str">
        <f aca="false">IFERROR(VLOOKUP(A792,'Dados-Status-Invest'!$1:$1000,MATCH(Q$1,'Dados-Status-Invest'!$2:$2,0),FALSE())/100,"")</f>
        <v/>
      </c>
      <c r="R792" s="12" t="str">
        <f aca="false">IFERROR(VLOOKUP(A792,'Dados-Status-Invest'!$1:$1000,MATCH(R$1,'Dados-Status-Invest'!$2:$2,0),FALSE()),"")</f>
        <v/>
      </c>
      <c r="S792" s="12" t="str">
        <f aca="false">IFERROR(VLOOKUP(A792,'Dados-Status-Invest'!$1:$1000,MATCH(S$1,'Dados-Status-Invest'!$2:$2,0),FALSE()),"")</f>
        <v/>
      </c>
      <c r="T792" s="12" t="str">
        <f aca="false">IFERROR(VLOOKUP(A792,'Dados-Status-Invest'!$1:$1000,MATCH(T$1,'Dados-Status-Invest'!$2:$2,0),FALSE()),"")</f>
        <v/>
      </c>
      <c r="U792" s="12" t="str">
        <f aca="false">IFERROR(VLOOKUP(A792,'Dados-Status-Invest'!$1:$1000,MATCH(U$1,'Dados-Status-Invest'!$2:$2,0),FALSE()),"")</f>
        <v/>
      </c>
      <c r="V792" s="12" t="str">
        <f aca="false">IFERROR(VLOOKUP(A792,'Dados-Status-Invest'!$1:$1000,MATCH(V$1,'Dados-Status-Invest'!$2:$2,0),FALSE()),"")</f>
        <v/>
      </c>
      <c r="W792" s="10" t="str">
        <f aca="false">IFERROR(VLOOKUP(A792,'Dados-Status-Invest'!$1:$1000,MATCH(W$1,'Dados-Status-Invest'!$2:$2,0),FALSE())/100,"")</f>
        <v/>
      </c>
      <c r="X792" s="10" t="str">
        <f aca="false">IFERROR(VLOOKUP(A792,'Dados-Status-Invest'!$1:$1000,MATCH(X$1,'Dados-Status-Invest'!$2:$2,0),FALSE())/100,"")</f>
        <v/>
      </c>
    </row>
    <row r="793" customFormat="false" ht="15.75" hidden="false" customHeight="false" outlineLevel="0" collapsed="false">
      <c r="B793" s="7" t="str">
        <f aca="false">IFERROR(VLOOKUP(LEFT(A793,4),Setor!A:D,2,FALSE()),"")</f>
        <v/>
      </c>
      <c r="C793" s="8" t="str">
        <f aca="false">IFERROR(__xludf.dummyfunction("IFERROR(IFERROR(GOOGLEFINANCE(A799,""price""),VLOOKUP(A799,'Dados-Status-Invest'!A:B,2,FALSE)),"""")"),"")</f>
        <v/>
      </c>
      <c r="D793" s="8" t="str">
        <f aca="false">IFERROR(VLOOKUP(A793,'Dados-Status-Invest'!$1:$1000,MATCH(D$1,'Dados-Status-Invest'!$2:$2,0),FALSE()),"")</f>
        <v/>
      </c>
      <c r="E793" s="8" t="e">
        <f aca="false">IF(D793+H793&gt;0,D793+H793,"")</f>
        <v>#VALUE!</v>
      </c>
      <c r="F793" s="8" t="str">
        <f aca="false">IFERROR(D793/VLOOKUP(A793,'Dados-Status-Invest'!$1:$1000,5,FALSE()),"")</f>
        <v/>
      </c>
      <c r="G793" s="8" t="str">
        <f aca="false">IFERROR(D793/VLOOKUP(A793,'Dados-Status-Invest'!$1:$1000,6,FALSE()),"")</f>
        <v/>
      </c>
      <c r="H793" s="8" t="str">
        <f aca="false">IFERROR(VLOOKUP(A793,'Dados-Status-Invest'!$1:$1000,12,FALSE())*J793,"")</f>
        <v/>
      </c>
      <c r="I793" s="8" t="str">
        <f aca="false">IFERROR(D793/VLOOKUP(A793,'Dados-Status-Invest'!$1:$1000,14,FALSE()),"")</f>
        <v/>
      </c>
      <c r="J793" s="9" t="str">
        <f aca="false">IFERROR(D793/VLOOKUP(A793,'Dados-Status-Invest'!$1:$1000,10,FALSE()),"")</f>
        <v/>
      </c>
      <c r="K793" s="10" t="str">
        <f aca="false">IFERROR(VLOOKUP(A793,'Dados-Status-Invest'!$1:$1000,3,FALSE())/100,"")</f>
        <v/>
      </c>
      <c r="L793" s="11" t="str">
        <f aca="false">IFERROR(VLOOKUP(A793,'Dados-Status-Invest'!$1:$1000,MATCH(L$1,'Dados-Status-Invest'!$2:$2,0),FALSE())/100,"")</f>
        <v/>
      </c>
      <c r="M793" s="10" t="str">
        <f aca="false">IFERROR(VLOOKUP(A793,'Dados-Status-Invest'!$1:$1000,MATCH(M$1,'Dados-Status-Invest'!$2:$2,0),FALSE())/100,"")</f>
        <v/>
      </c>
      <c r="N793" s="10" t="str">
        <f aca="false">IFERROR(VLOOKUP(A793,'Dados-Status-Invest'!$1:$1000,MATCH(N$1,'Dados-Status-Invest'!$2:$2,0),FALSE())/100,"")</f>
        <v/>
      </c>
      <c r="O793" s="10" t="str">
        <f aca="false">IFERROR(VLOOKUP(A793,'Dados-Status-Invest'!$1:$1000,MATCH(O$1,'Dados-Status-Invest'!$2:$2,0),FALSE())/100,"")</f>
        <v/>
      </c>
      <c r="P793" s="10" t="str">
        <f aca="false">IFERROR(VLOOKUP(A793,'Dados-Status-Invest'!$1:$1000,MATCH(P$1,'Dados-Status-Invest'!$2:$2,0),FALSE())/100,"")</f>
        <v/>
      </c>
      <c r="Q793" s="10" t="str">
        <f aca="false">IFERROR(VLOOKUP(A793,'Dados-Status-Invest'!$1:$1000,MATCH(Q$1,'Dados-Status-Invest'!$2:$2,0),FALSE())/100,"")</f>
        <v/>
      </c>
      <c r="R793" s="12" t="str">
        <f aca="false">IFERROR(VLOOKUP(A793,'Dados-Status-Invest'!$1:$1000,MATCH(R$1,'Dados-Status-Invest'!$2:$2,0),FALSE()),"")</f>
        <v/>
      </c>
      <c r="S793" s="12" t="str">
        <f aca="false">IFERROR(VLOOKUP(A793,'Dados-Status-Invest'!$1:$1000,MATCH(S$1,'Dados-Status-Invest'!$2:$2,0),FALSE()),"")</f>
        <v/>
      </c>
      <c r="T793" s="12" t="str">
        <f aca="false">IFERROR(VLOOKUP(A793,'Dados-Status-Invest'!$1:$1000,MATCH(T$1,'Dados-Status-Invest'!$2:$2,0),FALSE()),"")</f>
        <v/>
      </c>
      <c r="U793" s="12" t="str">
        <f aca="false">IFERROR(VLOOKUP(A793,'Dados-Status-Invest'!$1:$1000,MATCH(U$1,'Dados-Status-Invest'!$2:$2,0),FALSE()),"")</f>
        <v/>
      </c>
      <c r="V793" s="12" t="str">
        <f aca="false">IFERROR(VLOOKUP(A793,'Dados-Status-Invest'!$1:$1000,MATCH(V$1,'Dados-Status-Invest'!$2:$2,0),FALSE()),"")</f>
        <v/>
      </c>
      <c r="W793" s="10" t="str">
        <f aca="false">IFERROR(VLOOKUP(A793,'Dados-Status-Invest'!$1:$1000,MATCH(W$1,'Dados-Status-Invest'!$2:$2,0),FALSE())/100,"")</f>
        <v/>
      </c>
      <c r="X793" s="10" t="str">
        <f aca="false">IFERROR(VLOOKUP(A793,'Dados-Status-Invest'!$1:$1000,MATCH(X$1,'Dados-Status-Invest'!$2:$2,0),FALSE())/100,"")</f>
        <v/>
      </c>
    </row>
    <row r="794" customFormat="false" ht="15.75" hidden="false" customHeight="false" outlineLevel="0" collapsed="false">
      <c r="B794" s="7" t="str">
        <f aca="false">IFERROR(VLOOKUP(LEFT(A794,4),Setor!A:D,2,FALSE()),"")</f>
        <v/>
      </c>
      <c r="C794" s="8" t="str">
        <f aca="false">IFERROR(__xludf.dummyfunction("IFERROR(IFERROR(GOOGLEFINANCE(A800,""price""),VLOOKUP(A800,'Dados-Status-Invest'!A:B,2,FALSE)),"""")"),"")</f>
        <v/>
      </c>
      <c r="D794" s="8" t="str">
        <f aca="false">IFERROR(VLOOKUP(A794,'Dados-Status-Invest'!$1:$1000,MATCH(D$1,'Dados-Status-Invest'!$2:$2,0),FALSE()),"")</f>
        <v/>
      </c>
      <c r="E794" s="8" t="e">
        <f aca="false">IF(D794+H794&gt;0,D794+H794,"")</f>
        <v>#VALUE!</v>
      </c>
      <c r="F794" s="8" t="str">
        <f aca="false">IFERROR(D794/VLOOKUP(A794,'Dados-Status-Invest'!$1:$1000,5,FALSE()),"")</f>
        <v/>
      </c>
      <c r="G794" s="8" t="str">
        <f aca="false">IFERROR(D794/VLOOKUP(A794,'Dados-Status-Invest'!$1:$1000,6,FALSE()),"")</f>
        <v/>
      </c>
      <c r="H794" s="8" t="str">
        <f aca="false">IFERROR(VLOOKUP(A794,'Dados-Status-Invest'!$1:$1000,12,FALSE())*J794,"")</f>
        <v/>
      </c>
      <c r="I794" s="8" t="str">
        <f aca="false">IFERROR(D794/VLOOKUP(A794,'Dados-Status-Invest'!$1:$1000,14,FALSE()),"")</f>
        <v/>
      </c>
      <c r="J794" s="9" t="str">
        <f aca="false">IFERROR(D794/VLOOKUP(A794,'Dados-Status-Invest'!$1:$1000,10,FALSE()),"")</f>
        <v/>
      </c>
      <c r="K794" s="10" t="str">
        <f aca="false">IFERROR(VLOOKUP(A794,'Dados-Status-Invest'!$1:$1000,3,FALSE())/100,"")</f>
        <v/>
      </c>
      <c r="L794" s="11" t="str">
        <f aca="false">IFERROR(VLOOKUP(A794,'Dados-Status-Invest'!$1:$1000,MATCH(L$1,'Dados-Status-Invest'!$2:$2,0),FALSE())/100,"")</f>
        <v/>
      </c>
      <c r="M794" s="10" t="str">
        <f aca="false">IFERROR(VLOOKUP(A794,'Dados-Status-Invest'!$1:$1000,MATCH(M$1,'Dados-Status-Invest'!$2:$2,0),FALSE())/100,"")</f>
        <v/>
      </c>
      <c r="N794" s="10" t="str">
        <f aca="false">IFERROR(VLOOKUP(A794,'Dados-Status-Invest'!$1:$1000,MATCH(N$1,'Dados-Status-Invest'!$2:$2,0),FALSE())/100,"")</f>
        <v/>
      </c>
      <c r="O794" s="10" t="str">
        <f aca="false">IFERROR(VLOOKUP(A794,'Dados-Status-Invest'!$1:$1000,MATCH(O$1,'Dados-Status-Invest'!$2:$2,0),FALSE())/100,"")</f>
        <v/>
      </c>
      <c r="P794" s="10" t="str">
        <f aca="false">IFERROR(VLOOKUP(A794,'Dados-Status-Invest'!$1:$1000,MATCH(P$1,'Dados-Status-Invest'!$2:$2,0),FALSE())/100,"")</f>
        <v/>
      </c>
      <c r="Q794" s="10" t="str">
        <f aca="false">IFERROR(VLOOKUP(A794,'Dados-Status-Invest'!$1:$1000,MATCH(Q$1,'Dados-Status-Invest'!$2:$2,0),FALSE())/100,"")</f>
        <v/>
      </c>
      <c r="R794" s="12" t="str">
        <f aca="false">IFERROR(VLOOKUP(A794,'Dados-Status-Invest'!$1:$1000,MATCH(R$1,'Dados-Status-Invest'!$2:$2,0),FALSE()),"")</f>
        <v/>
      </c>
      <c r="S794" s="12" t="str">
        <f aca="false">IFERROR(VLOOKUP(A794,'Dados-Status-Invest'!$1:$1000,MATCH(S$1,'Dados-Status-Invest'!$2:$2,0),FALSE()),"")</f>
        <v/>
      </c>
      <c r="T794" s="12" t="str">
        <f aca="false">IFERROR(VLOOKUP(A794,'Dados-Status-Invest'!$1:$1000,MATCH(T$1,'Dados-Status-Invest'!$2:$2,0),FALSE()),"")</f>
        <v/>
      </c>
      <c r="U794" s="12" t="str">
        <f aca="false">IFERROR(VLOOKUP(A794,'Dados-Status-Invest'!$1:$1000,MATCH(U$1,'Dados-Status-Invest'!$2:$2,0),FALSE()),"")</f>
        <v/>
      </c>
      <c r="V794" s="12" t="str">
        <f aca="false">IFERROR(VLOOKUP(A794,'Dados-Status-Invest'!$1:$1000,MATCH(V$1,'Dados-Status-Invest'!$2:$2,0),FALSE()),"")</f>
        <v/>
      </c>
      <c r="W794" s="10" t="str">
        <f aca="false">IFERROR(VLOOKUP(A794,'Dados-Status-Invest'!$1:$1000,MATCH(W$1,'Dados-Status-Invest'!$2:$2,0),FALSE())/100,"")</f>
        <v/>
      </c>
      <c r="X794" s="10" t="str">
        <f aca="false">IFERROR(VLOOKUP(A794,'Dados-Status-Invest'!$1:$1000,MATCH(X$1,'Dados-Status-Invest'!$2:$2,0),FALSE())/100,"")</f>
        <v/>
      </c>
    </row>
    <row r="795" customFormat="false" ht="15.75" hidden="false" customHeight="false" outlineLevel="0" collapsed="false">
      <c r="B795" s="7" t="str">
        <f aca="false">IFERROR(VLOOKUP(LEFT(A795,4),Setor!A:D,2,FALSE()),"")</f>
        <v/>
      </c>
      <c r="C795" s="8" t="str">
        <f aca="false">IFERROR(__xludf.dummyfunction("IFERROR(IFERROR(GOOGLEFINANCE(A801,""price""),VLOOKUP(A801,'Dados-Status-Invest'!A:B,2,FALSE)),"""")"),"")</f>
        <v/>
      </c>
      <c r="D795" s="8" t="str">
        <f aca="false">IFERROR(VLOOKUP(A795,'Dados-Status-Invest'!$1:$1000,MATCH(D$1,'Dados-Status-Invest'!$2:$2,0),FALSE()),"")</f>
        <v/>
      </c>
      <c r="E795" s="8" t="e">
        <f aca="false">IF(D795+H795&gt;0,D795+H795,"")</f>
        <v>#VALUE!</v>
      </c>
      <c r="F795" s="8" t="str">
        <f aca="false">IFERROR(D795/VLOOKUP(A795,'Dados-Status-Invest'!$1:$1000,5,FALSE()),"")</f>
        <v/>
      </c>
      <c r="G795" s="8" t="str">
        <f aca="false">IFERROR(D795/VLOOKUP(A795,'Dados-Status-Invest'!$1:$1000,6,FALSE()),"")</f>
        <v/>
      </c>
      <c r="H795" s="8" t="str">
        <f aca="false">IFERROR(VLOOKUP(A795,'Dados-Status-Invest'!$1:$1000,12,FALSE())*J795,"")</f>
        <v/>
      </c>
      <c r="I795" s="8" t="str">
        <f aca="false">IFERROR(D795/VLOOKUP(A795,'Dados-Status-Invest'!$1:$1000,14,FALSE()),"")</f>
        <v/>
      </c>
      <c r="J795" s="9" t="str">
        <f aca="false">IFERROR(D795/VLOOKUP(A795,'Dados-Status-Invest'!$1:$1000,10,FALSE()),"")</f>
        <v/>
      </c>
      <c r="K795" s="10" t="str">
        <f aca="false">IFERROR(VLOOKUP(A795,'Dados-Status-Invest'!$1:$1000,3,FALSE())/100,"")</f>
        <v/>
      </c>
      <c r="L795" s="11" t="str">
        <f aca="false">IFERROR(VLOOKUP(A795,'Dados-Status-Invest'!$1:$1000,MATCH(L$1,'Dados-Status-Invest'!$2:$2,0),FALSE())/100,"")</f>
        <v/>
      </c>
      <c r="M795" s="10" t="str">
        <f aca="false">IFERROR(VLOOKUP(A795,'Dados-Status-Invest'!$1:$1000,MATCH(M$1,'Dados-Status-Invest'!$2:$2,0),FALSE())/100,"")</f>
        <v/>
      </c>
      <c r="N795" s="10" t="str">
        <f aca="false">IFERROR(VLOOKUP(A795,'Dados-Status-Invest'!$1:$1000,MATCH(N$1,'Dados-Status-Invest'!$2:$2,0),FALSE())/100,"")</f>
        <v/>
      </c>
      <c r="O795" s="10" t="str">
        <f aca="false">IFERROR(VLOOKUP(A795,'Dados-Status-Invest'!$1:$1000,MATCH(O$1,'Dados-Status-Invest'!$2:$2,0),FALSE())/100,"")</f>
        <v/>
      </c>
      <c r="P795" s="10" t="str">
        <f aca="false">IFERROR(VLOOKUP(A795,'Dados-Status-Invest'!$1:$1000,MATCH(P$1,'Dados-Status-Invest'!$2:$2,0),FALSE())/100,"")</f>
        <v/>
      </c>
      <c r="Q795" s="10" t="str">
        <f aca="false">IFERROR(VLOOKUP(A795,'Dados-Status-Invest'!$1:$1000,MATCH(Q$1,'Dados-Status-Invest'!$2:$2,0),FALSE())/100,"")</f>
        <v/>
      </c>
      <c r="R795" s="12" t="str">
        <f aca="false">IFERROR(VLOOKUP(A795,'Dados-Status-Invest'!$1:$1000,MATCH(R$1,'Dados-Status-Invest'!$2:$2,0),FALSE()),"")</f>
        <v/>
      </c>
      <c r="S795" s="12" t="str">
        <f aca="false">IFERROR(VLOOKUP(A795,'Dados-Status-Invest'!$1:$1000,MATCH(S$1,'Dados-Status-Invest'!$2:$2,0),FALSE()),"")</f>
        <v/>
      </c>
      <c r="T795" s="12" t="str">
        <f aca="false">IFERROR(VLOOKUP(A795,'Dados-Status-Invest'!$1:$1000,MATCH(T$1,'Dados-Status-Invest'!$2:$2,0),FALSE()),"")</f>
        <v/>
      </c>
      <c r="U795" s="12" t="str">
        <f aca="false">IFERROR(VLOOKUP(A795,'Dados-Status-Invest'!$1:$1000,MATCH(U$1,'Dados-Status-Invest'!$2:$2,0),FALSE()),"")</f>
        <v/>
      </c>
      <c r="V795" s="12" t="str">
        <f aca="false">IFERROR(VLOOKUP(A795,'Dados-Status-Invest'!$1:$1000,MATCH(V$1,'Dados-Status-Invest'!$2:$2,0),FALSE()),"")</f>
        <v/>
      </c>
      <c r="W795" s="10" t="str">
        <f aca="false">IFERROR(VLOOKUP(A795,'Dados-Status-Invest'!$1:$1000,MATCH(W$1,'Dados-Status-Invest'!$2:$2,0),FALSE())/100,"")</f>
        <v/>
      </c>
      <c r="X795" s="10" t="str">
        <f aca="false">IFERROR(VLOOKUP(A795,'Dados-Status-Invest'!$1:$1000,MATCH(X$1,'Dados-Status-Invest'!$2:$2,0),FALSE())/100,"")</f>
        <v/>
      </c>
    </row>
    <row r="796" customFormat="false" ht="15.75" hidden="false" customHeight="false" outlineLevel="0" collapsed="false">
      <c r="B796" s="7" t="str">
        <f aca="false">IFERROR(VLOOKUP(LEFT(A796,4),Setor!A:D,2,FALSE()),"")</f>
        <v/>
      </c>
      <c r="C796" s="8" t="str">
        <f aca="false">IFERROR(__xludf.dummyfunction("IFERROR(IFERROR(GOOGLEFINANCE(A802,""price""),VLOOKUP(A802,'Dados-Status-Invest'!A:B,2,FALSE)),"""")"),"")</f>
        <v/>
      </c>
      <c r="D796" s="8" t="str">
        <f aca="false">IFERROR(VLOOKUP(A796,'Dados-Status-Invest'!$1:$1000,MATCH(D$1,'Dados-Status-Invest'!$2:$2,0),FALSE()),"")</f>
        <v/>
      </c>
      <c r="E796" s="8" t="e">
        <f aca="false">IF(D796+H796&gt;0,D796+H796,"")</f>
        <v>#VALUE!</v>
      </c>
      <c r="F796" s="8" t="str">
        <f aca="false">IFERROR(D796/VLOOKUP(A796,'Dados-Status-Invest'!$1:$1000,5,FALSE()),"")</f>
        <v/>
      </c>
      <c r="G796" s="8" t="str">
        <f aca="false">IFERROR(D796/VLOOKUP(A796,'Dados-Status-Invest'!$1:$1000,6,FALSE()),"")</f>
        <v/>
      </c>
      <c r="H796" s="8" t="str">
        <f aca="false">IFERROR(VLOOKUP(A796,'Dados-Status-Invest'!$1:$1000,12,FALSE())*J796,"")</f>
        <v/>
      </c>
      <c r="I796" s="8" t="str">
        <f aca="false">IFERROR(D796/VLOOKUP(A796,'Dados-Status-Invest'!$1:$1000,14,FALSE()),"")</f>
        <v/>
      </c>
      <c r="J796" s="9" t="str">
        <f aca="false">IFERROR(D796/VLOOKUP(A796,'Dados-Status-Invest'!$1:$1000,10,FALSE()),"")</f>
        <v/>
      </c>
      <c r="K796" s="10" t="str">
        <f aca="false">IFERROR(VLOOKUP(A796,'Dados-Status-Invest'!$1:$1000,3,FALSE())/100,"")</f>
        <v/>
      </c>
      <c r="L796" s="11" t="str">
        <f aca="false">IFERROR(VLOOKUP(A796,'Dados-Status-Invest'!$1:$1000,MATCH(L$1,'Dados-Status-Invest'!$2:$2,0),FALSE())/100,"")</f>
        <v/>
      </c>
      <c r="M796" s="10" t="str">
        <f aca="false">IFERROR(VLOOKUP(A796,'Dados-Status-Invest'!$1:$1000,MATCH(M$1,'Dados-Status-Invest'!$2:$2,0),FALSE())/100,"")</f>
        <v/>
      </c>
      <c r="N796" s="10" t="str">
        <f aca="false">IFERROR(VLOOKUP(A796,'Dados-Status-Invest'!$1:$1000,MATCH(N$1,'Dados-Status-Invest'!$2:$2,0),FALSE())/100,"")</f>
        <v/>
      </c>
      <c r="O796" s="10" t="str">
        <f aca="false">IFERROR(VLOOKUP(A796,'Dados-Status-Invest'!$1:$1000,MATCH(O$1,'Dados-Status-Invest'!$2:$2,0),FALSE())/100,"")</f>
        <v/>
      </c>
      <c r="P796" s="10" t="str">
        <f aca="false">IFERROR(VLOOKUP(A796,'Dados-Status-Invest'!$1:$1000,MATCH(P$1,'Dados-Status-Invest'!$2:$2,0),FALSE())/100,"")</f>
        <v/>
      </c>
      <c r="Q796" s="10" t="str">
        <f aca="false">IFERROR(VLOOKUP(A796,'Dados-Status-Invest'!$1:$1000,MATCH(Q$1,'Dados-Status-Invest'!$2:$2,0),FALSE())/100,"")</f>
        <v/>
      </c>
      <c r="R796" s="12" t="str">
        <f aca="false">IFERROR(VLOOKUP(A796,'Dados-Status-Invest'!$1:$1000,MATCH(R$1,'Dados-Status-Invest'!$2:$2,0),FALSE()),"")</f>
        <v/>
      </c>
      <c r="S796" s="12" t="str">
        <f aca="false">IFERROR(VLOOKUP(A796,'Dados-Status-Invest'!$1:$1000,MATCH(S$1,'Dados-Status-Invest'!$2:$2,0),FALSE()),"")</f>
        <v/>
      </c>
      <c r="T796" s="12" t="str">
        <f aca="false">IFERROR(VLOOKUP(A796,'Dados-Status-Invest'!$1:$1000,MATCH(T$1,'Dados-Status-Invest'!$2:$2,0),FALSE()),"")</f>
        <v/>
      </c>
      <c r="U796" s="12" t="str">
        <f aca="false">IFERROR(VLOOKUP(A796,'Dados-Status-Invest'!$1:$1000,MATCH(U$1,'Dados-Status-Invest'!$2:$2,0),FALSE()),"")</f>
        <v/>
      </c>
      <c r="V796" s="12" t="str">
        <f aca="false">IFERROR(VLOOKUP(A796,'Dados-Status-Invest'!$1:$1000,MATCH(V$1,'Dados-Status-Invest'!$2:$2,0),FALSE()),"")</f>
        <v/>
      </c>
      <c r="W796" s="10" t="str">
        <f aca="false">IFERROR(VLOOKUP(A796,'Dados-Status-Invest'!$1:$1000,MATCH(W$1,'Dados-Status-Invest'!$2:$2,0),FALSE())/100,"")</f>
        <v/>
      </c>
      <c r="X796" s="10" t="str">
        <f aca="false">IFERROR(VLOOKUP(A796,'Dados-Status-Invest'!$1:$1000,MATCH(X$1,'Dados-Status-Invest'!$2:$2,0),FALSE())/100,"")</f>
        <v/>
      </c>
    </row>
    <row r="797" customFormat="false" ht="15.75" hidden="false" customHeight="false" outlineLevel="0" collapsed="false">
      <c r="B797" s="7" t="str">
        <f aca="false">IFERROR(VLOOKUP(LEFT(A797,4),Setor!A:D,2,FALSE()),"")</f>
        <v/>
      </c>
      <c r="C797" s="8" t="str">
        <f aca="false">IFERROR(__xludf.dummyfunction("IFERROR(IFERROR(GOOGLEFINANCE(A803,""price""),VLOOKUP(A803,'Dados-Status-Invest'!A:B,2,FALSE)),"""")"),"")</f>
        <v/>
      </c>
      <c r="D797" s="8" t="str">
        <f aca="false">IFERROR(VLOOKUP(A797,'Dados-Status-Invest'!$1:$1000,MATCH(D$1,'Dados-Status-Invest'!$2:$2,0),FALSE()),"")</f>
        <v/>
      </c>
      <c r="E797" s="8" t="e">
        <f aca="false">IF(D797+H797&gt;0,D797+H797,"")</f>
        <v>#VALUE!</v>
      </c>
      <c r="F797" s="8" t="str">
        <f aca="false">IFERROR(D797/VLOOKUP(A797,'Dados-Status-Invest'!$1:$1000,5,FALSE()),"")</f>
        <v/>
      </c>
      <c r="G797" s="8" t="str">
        <f aca="false">IFERROR(D797/VLOOKUP(A797,'Dados-Status-Invest'!$1:$1000,6,FALSE()),"")</f>
        <v/>
      </c>
      <c r="H797" s="8" t="str">
        <f aca="false">IFERROR(VLOOKUP(A797,'Dados-Status-Invest'!$1:$1000,12,FALSE())*J797,"")</f>
        <v/>
      </c>
      <c r="I797" s="8" t="str">
        <f aca="false">IFERROR(D797/VLOOKUP(A797,'Dados-Status-Invest'!$1:$1000,14,FALSE()),"")</f>
        <v/>
      </c>
      <c r="J797" s="9" t="str">
        <f aca="false">IFERROR(D797/VLOOKUP(A797,'Dados-Status-Invest'!$1:$1000,10,FALSE()),"")</f>
        <v/>
      </c>
      <c r="K797" s="10" t="str">
        <f aca="false">IFERROR(VLOOKUP(A797,'Dados-Status-Invest'!$1:$1000,3,FALSE())/100,"")</f>
        <v/>
      </c>
      <c r="L797" s="11" t="str">
        <f aca="false">IFERROR(VLOOKUP(A797,'Dados-Status-Invest'!$1:$1000,MATCH(L$1,'Dados-Status-Invest'!$2:$2,0),FALSE())/100,"")</f>
        <v/>
      </c>
      <c r="M797" s="10" t="str">
        <f aca="false">IFERROR(VLOOKUP(A797,'Dados-Status-Invest'!$1:$1000,MATCH(M$1,'Dados-Status-Invest'!$2:$2,0),FALSE())/100,"")</f>
        <v/>
      </c>
      <c r="N797" s="10" t="str">
        <f aca="false">IFERROR(VLOOKUP(A797,'Dados-Status-Invest'!$1:$1000,MATCH(N$1,'Dados-Status-Invest'!$2:$2,0),FALSE())/100,"")</f>
        <v/>
      </c>
      <c r="O797" s="10" t="str">
        <f aca="false">IFERROR(VLOOKUP(A797,'Dados-Status-Invest'!$1:$1000,MATCH(O$1,'Dados-Status-Invest'!$2:$2,0),FALSE())/100,"")</f>
        <v/>
      </c>
      <c r="P797" s="10" t="str">
        <f aca="false">IFERROR(VLOOKUP(A797,'Dados-Status-Invest'!$1:$1000,MATCH(P$1,'Dados-Status-Invest'!$2:$2,0),FALSE())/100,"")</f>
        <v/>
      </c>
      <c r="Q797" s="10" t="str">
        <f aca="false">IFERROR(VLOOKUP(A797,'Dados-Status-Invest'!$1:$1000,MATCH(Q$1,'Dados-Status-Invest'!$2:$2,0),FALSE())/100,"")</f>
        <v/>
      </c>
      <c r="R797" s="12" t="str">
        <f aca="false">IFERROR(VLOOKUP(A797,'Dados-Status-Invest'!$1:$1000,MATCH(R$1,'Dados-Status-Invest'!$2:$2,0),FALSE()),"")</f>
        <v/>
      </c>
      <c r="S797" s="12" t="str">
        <f aca="false">IFERROR(VLOOKUP(A797,'Dados-Status-Invest'!$1:$1000,MATCH(S$1,'Dados-Status-Invest'!$2:$2,0),FALSE()),"")</f>
        <v/>
      </c>
      <c r="T797" s="12" t="str">
        <f aca="false">IFERROR(VLOOKUP(A797,'Dados-Status-Invest'!$1:$1000,MATCH(T$1,'Dados-Status-Invest'!$2:$2,0),FALSE()),"")</f>
        <v/>
      </c>
      <c r="U797" s="12" t="str">
        <f aca="false">IFERROR(VLOOKUP(A797,'Dados-Status-Invest'!$1:$1000,MATCH(U$1,'Dados-Status-Invest'!$2:$2,0),FALSE()),"")</f>
        <v/>
      </c>
      <c r="V797" s="12" t="str">
        <f aca="false">IFERROR(VLOOKUP(A797,'Dados-Status-Invest'!$1:$1000,MATCH(V$1,'Dados-Status-Invest'!$2:$2,0),FALSE()),"")</f>
        <v/>
      </c>
      <c r="W797" s="10" t="str">
        <f aca="false">IFERROR(VLOOKUP(A797,'Dados-Status-Invest'!$1:$1000,MATCH(W$1,'Dados-Status-Invest'!$2:$2,0),FALSE())/100,"")</f>
        <v/>
      </c>
      <c r="X797" s="10" t="str">
        <f aca="false">IFERROR(VLOOKUP(A797,'Dados-Status-Invest'!$1:$1000,MATCH(X$1,'Dados-Status-Invest'!$2:$2,0),FALSE())/100,"")</f>
        <v/>
      </c>
    </row>
    <row r="798" customFormat="false" ht="15.75" hidden="false" customHeight="false" outlineLevel="0" collapsed="false">
      <c r="B798" s="7" t="str">
        <f aca="false">IFERROR(VLOOKUP(LEFT(A798,4),Setor!A:D,2,FALSE()),"")</f>
        <v/>
      </c>
      <c r="C798" s="8" t="str">
        <f aca="false">IFERROR(__xludf.dummyfunction("IFERROR(IFERROR(GOOGLEFINANCE(A804,""price""),VLOOKUP(A804,'Dados-Status-Invest'!A:B,2,FALSE)),"""")"),"")</f>
        <v/>
      </c>
      <c r="D798" s="8" t="str">
        <f aca="false">IFERROR(VLOOKUP(A798,'Dados-Status-Invest'!$1:$1000,MATCH(D$1,'Dados-Status-Invest'!$2:$2,0),FALSE()),"")</f>
        <v/>
      </c>
      <c r="E798" s="8" t="e">
        <f aca="false">IF(D798+H798&gt;0,D798+H798,"")</f>
        <v>#VALUE!</v>
      </c>
      <c r="F798" s="8" t="str">
        <f aca="false">IFERROR(D798/VLOOKUP(A798,'Dados-Status-Invest'!$1:$1000,5,FALSE()),"")</f>
        <v/>
      </c>
      <c r="G798" s="8" t="str">
        <f aca="false">IFERROR(D798/VLOOKUP(A798,'Dados-Status-Invest'!$1:$1000,6,FALSE()),"")</f>
        <v/>
      </c>
      <c r="H798" s="8" t="str">
        <f aca="false">IFERROR(VLOOKUP(A798,'Dados-Status-Invest'!$1:$1000,12,FALSE())*J798,"")</f>
        <v/>
      </c>
      <c r="I798" s="8" t="str">
        <f aca="false">IFERROR(D798/VLOOKUP(A798,'Dados-Status-Invest'!$1:$1000,14,FALSE()),"")</f>
        <v/>
      </c>
      <c r="J798" s="9" t="str">
        <f aca="false">IFERROR(D798/VLOOKUP(A798,'Dados-Status-Invest'!$1:$1000,10,FALSE()),"")</f>
        <v/>
      </c>
      <c r="K798" s="10" t="str">
        <f aca="false">IFERROR(VLOOKUP(A798,'Dados-Status-Invest'!$1:$1000,3,FALSE())/100,"")</f>
        <v/>
      </c>
      <c r="L798" s="11" t="str">
        <f aca="false">IFERROR(VLOOKUP(A798,'Dados-Status-Invest'!$1:$1000,MATCH(L$1,'Dados-Status-Invest'!$2:$2,0),FALSE())/100,"")</f>
        <v/>
      </c>
      <c r="M798" s="10" t="str">
        <f aca="false">IFERROR(VLOOKUP(A798,'Dados-Status-Invest'!$1:$1000,MATCH(M$1,'Dados-Status-Invest'!$2:$2,0),FALSE())/100,"")</f>
        <v/>
      </c>
      <c r="N798" s="10" t="str">
        <f aca="false">IFERROR(VLOOKUP(A798,'Dados-Status-Invest'!$1:$1000,MATCH(N$1,'Dados-Status-Invest'!$2:$2,0),FALSE())/100,"")</f>
        <v/>
      </c>
      <c r="O798" s="10" t="str">
        <f aca="false">IFERROR(VLOOKUP(A798,'Dados-Status-Invest'!$1:$1000,MATCH(O$1,'Dados-Status-Invest'!$2:$2,0),FALSE())/100,"")</f>
        <v/>
      </c>
      <c r="P798" s="10" t="str">
        <f aca="false">IFERROR(VLOOKUP(A798,'Dados-Status-Invest'!$1:$1000,MATCH(P$1,'Dados-Status-Invest'!$2:$2,0),FALSE())/100,"")</f>
        <v/>
      </c>
      <c r="Q798" s="10" t="str">
        <f aca="false">IFERROR(VLOOKUP(A798,'Dados-Status-Invest'!$1:$1000,MATCH(Q$1,'Dados-Status-Invest'!$2:$2,0),FALSE())/100,"")</f>
        <v/>
      </c>
      <c r="R798" s="12" t="str">
        <f aca="false">IFERROR(VLOOKUP(A798,'Dados-Status-Invest'!$1:$1000,MATCH(R$1,'Dados-Status-Invest'!$2:$2,0),FALSE()),"")</f>
        <v/>
      </c>
      <c r="S798" s="12" t="str">
        <f aca="false">IFERROR(VLOOKUP(A798,'Dados-Status-Invest'!$1:$1000,MATCH(S$1,'Dados-Status-Invest'!$2:$2,0),FALSE()),"")</f>
        <v/>
      </c>
      <c r="T798" s="12" t="str">
        <f aca="false">IFERROR(VLOOKUP(A798,'Dados-Status-Invest'!$1:$1000,MATCH(T$1,'Dados-Status-Invest'!$2:$2,0),FALSE()),"")</f>
        <v/>
      </c>
      <c r="U798" s="12" t="str">
        <f aca="false">IFERROR(VLOOKUP(A798,'Dados-Status-Invest'!$1:$1000,MATCH(U$1,'Dados-Status-Invest'!$2:$2,0),FALSE()),"")</f>
        <v/>
      </c>
      <c r="V798" s="12" t="str">
        <f aca="false">IFERROR(VLOOKUP(A798,'Dados-Status-Invest'!$1:$1000,MATCH(V$1,'Dados-Status-Invest'!$2:$2,0),FALSE()),"")</f>
        <v/>
      </c>
      <c r="W798" s="10" t="str">
        <f aca="false">IFERROR(VLOOKUP(A798,'Dados-Status-Invest'!$1:$1000,MATCH(W$1,'Dados-Status-Invest'!$2:$2,0),FALSE())/100,"")</f>
        <v/>
      </c>
      <c r="X798" s="10" t="str">
        <f aca="false">IFERROR(VLOOKUP(A798,'Dados-Status-Invest'!$1:$1000,MATCH(X$1,'Dados-Status-Invest'!$2:$2,0),FALSE())/100,"")</f>
        <v/>
      </c>
    </row>
    <row r="799" customFormat="false" ht="15.75" hidden="false" customHeight="false" outlineLevel="0" collapsed="false">
      <c r="B799" s="7" t="str">
        <f aca="false">IFERROR(VLOOKUP(LEFT(A799,4),Setor!A:D,2,FALSE()),"")</f>
        <v/>
      </c>
      <c r="C799" s="8" t="str">
        <f aca="false">IFERROR(__xludf.dummyfunction("IFERROR(IFERROR(GOOGLEFINANCE(A805,""price""),VLOOKUP(A805,'Dados-Status-Invest'!A:B,2,FALSE)),"""")"),"")</f>
        <v/>
      </c>
      <c r="D799" s="8" t="str">
        <f aca="false">IFERROR(VLOOKUP(A799,'Dados-Status-Invest'!$1:$1000,MATCH(D$1,'Dados-Status-Invest'!$2:$2,0),FALSE()),"")</f>
        <v/>
      </c>
      <c r="E799" s="8" t="e">
        <f aca="false">IF(D799+H799&gt;0,D799+H799,"")</f>
        <v>#VALUE!</v>
      </c>
      <c r="F799" s="8" t="str">
        <f aca="false">IFERROR(D799/VLOOKUP(A799,'Dados-Status-Invest'!$1:$1000,5,FALSE()),"")</f>
        <v/>
      </c>
      <c r="G799" s="8" t="str">
        <f aca="false">IFERROR(D799/VLOOKUP(A799,'Dados-Status-Invest'!$1:$1000,6,FALSE()),"")</f>
        <v/>
      </c>
      <c r="H799" s="8" t="str">
        <f aca="false">IFERROR(VLOOKUP(A799,'Dados-Status-Invest'!$1:$1000,12,FALSE())*J799,"")</f>
        <v/>
      </c>
      <c r="I799" s="8" t="str">
        <f aca="false">IFERROR(D799/VLOOKUP(A799,'Dados-Status-Invest'!$1:$1000,14,FALSE()),"")</f>
        <v/>
      </c>
      <c r="J799" s="9" t="str">
        <f aca="false">IFERROR(D799/VLOOKUP(A799,'Dados-Status-Invest'!$1:$1000,10,FALSE()),"")</f>
        <v/>
      </c>
      <c r="K799" s="10" t="str">
        <f aca="false">IFERROR(VLOOKUP(A799,'Dados-Status-Invest'!$1:$1000,3,FALSE())/100,"")</f>
        <v/>
      </c>
      <c r="L799" s="11" t="str">
        <f aca="false">IFERROR(VLOOKUP(A799,'Dados-Status-Invest'!$1:$1000,MATCH(L$1,'Dados-Status-Invest'!$2:$2,0),FALSE())/100,"")</f>
        <v/>
      </c>
      <c r="M799" s="10" t="str">
        <f aca="false">IFERROR(VLOOKUP(A799,'Dados-Status-Invest'!$1:$1000,MATCH(M$1,'Dados-Status-Invest'!$2:$2,0),FALSE())/100,"")</f>
        <v/>
      </c>
      <c r="N799" s="10" t="str">
        <f aca="false">IFERROR(VLOOKUP(A799,'Dados-Status-Invest'!$1:$1000,MATCH(N$1,'Dados-Status-Invest'!$2:$2,0),FALSE())/100,"")</f>
        <v/>
      </c>
      <c r="O799" s="10" t="str">
        <f aca="false">IFERROR(VLOOKUP(A799,'Dados-Status-Invest'!$1:$1000,MATCH(O$1,'Dados-Status-Invest'!$2:$2,0),FALSE())/100,"")</f>
        <v/>
      </c>
      <c r="P799" s="10" t="str">
        <f aca="false">IFERROR(VLOOKUP(A799,'Dados-Status-Invest'!$1:$1000,MATCH(P$1,'Dados-Status-Invest'!$2:$2,0),FALSE())/100,"")</f>
        <v/>
      </c>
      <c r="Q799" s="10" t="str">
        <f aca="false">IFERROR(VLOOKUP(A799,'Dados-Status-Invest'!$1:$1000,MATCH(Q$1,'Dados-Status-Invest'!$2:$2,0),FALSE())/100,"")</f>
        <v/>
      </c>
      <c r="R799" s="12" t="str">
        <f aca="false">IFERROR(VLOOKUP(A799,'Dados-Status-Invest'!$1:$1000,MATCH(R$1,'Dados-Status-Invest'!$2:$2,0),FALSE()),"")</f>
        <v/>
      </c>
      <c r="S799" s="12" t="str">
        <f aca="false">IFERROR(VLOOKUP(A799,'Dados-Status-Invest'!$1:$1000,MATCH(S$1,'Dados-Status-Invest'!$2:$2,0),FALSE()),"")</f>
        <v/>
      </c>
      <c r="T799" s="12" t="str">
        <f aca="false">IFERROR(VLOOKUP(A799,'Dados-Status-Invest'!$1:$1000,MATCH(T$1,'Dados-Status-Invest'!$2:$2,0),FALSE()),"")</f>
        <v/>
      </c>
      <c r="U799" s="12" t="str">
        <f aca="false">IFERROR(VLOOKUP(A799,'Dados-Status-Invest'!$1:$1000,MATCH(U$1,'Dados-Status-Invest'!$2:$2,0),FALSE()),"")</f>
        <v/>
      </c>
      <c r="V799" s="12" t="str">
        <f aca="false">IFERROR(VLOOKUP(A799,'Dados-Status-Invest'!$1:$1000,MATCH(V$1,'Dados-Status-Invest'!$2:$2,0),FALSE()),"")</f>
        <v/>
      </c>
      <c r="W799" s="10" t="str">
        <f aca="false">IFERROR(VLOOKUP(A799,'Dados-Status-Invest'!$1:$1000,MATCH(W$1,'Dados-Status-Invest'!$2:$2,0),FALSE())/100,"")</f>
        <v/>
      </c>
      <c r="X799" s="10" t="str">
        <f aca="false">IFERROR(VLOOKUP(A799,'Dados-Status-Invest'!$1:$1000,MATCH(X$1,'Dados-Status-Invest'!$2:$2,0),FALSE())/100,"")</f>
        <v/>
      </c>
    </row>
    <row r="800" customFormat="false" ht="15.75" hidden="false" customHeight="false" outlineLevel="0" collapsed="false">
      <c r="B800" s="7" t="str">
        <f aca="false">IFERROR(VLOOKUP(LEFT(A800,4),Setor!A:D,2,FALSE()),"")</f>
        <v/>
      </c>
      <c r="C800" s="8" t="str">
        <f aca="false">IFERROR(__xludf.dummyfunction("IFERROR(IFERROR(GOOGLEFINANCE(A806,""price""),VLOOKUP(A806,'Dados-Status-Invest'!A:B,2,FALSE)),"""")"),"")</f>
        <v/>
      </c>
      <c r="D800" s="8" t="str">
        <f aca="false">IFERROR(VLOOKUP(A800,'Dados-Status-Invest'!$1:$1000,MATCH(D$1,'Dados-Status-Invest'!$2:$2,0),FALSE()),"")</f>
        <v/>
      </c>
      <c r="E800" s="8" t="e">
        <f aca="false">IF(D800+H800&gt;0,D800+H800,"")</f>
        <v>#VALUE!</v>
      </c>
      <c r="F800" s="8" t="str">
        <f aca="false">IFERROR(D800/VLOOKUP(A800,'Dados-Status-Invest'!$1:$1000,5,FALSE()),"")</f>
        <v/>
      </c>
      <c r="G800" s="8" t="str">
        <f aca="false">IFERROR(D800/VLOOKUP(A800,'Dados-Status-Invest'!$1:$1000,6,FALSE()),"")</f>
        <v/>
      </c>
      <c r="H800" s="8" t="str">
        <f aca="false">IFERROR(VLOOKUP(A800,'Dados-Status-Invest'!$1:$1000,12,FALSE())*J800,"")</f>
        <v/>
      </c>
      <c r="I800" s="8" t="str">
        <f aca="false">IFERROR(D800/VLOOKUP(A800,'Dados-Status-Invest'!$1:$1000,14,FALSE()),"")</f>
        <v/>
      </c>
      <c r="J800" s="9" t="str">
        <f aca="false">IFERROR(D800/VLOOKUP(A800,'Dados-Status-Invest'!$1:$1000,10,FALSE()),"")</f>
        <v/>
      </c>
      <c r="K800" s="10" t="str">
        <f aca="false">IFERROR(VLOOKUP(A800,'Dados-Status-Invest'!$1:$1000,3,FALSE())/100,"")</f>
        <v/>
      </c>
      <c r="L800" s="11" t="str">
        <f aca="false">IFERROR(VLOOKUP(A800,'Dados-Status-Invest'!$1:$1000,MATCH(L$1,'Dados-Status-Invest'!$2:$2,0),FALSE())/100,"")</f>
        <v/>
      </c>
      <c r="M800" s="10" t="str">
        <f aca="false">IFERROR(VLOOKUP(A800,'Dados-Status-Invest'!$1:$1000,MATCH(M$1,'Dados-Status-Invest'!$2:$2,0),FALSE())/100,"")</f>
        <v/>
      </c>
      <c r="N800" s="10" t="str">
        <f aca="false">IFERROR(VLOOKUP(A800,'Dados-Status-Invest'!$1:$1000,MATCH(N$1,'Dados-Status-Invest'!$2:$2,0),FALSE())/100,"")</f>
        <v/>
      </c>
      <c r="O800" s="10" t="str">
        <f aca="false">IFERROR(VLOOKUP(A800,'Dados-Status-Invest'!$1:$1000,MATCH(O$1,'Dados-Status-Invest'!$2:$2,0),FALSE())/100,"")</f>
        <v/>
      </c>
      <c r="P800" s="10" t="str">
        <f aca="false">IFERROR(VLOOKUP(A800,'Dados-Status-Invest'!$1:$1000,MATCH(P$1,'Dados-Status-Invest'!$2:$2,0),FALSE())/100,"")</f>
        <v/>
      </c>
      <c r="Q800" s="10" t="str">
        <f aca="false">IFERROR(VLOOKUP(A800,'Dados-Status-Invest'!$1:$1000,MATCH(Q$1,'Dados-Status-Invest'!$2:$2,0),FALSE())/100,"")</f>
        <v/>
      </c>
      <c r="R800" s="12" t="str">
        <f aca="false">IFERROR(VLOOKUP(A800,'Dados-Status-Invest'!$1:$1000,MATCH(R$1,'Dados-Status-Invest'!$2:$2,0),FALSE()),"")</f>
        <v/>
      </c>
      <c r="S800" s="12" t="str">
        <f aca="false">IFERROR(VLOOKUP(A800,'Dados-Status-Invest'!$1:$1000,MATCH(S$1,'Dados-Status-Invest'!$2:$2,0),FALSE()),"")</f>
        <v/>
      </c>
      <c r="T800" s="12" t="str">
        <f aca="false">IFERROR(VLOOKUP(A800,'Dados-Status-Invest'!$1:$1000,MATCH(T$1,'Dados-Status-Invest'!$2:$2,0),FALSE()),"")</f>
        <v/>
      </c>
      <c r="U800" s="12" t="str">
        <f aca="false">IFERROR(VLOOKUP(A800,'Dados-Status-Invest'!$1:$1000,MATCH(U$1,'Dados-Status-Invest'!$2:$2,0),FALSE()),"")</f>
        <v/>
      </c>
      <c r="V800" s="12" t="str">
        <f aca="false">IFERROR(VLOOKUP(A800,'Dados-Status-Invest'!$1:$1000,MATCH(V$1,'Dados-Status-Invest'!$2:$2,0),FALSE()),"")</f>
        <v/>
      </c>
      <c r="W800" s="10" t="str">
        <f aca="false">IFERROR(VLOOKUP(A800,'Dados-Status-Invest'!$1:$1000,MATCH(W$1,'Dados-Status-Invest'!$2:$2,0),FALSE())/100,"")</f>
        <v/>
      </c>
      <c r="X800" s="10" t="str">
        <f aca="false">IFERROR(VLOOKUP(A800,'Dados-Status-Invest'!$1:$1000,MATCH(X$1,'Dados-Status-Invest'!$2:$2,0),FALSE())/100,"")</f>
        <v/>
      </c>
    </row>
    <row r="801" customFormat="false" ht="15.75" hidden="false" customHeight="false" outlineLevel="0" collapsed="false">
      <c r="B801" s="7" t="str">
        <f aca="false">IFERROR(VLOOKUP(LEFT(A801,4),Setor!A:D,2,FALSE()),"")</f>
        <v/>
      </c>
      <c r="C801" s="8" t="str">
        <f aca="false">IFERROR(__xludf.dummyfunction("IFERROR(IFERROR(GOOGLEFINANCE(A807,""price""),VLOOKUP(A807,'Dados-Status-Invest'!A:B,2,FALSE)),"""")"),"")</f>
        <v/>
      </c>
      <c r="D801" s="8" t="str">
        <f aca="false">IFERROR(VLOOKUP(A801,'Dados-Status-Invest'!$1:$1000,MATCH(D$1,'Dados-Status-Invest'!$2:$2,0),FALSE()),"")</f>
        <v/>
      </c>
      <c r="E801" s="8" t="e">
        <f aca="false">IF(D801+H801&gt;0,D801+H801,"")</f>
        <v>#VALUE!</v>
      </c>
      <c r="F801" s="8" t="str">
        <f aca="false">IFERROR(D801/VLOOKUP(A801,'Dados-Status-Invest'!$1:$1000,5,FALSE()),"")</f>
        <v/>
      </c>
      <c r="G801" s="8" t="str">
        <f aca="false">IFERROR(D801/VLOOKUP(A801,'Dados-Status-Invest'!$1:$1000,6,FALSE()),"")</f>
        <v/>
      </c>
      <c r="H801" s="8" t="str">
        <f aca="false">IFERROR(VLOOKUP(A801,'Dados-Status-Invest'!$1:$1000,12,FALSE())*J801,"")</f>
        <v/>
      </c>
      <c r="I801" s="8" t="str">
        <f aca="false">IFERROR(D801/VLOOKUP(A801,'Dados-Status-Invest'!$1:$1000,14,FALSE()),"")</f>
        <v/>
      </c>
      <c r="J801" s="9" t="str">
        <f aca="false">IFERROR(D801/VLOOKUP(A801,'Dados-Status-Invest'!$1:$1000,10,FALSE()),"")</f>
        <v/>
      </c>
      <c r="K801" s="10" t="str">
        <f aca="false">IFERROR(VLOOKUP(A801,'Dados-Status-Invest'!$1:$1000,3,FALSE())/100,"")</f>
        <v/>
      </c>
      <c r="L801" s="11" t="str">
        <f aca="false">IFERROR(VLOOKUP(A801,'Dados-Status-Invest'!$1:$1000,MATCH(L$1,'Dados-Status-Invest'!$2:$2,0),FALSE())/100,"")</f>
        <v/>
      </c>
      <c r="M801" s="10" t="str">
        <f aca="false">IFERROR(VLOOKUP(A801,'Dados-Status-Invest'!$1:$1000,MATCH(M$1,'Dados-Status-Invest'!$2:$2,0),FALSE())/100,"")</f>
        <v/>
      </c>
      <c r="N801" s="10" t="str">
        <f aca="false">IFERROR(VLOOKUP(A801,'Dados-Status-Invest'!$1:$1000,MATCH(N$1,'Dados-Status-Invest'!$2:$2,0),FALSE())/100,"")</f>
        <v/>
      </c>
      <c r="O801" s="10" t="str">
        <f aca="false">IFERROR(VLOOKUP(A801,'Dados-Status-Invest'!$1:$1000,MATCH(O$1,'Dados-Status-Invest'!$2:$2,0),FALSE())/100,"")</f>
        <v/>
      </c>
      <c r="P801" s="10" t="str">
        <f aca="false">IFERROR(VLOOKUP(A801,'Dados-Status-Invest'!$1:$1000,MATCH(P$1,'Dados-Status-Invest'!$2:$2,0),FALSE())/100,"")</f>
        <v/>
      </c>
      <c r="Q801" s="10" t="str">
        <f aca="false">IFERROR(VLOOKUP(A801,'Dados-Status-Invest'!$1:$1000,MATCH(Q$1,'Dados-Status-Invest'!$2:$2,0),FALSE())/100,"")</f>
        <v/>
      </c>
      <c r="R801" s="12" t="str">
        <f aca="false">IFERROR(VLOOKUP(A801,'Dados-Status-Invest'!$1:$1000,MATCH(R$1,'Dados-Status-Invest'!$2:$2,0),FALSE()),"")</f>
        <v/>
      </c>
      <c r="S801" s="12" t="str">
        <f aca="false">IFERROR(VLOOKUP(A801,'Dados-Status-Invest'!$1:$1000,MATCH(S$1,'Dados-Status-Invest'!$2:$2,0),FALSE()),"")</f>
        <v/>
      </c>
      <c r="T801" s="12" t="str">
        <f aca="false">IFERROR(VLOOKUP(A801,'Dados-Status-Invest'!$1:$1000,MATCH(T$1,'Dados-Status-Invest'!$2:$2,0),FALSE()),"")</f>
        <v/>
      </c>
      <c r="U801" s="12" t="str">
        <f aca="false">IFERROR(VLOOKUP(A801,'Dados-Status-Invest'!$1:$1000,MATCH(U$1,'Dados-Status-Invest'!$2:$2,0),FALSE()),"")</f>
        <v/>
      </c>
      <c r="V801" s="12" t="str">
        <f aca="false">IFERROR(VLOOKUP(A801,'Dados-Status-Invest'!$1:$1000,MATCH(V$1,'Dados-Status-Invest'!$2:$2,0),FALSE()),"")</f>
        <v/>
      </c>
      <c r="W801" s="10" t="str">
        <f aca="false">IFERROR(VLOOKUP(A801,'Dados-Status-Invest'!$1:$1000,MATCH(W$1,'Dados-Status-Invest'!$2:$2,0),FALSE())/100,"")</f>
        <v/>
      </c>
      <c r="X801" s="10" t="str">
        <f aca="false">IFERROR(VLOOKUP(A801,'Dados-Status-Invest'!$1:$1000,MATCH(X$1,'Dados-Status-Invest'!$2:$2,0),FALSE())/100,"")</f>
        <v/>
      </c>
    </row>
    <row r="802" customFormat="false" ht="15.75" hidden="false" customHeight="false" outlineLevel="0" collapsed="false">
      <c r="B802" s="7" t="str">
        <f aca="false">IFERROR(VLOOKUP(LEFT(A802,4),Setor!A:D,2,FALSE()),"")</f>
        <v/>
      </c>
      <c r="C802" s="8" t="str">
        <f aca="false">IFERROR(__xludf.dummyfunction("IFERROR(IFERROR(GOOGLEFINANCE(A808,""price""),VLOOKUP(A808,'Dados-Status-Invest'!A:B,2,FALSE)),"""")"),"")</f>
        <v/>
      </c>
      <c r="D802" s="8" t="str">
        <f aca="false">IFERROR(VLOOKUP(A802,'Dados-Status-Invest'!$1:$1000,MATCH(D$1,'Dados-Status-Invest'!$2:$2,0),FALSE()),"")</f>
        <v/>
      </c>
      <c r="E802" s="8" t="e">
        <f aca="false">IF(D802+H802&gt;0,D802+H802,"")</f>
        <v>#VALUE!</v>
      </c>
      <c r="F802" s="8" t="str">
        <f aca="false">IFERROR(D802/VLOOKUP(A802,'Dados-Status-Invest'!$1:$1000,5,FALSE()),"")</f>
        <v/>
      </c>
      <c r="G802" s="8" t="str">
        <f aca="false">IFERROR(D802/VLOOKUP(A802,'Dados-Status-Invest'!$1:$1000,6,FALSE()),"")</f>
        <v/>
      </c>
      <c r="H802" s="8" t="str">
        <f aca="false">IFERROR(VLOOKUP(A802,'Dados-Status-Invest'!$1:$1000,12,FALSE())*J802,"")</f>
        <v/>
      </c>
      <c r="I802" s="8" t="str">
        <f aca="false">IFERROR(D802/VLOOKUP(A802,'Dados-Status-Invest'!$1:$1000,14,FALSE()),"")</f>
        <v/>
      </c>
      <c r="J802" s="9" t="str">
        <f aca="false">IFERROR(D802/VLOOKUP(A802,'Dados-Status-Invest'!$1:$1000,10,FALSE()),"")</f>
        <v/>
      </c>
      <c r="K802" s="10" t="str">
        <f aca="false">IFERROR(VLOOKUP(A802,'Dados-Status-Invest'!$1:$1000,3,FALSE())/100,"")</f>
        <v/>
      </c>
      <c r="L802" s="11" t="str">
        <f aca="false">IFERROR(VLOOKUP(A802,'Dados-Status-Invest'!$1:$1000,MATCH(L$1,'Dados-Status-Invest'!$2:$2,0),FALSE())/100,"")</f>
        <v/>
      </c>
      <c r="M802" s="10" t="str">
        <f aca="false">IFERROR(VLOOKUP(A802,'Dados-Status-Invest'!$1:$1000,MATCH(M$1,'Dados-Status-Invest'!$2:$2,0),FALSE())/100,"")</f>
        <v/>
      </c>
      <c r="N802" s="10" t="str">
        <f aca="false">IFERROR(VLOOKUP(A802,'Dados-Status-Invest'!$1:$1000,MATCH(N$1,'Dados-Status-Invest'!$2:$2,0),FALSE())/100,"")</f>
        <v/>
      </c>
      <c r="O802" s="10" t="str">
        <f aca="false">IFERROR(VLOOKUP(A802,'Dados-Status-Invest'!$1:$1000,MATCH(O$1,'Dados-Status-Invest'!$2:$2,0),FALSE())/100,"")</f>
        <v/>
      </c>
      <c r="P802" s="10" t="str">
        <f aca="false">IFERROR(VLOOKUP(A802,'Dados-Status-Invest'!$1:$1000,MATCH(P$1,'Dados-Status-Invest'!$2:$2,0),FALSE())/100,"")</f>
        <v/>
      </c>
      <c r="Q802" s="10" t="str">
        <f aca="false">IFERROR(VLOOKUP(A802,'Dados-Status-Invest'!$1:$1000,MATCH(Q$1,'Dados-Status-Invest'!$2:$2,0),FALSE())/100,"")</f>
        <v/>
      </c>
      <c r="R802" s="12" t="str">
        <f aca="false">IFERROR(VLOOKUP(A802,'Dados-Status-Invest'!$1:$1000,MATCH(R$1,'Dados-Status-Invest'!$2:$2,0),FALSE()),"")</f>
        <v/>
      </c>
      <c r="S802" s="12" t="str">
        <f aca="false">IFERROR(VLOOKUP(A802,'Dados-Status-Invest'!$1:$1000,MATCH(S$1,'Dados-Status-Invest'!$2:$2,0),FALSE()),"")</f>
        <v/>
      </c>
      <c r="T802" s="12" t="str">
        <f aca="false">IFERROR(VLOOKUP(A802,'Dados-Status-Invest'!$1:$1000,MATCH(T$1,'Dados-Status-Invest'!$2:$2,0),FALSE()),"")</f>
        <v/>
      </c>
      <c r="U802" s="12" t="str">
        <f aca="false">IFERROR(VLOOKUP(A802,'Dados-Status-Invest'!$1:$1000,MATCH(U$1,'Dados-Status-Invest'!$2:$2,0),FALSE()),"")</f>
        <v/>
      </c>
      <c r="V802" s="12" t="str">
        <f aca="false">IFERROR(VLOOKUP(A802,'Dados-Status-Invest'!$1:$1000,MATCH(V$1,'Dados-Status-Invest'!$2:$2,0),FALSE()),"")</f>
        <v/>
      </c>
      <c r="W802" s="10" t="str">
        <f aca="false">IFERROR(VLOOKUP(A802,'Dados-Status-Invest'!$1:$1000,MATCH(W$1,'Dados-Status-Invest'!$2:$2,0),FALSE())/100,"")</f>
        <v/>
      </c>
      <c r="X802" s="10" t="str">
        <f aca="false">IFERROR(VLOOKUP(A802,'Dados-Status-Invest'!$1:$1000,MATCH(X$1,'Dados-Status-Invest'!$2:$2,0),FALSE())/100,"")</f>
        <v/>
      </c>
    </row>
    <row r="803" customFormat="false" ht="15.75" hidden="false" customHeight="false" outlineLevel="0" collapsed="false">
      <c r="B803" s="7" t="str">
        <f aca="false">IFERROR(VLOOKUP(LEFT(A803,4),Setor!A:D,2,FALSE()),"")</f>
        <v/>
      </c>
      <c r="C803" s="8" t="str">
        <f aca="false">IFERROR(__xludf.dummyfunction("IFERROR(IFERROR(GOOGLEFINANCE(A809,""price""),VLOOKUP(A809,'Dados-Status-Invest'!A:B,2,FALSE)),"""")"),"")</f>
        <v/>
      </c>
      <c r="D803" s="8" t="str">
        <f aca="false">IFERROR(VLOOKUP(A803,'Dados-Status-Invest'!$1:$1000,MATCH(D$1,'Dados-Status-Invest'!$2:$2,0),FALSE()),"")</f>
        <v/>
      </c>
      <c r="E803" s="8" t="e">
        <f aca="false">IF(D803+H803&gt;0,D803+H803,"")</f>
        <v>#VALUE!</v>
      </c>
      <c r="F803" s="8" t="str">
        <f aca="false">IFERROR(D803/VLOOKUP(A803,'Dados-Status-Invest'!$1:$1000,5,FALSE()),"")</f>
        <v/>
      </c>
      <c r="G803" s="8" t="str">
        <f aca="false">IFERROR(D803/VLOOKUP(A803,'Dados-Status-Invest'!$1:$1000,6,FALSE()),"")</f>
        <v/>
      </c>
      <c r="H803" s="8" t="str">
        <f aca="false">IFERROR(VLOOKUP(A803,'Dados-Status-Invest'!$1:$1000,12,FALSE())*J803,"")</f>
        <v/>
      </c>
      <c r="I803" s="8" t="str">
        <f aca="false">IFERROR(D803/VLOOKUP(A803,'Dados-Status-Invest'!$1:$1000,14,FALSE()),"")</f>
        <v/>
      </c>
      <c r="J803" s="9" t="str">
        <f aca="false">IFERROR(D803/VLOOKUP(A803,'Dados-Status-Invest'!$1:$1000,10,FALSE()),"")</f>
        <v/>
      </c>
      <c r="K803" s="10" t="str">
        <f aca="false">IFERROR(VLOOKUP(A803,'Dados-Status-Invest'!$1:$1000,3,FALSE())/100,"")</f>
        <v/>
      </c>
      <c r="L803" s="11" t="str">
        <f aca="false">IFERROR(VLOOKUP(A803,'Dados-Status-Invest'!$1:$1000,MATCH(L$1,'Dados-Status-Invest'!$2:$2,0),FALSE())/100,"")</f>
        <v/>
      </c>
      <c r="M803" s="10" t="str">
        <f aca="false">IFERROR(VLOOKUP(A803,'Dados-Status-Invest'!$1:$1000,MATCH(M$1,'Dados-Status-Invest'!$2:$2,0),FALSE())/100,"")</f>
        <v/>
      </c>
      <c r="N803" s="10" t="str">
        <f aca="false">IFERROR(VLOOKUP(A803,'Dados-Status-Invest'!$1:$1000,MATCH(N$1,'Dados-Status-Invest'!$2:$2,0),FALSE())/100,"")</f>
        <v/>
      </c>
      <c r="O803" s="10" t="str">
        <f aca="false">IFERROR(VLOOKUP(A803,'Dados-Status-Invest'!$1:$1000,MATCH(O$1,'Dados-Status-Invest'!$2:$2,0),FALSE())/100,"")</f>
        <v/>
      </c>
      <c r="P803" s="10" t="str">
        <f aca="false">IFERROR(VLOOKUP(A803,'Dados-Status-Invest'!$1:$1000,MATCH(P$1,'Dados-Status-Invest'!$2:$2,0),FALSE())/100,"")</f>
        <v/>
      </c>
      <c r="Q803" s="10" t="str">
        <f aca="false">IFERROR(VLOOKUP(A803,'Dados-Status-Invest'!$1:$1000,MATCH(Q$1,'Dados-Status-Invest'!$2:$2,0),FALSE())/100,"")</f>
        <v/>
      </c>
      <c r="R803" s="12" t="str">
        <f aca="false">IFERROR(VLOOKUP(A803,'Dados-Status-Invest'!$1:$1000,MATCH(R$1,'Dados-Status-Invest'!$2:$2,0),FALSE()),"")</f>
        <v/>
      </c>
      <c r="S803" s="12" t="str">
        <f aca="false">IFERROR(VLOOKUP(A803,'Dados-Status-Invest'!$1:$1000,MATCH(S$1,'Dados-Status-Invest'!$2:$2,0),FALSE()),"")</f>
        <v/>
      </c>
      <c r="T803" s="12" t="str">
        <f aca="false">IFERROR(VLOOKUP(A803,'Dados-Status-Invest'!$1:$1000,MATCH(T$1,'Dados-Status-Invest'!$2:$2,0),FALSE()),"")</f>
        <v/>
      </c>
      <c r="U803" s="12" t="str">
        <f aca="false">IFERROR(VLOOKUP(A803,'Dados-Status-Invest'!$1:$1000,MATCH(U$1,'Dados-Status-Invest'!$2:$2,0),FALSE()),"")</f>
        <v/>
      </c>
      <c r="V803" s="12" t="str">
        <f aca="false">IFERROR(VLOOKUP(A803,'Dados-Status-Invest'!$1:$1000,MATCH(V$1,'Dados-Status-Invest'!$2:$2,0),FALSE()),"")</f>
        <v/>
      </c>
      <c r="W803" s="10" t="str">
        <f aca="false">IFERROR(VLOOKUP(A803,'Dados-Status-Invest'!$1:$1000,MATCH(W$1,'Dados-Status-Invest'!$2:$2,0),FALSE())/100,"")</f>
        <v/>
      </c>
      <c r="X803" s="10" t="str">
        <f aca="false">IFERROR(VLOOKUP(A803,'Dados-Status-Invest'!$1:$1000,MATCH(X$1,'Dados-Status-Invest'!$2:$2,0),FALSE())/100,"")</f>
        <v/>
      </c>
    </row>
    <row r="804" customFormat="false" ht="15.75" hidden="false" customHeight="false" outlineLevel="0" collapsed="false">
      <c r="B804" s="7" t="str">
        <f aca="false">IFERROR(VLOOKUP(LEFT(A804,4),Setor!A:D,2,FALSE()),"")</f>
        <v/>
      </c>
      <c r="C804" s="8" t="str">
        <f aca="false">IFERROR(__xludf.dummyfunction("IFERROR(IFERROR(GOOGLEFINANCE(A810,""price""),VLOOKUP(A810,'Dados-Status-Invest'!A:B,2,FALSE)),"""")"),"")</f>
        <v/>
      </c>
      <c r="D804" s="8" t="str">
        <f aca="false">IFERROR(VLOOKUP(A804,'Dados-Status-Invest'!$1:$1000,MATCH(D$1,'Dados-Status-Invest'!$2:$2,0),FALSE()),"")</f>
        <v/>
      </c>
      <c r="E804" s="8" t="e">
        <f aca="false">IF(D804+H804&gt;0,D804+H804,"")</f>
        <v>#VALUE!</v>
      </c>
      <c r="F804" s="8" t="str">
        <f aca="false">IFERROR(D804/VLOOKUP(A804,'Dados-Status-Invest'!$1:$1000,5,FALSE()),"")</f>
        <v/>
      </c>
      <c r="G804" s="8" t="str">
        <f aca="false">IFERROR(D804/VLOOKUP(A804,'Dados-Status-Invest'!$1:$1000,6,FALSE()),"")</f>
        <v/>
      </c>
      <c r="H804" s="8" t="str">
        <f aca="false">IFERROR(VLOOKUP(A804,'Dados-Status-Invest'!$1:$1000,12,FALSE())*J804,"")</f>
        <v/>
      </c>
      <c r="I804" s="8" t="str">
        <f aca="false">IFERROR(D804/VLOOKUP(A804,'Dados-Status-Invest'!$1:$1000,14,FALSE()),"")</f>
        <v/>
      </c>
      <c r="J804" s="9" t="str">
        <f aca="false">IFERROR(D804/VLOOKUP(A804,'Dados-Status-Invest'!$1:$1000,10,FALSE()),"")</f>
        <v/>
      </c>
      <c r="K804" s="10" t="str">
        <f aca="false">IFERROR(VLOOKUP(A804,'Dados-Status-Invest'!$1:$1000,3,FALSE())/100,"")</f>
        <v/>
      </c>
      <c r="L804" s="11" t="str">
        <f aca="false">IFERROR(VLOOKUP(A804,'Dados-Status-Invest'!$1:$1000,MATCH(L$1,'Dados-Status-Invest'!$2:$2,0),FALSE())/100,"")</f>
        <v/>
      </c>
      <c r="M804" s="10" t="str">
        <f aca="false">IFERROR(VLOOKUP(A804,'Dados-Status-Invest'!$1:$1000,MATCH(M$1,'Dados-Status-Invest'!$2:$2,0),FALSE())/100,"")</f>
        <v/>
      </c>
      <c r="N804" s="10" t="str">
        <f aca="false">IFERROR(VLOOKUP(A804,'Dados-Status-Invest'!$1:$1000,MATCH(N$1,'Dados-Status-Invest'!$2:$2,0),FALSE())/100,"")</f>
        <v/>
      </c>
      <c r="O804" s="10" t="str">
        <f aca="false">IFERROR(VLOOKUP(A804,'Dados-Status-Invest'!$1:$1000,MATCH(O$1,'Dados-Status-Invest'!$2:$2,0),FALSE())/100,"")</f>
        <v/>
      </c>
      <c r="P804" s="10" t="str">
        <f aca="false">IFERROR(VLOOKUP(A804,'Dados-Status-Invest'!$1:$1000,MATCH(P$1,'Dados-Status-Invest'!$2:$2,0),FALSE())/100,"")</f>
        <v/>
      </c>
      <c r="Q804" s="10" t="str">
        <f aca="false">IFERROR(VLOOKUP(A804,'Dados-Status-Invest'!$1:$1000,MATCH(Q$1,'Dados-Status-Invest'!$2:$2,0),FALSE())/100,"")</f>
        <v/>
      </c>
      <c r="R804" s="12" t="str">
        <f aca="false">IFERROR(VLOOKUP(A804,'Dados-Status-Invest'!$1:$1000,MATCH(R$1,'Dados-Status-Invest'!$2:$2,0),FALSE()),"")</f>
        <v/>
      </c>
      <c r="S804" s="12" t="str">
        <f aca="false">IFERROR(VLOOKUP(A804,'Dados-Status-Invest'!$1:$1000,MATCH(S$1,'Dados-Status-Invest'!$2:$2,0),FALSE()),"")</f>
        <v/>
      </c>
      <c r="T804" s="12" t="str">
        <f aca="false">IFERROR(VLOOKUP(A804,'Dados-Status-Invest'!$1:$1000,MATCH(T$1,'Dados-Status-Invest'!$2:$2,0),FALSE()),"")</f>
        <v/>
      </c>
      <c r="U804" s="12" t="str">
        <f aca="false">IFERROR(VLOOKUP(A804,'Dados-Status-Invest'!$1:$1000,MATCH(U$1,'Dados-Status-Invest'!$2:$2,0),FALSE()),"")</f>
        <v/>
      </c>
      <c r="V804" s="12" t="str">
        <f aca="false">IFERROR(VLOOKUP(A804,'Dados-Status-Invest'!$1:$1000,MATCH(V$1,'Dados-Status-Invest'!$2:$2,0),FALSE()),"")</f>
        <v/>
      </c>
      <c r="W804" s="10" t="str">
        <f aca="false">IFERROR(VLOOKUP(A804,'Dados-Status-Invest'!$1:$1000,MATCH(W$1,'Dados-Status-Invest'!$2:$2,0),FALSE())/100,"")</f>
        <v/>
      </c>
      <c r="X804" s="10" t="str">
        <f aca="false">IFERROR(VLOOKUP(A804,'Dados-Status-Invest'!$1:$1000,MATCH(X$1,'Dados-Status-Invest'!$2:$2,0),FALSE())/100,"")</f>
        <v/>
      </c>
    </row>
    <row r="805" customFormat="false" ht="15.75" hidden="false" customHeight="false" outlineLevel="0" collapsed="false">
      <c r="B805" s="7" t="str">
        <f aca="false">IFERROR(VLOOKUP(LEFT(A805,4),Setor!A:D,2,FALSE()),"")</f>
        <v/>
      </c>
      <c r="C805" s="8" t="str">
        <f aca="false">IFERROR(__xludf.dummyfunction("IFERROR(IFERROR(GOOGLEFINANCE(A811,""price""),VLOOKUP(A811,'Dados-Status-Invest'!A:B,2,FALSE)),"""")"),"")</f>
        <v/>
      </c>
      <c r="D805" s="8" t="str">
        <f aca="false">IFERROR(VLOOKUP(A805,'Dados-Status-Invest'!$1:$1000,MATCH(D$1,'Dados-Status-Invest'!$2:$2,0),FALSE()),"")</f>
        <v/>
      </c>
      <c r="E805" s="8" t="e">
        <f aca="false">IF(D805+H805&gt;0,D805+H805,"")</f>
        <v>#VALUE!</v>
      </c>
      <c r="F805" s="8" t="str">
        <f aca="false">IFERROR(D805/VLOOKUP(A805,'Dados-Status-Invest'!$1:$1000,5,FALSE()),"")</f>
        <v/>
      </c>
      <c r="G805" s="8" t="str">
        <f aca="false">IFERROR(D805/VLOOKUP(A805,'Dados-Status-Invest'!$1:$1000,6,FALSE()),"")</f>
        <v/>
      </c>
      <c r="H805" s="8" t="str">
        <f aca="false">IFERROR(VLOOKUP(A805,'Dados-Status-Invest'!$1:$1000,12,FALSE())*J805,"")</f>
        <v/>
      </c>
      <c r="I805" s="8" t="str">
        <f aca="false">IFERROR(D805/VLOOKUP(A805,'Dados-Status-Invest'!$1:$1000,14,FALSE()),"")</f>
        <v/>
      </c>
      <c r="J805" s="9" t="str">
        <f aca="false">IFERROR(D805/VLOOKUP(A805,'Dados-Status-Invest'!$1:$1000,10,FALSE()),"")</f>
        <v/>
      </c>
      <c r="K805" s="10" t="str">
        <f aca="false">IFERROR(VLOOKUP(A805,'Dados-Status-Invest'!$1:$1000,3,FALSE())/100,"")</f>
        <v/>
      </c>
      <c r="L805" s="11" t="str">
        <f aca="false">IFERROR(VLOOKUP(A805,'Dados-Status-Invest'!$1:$1000,MATCH(L$1,'Dados-Status-Invest'!$2:$2,0),FALSE())/100,"")</f>
        <v/>
      </c>
      <c r="M805" s="10" t="str">
        <f aca="false">IFERROR(VLOOKUP(A805,'Dados-Status-Invest'!$1:$1000,MATCH(M$1,'Dados-Status-Invest'!$2:$2,0),FALSE())/100,"")</f>
        <v/>
      </c>
      <c r="N805" s="10" t="str">
        <f aca="false">IFERROR(VLOOKUP(A805,'Dados-Status-Invest'!$1:$1000,MATCH(N$1,'Dados-Status-Invest'!$2:$2,0),FALSE())/100,"")</f>
        <v/>
      </c>
      <c r="O805" s="10" t="str">
        <f aca="false">IFERROR(VLOOKUP(A805,'Dados-Status-Invest'!$1:$1000,MATCH(O$1,'Dados-Status-Invest'!$2:$2,0),FALSE())/100,"")</f>
        <v/>
      </c>
      <c r="P805" s="10" t="str">
        <f aca="false">IFERROR(VLOOKUP(A805,'Dados-Status-Invest'!$1:$1000,MATCH(P$1,'Dados-Status-Invest'!$2:$2,0),FALSE())/100,"")</f>
        <v/>
      </c>
      <c r="Q805" s="10" t="str">
        <f aca="false">IFERROR(VLOOKUP(A805,'Dados-Status-Invest'!$1:$1000,MATCH(Q$1,'Dados-Status-Invest'!$2:$2,0),FALSE())/100,"")</f>
        <v/>
      </c>
      <c r="R805" s="12" t="str">
        <f aca="false">IFERROR(VLOOKUP(A805,'Dados-Status-Invest'!$1:$1000,MATCH(R$1,'Dados-Status-Invest'!$2:$2,0),FALSE()),"")</f>
        <v/>
      </c>
      <c r="S805" s="12" t="str">
        <f aca="false">IFERROR(VLOOKUP(A805,'Dados-Status-Invest'!$1:$1000,MATCH(S$1,'Dados-Status-Invest'!$2:$2,0),FALSE()),"")</f>
        <v/>
      </c>
      <c r="T805" s="12" t="str">
        <f aca="false">IFERROR(VLOOKUP(A805,'Dados-Status-Invest'!$1:$1000,MATCH(T$1,'Dados-Status-Invest'!$2:$2,0),FALSE()),"")</f>
        <v/>
      </c>
      <c r="U805" s="12" t="str">
        <f aca="false">IFERROR(VLOOKUP(A805,'Dados-Status-Invest'!$1:$1000,MATCH(U$1,'Dados-Status-Invest'!$2:$2,0),FALSE()),"")</f>
        <v/>
      </c>
      <c r="V805" s="12" t="str">
        <f aca="false">IFERROR(VLOOKUP(A805,'Dados-Status-Invest'!$1:$1000,MATCH(V$1,'Dados-Status-Invest'!$2:$2,0),FALSE()),"")</f>
        <v/>
      </c>
      <c r="W805" s="10" t="str">
        <f aca="false">IFERROR(VLOOKUP(A805,'Dados-Status-Invest'!$1:$1000,MATCH(W$1,'Dados-Status-Invest'!$2:$2,0),FALSE())/100,"")</f>
        <v/>
      </c>
      <c r="X805" s="10" t="str">
        <f aca="false">IFERROR(VLOOKUP(A805,'Dados-Status-Invest'!$1:$1000,MATCH(X$1,'Dados-Status-Invest'!$2:$2,0),FALSE())/100,"")</f>
        <v/>
      </c>
    </row>
    <row r="806" customFormat="false" ht="15.75" hidden="false" customHeight="false" outlineLevel="0" collapsed="false">
      <c r="B806" s="7" t="str">
        <f aca="false">IFERROR(VLOOKUP(LEFT(A806,4),Setor!A:D,2,FALSE()),"")</f>
        <v/>
      </c>
      <c r="C806" s="8" t="str">
        <f aca="false">IFERROR(__xludf.dummyfunction("IFERROR(IFERROR(GOOGLEFINANCE(A812,""price""),VLOOKUP(A812,'Dados-Status-Invest'!A:B,2,FALSE)),"""")"),"")</f>
        <v/>
      </c>
      <c r="D806" s="8" t="str">
        <f aca="false">IFERROR(VLOOKUP(A806,'Dados-Status-Invest'!$1:$1000,MATCH(D$1,'Dados-Status-Invest'!$2:$2,0),FALSE()),"")</f>
        <v/>
      </c>
      <c r="E806" s="8" t="e">
        <f aca="false">IF(D806+H806&gt;0,D806+H806,"")</f>
        <v>#VALUE!</v>
      </c>
      <c r="F806" s="8" t="str">
        <f aca="false">IFERROR(D806/VLOOKUP(A806,'Dados-Status-Invest'!$1:$1000,5,FALSE()),"")</f>
        <v/>
      </c>
      <c r="G806" s="8" t="str">
        <f aca="false">IFERROR(D806/VLOOKUP(A806,'Dados-Status-Invest'!$1:$1000,6,FALSE()),"")</f>
        <v/>
      </c>
      <c r="H806" s="8" t="str">
        <f aca="false">IFERROR(VLOOKUP(A806,'Dados-Status-Invest'!$1:$1000,12,FALSE())*J806,"")</f>
        <v/>
      </c>
      <c r="I806" s="8" t="str">
        <f aca="false">IFERROR(D806/VLOOKUP(A806,'Dados-Status-Invest'!$1:$1000,14,FALSE()),"")</f>
        <v/>
      </c>
      <c r="J806" s="9" t="str">
        <f aca="false">IFERROR(D806/VLOOKUP(A806,'Dados-Status-Invest'!$1:$1000,10,FALSE()),"")</f>
        <v/>
      </c>
      <c r="K806" s="10" t="str">
        <f aca="false">IFERROR(VLOOKUP(A806,'Dados-Status-Invest'!$1:$1000,3,FALSE())/100,"")</f>
        <v/>
      </c>
      <c r="L806" s="11" t="str">
        <f aca="false">IFERROR(VLOOKUP(A806,'Dados-Status-Invest'!$1:$1000,MATCH(L$1,'Dados-Status-Invest'!$2:$2,0),FALSE())/100,"")</f>
        <v/>
      </c>
      <c r="M806" s="10" t="str">
        <f aca="false">IFERROR(VLOOKUP(A806,'Dados-Status-Invest'!$1:$1000,MATCH(M$1,'Dados-Status-Invest'!$2:$2,0),FALSE())/100,"")</f>
        <v/>
      </c>
      <c r="N806" s="10" t="str">
        <f aca="false">IFERROR(VLOOKUP(A806,'Dados-Status-Invest'!$1:$1000,MATCH(N$1,'Dados-Status-Invest'!$2:$2,0),FALSE())/100,"")</f>
        <v/>
      </c>
      <c r="O806" s="10" t="str">
        <f aca="false">IFERROR(VLOOKUP(A806,'Dados-Status-Invest'!$1:$1000,MATCH(O$1,'Dados-Status-Invest'!$2:$2,0),FALSE())/100,"")</f>
        <v/>
      </c>
      <c r="P806" s="10" t="str">
        <f aca="false">IFERROR(VLOOKUP(A806,'Dados-Status-Invest'!$1:$1000,MATCH(P$1,'Dados-Status-Invest'!$2:$2,0),FALSE())/100,"")</f>
        <v/>
      </c>
      <c r="Q806" s="10" t="str">
        <f aca="false">IFERROR(VLOOKUP(A806,'Dados-Status-Invest'!$1:$1000,MATCH(Q$1,'Dados-Status-Invest'!$2:$2,0),FALSE())/100,"")</f>
        <v/>
      </c>
      <c r="R806" s="12" t="str">
        <f aca="false">IFERROR(VLOOKUP(A806,'Dados-Status-Invest'!$1:$1000,MATCH(R$1,'Dados-Status-Invest'!$2:$2,0),FALSE()),"")</f>
        <v/>
      </c>
      <c r="S806" s="12" t="str">
        <f aca="false">IFERROR(VLOOKUP(A806,'Dados-Status-Invest'!$1:$1000,MATCH(S$1,'Dados-Status-Invest'!$2:$2,0),FALSE()),"")</f>
        <v/>
      </c>
      <c r="T806" s="12" t="str">
        <f aca="false">IFERROR(VLOOKUP(A806,'Dados-Status-Invest'!$1:$1000,MATCH(T$1,'Dados-Status-Invest'!$2:$2,0),FALSE()),"")</f>
        <v/>
      </c>
      <c r="U806" s="12" t="str">
        <f aca="false">IFERROR(VLOOKUP(A806,'Dados-Status-Invest'!$1:$1000,MATCH(U$1,'Dados-Status-Invest'!$2:$2,0),FALSE()),"")</f>
        <v/>
      </c>
      <c r="V806" s="12" t="str">
        <f aca="false">IFERROR(VLOOKUP(A806,'Dados-Status-Invest'!$1:$1000,MATCH(V$1,'Dados-Status-Invest'!$2:$2,0),FALSE()),"")</f>
        <v/>
      </c>
      <c r="W806" s="10" t="str">
        <f aca="false">IFERROR(VLOOKUP(A806,'Dados-Status-Invest'!$1:$1000,MATCH(W$1,'Dados-Status-Invest'!$2:$2,0),FALSE())/100,"")</f>
        <v/>
      </c>
      <c r="X806" s="10" t="str">
        <f aca="false">IFERROR(VLOOKUP(A806,'Dados-Status-Invest'!$1:$1000,MATCH(X$1,'Dados-Status-Invest'!$2:$2,0),FALSE())/100,"")</f>
        <v/>
      </c>
    </row>
    <row r="807" customFormat="false" ht="15.75" hidden="false" customHeight="false" outlineLevel="0" collapsed="false">
      <c r="B807" s="7" t="str">
        <f aca="false">IFERROR(VLOOKUP(LEFT(A807,4),Setor!A:D,2,FALSE()),"")</f>
        <v/>
      </c>
      <c r="C807" s="8" t="str">
        <f aca="false">IFERROR(__xludf.dummyfunction("IFERROR(IFERROR(GOOGLEFINANCE(A813,""price""),VLOOKUP(A813,'Dados-Status-Invest'!A:B,2,FALSE)),"""")"),"")</f>
        <v/>
      </c>
      <c r="D807" s="8" t="str">
        <f aca="false">IFERROR(VLOOKUP(A807,'Dados-Status-Invest'!$1:$1000,MATCH(D$1,'Dados-Status-Invest'!$2:$2,0),FALSE()),"")</f>
        <v/>
      </c>
      <c r="E807" s="8" t="e">
        <f aca="false">IF(D807+H807&gt;0,D807+H807,"")</f>
        <v>#VALUE!</v>
      </c>
      <c r="F807" s="8" t="str">
        <f aca="false">IFERROR(D807/VLOOKUP(A807,'Dados-Status-Invest'!$1:$1000,5,FALSE()),"")</f>
        <v/>
      </c>
      <c r="G807" s="8" t="str">
        <f aca="false">IFERROR(D807/VLOOKUP(A807,'Dados-Status-Invest'!$1:$1000,6,FALSE()),"")</f>
        <v/>
      </c>
      <c r="H807" s="8" t="str">
        <f aca="false">IFERROR(VLOOKUP(A807,'Dados-Status-Invest'!$1:$1000,12,FALSE())*J807,"")</f>
        <v/>
      </c>
      <c r="I807" s="8" t="str">
        <f aca="false">IFERROR(D807/VLOOKUP(A807,'Dados-Status-Invest'!$1:$1000,14,FALSE()),"")</f>
        <v/>
      </c>
      <c r="J807" s="9" t="str">
        <f aca="false">IFERROR(D807/VLOOKUP(A807,'Dados-Status-Invest'!$1:$1000,10,FALSE()),"")</f>
        <v/>
      </c>
      <c r="K807" s="10" t="str">
        <f aca="false">IFERROR(VLOOKUP(A807,'Dados-Status-Invest'!$1:$1000,3,FALSE())/100,"")</f>
        <v/>
      </c>
      <c r="L807" s="11" t="str">
        <f aca="false">IFERROR(VLOOKUP(A807,'Dados-Status-Invest'!$1:$1000,MATCH(L$1,'Dados-Status-Invest'!$2:$2,0),FALSE())/100,"")</f>
        <v/>
      </c>
      <c r="M807" s="10" t="str">
        <f aca="false">IFERROR(VLOOKUP(A807,'Dados-Status-Invest'!$1:$1000,MATCH(M$1,'Dados-Status-Invest'!$2:$2,0),FALSE())/100,"")</f>
        <v/>
      </c>
      <c r="N807" s="10" t="str">
        <f aca="false">IFERROR(VLOOKUP(A807,'Dados-Status-Invest'!$1:$1000,MATCH(N$1,'Dados-Status-Invest'!$2:$2,0),FALSE())/100,"")</f>
        <v/>
      </c>
      <c r="O807" s="10" t="str">
        <f aca="false">IFERROR(VLOOKUP(A807,'Dados-Status-Invest'!$1:$1000,MATCH(O$1,'Dados-Status-Invest'!$2:$2,0),FALSE())/100,"")</f>
        <v/>
      </c>
      <c r="P807" s="10" t="str">
        <f aca="false">IFERROR(VLOOKUP(A807,'Dados-Status-Invest'!$1:$1000,MATCH(P$1,'Dados-Status-Invest'!$2:$2,0),FALSE())/100,"")</f>
        <v/>
      </c>
      <c r="Q807" s="10" t="str">
        <f aca="false">IFERROR(VLOOKUP(A807,'Dados-Status-Invest'!$1:$1000,MATCH(Q$1,'Dados-Status-Invest'!$2:$2,0),FALSE())/100,"")</f>
        <v/>
      </c>
      <c r="R807" s="12" t="str">
        <f aca="false">IFERROR(VLOOKUP(A807,'Dados-Status-Invest'!$1:$1000,MATCH(R$1,'Dados-Status-Invest'!$2:$2,0),FALSE()),"")</f>
        <v/>
      </c>
      <c r="S807" s="12" t="str">
        <f aca="false">IFERROR(VLOOKUP(A807,'Dados-Status-Invest'!$1:$1000,MATCH(S$1,'Dados-Status-Invest'!$2:$2,0),FALSE()),"")</f>
        <v/>
      </c>
      <c r="T807" s="12" t="str">
        <f aca="false">IFERROR(VLOOKUP(A807,'Dados-Status-Invest'!$1:$1000,MATCH(T$1,'Dados-Status-Invest'!$2:$2,0),FALSE()),"")</f>
        <v/>
      </c>
      <c r="U807" s="12" t="str">
        <f aca="false">IFERROR(VLOOKUP(A807,'Dados-Status-Invest'!$1:$1000,MATCH(U$1,'Dados-Status-Invest'!$2:$2,0),FALSE()),"")</f>
        <v/>
      </c>
      <c r="V807" s="12" t="str">
        <f aca="false">IFERROR(VLOOKUP(A807,'Dados-Status-Invest'!$1:$1000,MATCH(V$1,'Dados-Status-Invest'!$2:$2,0),FALSE()),"")</f>
        <v/>
      </c>
      <c r="W807" s="10" t="str">
        <f aca="false">IFERROR(VLOOKUP(A807,'Dados-Status-Invest'!$1:$1000,MATCH(W$1,'Dados-Status-Invest'!$2:$2,0),FALSE())/100,"")</f>
        <v/>
      </c>
      <c r="X807" s="10" t="str">
        <f aca="false">IFERROR(VLOOKUP(A807,'Dados-Status-Invest'!$1:$1000,MATCH(X$1,'Dados-Status-Invest'!$2:$2,0),FALSE())/100,"")</f>
        <v/>
      </c>
    </row>
    <row r="808" customFormat="false" ht="15.75" hidden="false" customHeight="false" outlineLevel="0" collapsed="false">
      <c r="B808" s="7" t="str">
        <f aca="false">IFERROR(VLOOKUP(LEFT(A808,4),Setor!A:D,2,FALSE()),"")</f>
        <v/>
      </c>
      <c r="C808" s="8" t="str">
        <f aca="false">IFERROR(__xludf.dummyfunction("IFERROR(IFERROR(GOOGLEFINANCE(A814,""price""),VLOOKUP(A814,'Dados-Status-Invest'!A:B,2,FALSE)),"""")"),"")</f>
        <v/>
      </c>
      <c r="D808" s="8" t="str">
        <f aca="false">IFERROR(VLOOKUP(A808,'Dados-Status-Invest'!$1:$1000,MATCH(D$1,'Dados-Status-Invest'!$2:$2,0),FALSE()),"")</f>
        <v/>
      </c>
      <c r="E808" s="8" t="e">
        <f aca="false">IF(D808+H808&gt;0,D808+H808,"")</f>
        <v>#VALUE!</v>
      </c>
      <c r="F808" s="8" t="str">
        <f aca="false">IFERROR(D808/VLOOKUP(A808,'Dados-Status-Invest'!$1:$1000,5,FALSE()),"")</f>
        <v/>
      </c>
      <c r="G808" s="8" t="str">
        <f aca="false">IFERROR(D808/VLOOKUP(A808,'Dados-Status-Invest'!$1:$1000,6,FALSE()),"")</f>
        <v/>
      </c>
      <c r="H808" s="8" t="str">
        <f aca="false">IFERROR(VLOOKUP(A808,'Dados-Status-Invest'!$1:$1000,12,FALSE())*J808,"")</f>
        <v/>
      </c>
      <c r="I808" s="8" t="str">
        <f aca="false">IFERROR(D808/VLOOKUP(A808,'Dados-Status-Invest'!$1:$1000,14,FALSE()),"")</f>
        <v/>
      </c>
      <c r="J808" s="9" t="str">
        <f aca="false">IFERROR(D808/VLOOKUP(A808,'Dados-Status-Invest'!$1:$1000,10,FALSE()),"")</f>
        <v/>
      </c>
      <c r="K808" s="10" t="str">
        <f aca="false">IFERROR(VLOOKUP(A808,'Dados-Status-Invest'!$1:$1000,3,FALSE())/100,"")</f>
        <v/>
      </c>
      <c r="L808" s="11" t="str">
        <f aca="false">IFERROR(VLOOKUP(A808,'Dados-Status-Invest'!$1:$1000,MATCH(L$1,'Dados-Status-Invest'!$2:$2,0),FALSE())/100,"")</f>
        <v/>
      </c>
      <c r="M808" s="10" t="str">
        <f aca="false">IFERROR(VLOOKUP(A808,'Dados-Status-Invest'!$1:$1000,MATCH(M$1,'Dados-Status-Invest'!$2:$2,0),FALSE())/100,"")</f>
        <v/>
      </c>
      <c r="N808" s="10" t="str">
        <f aca="false">IFERROR(VLOOKUP(A808,'Dados-Status-Invest'!$1:$1000,MATCH(N$1,'Dados-Status-Invest'!$2:$2,0),FALSE())/100,"")</f>
        <v/>
      </c>
      <c r="O808" s="10" t="str">
        <f aca="false">IFERROR(VLOOKUP(A808,'Dados-Status-Invest'!$1:$1000,MATCH(O$1,'Dados-Status-Invest'!$2:$2,0),FALSE())/100,"")</f>
        <v/>
      </c>
      <c r="P808" s="10" t="str">
        <f aca="false">IFERROR(VLOOKUP(A808,'Dados-Status-Invest'!$1:$1000,MATCH(P$1,'Dados-Status-Invest'!$2:$2,0),FALSE())/100,"")</f>
        <v/>
      </c>
      <c r="Q808" s="10" t="str">
        <f aca="false">IFERROR(VLOOKUP(A808,'Dados-Status-Invest'!$1:$1000,MATCH(Q$1,'Dados-Status-Invest'!$2:$2,0),FALSE())/100,"")</f>
        <v/>
      </c>
      <c r="R808" s="12" t="str">
        <f aca="false">IFERROR(VLOOKUP(A808,'Dados-Status-Invest'!$1:$1000,MATCH(R$1,'Dados-Status-Invest'!$2:$2,0),FALSE()),"")</f>
        <v/>
      </c>
      <c r="S808" s="12" t="str">
        <f aca="false">IFERROR(VLOOKUP(A808,'Dados-Status-Invest'!$1:$1000,MATCH(S$1,'Dados-Status-Invest'!$2:$2,0),FALSE()),"")</f>
        <v/>
      </c>
      <c r="T808" s="12" t="str">
        <f aca="false">IFERROR(VLOOKUP(A808,'Dados-Status-Invest'!$1:$1000,MATCH(T$1,'Dados-Status-Invest'!$2:$2,0),FALSE()),"")</f>
        <v/>
      </c>
      <c r="U808" s="12" t="str">
        <f aca="false">IFERROR(VLOOKUP(A808,'Dados-Status-Invest'!$1:$1000,MATCH(U$1,'Dados-Status-Invest'!$2:$2,0),FALSE()),"")</f>
        <v/>
      </c>
      <c r="V808" s="12" t="str">
        <f aca="false">IFERROR(VLOOKUP(A808,'Dados-Status-Invest'!$1:$1000,MATCH(V$1,'Dados-Status-Invest'!$2:$2,0),FALSE()),"")</f>
        <v/>
      </c>
      <c r="W808" s="10" t="str">
        <f aca="false">IFERROR(VLOOKUP(A808,'Dados-Status-Invest'!$1:$1000,MATCH(W$1,'Dados-Status-Invest'!$2:$2,0),FALSE())/100,"")</f>
        <v/>
      </c>
      <c r="X808" s="10" t="str">
        <f aca="false">IFERROR(VLOOKUP(A808,'Dados-Status-Invest'!$1:$1000,MATCH(X$1,'Dados-Status-Invest'!$2:$2,0),FALSE())/100,"")</f>
        <v/>
      </c>
    </row>
    <row r="809" customFormat="false" ht="15.75" hidden="false" customHeight="false" outlineLevel="0" collapsed="false">
      <c r="B809" s="7" t="str">
        <f aca="false">IFERROR(VLOOKUP(LEFT(A809,4),Setor!A:D,2,FALSE()),"")</f>
        <v/>
      </c>
      <c r="C809" s="8" t="str">
        <f aca="false">IFERROR(__xludf.dummyfunction("IFERROR(IFERROR(GOOGLEFINANCE(A815,""price""),VLOOKUP(A815,'Dados-Status-Invest'!A:B,2,FALSE)),"""")"),"")</f>
        <v/>
      </c>
      <c r="D809" s="8" t="str">
        <f aca="false">IFERROR(VLOOKUP(A809,'Dados-Status-Invest'!$1:$1000,MATCH(D$1,'Dados-Status-Invest'!$2:$2,0),FALSE()),"")</f>
        <v/>
      </c>
      <c r="E809" s="8" t="e">
        <f aca="false">IF(D809+H809&gt;0,D809+H809,"")</f>
        <v>#VALUE!</v>
      </c>
      <c r="F809" s="8" t="str">
        <f aca="false">IFERROR(D809/VLOOKUP(A809,'Dados-Status-Invest'!$1:$1000,5,FALSE()),"")</f>
        <v/>
      </c>
      <c r="G809" s="8" t="str">
        <f aca="false">IFERROR(D809/VLOOKUP(A809,'Dados-Status-Invest'!$1:$1000,6,FALSE()),"")</f>
        <v/>
      </c>
      <c r="H809" s="8" t="str">
        <f aca="false">IFERROR(VLOOKUP(A809,'Dados-Status-Invest'!$1:$1000,12,FALSE())*J809,"")</f>
        <v/>
      </c>
      <c r="I809" s="8" t="str">
        <f aca="false">IFERROR(D809/VLOOKUP(A809,'Dados-Status-Invest'!$1:$1000,14,FALSE()),"")</f>
        <v/>
      </c>
      <c r="J809" s="9" t="str">
        <f aca="false">IFERROR(D809/VLOOKUP(A809,'Dados-Status-Invest'!$1:$1000,10,FALSE()),"")</f>
        <v/>
      </c>
      <c r="K809" s="10" t="str">
        <f aca="false">IFERROR(VLOOKUP(A809,'Dados-Status-Invest'!$1:$1000,3,FALSE())/100,"")</f>
        <v/>
      </c>
      <c r="L809" s="11" t="str">
        <f aca="false">IFERROR(VLOOKUP(A809,'Dados-Status-Invest'!$1:$1000,MATCH(L$1,'Dados-Status-Invest'!$2:$2,0),FALSE())/100,"")</f>
        <v/>
      </c>
      <c r="M809" s="10" t="str">
        <f aca="false">IFERROR(VLOOKUP(A809,'Dados-Status-Invest'!$1:$1000,MATCH(M$1,'Dados-Status-Invest'!$2:$2,0),FALSE())/100,"")</f>
        <v/>
      </c>
      <c r="N809" s="10" t="str">
        <f aca="false">IFERROR(VLOOKUP(A809,'Dados-Status-Invest'!$1:$1000,MATCH(N$1,'Dados-Status-Invest'!$2:$2,0),FALSE())/100,"")</f>
        <v/>
      </c>
      <c r="O809" s="10" t="str">
        <f aca="false">IFERROR(VLOOKUP(A809,'Dados-Status-Invest'!$1:$1000,MATCH(O$1,'Dados-Status-Invest'!$2:$2,0),FALSE())/100,"")</f>
        <v/>
      </c>
      <c r="P809" s="10" t="str">
        <f aca="false">IFERROR(VLOOKUP(A809,'Dados-Status-Invest'!$1:$1000,MATCH(P$1,'Dados-Status-Invest'!$2:$2,0),FALSE())/100,"")</f>
        <v/>
      </c>
      <c r="Q809" s="10" t="str">
        <f aca="false">IFERROR(VLOOKUP(A809,'Dados-Status-Invest'!$1:$1000,MATCH(Q$1,'Dados-Status-Invest'!$2:$2,0),FALSE())/100,"")</f>
        <v/>
      </c>
      <c r="R809" s="12" t="str">
        <f aca="false">IFERROR(VLOOKUP(A809,'Dados-Status-Invest'!$1:$1000,MATCH(R$1,'Dados-Status-Invest'!$2:$2,0),FALSE()),"")</f>
        <v/>
      </c>
      <c r="S809" s="12" t="str">
        <f aca="false">IFERROR(VLOOKUP(A809,'Dados-Status-Invest'!$1:$1000,MATCH(S$1,'Dados-Status-Invest'!$2:$2,0),FALSE()),"")</f>
        <v/>
      </c>
      <c r="T809" s="12" t="str">
        <f aca="false">IFERROR(VLOOKUP(A809,'Dados-Status-Invest'!$1:$1000,MATCH(T$1,'Dados-Status-Invest'!$2:$2,0),FALSE()),"")</f>
        <v/>
      </c>
      <c r="U809" s="12" t="str">
        <f aca="false">IFERROR(VLOOKUP(A809,'Dados-Status-Invest'!$1:$1000,MATCH(U$1,'Dados-Status-Invest'!$2:$2,0),FALSE()),"")</f>
        <v/>
      </c>
      <c r="V809" s="12" t="str">
        <f aca="false">IFERROR(VLOOKUP(A809,'Dados-Status-Invest'!$1:$1000,MATCH(V$1,'Dados-Status-Invest'!$2:$2,0),FALSE()),"")</f>
        <v/>
      </c>
      <c r="W809" s="10" t="str">
        <f aca="false">IFERROR(VLOOKUP(A809,'Dados-Status-Invest'!$1:$1000,MATCH(W$1,'Dados-Status-Invest'!$2:$2,0),FALSE())/100,"")</f>
        <v/>
      </c>
      <c r="X809" s="10" t="str">
        <f aca="false">IFERROR(VLOOKUP(A809,'Dados-Status-Invest'!$1:$1000,MATCH(X$1,'Dados-Status-Invest'!$2:$2,0),FALSE())/100,"")</f>
        <v/>
      </c>
    </row>
    <row r="810" customFormat="false" ht="15.75" hidden="false" customHeight="false" outlineLevel="0" collapsed="false">
      <c r="B810" s="7" t="str">
        <f aca="false">IFERROR(VLOOKUP(LEFT(A810,4),Setor!A:D,2,FALSE()),"")</f>
        <v/>
      </c>
      <c r="C810" s="8" t="str">
        <f aca="false">IFERROR(__xludf.dummyfunction("IFERROR(IFERROR(GOOGLEFINANCE(A816,""price""),VLOOKUP(A816,'Dados-Status-Invest'!A:B,2,FALSE)),"""")"),"")</f>
        <v/>
      </c>
      <c r="D810" s="8" t="str">
        <f aca="false">IFERROR(VLOOKUP(A810,'Dados-Status-Invest'!$1:$1000,MATCH(D$1,'Dados-Status-Invest'!$2:$2,0),FALSE()),"")</f>
        <v/>
      </c>
      <c r="E810" s="8" t="e">
        <f aca="false">IF(D810+H810&gt;0,D810+H810,"")</f>
        <v>#VALUE!</v>
      </c>
      <c r="F810" s="8" t="str">
        <f aca="false">IFERROR(D810/VLOOKUP(A810,'Dados-Status-Invest'!$1:$1000,5,FALSE()),"")</f>
        <v/>
      </c>
      <c r="G810" s="8" t="str">
        <f aca="false">IFERROR(D810/VLOOKUP(A810,'Dados-Status-Invest'!$1:$1000,6,FALSE()),"")</f>
        <v/>
      </c>
      <c r="H810" s="8" t="str">
        <f aca="false">IFERROR(VLOOKUP(A810,'Dados-Status-Invest'!$1:$1000,12,FALSE())*J810,"")</f>
        <v/>
      </c>
      <c r="I810" s="8" t="str">
        <f aca="false">IFERROR(D810/VLOOKUP(A810,'Dados-Status-Invest'!$1:$1000,14,FALSE()),"")</f>
        <v/>
      </c>
      <c r="J810" s="9" t="str">
        <f aca="false">IFERROR(D810/VLOOKUP(A810,'Dados-Status-Invest'!$1:$1000,10,FALSE()),"")</f>
        <v/>
      </c>
      <c r="K810" s="10" t="str">
        <f aca="false">IFERROR(VLOOKUP(A810,'Dados-Status-Invest'!$1:$1000,3,FALSE())/100,"")</f>
        <v/>
      </c>
      <c r="L810" s="11" t="str">
        <f aca="false">IFERROR(VLOOKUP(A810,'Dados-Status-Invest'!$1:$1000,MATCH(L$1,'Dados-Status-Invest'!$2:$2,0),FALSE())/100,"")</f>
        <v/>
      </c>
      <c r="M810" s="10" t="str">
        <f aca="false">IFERROR(VLOOKUP(A810,'Dados-Status-Invest'!$1:$1000,MATCH(M$1,'Dados-Status-Invest'!$2:$2,0),FALSE())/100,"")</f>
        <v/>
      </c>
      <c r="N810" s="10" t="str">
        <f aca="false">IFERROR(VLOOKUP(A810,'Dados-Status-Invest'!$1:$1000,MATCH(N$1,'Dados-Status-Invest'!$2:$2,0),FALSE())/100,"")</f>
        <v/>
      </c>
      <c r="O810" s="10" t="str">
        <f aca="false">IFERROR(VLOOKUP(A810,'Dados-Status-Invest'!$1:$1000,MATCH(O$1,'Dados-Status-Invest'!$2:$2,0),FALSE())/100,"")</f>
        <v/>
      </c>
      <c r="P810" s="10" t="str">
        <f aca="false">IFERROR(VLOOKUP(A810,'Dados-Status-Invest'!$1:$1000,MATCH(P$1,'Dados-Status-Invest'!$2:$2,0),FALSE())/100,"")</f>
        <v/>
      </c>
      <c r="Q810" s="10" t="str">
        <f aca="false">IFERROR(VLOOKUP(A810,'Dados-Status-Invest'!$1:$1000,MATCH(Q$1,'Dados-Status-Invest'!$2:$2,0),FALSE())/100,"")</f>
        <v/>
      </c>
      <c r="R810" s="12" t="str">
        <f aca="false">IFERROR(VLOOKUP(A810,'Dados-Status-Invest'!$1:$1000,MATCH(R$1,'Dados-Status-Invest'!$2:$2,0),FALSE()),"")</f>
        <v/>
      </c>
      <c r="S810" s="12" t="str">
        <f aca="false">IFERROR(VLOOKUP(A810,'Dados-Status-Invest'!$1:$1000,MATCH(S$1,'Dados-Status-Invest'!$2:$2,0),FALSE()),"")</f>
        <v/>
      </c>
      <c r="T810" s="12" t="str">
        <f aca="false">IFERROR(VLOOKUP(A810,'Dados-Status-Invest'!$1:$1000,MATCH(T$1,'Dados-Status-Invest'!$2:$2,0),FALSE()),"")</f>
        <v/>
      </c>
      <c r="U810" s="12" t="str">
        <f aca="false">IFERROR(VLOOKUP(A810,'Dados-Status-Invest'!$1:$1000,MATCH(U$1,'Dados-Status-Invest'!$2:$2,0),FALSE()),"")</f>
        <v/>
      </c>
      <c r="V810" s="12" t="str">
        <f aca="false">IFERROR(VLOOKUP(A810,'Dados-Status-Invest'!$1:$1000,MATCH(V$1,'Dados-Status-Invest'!$2:$2,0),FALSE()),"")</f>
        <v/>
      </c>
      <c r="W810" s="10" t="str">
        <f aca="false">IFERROR(VLOOKUP(A810,'Dados-Status-Invest'!$1:$1000,MATCH(W$1,'Dados-Status-Invest'!$2:$2,0),FALSE())/100,"")</f>
        <v/>
      </c>
      <c r="X810" s="10" t="str">
        <f aca="false">IFERROR(VLOOKUP(A810,'Dados-Status-Invest'!$1:$1000,MATCH(X$1,'Dados-Status-Invest'!$2:$2,0),FALSE())/100,"")</f>
        <v/>
      </c>
    </row>
    <row r="811" customFormat="false" ht="15.75" hidden="false" customHeight="false" outlineLevel="0" collapsed="false">
      <c r="B811" s="7" t="str">
        <f aca="false">IFERROR(VLOOKUP(LEFT(A811,4),Setor!A:D,2,FALSE()),"")</f>
        <v/>
      </c>
      <c r="C811" s="8" t="str">
        <f aca="false">IFERROR(__xludf.dummyfunction("IFERROR(IFERROR(GOOGLEFINANCE(A817,""price""),VLOOKUP(A817,'Dados-Status-Invest'!A:B,2,FALSE)),"""")"),"")</f>
        <v/>
      </c>
      <c r="D811" s="8" t="str">
        <f aca="false">IFERROR(VLOOKUP(A811,'Dados-Status-Invest'!$1:$1000,MATCH(D$1,'Dados-Status-Invest'!$2:$2,0),FALSE()),"")</f>
        <v/>
      </c>
      <c r="E811" s="8" t="e">
        <f aca="false">IF(D811+H811&gt;0,D811+H811,"")</f>
        <v>#VALUE!</v>
      </c>
      <c r="F811" s="8" t="str">
        <f aca="false">IFERROR(D811/VLOOKUP(A811,'Dados-Status-Invest'!$1:$1000,5,FALSE()),"")</f>
        <v/>
      </c>
      <c r="G811" s="8" t="str">
        <f aca="false">IFERROR(D811/VLOOKUP(A811,'Dados-Status-Invest'!$1:$1000,6,FALSE()),"")</f>
        <v/>
      </c>
      <c r="H811" s="8" t="str">
        <f aca="false">IFERROR(VLOOKUP(A811,'Dados-Status-Invest'!$1:$1000,12,FALSE())*J811,"")</f>
        <v/>
      </c>
      <c r="I811" s="8" t="str">
        <f aca="false">IFERROR(D811/VLOOKUP(A811,'Dados-Status-Invest'!$1:$1000,14,FALSE()),"")</f>
        <v/>
      </c>
      <c r="J811" s="9" t="str">
        <f aca="false">IFERROR(D811/VLOOKUP(A811,'Dados-Status-Invest'!$1:$1000,10,FALSE()),"")</f>
        <v/>
      </c>
      <c r="K811" s="10" t="str">
        <f aca="false">IFERROR(VLOOKUP(A811,'Dados-Status-Invest'!$1:$1000,3,FALSE())/100,"")</f>
        <v/>
      </c>
      <c r="L811" s="11" t="str">
        <f aca="false">IFERROR(VLOOKUP(A811,'Dados-Status-Invest'!$1:$1000,MATCH(L$1,'Dados-Status-Invest'!$2:$2,0),FALSE())/100,"")</f>
        <v/>
      </c>
      <c r="M811" s="10" t="str">
        <f aca="false">IFERROR(VLOOKUP(A811,'Dados-Status-Invest'!$1:$1000,MATCH(M$1,'Dados-Status-Invest'!$2:$2,0),FALSE())/100,"")</f>
        <v/>
      </c>
      <c r="N811" s="10" t="str">
        <f aca="false">IFERROR(VLOOKUP(A811,'Dados-Status-Invest'!$1:$1000,MATCH(N$1,'Dados-Status-Invest'!$2:$2,0),FALSE())/100,"")</f>
        <v/>
      </c>
      <c r="O811" s="10" t="str">
        <f aca="false">IFERROR(VLOOKUP(A811,'Dados-Status-Invest'!$1:$1000,MATCH(O$1,'Dados-Status-Invest'!$2:$2,0),FALSE())/100,"")</f>
        <v/>
      </c>
      <c r="P811" s="10" t="str">
        <f aca="false">IFERROR(VLOOKUP(A811,'Dados-Status-Invest'!$1:$1000,MATCH(P$1,'Dados-Status-Invest'!$2:$2,0),FALSE())/100,"")</f>
        <v/>
      </c>
      <c r="Q811" s="10" t="str">
        <f aca="false">IFERROR(VLOOKUP(A811,'Dados-Status-Invest'!$1:$1000,MATCH(Q$1,'Dados-Status-Invest'!$2:$2,0),FALSE())/100,"")</f>
        <v/>
      </c>
      <c r="R811" s="12" t="str">
        <f aca="false">IFERROR(VLOOKUP(A811,'Dados-Status-Invest'!$1:$1000,MATCH(R$1,'Dados-Status-Invest'!$2:$2,0),FALSE()),"")</f>
        <v/>
      </c>
      <c r="S811" s="12" t="str">
        <f aca="false">IFERROR(VLOOKUP(A811,'Dados-Status-Invest'!$1:$1000,MATCH(S$1,'Dados-Status-Invest'!$2:$2,0),FALSE()),"")</f>
        <v/>
      </c>
      <c r="T811" s="12" t="str">
        <f aca="false">IFERROR(VLOOKUP(A811,'Dados-Status-Invest'!$1:$1000,MATCH(T$1,'Dados-Status-Invest'!$2:$2,0),FALSE()),"")</f>
        <v/>
      </c>
      <c r="U811" s="12" t="str">
        <f aca="false">IFERROR(VLOOKUP(A811,'Dados-Status-Invest'!$1:$1000,MATCH(U$1,'Dados-Status-Invest'!$2:$2,0),FALSE()),"")</f>
        <v/>
      </c>
      <c r="V811" s="12" t="str">
        <f aca="false">IFERROR(VLOOKUP(A811,'Dados-Status-Invest'!$1:$1000,MATCH(V$1,'Dados-Status-Invest'!$2:$2,0),FALSE()),"")</f>
        <v/>
      </c>
      <c r="W811" s="10" t="str">
        <f aca="false">IFERROR(VLOOKUP(A811,'Dados-Status-Invest'!$1:$1000,MATCH(W$1,'Dados-Status-Invest'!$2:$2,0),FALSE())/100,"")</f>
        <v/>
      </c>
      <c r="X811" s="10" t="str">
        <f aca="false">IFERROR(VLOOKUP(A811,'Dados-Status-Invest'!$1:$1000,MATCH(X$1,'Dados-Status-Invest'!$2:$2,0),FALSE())/100,"")</f>
        <v/>
      </c>
    </row>
    <row r="812" customFormat="false" ht="15.75" hidden="false" customHeight="false" outlineLevel="0" collapsed="false">
      <c r="B812" s="7" t="str">
        <f aca="false">IFERROR(VLOOKUP(LEFT(A812,4),Setor!A:D,2,FALSE()),"")</f>
        <v/>
      </c>
      <c r="C812" s="8" t="str">
        <f aca="false">IFERROR(__xludf.dummyfunction("IFERROR(IFERROR(GOOGLEFINANCE(A818,""price""),VLOOKUP(A818,'Dados-Status-Invest'!A:B,2,FALSE)),"""")"),"")</f>
        <v/>
      </c>
      <c r="D812" s="8" t="str">
        <f aca="false">IFERROR(VLOOKUP(A812,'Dados-Status-Invest'!$1:$1000,MATCH(D$1,'Dados-Status-Invest'!$2:$2,0),FALSE()),"")</f>
        <v/>
      </c>
      <c r="E812" s="8" t="e">
        <f aca="false">IF(D812+H812&gt;0,D812+H812,"")</f>
        <v>#VALUE!</v>
      </c>
      <c r="F812" s="8" t="str">
        <f aca="false">IFERROR(D812/VLOOKUP(A812,'Dados-Status-Invest'!$1:$1000,5,FALSE()),"")</f>
        <v/>
      </c>
      <c r="G812" s="8" t="str">
        <f aca="false">IFERROR(D812/VLOOKUP(A812,'Dados-Status-Invest'!$1:$1000,6,FALSE()),"")</f>
        <v/>
      </c>
      <c r="H812" s="8" t="str">
        <f aca="false">IFERROR(VLOOKUP(A812,'Dados-Status-Invest'!$1:$1000,12,FALSE())*J812,"")</f>
        <v/>
      </c>
      <c r="I812" s="8" t="str">
        <f aca="false">IFERROR(D812/VLOOKUP(A812,'Dados-Status-Invest'!$1:$1000,14,FALSE()),"")</f>
        <v/>
      </c>
      <c r="J812" s="9" t="str">
        <f aca="false">IFERROR(D812/VLOOKUP(A812,'Dados-Status-Invest'!$1:$1000,10,FALSE()),"")</f>
        <v/>
      </c>
      <c r="K812" s="10" t="str">
        <f aca="false">IFERROR(VLOOKUP(A812,'Dados-Status-Invest'!$1:$1000,3,FALSE())/100,"")</f>
        <v/>
      </c>
      <c r="L812" s="11" t="str">
        <f aca="false">IFERROR(VLOOKUP(A812,'Dados-Status-Invest'!$1:$1000,MATCH(L$1,'Dados-Status-Invest'!$2:$2,0),FALSE())/100,"")</f>
        <v/>
      </c>
      <c r="M812" s="10" t="str">
        <f aca="false">IFERROR(VLOOKUP(A812,'Dados-Status-Invest'!$1:$1000,MATCH(M$1,'Dados-Status-Invest'!$2:$2,0),FALSE())/100,"")</f>
        <v/>
      </c>
      <c r="N812" s="10" t="str">
        <f aca="false">IFERROR(VLOOKUP(A812,'Dados-Status-Invest'!$1:$1000,MATCH(N$1,'Dados-Status-Invest'!$2:$2,0),FALSE())/100,"")</f>
        <v/>
      </c>
      <c r="O812" s="10" t="str">
        <f aca="false">IFERROR(VLOOKUP(A812,'Dados-Status-Invest'!$1:$1000,MATCH(O$1,'Dados-Status-Invest'!$2:$2,0),FALSE())/100,"")</f>
        <v/>
      </c>
      <c r="P812" s="10" t="str">
        <f aca="false">IFERROR(VLOOKUP(A812,'Dados-Status-Invest'!$1:$1000,MATCH(P$1,'Dados-Status-Invest'!$2:$2,0),FALSE())/100,"")</f>
        <v/>
      </c>
      <c r="Q812" s="10" t="str">
        <f aca="false">IFERROR(VLOOKUP(A812,'Dados-Status-Invest'!$1:$1000,MATCH(Q$1,'Dados-Status-Invest'!$2:$2,0),FALSE())/100,"")</f>
        <v/>
      </c>
      <c r="R812" s="12" t="str">
        <f aca="false">IFERROR(VLOOKUP(A812,'Dados-Status-Invest'!$1:$1000,MATCH(R$1,'Dados-Status-Invest'!$2:$2,0),FALSE()),"")</f>
        <v/>
      </c>
      <c r="S812" s="12" t="str">
        <f aca="false">IFERROR(VLOOKUP(A812,'Dados-Status-Invest'!$1:$1000,MATCH(S$1,'Dados-Status-Invest'!$2:$2,0),FALSE()),"")</f>
        <v/>
      </c>
      <c r="T812" s="12" t="str">
        <f aca="false">IFERROR(VLOOKUP(A812,'Dados-Status-Invest'!$1:$1000,MATCH(T$1,'Dados-Status-Invest'!$2:$2,0),FALSE()),"")</f>
        <v/>
      </c>
      <c r="U812" s="12" t="str">
        <f aca="false">IFERROR(VLOOKUP(A812,'Dados-Status-Invest'!$1:$1000,MATCH(U$1,'Dados-Status-Invest'!$2:$2,0),FALSE()),"")</f>
        <v/>
      </c>
      <c r="V812" s="12" t="str">
        <f aca="false">IFERROR(VLOOKUP(A812,'Dados-Status-Invest'!$1:$1000,MATCH(V$1,'Dados-Status-Invest'!$2:$2,0),FALSE()),"")</f>
        <v/>
      </c>
      <c r="W812" s="10" t="str">
        <f aca="false">IFERROR(VLOOKUP(A812,'Dados-Status-Invest'!$1:$1000,MATCH(W$1,'Dados-Status-Invest'!$2:$2,0),FALSE())/100,"")</f>
        <v/>
      </c>
      <c r="X812" s="10" t="str">
        <f aca="false">IFERROR(VLOOKUP(A812,'Dados-Status-Invest'!$1:$1000,MATCH(X$1,'Dados-Status-Invest'!$2:$2,0),FALSE())/100,"")</f>
        <v/>
      </c>
    </row>
    <row r="813" customFormat="false" ht="15.75" hidden="false" customHeight="false" outlineLevel="0" collapsed="false">
      <c r="B813" s="7" t="str">
        <f aca="false">IFERROR(VLOOKUP(LEFT(A813,4),Setor!A:D,2,FALSE()),"")</f>
        <v/>
      </c>
      <c r="C813" s="8" t="str">
        <f aca="false">IFERROR(__xludf.dummyfunction("IFERROR(IFERROR(GOOGLEFINANCE(A819,""price""),VLOOKUP(A819,'Dados-Status-Invest'!A:B,2,FALSE)),"""")"),"")</f>
        <v/>
      </c>
      <c r="D813" s="8" t="str">
        <f aca="false">IFERROR(VLOOKUP(A813,'Dados-Status-Invest'!$1:$1000,MATCH(D$1,'Dados-Status-Invest'!$2:$2,0),FALSE()),"")</f>
        <v/>
      </c>
      <c r="E813" s="8" t="e">
        <f aca="false">IF(D813+H813&gt;0,D813+H813,"")</f>
        <v>#VALUE!</v>
      </c>
      <c r="F813" s="8" t="str">
        <f aca="false">IFERROR(D813/VLOOKUP(A813,'Dados-Status-Invest'!$1:$1000,5,FALSE()),"")</f>
        <v/>
      </c>
      <c r="G813" s="8" t="str">
        <f aca="false">IFERROR(D813/VLOOKUP(A813,'Dados-Status-Invest'!$1:$1000,6,FALSE()),"")</f>
        <v/>
      </c>
      <c r="H813" s="8" t="str">
        <f aca="false">IFERROR(VLOOKUP(A813,'Dados-Status-Invest'!$1:$1000,12,FALSE())*J813,"")</f>
        <v/>
      </c>
      <c r="I813" s="8" t="str">
        <f aca="false">IFERROR(D813/VLOOKUP(A813,'Dados-Status-Invest'!$1:$1000,14,FALSE()),"")</f>
        <v/>
      </c>
      <c r="J813" s="9" t="str">
        <f aca="false">IFERROR(D813/VLOOKUP(A813,'Dados-Status-Invest'!$1:$1000,10,FALSE()),"")</f>
        <v/>
      </c>
      <c r="K813" s="10" t="str">
        <f aca="false">IFERROR(VLOOKUP(A813,'Dados-Status-Invest'!$1:$1000,3,FALSE())/100,"")</f>
        <v/>
      </c>
      <c r="L813" s="11" t="str">
        <f aca="false">IFERROR(VLOOKUP(A813,'Dados-Status-Invest'!$1:$1000,MATCH(L$1,'Dados-Status-Invest'!$2:$2,0),FALSE())/100,"")</f>
        <v/>
      </c>
      <c r="M813" s="10" t="str">
        <f aca="false">IFERROR(VLOOKUP(A813,'Dados-Status-Invest'!$1:$1000,MATCH(M$1,'Dados-Status-Invest'!$2:$2,0),FALSE())/100,"")</f>
        <v/>
      </c>
      <c r="N813" s="10" t="str">
        <f aca="false">IFERROR(VLOOKUP(A813,'Dados-Status-Invest'!$1:$1000,MATCH(N$1,'Dados-Status-Invest'!$2:$2,0),FALSE())/100,"")</f>
        <v/>
      </c>
      <c r="O813" s="10" t="str">
        <f aca="false">IFERROR(VLOOKUP(A813,'Dados-Status-Invest'!$1:$1000,MATCH(O$1,'Dados-Status-Invest'!$2:$2,0),FALSE())/100,"")</f>
        <v/>
      </c>
      <c r="P813" s="10" t="str">
        <f aca="false">IFERROR(VLOOKUP(A813,'Dados-Status-Invest'!$1:$1000,MATCH(P$1,'Dados-Status-Invest'!$2:$2,0),FALSE())/100,"")</f>
        <v/>
      </c>
      <c r="Q813" s="10" t="str">
        <f aca="false">IFERROR(VLOOKUP(A813,'Dados-Status-Invest'!$1:$1000,MATCH(Q$1,'Dados-Status-Invest'!$2:$2,0),FALSE())/100,"")</f>
        <v/>
      </c>
      <c r="R813" s="12" t="str">
        <f aca="false">IFERROR(VLOOKUP(A813,'Dados-Status-Invest'!$1:$1000,MATCH(R$1,'Dados-Status-Invest'!$2:$2,0),FALSE()),"")</f>
        <v/>
      </c>
      <c r="S813" s="12" t="str">
        <f aca="false">IFERROR(VLOOKUP(A813,'Dados-Status-Invest'!$1:$1000,MATCH(S$1,'Dados-Status-Invest'!$2:$2,0),FALSE()),"")</f>
        <v/>
      </c>
      <c r="T813" s="12" t="str">
        <f aca="false">IFERROR(VLOOKUP(A813,'Dados-Status-Invest'!$1:$1000,MATCH(T$1,'Dados-Status-Invest'!$2:$2,0),FALSE()),"")</f>
        <v/>
      </c>
      <c r="U813" s="12" t="str">
        <f aca="false">IFERROR(VLOOKUP(A813,'Dados-Status-Invest'!$1:$1000,MATCH(U$1,'Dados-Status-Invest'!$2:$2,0),FALSE()),"")</f>
        <v/>
      </c>
      <c r="V813" s="12" t="str">
        <f aca="false">IFERROR(VLOOKUP(A813,'Dados-Status-Invest'!$1:$1000,MATCH(V$1,'Dados-Status-Invest'!$2:$2,0),FALSE()),"")</f>
        <v/>
      </c>
      <c r="W813" s="10" t="str">
        <f aca="false">IFERROR(VLOOKUP(A813,'Dados-Status-Invest'!$1:$1000,MATCH(W$1,'Dados-Status-Invest'!$2:$2,0),FALSE())/100,"")</f>
        <v/>
      </c>
      <c r="X813" s="10" t="str">
        <f aca="false">IFERROR(VLOOKUP(A813,'Dados-Status-Invest'!$1:$1000,MATCH(X$1,'Dados-Status-Invest'!$2:$2,0),FALSE())/100,"")</f>
        <v/>
      </c>
    </row>
    <row r="814" customFormat="false" ht="15.75" hidden="false" customHeight="false" outlineLevel="0" collapsed="false">
      <c r="B814" s="7" t="str">
        <f aca="false">IFERROR(VLOOKUP(LEFT(A814,4),Setor!A:D,2,FALSE()),"")</f>
        <v/>
      </c>
      <c r="C814" s="8" t="str">
        <f aca="false">IFERROR(__xludf.dummyfunction("IFERROR(IFERROR(GOOGLEFINANCE(A820,""price""),VLOOKUP(A820,'Dados-Status-Invest'!A:B,2,FALSE)),"""")"),"")</f>
        <v/>
      </c>
      <c r="D814" s="8" t="str">
        <f aca="false">IFERROR(VLOOKUP(A814,'Dados-Status-Invest'!$1:$1000,MATCH(D$1,'Dados-Status-Invest'!$2:$2,0),FALSE()),"")</f>
        <v/>
      </c>
      <c r="E814" s="8" t="e">
        <f aca="false">IF(D814+H814&gt;0,D814+H814,"")</f>
        <v>#VALUE!</v>
      </c>
      <c r="F814" s="8" t="str">
        <f aca="false">IFERROR(D814/VLOOKUP(A814,'Dados-Status-Invest'!$1:$1000,5,FALSE()),"")</f>
        <v/>
      </c>
      <c r="G814" s="8" t="str">
        <f aca="false">IFERROR(D814/VLOOKUP(A814,'Dados-Status-Invest'!$1:$1000,6,FALSE()),"")</f>
        <v/>
      </c>
      <c r="H814" s="8" t="str">
        <f aca="false">IFERROR(VLOOKUP(A814,'Dados-Status-Invest'!$1:$1000,12,FALSE())*J814,"")</f>
        <v/>
      </c>
      <c r="I814" s="8" t="str">
        <f aca="false">IFERROR(D814/VLOOKUP(A814,'Dados-Status-Invest'!$1:$1000,14,FALSE()),"")</f>
        <v/>
      </c>
      <c r="J814" s="9" t="str">
        <f aca="false">IFERROR(D814/VLOOKUP(A814,'Dados-Status-Invest'!$1:$1000,10,FALSE()),"")</f>
        <v/>
      </c>
      <c r="K814" s="10" t="str">
        <f aca="false">IFERROR(VLOOKUP(A814,'Dados-Status-Invest'!$1:$1000,3,FALSE())/100,"")</f>
        <v/>
      </c>
      <c r="L814" s="11" t="str">
        <f aca="false">IFERROR(VLOOKUP(A814,'Dados-Status-Invest'!$1:$1000,MATCH(L$1,'Dados-Status-Invest'!$2:$2,0),FALSE())/100,"")</f>
        <v/>
      </c>
      <c r="M814" s="10" t="str">
        <f aca="false">IFERROR(VLOOKUP(A814,'Dados-Status-Invest'!$1:$1000,MATCH(M$1,'Dados-Status-Invest'!$2:$2,0),FALSE())/100,"")</f>
        <v/>
      </c>
      <c r="N814" s="10" t="str">
        <f aca="false">IFERROR(VLOOKUP(A814,'Dados-Status-Invest'!$1:$1000,MATCH(N$1,'Dados-Status-Invest'!$2:$2,0),FALSE())/100,"")</f>
        <v/>
      </c>
      <c r="O814" s="10" t="str">
        <f aca="false">IFERROR(VLOOKUP(A814,'Dados-Status-Invest'!$1:$1000,MATCH(O$1,'Dados-Status-Invest'!$2:$2,0),FALSE())/100,"")</f>
        <v/>
      </c>
      <c r="P814" s="10" t="str">
        <f aca="false">IFERROR(VLOOKUP(A814,'Dados-Status-Invest'!$1:$1000,MATCH(P$1,'Dados-Status-Invest'!$2:$2,0),FALSE())/100,"")</f>
        <v/>
      </c>
      <c r="Q814" s="10" t="str">
        <f aca="false">IFERROR(VLOOKUP(A814,'Dados-Status-Invest'!$1:$1000,MATCH(Q$1,'Dados-Status-Invest'!$2:$2,0),FALSE())/100,"")</f>
        <v/>
      </c>
      <c r="R814" s="12" t="str">
        <f aca="false">IFERROR(VLOOKUP(A814,'Dados-Status-Invest'!$1:$1000,MATCH(R$1,'Dados-Status-Invest'!$2:$2,0),FALSE()),"")</f>
        <v/>
      </c>
      <c r="S814" s="12" t="str">
        <f aca="false">IFERROR(VLOOKUP(A814,'Dados-Status-Invest'!$1:$1000,MATCH(S$1,'Dados-Status-Invest'!$2:$2,0),FALSE()),"")</f>
        <v/>
      </c>
      <c r="T814" s="12" t="str">
        <f aca="false">IFERROR(VLOOKUP(A814,'Dados-Status-Invest'!$1:$1000,MATCH(T$1,'Dados-Status-Invest'!$2:$2,0),FALSE()),"")</f>
        <v/>
      </c>
      <c r="U814" s="12" t="str">
        <f aca="false">IFERROR(VLOOKUP(A814,'Dados-Status-Invest'!$1:$1000,MATCH(U$1,'Dados-Status-Invest'!$2:$2,0),FALSE()),"")</f>
        <v/>
      </c>
      <c r="V814" s="12" t="str">
        <f aca="false">IFERROR(VLOOKUP(A814,'Dados-Status-Invest'!$1:$1000,MATCH(V$1,'Dados-Status-Invest'!$2:$2,0),FALSE()),"")</f>
        <v/>
      </c>
      <c r="W814" s="10" t="str">
        <f aca="false">IFERROR(VLOOKUP(A814,'Dados-Status-Invest'!$1:$1000,MATCH(W$1,'Dados-Status-Invest'!$2:$2,0),FALSE())/100,"")</f>
        <v/>
      </c>
      <c r="X814" s="10" t="str">
        <f aca="false">IFERROR(VLOOKUP(A814,'Dados-Status-Invest'!$1:$1000,MATCH(X$1,'Dados-Status-Invest'!$2:$2,0),FALSE())/100,"")</f>
        <v/>
      </c>
    </row>
    <row r="815" customFormat="false" ht="15.75" hidden="false" customHeight="false" outlineLevel="0" collapsed="false">
      <c r="B815" s="7" t="str">
        <f aca="false">IFERROR(VLOOKUP(LEFT(A815,4),Setor!A:D,2,FALSE()),"")</f>
        <v/>
      </c>
      <c r="C815" s="8" t="str">
        <f aca="false">IFERROR(__xludf.dummyfunction("IFERROR(IFERROR(GOOGLEFINANCE(A821,""price""),VLOOKUP(A821,'Dados-Status-Invest'!A:B,2,FALSE)),"""")"),"")</f>
        <v/>
      </c>
      <c r="D815" s="8" t="str">
        <f aca="false">IFERROR(VLOOKUP(A815,'Dados-Status-Invest'!$1:$1000,MATCH(D$1,'Dados-Status-Invest'!$2:$2,0),FALSE()),"")</f>
        <v/>
      </c>
      <c r="E815" s="8" t="e">
        <f aca="false">IF(D815+H815&gt;0,D815+H815,"")</f>
        <v>#VALUE!</v>
      </c>
      <c r="F815" s="8" t="str">
        <f aca="false">IFERROR(D815/VLOOKUP(A815,'Dados-Status-Invest'!$1:$1000,5,FALSE()),"")</f>
        <v/>
      </c>
      <c r="G815" s="8" t="str">
        <f aca="false">IFERROR(D815/VLOOKUP(A815,'Dados-Status-Invest'!$1:$1000,6,FALSE()),"")</f>
        <v/>
      </c>
      <c r="H815" s="8" t="str">
        <f aca="false">IFERROR(VLOOKUP(A815,'Dados-Status-Invest'!$1:$1000,12,FALSE())*J815,"")</f>
        <v/>
      </c>
      <c r="I815" s="8" t="str">
        <f aca="false">IFERROR(D815/VLOOKUP(A815,'Dados-Status-Invest'!$1:$1000,14,FALSE()),"")</f>
        <v/>
      </c>
      <c r="J815" s="9" t="str">
        <f aca="false">IFERROR(D815/VLOOKUP(A815,'Dados-Status-Invest'!$1:$1000,10,FALSE()),"")</f>
        <v/>
      </c>
      <c r="K815" s="10" t="str">
        <f aca="false">IFERROR(VLOOKUP(A815,'Dados-Status-Invest'!$1:$1000,3,FALSE())/100,"")</f>
        <v/>
      </c>
      <c r="L815" s="11" t="str">
        <f aca="false">IFERROR(VLOOKUP(A815,'Dados-Status-Invest'!$1:$1000,MATCH(L$1,'Dados-Status-Invest'!$2:$2,0),FALSE())/100,"")</f>
        <v/>
      </c>
      <c r="M815" s="10" t="str">
        <f aca="false">IFERROR(VLOOKUP(A815,'Dados-Status-Invest'!$1:$1000,MATCH(M$1,'Dados-Status-Invest'!$2:$2,0),FALSE())/100,"")</f>
        <v/>
      </c>
      <c r="N815" s="10" t="str">
        <f aca="false">IFERROR(VLOOKUP(A815,'Dados-Status-Invest'!$1:$1000,MATCH(N$1,'Dados-Status-Invest'!$2:$2,0),FALSE())/100,"")</f>
        <v/>
      </c>
      <c r="O815" s="10" t="str">
        <f aca="false">IFERROR(VLOOKUP(A815,'Dados-Status-Invest'!$1:$1000,MATCH(O$1,'Dados-Status-Invest'!$2:$2,0),FALSE())/100,"")</f>
        <v/>
      </c>
      <c r="P815" s="10" t="str">
        <f aca="false">IFERROR(VLOOKUP(A815,'Dados-Status-Invest'!$1:$1000,MATCH(P$1,'Dados-Status-Invest'!$2:$2,0),FALSE())/100,"")</f>
        <v/>
      </c>
      <c r="Q815" s="10" t="str">
        <f aca="false">IFERROR(VLOOKUP(A815,'Dados-Status-Invest'!$1:$1000,MATCH(Q$1,'Dados-Status-Invest'!$2:$2,0),FALSE())/100,"")</f>
        <v/>
      </c>
      <c r="R815" s="12" t="str">
        <f aca="false">IFERROR(VLOOKUP(A815,'Dados-Status-Invest'!$1:$1000,MATCH(R$1,'Dados-Status-Invest'!$2:$2,0),FALSE()),"")</f>
        <v/>
      </c>
      <c r="S815" s="12" t="str">
        <f aca="false">IFERROR(VLOOKUP(A815,'Dados-Status-Invest'!$1:$1000,MATCH(S$1,'Dados-Status-Invest'!$2:$2,0),FALSE()),"")</f>
        <v/>
      </c>
      <c r="T815" s="12" t="str">
        <f aca="false">IFERROR(VLOOKUP(A815,'Dados-Status-Invest'!$1:$1000,MATCH(T$1,'Dados-Status-Invest'!$2:$2,0),FALSE()),"")</f>
        <v/>
      </c>
      <c r="U815" s="12" t="str">
        <f aca="false">IFERROR(VLOOKUP(A815,'Dados-Status-Invest'!$1:$1000,MATCH(U$1,'Dados-Status-Invest'!$2:$2,0),FALSE()),"")</f>
        <v/>
      </c>
      <c r="V815" s="12" t="str">
        <f aca="false">IFERROR(VLOOKUP(A815,'Dados-Status-Invest'!$1:$1000,MATCH(V$1,'Dados-Status-Invest'!$2:$2,0),FALSE()),"")</f>
        <v/>
      </c>
      <c r="W815" s="10" t="str">
        <f aca="false">IFERROR(VLOOKUP(A815,'Dados-Status-Invest'!$1:$1000,MATCH(W$1,'Dados-Status-Invest'!$2:$2,0),FALSE())/100,"")</f>
        <v/>
      </c>
      <c r="X815" s="10" t="str">
        <f aca="false">IFERROR(VLOOKUP(A815,'Dados-Status-Invest'!$1:$1000,MATCH(X$1,'Dados-Status-Invest'!$2:$2,0),FALSE())/100,"")</f>
        <v/>
      </c>
    </row>
    <row r="816" customFormat="false" ht="15.75" hidden="false" customHeight="false" outlineLevel="0" collapsed="false">
      <c r="B816" s="7" t="str">
        <f aca="false">IFERROR(VLOOKUP(LEFT(A816,4),Setor!A:D,2,FALSE()),"")</f>
        <v/>
      </c>
      <c r="C816" s="8" t="str">
        <f aca="false">IFERROR(__xludf.dummyfunction("IFERROR(IFERROR(GOOGLEFINANCE(A822,""price""),VLOOKUP(A822,'Dados-Status-Invest'!A:B,2,FALSE)),"""")"),"")</f>
        <v/>
      </c>
      <c r="D816" s="8" t="str">
        <f aca="false">IFERROR(VLOOKUP(A816,'Dados-Status-Invest'!$1:$1000,MATCH(D$1,'Dados-Status-Invest'!$2:$2,0),FALSE()),"")</f>
        <v/>
      </c>
      <c r="E816" s="8" t="e">
        <f aca="false">IF(D816+H816&gt;0,D816+H816,"")</f>
        <v>#VALUE!</v>
      </c>
      <c r="F816" s="8" t="str">
        <f aca="false">IFERROR(D816/VLOOKUP(A816,'Dados-Status-Invest'!$1:$1000,5,FALSE()),"")</f>
        <v/>
      </c>
      <c r="G816" s="8" t="str">
        <f aca="false">IFERROR(D816/VLOOKUP(A816,'Dados-Status-Invest'!$1:$1000,6,FALSE()),"")</f>
        <v/>
      </c>
      <c r="H816" s="8" t="str">
        <f aca="false">IFERROR(VLOOKUP(A816,'Dados-Status-Invest'!$1:$1000,12,FALSE())*J816,"")</f>
        <v/>
      </c>
      <c r="I816" s="8" t="str">
        <f aca="false">IFERROR(D816/VLOOKUP(A816,'Dados-Status-Invest'!$1:$1000,14,FALSE()),"")</f>
        <v/>
      </c>
      <c r="J816" s="9" t="str">
        <f aca="false">IFERROR(D816/VLOOKUP(A816,'Dados-Status-Invest'!$1:$1000,10,FALSE()),"")</f>
        <v/>
      </c>
      <c r="K816" s="10" t="str">
        <f aca="false">IFERROR(VLOOKUP(A816,'Dados-Status-Invest'!$1:$1000,3,FALSE())/100,"")</f>
        <v/>
      </c>
      <c r="L816" s="11" t="str">
        <f aca="false">IFERROR(VLOOKUP(A816,'Dados-Status-Invest'!$1:$1000,MATCH(L$1,'Dados-Status-Invest'!$2:$2,0),FALSE())/100,"")</f>
        <v/>
      </c>
      <c r="M816" s="10" t="str">
        <f aca="false">IFERROR(VLOOKUP(A816,'Dados-Status-Invest'!$1:$1000,MATCH(M$1,'Dados-Status-Invest'!$2:$2,0),FALSE())/100,"")</f>
        <v/>
      </c>
      <c r="N816" s="10" t="str">
        <f aca="false">IFERROR(VLOOKUP(A816,'Dados-Status-Invest'!$1:$1000,MATCH(N$1,'Dados-Status-Invest'!$2:$2,0),FALSE())/100,"")</f>
        <v/>
      </c>
      <c r="O816" s="10" t="str">
        <f aca="false">IFERROR(VLOOKUP(A816,'Dados-Status-Invest'!$1:$1000,MATCH(O$1,'Dados-Status-Invest'!$2:$2,0),FALSE())/100,"")</f>
        <v/>
      </c>
      <c r="P816" s="10" t="str">
        <f aca="false">IFERROR(VLOOKUP(A816,'Dados-Status-Invest'!$1:$1000,MATCH(P$1,'Dados-Status-Invest'!$2:$2,0),FALSE())/100,"")</f>
        <v/>
      </c>
      <c r="Q816" s="10" t="str">
        <f aca="false">IFERROR(VLOOKUP(A816,'Dados-Status-Invest'!$1:$1000,MATCH(Q$1,'Dados-Status-Invest'!$2:$2,0),FALSE())/100,"")</f>
        <v/>
      </c>
      <c r="R816" s="12" t="str">
        <f aca="false">IFERROR(VLOOKUP(A816,'Dados-Status-Invest'!$1:$1000,MATCH(R$1,'Dados-Status-Invest'!$2:$2,0),FALSE()),"")</f>
        <v/>
      </c>
      <c r="S816" s="12" t="str">
        <f aca="false">IFERROR(VLOOKUP(A816,'Dados-Status-Invest'!$1:$1000,MATCH(S$1,'Dados-Status-Invest'!$2:$2,0),FALSE()),"")</f>
        <v/>
      </c>
      <c r="T816" s="12" t="str">
        <f aca="false">IFERROR(VLOOKUP(A816,'Dados-Status-Invest'!$1:$1000,MATCH(T$1,'Dados-Status-Invest'!$2:$2,0),FALSE()),"")</f>
        <v/>
      </c>
      <c r="U816" s="12" t="str">
        <f aca="false">IFERROR(VLOOKUP(A816,'Dados-Status-Invest'!$1:$1000,MATCH(U$1,'Dados-Status-Invest'!$2:$2,0),FALSE()),"")</f>
        <v/>
      </c>
      <c r="V816" s="12" t="str">
        <f aca="false">IFERROR(VLOOKUP(A816,'Dados-Status-Invest'!$1:$1000,MATCH(V$1,'Dados-Status-Invest'!$2:$2,0),FALSE()),"")</f>
        <v/>
      </c>
      <c r="W816" s="10" t="str">
        <f aca="false">IFERROR(VLOOKUP(A816,'Dados-Status-Invest'!$1:$1000,MATCH(W$1,'Dados-Status-Invest'!$2:$2,0),FALSE())/100,"")</f>
        <v/>
      </c>
      <c r="X816" s="10" t="str">
        <f aca="false">IFERROR(VLOOKUP(A816,'Dados-Status-Invest'!$1:$1000,MATCH(X$1,'Dados-Status-Invest'!$2:$2,0),FALSE())/100,"")</f>
        <v/>
      </c>
    </row>
    <row r="817" customFormat="false" ht="15.75" hidden="false" customHeight="false" outlineLevel="0" collapsed="false">
      <c r="B817" s="7" t="str">
        <f aca="false">IFERROR(VLOOKUP(LEFT(A817,4),Setor!A:D,2,FALSE()),"")</f>
        <v/>
      </c>
      <c r="C817" s="8" t="str">
        <f aca="false">IFERROR(__xludf.dummyfunction("IFERROR(IFERROR(GOOGLEFINANCE(A823,""price""),VLOOKUP(A823,'Dados-Status-Invest'!A:B,2,FALSE)),"""")"),"")</f>
        <v/>
      </c>
      <c r="D817" s="8" t="str">
        <f aca="false">IFERROR(VLOOKUP(A817,'Dados-Status-Invest'!$1:$1000,MATCH(D$1,'Dados-Status-Invest'!$2:$2,0),FALSE()),"")</f>
        <v/>
      </c>
      <c r="E817" s="8" t="e">
        <f aca="false">IF(D817+H817&gt;0,D817+H817,"")</f>
        <v>#VALUE!</v>
      </c>
      <c r="F817" s="8" t="str">
        <f aca="false">IFERROR(D817/VLOOKUP(A817,'Dados-Status-Invest'!$1:$1000,5,FALSE()),"")</f>
        <v/>
      </c>
      <c r="G817" s="8" t="str">
        <f aca="false">IFERROR(D817/VLOOKUP(A817,'Dados-Status-Invest'!$1:$1000,6,FALSE()),"")</f>
        <v/>
      </c>
      <c r="H817" s="8" t="str">
        <f aca="false">IFERROR(VLOOKUP(A817,'Dados-Status-Invest'!$1:$1000,12,FALSE())*J817,"")</f>
        <v/>
      </c>
      <c r="I817" s="8" t="str">
        <f aca="false">IFERROR(D817/VLOOKUP(A817,'Dados-Status-Invest'!$1:$1000,14,FALSE()),"")</f>
        <v/>
      </c>
      <c r="J817" s="9" t="str">
        <f aca="false">IFERROR(D817/VLOOKUP(A817,'Dados-Status-Invest'!$1:$1000,10,FALSE()),"")</f>
        <v/>
      </c>
      <c r="K817" s="10" t="str">
        <f aca="false">IFERROR(VLOOKUP(A817,'Dados-Status-Invest'!$1:$1000,3,FALSE())/100,"")</f>
        <v/>
      </c>
      <c r="L817" s="11" t="str">
        <f aca="false">IFERROR(VLOOKUP(A817,'Dados-Status-Invest'!$1:$1000,MATCH(L$1,'Dados-Status-Invest'!$2:$2,0),FALSE())/100,"")</f>
        <v/>
      </c>
      <c r="M817" s="10" t="str">
        <f aca="false">IFERROR(VLOOKUP(A817,'Dados-Status-Invest'!$1:$1000,MATCH(M$1,'Dados-Status-Invest'!$2:$2,0),FALSE())/100,"")</f>
        <v/>
      </c>
      <c r="N817" s="10" t="str">
        <f aca="false">IFERROR(VLOOKUP(A817,'Dados-Status-Invest'!$1:$1000,MATCH(N$1,'Dados-Status-Invest'!$2:$2,0),FALSE())/100,"")</f>
        <v/>
      </c>
      <c r="O817" s="10" t="str">
        <f aca="false">IFERROR(VLOOKUP(A817,'Dados-Status-Invest'!$1:$1000,MATCH(O$1,'Dados-Status-Invest'!$2:$2,0),FALSE())/100,"")</f>
        <v/>
      </c>
      <c r="P817" s="10" t="str">
        <f aca="false">IFERROR(VLOOKUP(A817,'Dados-Status-Invest'!$1:$1000,MATCH(P$1,'Dados-Status-Invest'!$2:$2,0),FALSE())/100,"")</f>
        <v/>
      </c>
      <c r="Q817" s="10" t="str">
        <f aca="false">IFERROR(VLOOKUP(A817,'Dados-Status-Invest'!$1:$1000,MATCH(Q$1,'Dados-Status-Invest'!$2:$2,0),FALSE())/100,"")</f>
        <v/>
      </c>
      <c r="R817" s="12" t="str">
        <f aca="false">IFERROR(VLOOKUP(A817,'Dados-Status-Invest'!$1:$1000,MATCH(R$1,'Dados-Status-Invest'!$2:$2,0),FALSE()),"")</f>
        <v/>
      </c>
      <c r="S817" s="12" t="str">
        <f aca="false">IFERROR(VLOOKUP(A817,'Dados-Status-Invest'!$1:$1000,MATCH(S$1,'Dados-Status-Invest'!$2:$2,0),FALSE()),"")</f>
        <v/>
      </c>
      <c r="T817" s="12" t="str">
        <f aca="false">IFERROR(VLOOKUP(A817,'Dados-Status-Invest'!$1:$1000,MATCH(T$1,'Dados-Status-Invest'!$2:$2,0),FALSE()),"")</f>
        <v/>
      </c>
      <c r="U817" s="12" t="str">
        <f aca="false">IFERROR(VLOOKUP(A817,'Dados-Status-Invest'!$1:$1000,MATCH(U$1,'Dados-Status-Invest'!$2:$2,0),FALSE()),"")</f>
        <v/>
      </c>
      <c r="V817" s="12" t="str">
        <f aca="false">IFERROR(VLOOKUP(A817,'Dados-Status-Invest'!$1:$1000,MATCH(V$1,'Dados-Status-Invest'!$2:$2,0),FALSE()),"")</f>
        <v/>
      </c>
      <c r="W817" s="10" t="str">
        <f aca="false">IFERROR(VLOOKUP(A817,'Dados-Status-Invest'!$1:$1000,MATCH(W$1,'Dados-Status-Invest'!$2:$2,0),FALSE())/100,"")</f>
        <v/>
      </c>
      <c r="X817" s="10" t="str">
        <f aca="false">IFERROR(VLOOKUP(A817,'Dados-Status-Invest'!$1:$1000,MATCH(X$1,'Dados-Status-Invest'!$2:$2,0),FALSE())/100,"")</f>
        <v/>
      </c>
    </row>
    <row r="818" customFormat="false" ht="15.75" hidden="false" customHeight="false" outlineLevel="0" collapsed="false">
      <c r="B818" s="7" t="str">
        <f aca="false">IFERROR(VLOOKUP(LEFT(A818,4),Setor!A:D,2,FALSE()),"")</f>
        <v/>
      </c>
      <c r="C818" s="8" t="str">
        <f aca="false">IFERROR(__xludf.dummyfunction("IFERROR(IFERROR(GOOGLEFINANCE(A824,""price""),VLOOKUP(A824,'Dados-Status-Invest'!A:B,2,FALSE)),"""")"),"")</f>
        <v/>
      </c>
      <c r="D818" s="8" t="str">
        <f aca="false">IFERROR(VLOOKUP(A818,'Dados-Status-Invest'!$1:$1000,MATCH(D$1,'Dados-Status-Invest'!$2:$2,0),FALSE()),"")</f>
        <v/>
      </c>
      <c r="E818" s="8" t="e">
        <f aca="false">IF(D818+H818&gt;0,D818+H818,"")</f>
        <v>#VALUE!</v>
      </c>
      <c r="F818" s="8" t="str">
        <f aca="false">IFERROR(D818/VLOOKUP(A818,'Dados-Status-Invest'!$1:$1000,5,FALSE()),"")</f>
        <v/>
      </c>
      <c r="G818" s="8" t="str">
        <f aca="false">IFERROR(D818/VLOOKUP(A818,'Dados-Status-Invest'!$1:$1000,6,FALSE()),"")</f>
        <v/>
      </c>
      <c r="H818" s="8" t="str">
        <f aca="false">IFERROR(VLOOKUP(A818,'Dados-Status-Invest'!$1:$1000,12,FALSE())*J818,"")</f>
        <v/>
      </c>
      <c r="I818" s="8" t="str">
        <f aca="false">IFERROR(D818/VLOOKUP(A818,'Dados-Status-Invest'!$1:$1000,14,FALSE()),"")</f>
        <v/>
      </c>
      <c r="J818" s="9" t="str">
        <f aca="false">IFERROR(D818/VLOOKUP(A818,'Dados-Status-Invest'!$1:$1000,10,FALSE()),"")</f>
        <v/>
      </c>
      <c r="K818" s="10" t="str">
        <f aca="false">IFERROR(VLOOKUP(A818,'Dados-Status-Invest'!$1:$1000,3,FALSE())/100,"")</f>
        <v/>
      </c>
      <c r="L818" s="11" t="str">
        <f aca="false">IFERROR(VLOOKUP(A818,'Dados-Status-Invest'!$1:$1000,MATCH(L$1,'Dados-Status-Invest'!$2:$2,0),FALSE())/100,"")</f>
        <v/>
      </c>
      <c r="M818" s="10" t="str">
        <f aca="false">IFERROR(VLOOKUP(A818,'Dados-Status-Invest'!$1:$1000,MATCH(M$1,'Dados-Status-Invest'!$2:$2,0),FALSE())/100,"")</f>
        <v/>
      </c>
      <c r="N818" s="10" t="str">
        <f aca="false">IFERROR(VLOOKUP(A818,'Dados-Status-Invest'!$1:$1000,MATCH(N$1,'Dados-Status-Invest'!$2:$2,0),FALSE())/100,"")</f>
        <v/>
      </c>
      <c r="O818" s="10" t="str">
        <f aca="false">IFERROR(VLOOKUP(A818,'Dados-Status-Invest'!$1:$1000,MATCH(O$1,'Dados-Status-Invest'!$2:$2,0),FALSE())/100,"")</f>
        <v/>
      </c>
      <c r="P818" s="10" t="str">
        <f aca="false">IFERROR(VLOOKUP(A818,'Dados-Status-Invest'!$1:$1000,MATCH(P$1,'Dados-Status-Invest'!$2:$2,0),FALSE())/100,"")</f>
        <v/>
      </c>
      <c r="Q818" s="10" t="str">
        <f aca="false">IFERROR(VLOOKUP(A818,'Dados-Status-Invest'!$1:$1000,MATCH(Q$1,'Dados-Status-Invest'!$2:$2,0),FALSE())/100,"")</f>
        <v/>
      </c>
      <c r="R818" s="12" t="str">
        <f aca="false">IFERROR(VLOOKUP(A818,'Dados-Status-Invest'!$1:$1000,MATCH(R$1,'Dados-Status-Invest'!$2:$2,0),FALSE()),"")</f>
        <v/>
      </c>
      <c r="S818" s="12" t="str">
        <f aca="false">IFERROR(VLOOKUP(A818,'Dados-Status-Invest'!$1:$1000,MATCH(S$1,'Dados-Status-Invest'!$2:$2,0),FALSE()),"")</f>
        <v/>
      </c>
      <c r="T818" s="12" t="str">
        <f aca="false">IFERROR(VLOOKUP(A818,'Dados-Status-Invest'!$1:$1000,MATCH(T$1,'Dados-Status-Invest'!$2:$2,0),FALSE()),"")</f>
        <v/>
      </c>
      <c r="U818" s="12" t="str">
        <f aca="false">IFERROR(VLOOKUP(A818,'Dados-Status-Invest'!$1:$1000,MATCH(U$1,'Dados-Status-Invest'!$2:$2,0),FALSE()),"")</f>
        <v/>
      </c>
      <c r="V818" s="12" t="str">
        <f aca="false">IFERROR(VLOOKUP(A818,'Dados-Status-Invest'!$1:$1000,MATCH(V$1,'Dados-Status-Invest'!$2:$2,0),FALSE()),"")</f>
        <v/>
      </c>
      <c r="W818" s="10" t="str">
        <f aca="false">IFERROR(VLOOKUP(A818,'Dados-Status-Invest'!$1:$1000,MATCH(W$1,'Dados-Status-Invest'!$2:$2,0),FALSE())/100,"")</f>
        <v/>
      </c>
      <c r="X818" s="10" t="str">
        <f aca="false">IFERROR(VLOOKUP(A818,'Dados-Status-Invest'!$1:$1000,MATCH(X$1,'Dados-Status-Invest'!$2:$2,0),FALSE())/100,"")</f>
        <v/>
      </c>
    </row>
    <row r="819" customFormat="false" ht="15.75" hidden="false" customHeight="false" outlineLevel="0" collapsed="false">
      <c r="B819" s="7" t="str">
        <f aca="false">IFERROR(VLOOKUP(LEFT(A819,4),Setor!A:D,2,FALSE()),"")</f>
        <v/>
      </c>
      <c r="C819" s="8" t="str">
        <f aca="false">IFERROR(__xludf.dummyfunction("IFERROR(IFERROR(GOOGLEFINANCE(A825,""price""),VLOOKUP(A825,'Dados-Status-Invest'!A:B,2,FALSE)),"""")"),"")</f>
        <v/>
      </c>
      <c r="D819" s="8" t="str">
        <f aca="false">IFERROR(VLOOKUP(A819,'Dados-Status-Invest'!$1:$1000,MATCH(D$1,'Dados-Status-Invest'!$2:$2,0),FALSE()),"")</f>
        <v/>
      </c>
      <c r="E819" s="8" t="e">
        <f aca="false">IF(D819+H819&gt;0,D819+H819,"")</f>
        <v>#VALUE!</v>
      </c>
      <c r="F819" s="8" t="str">
        <f aca="false">IFERROR(D819/VLOOKUP(A819,'Dados-Status-Invest'!$1:$1000,5,FALSE()),"")</f>
        <v/>
      </c>
      <c r="G819" s="8" t="str">
        <f aca="false">IFERROR(D819/VLOOKUP(A819,'Dados-Status-Invest'!$1:$1000,6,FALSE()),"")</f>
        <v/>
      </c>
      <c r="H819" s="8" t="str">
        <f aca="false">IFERROR(VLOOKUP(A819,'Dados-Status-Invest'!$1:$1000,12,FALSE())*J819,"")</f>
        <v/>
      </c>
      <c r="I819" s="8" t="str">
        <f aca="false">IFERROR(D819/VLOOKUP(A819,'Dados-Status-Invest'!$1:$1000,14,FALSE()),"")</f>
        <v/>
      </c>
      <c r="J819" s="9" t="str">
        <f aca="false">IFERROR(D819/VLOOKUP(A819,'Dados-Status-Invest'!$1:$1000,10,FALSE()),"")</f>
        <v/>
      </c>
      <c r="K819" s="10" t="str">
        <f aca="false">IFERROR(VLOOKUP(A819,'Dados-Status-Invest'!$1:$1000,3,FALSE())/100,"")</f>
        <v/>
      </c>
      <c r="L819" s="11" t="str">
        <f aca="false">IFERROR(VLOOKUP(A819,'Dados-Status-Invest'!$1:$1000,MATCH(L$1,'Dados-Status-Invest'!$2:$2,0),FALSE())/100,"")</f>
        <v/>
      </c>
      <c r="M819" s="10" t="str">
        <f aca="false">IFERROR(VLOOKUP(A819,'Dados-Status-Invest'!$1:$1000,MATCH(M$1,'Dados-Status-Invest'!$2:$2,0),FALSE())/100,"")</f>
        <v/>
      </c>
      <c r="N819" s="10" t="str">
        <f aca="false">IFERROR(VLOOKUP(A819,'Dados-Status-Invest'!$1:$1000,MATCH(N$1,'Dados-Status-Invest'!$2:$2,0),FALSE())/100,"")</f>
        <v/>
      </c>
      <c r="O819" s="10" t="str">
        <f aca="false">IFERROR(VLOOKUP(A819,'Dados-Status-Invest'!$1:$1000,MATCH(O$1,'Dados-Status-Invest'!$2:$2,0),FALSE())/100,"")</f>
        <v/>
      </c>
      <c r="P819" s="10" t="str">
        <f aca="false">IFERROR(VLOOKUP(A819,'Dados-Status-Invest'!$1:$1000,MATCH(P$1,'Dados-Status-Invest'!$2:$2,0),FALSE())/100,"")</f>
        <v/>
      </c>
      <c r="Q819" s="10" t="str">
        <f aca="false">IFERROR(VLOOKUP(A819,'Dados-Status-Invest'!$1:$1000,MATCH(Q$1,'Dados-Status-Invest'!$2:$2,0),FALSE())/100,"")</f>
        <v/>
      </c>
      <c r="R819" s="12" t="str">
        <f aca="false">IFERROR(VLOOKUP(A819,'Dados-Status-Invest'!$1:$1000,MATCH(R$1,'Dados-Status-Invest'!$2:$2,0),FALSE()),"")</f>
        <v/>
      </c>
      <c r="S819" s="12" t="str">
        <f aca="false">IFERROR(VLOOKUP(A819,'Dados-Status-Invest'!$1:$1000,MATCH(S$1,'Dados-Status-Invest'!$2:$2,0),FALSE()),"")</f>
        <v/>
      </c>
      <c r="T819" s="12" t="str">
        <f aca="false">IFERROR(VLOOKUP(A819,'Dados-Status-Invest'!$1:$1000,MATCH(T$1,'Dados-Status-Invest'!$2:$2,0),FALSE()),"")</f>
        <v/>
      </c>
      <c r="U819" s="12" t="str">
        <f aca="false">IFERROR(VLOOKUP(A819,'Dados-Status-Invest'!$1:$1000,MATCH(U$1,'Dados-Status-Invest'!$2:$2,0),FALSE()),"")</f>
        <v/>
      </c>
      <c r="V819" s="12" t="str">
        <f aca="false">IFERROR(VLOOKUP(A819,'Dados-Status-Invest'!$1:$1000,MATCH(V$1,'Dados-Status-Invest'!$2:$2,0),FALSE()),"")</f>
        <v/>
      </c>
      <c r="W819" s="10" t="str">
        <f aca="false">IFERROR(VLOOKUP(A819,'Dados-Status-Invest'!$1:$1000,MATCH(W$1,'Dados-Status-Invest'!$2:$2,0),FALSE())/100,"")</f>
        <v/>
      </c>
      <c r="X819" s="10" t="str">
        <f aca="false">IFERROR(VLOOKUP(A819,'Dados-Status-Invest'!$1:$1000,MATCH(X$1,'Dados-Status-Invest'!$2:$2,0),FALSE())/100,"")</f>
        <v/>
      </c>
    </row>
    <row r="820" customFormat="false" ht="15.75" hidden="false" customHeight="false" outlineLevel="0" collapsed="false">
      <c r="B820" s="7" t="str">
        <f aca="false">IFERROR(VLOOKUP(LEFT(A820,4),Setor!A:D,2,FALSE()),"")</f>
        <v/>
      </c>
      <c r="C820" s="8" t="str">
        <f aca="false">IFERROR(__xludf.dummyfunction("IFERROR(IFERROR(GOOGLEFINANCE(A826,""price""),VLOOKUP(A826,'Dados-Status-Invest'!A:B,2,FALSE)),"""")"),"")</f>
        <v/>
      </c>
      <c r="D820" s="8" t="str">
        <f aca="false">IFERROR(VLOOKUP(A820,'Dados-Status-Invest'!$1:$1000,MATCH(D$1,'Dados-Status-Invest'!$2:$2,0),FALSE()),"")</f>
        <v/>
      </c>
      <c r="E820" s="8" t="e">
        <f aca="false">IF(D820+H820&gt;0,D820+H820,"")</f>
        <v>#VALUE!</v>
      </c>
      <c r="F820" s="8" t="str">
        <f aca="false">IFERROR(D820/VLOOKUP(A820,'Dados-Status-Invest'!$1:$1000,5,FALSE()),"")</f>
        <v/>
      </c>
      <c r="G820" s="8" t="str">
        <f aca="false">IFERROR(D820/VLOOKUP(A820,'Dados-Status-Invest'!$1:$1000,6,FALSE()),"")</f>
        <v/>
      </c>
      <c r="H820" s="8" t="str">
        <f aca="false">IFERROR(VLOOKUP(A820,'Dados-Status-Invest'!$1:$1000,12,FALSE())*J820,"")</f>
        <v/>
      </c>
      <c r="I820" s="8" t="str">
        <f aca="false">IFERROR(D820/VLOOKUP(A820,'Dados-Status-Invest'!$1:$1000,14,FALSE()),"")</f>
        <v/>
      </c>
      <c r="J820" s="9" t="str">
        <f aca="false">IFERROR(D820/VLOOKUP(A820,'Dados-Status-Invest'!$1:$1000,10,FALSE()),"")</f>
        <v/>
      </c>
      <c r="K820" s="10" t="str">
        <f aca="false">IFERROR(VLOOKUP(A820,'Dados-Status-Invest'!$1:$1000,3,FALSE())/100,"")</f>
        <v/>
      </c>
      <c r="L820" s="11" t="str">
        <f aca="false">IFERROR(VLOOKUP(A820,'Dados-Status-Invest'!$1:$1000,MATCH(L$1,'Dados-Status-Invest'!$2:$2,0),FALSE())/100,"")</f>
        <v/>
      </c>
      <c r="M820" s="10" t="str">
        <f aca="false">IFERROR(VLOOKUP(A820,'Dados-Status-Invest'!$1:$1000,MATCH(M$1,'Dados-Status-Invest'!$2:$2,0),FALSE())/100,"")</f>
        <v/>
      </c>
      <c r="N820" s="10" t="str">
        <f aca="false">IFERROR(VLOOKUP(A820,'Dados-Status-Invest'!$1:$1000,MATCH(N$1,'Dados-Status-Invest'!$2:$2,0),FALSE())/100,"")</f>
        <v/>
      </c>
      <c r="O820" s="10" t="str">
        <f aca="false">IFERROR(VLOOKUP(A820,'Dados-Status-Invest'!$1:$1000,MATCH(O$1,'Dados-Status-Invest'!$2:$2,0),FALSE())/100,"")</f>
        <v/>
      </c>
      <c r="P820" s="10" t="str">
        <f aca="false">IFERROR(VLOOKUP(A820,'Dados-Status-Invest'!$1:$1000,MATCH(P$1,'Dados-Status-Invest'!$2:$2,0),FALSE())/100,"")</f>
        <v/>
      </c>
      <c r="Q820" s="10" t="str">
        <f aca="false">IFERROR(VLOOKUP(A820,'Dados-Status-Invest'!$1:$1000,MATCH(Q$1,'Dados-Status-Invest'!$2:$2,0),FALSE())/100,"")</f>
        <v/>
      </c>
      <c r="R820" s="12" t="str">
        <f aca="false">IFERROR(VLOOKUP(A820,'Dados-Status-Invest'!$1:$1000,MATCH(R$1,'Dados-Status-Invest'!$2:$2,0),FALSE()),"")</f>
        <v/>
      </c>
      <c r="S820" s="12" t="str">
        <f aca="false">IFERROR(VLOOKUP(A820,'Dados-Status-Invest'!$1:$1000,MATCH(S$1,'Dados-Status-Invest'!$2:$2,0),FALSE()),"")</f>
        <v/>
      </c>
      <c r="T820" s="12" t="str">
        <f aca="false">IFERROR(VLOOKUP(A820,'Dados-Status-Invest'!$1:$1000,MATCH(T$1,'Dados-Status-Invest'!$2:$2,0),FALSE()),"")</f>
        <v/>
      </c>
      <c r="U820" s="12" t="str">
        <f aca="false">IFERROR(VLOOKUP(A820,'Dados-Status-Invest'!$1:$1000,MATCH(U$1,'Dados-Status-Invest'!$2:$2,0),FALSE()),"")</f>
        <v/>
      </c>
      <c r="V820" s="12" t="str">
        <f aca="false">IFERROR(VLOOKUP(A820,'Dados-Status-Invest'!$1:$1000,MATCH(V$1,'Dados-Status-Invest'!$2:$2,0),FALSE()),"")</f>
        <v/>
      </c>
      <c r="W820" s="10" t="str">
        <f aca="false">IFERROR(VLOOKUP(A820,'Dados-Status-Invest'!$1:$1000,MATCH(W$1,'Dados-Status-Invest'!$2:$2,0),FALSE())/100,"")</f>
        <v/>
      </c>
      <c r="X820" s="10" t="str">
        <f aca="false">IFERROR(VLOOKUP(A820,'Dados-Status-Invest'!$1:$1000,MATCH(X$1,'Dados-Status-Invest'!$2:$2,0),FALSE())/100,"")</f>
        <v/>
      </c>
    </row>
    <row r="821" customFormat="false" ht="15.75" hidden="false" customHeight="false" outlineLevel="0" collapsed="false">
      <c r="B821" s="7" t="str">
        <f aca="false">IFERROR(VLOOKUP(LEFT(A821,4),Setor!A:D,2,FALSE()),"")</f>
        <v/>
      </c>
      <c r="C821" s="8" t="str">
        <f aca="false">IFERROR(__xludf.dummyfunction("IFERROR(IFERROR(GOOGLEFINANCE(A827,""price""),VLOOKUP(A827,'Dados-Status-Invest'!A:B,2,FALSE)),"""")"),"")</f>
        <v/>
      </c>
      <c r="D821" s="8" t="str">
        <f aca="false">IFERROR(VLOOKUP(A821,'Dados-Status-Invest'!$1:$1000,MATCH(D$1,'Dados-Status-Invest'!$2:$2,0),FALSE()),"")</f>
        <v/>
      </c>
      <c r="E821" s="8" t="e">
        <f aca="false">IF(D821+H821&gt;0,D821+H821,"")</f>
        <v>#VALUE!</v>
      </c>
      <c r="F821" s="8" t="str">
        <f aca="false">IFERROR(D821/VLOOKUP(A821,'Dados-Status-Invest'!$1:$1000,5,FALSE()),"")</f>
        <v/>
      </c>
      <c r="G821" s="8" t="str">
        <f aca="false">IFERROR(D821/VLOOKUP(A821,'Dados-Status-Invest'!$1:$1000,6,FALSE()),"")</f>
        <v/>
      </c>
      <c r="H821" s="8" t="str">
        <f aca="false">IFERROR(VLOOKUP(A821,'Dados-Status-Invest'!$1:$1000,12,FALSE())*J821,"")</f>
        <v/>
      </c>
      <c r="I821" s="8" t="str">
        <f aca="false">IFERROR(D821/VLOOKUP(A821,'Dados-Status-Invest'!$1:$1000,14,FALSE()),"")</f>
        <v/>
      </c>
      <c r="J821" s="9" t="str">
        <f aca="false">IFERROR(D821/VLOOKUP(A821,'Dados-Status-Invest'!$1:$1000,10,FALSE()),"")</f>
        <v/>
      </c>
      <c r="K821" s="10" t="str">
        <f aca="false">IFERROR(VLOOKUP(A821,'Dados-Status-Invest'!$1:$1000,3,FALSE())/100,"")</f>
        <v/>
      </c>
      <c r="L821" s="11" t="str">
        <f aca="false">IFERROR(VLOOKUP(A821,'Dados-Status-Invest'!$1:$1000,MATCH(L$1,'Dados-Status-Invest'!$2:$2,0),FALSE())/100,"")</f>
        <v/>
      </c>
      <c r="M821" s="10" t="str">
        <f aca="false">IFERROR(VLOOKUP(A821,'Dados-Status-Invest'!$1:$1000,MATCH(M$1,'Dados-Status-Invest'!$2:$2,0),FALSE())/100,"")</f>
        <v/>
      </c>
      <c r="N821" s="10" t="str">
        <f aca="false">IFERROR(VLOOKUP(A821,'Dados-Status-Invest'!$1:$1000,MATCH(N$1,'Dados-Status-Invest'!$2:$2,0),FALSE())/100,"")</f>
        <v/>
      </c>
      <c r="O821" s="10" t="str">
        <f aca="false">IFERROR(VLOOKUP(A821,'Dados-Status-Invest'!$1:$1000,MATCH(O$1,'Dados-Status-Invest'!$2:$2,0),FALSE())/100,"")</f>
        <v/>
      </c>
      <c r="P821" s="10" t="str">
        <f aca="false">IFERROR(VLOOKUP(A821,'Dados-Status-Invest'!$1:$1000,MATCH(P$1,'Dados-Status-Invest'!$2:$2,0),FALSE())/100,"")</f>
        <v/>
      </c>
      <c r="Q821" s="10" t="str">
        <f aca="false">IFERROR(VLOOKUP(A821,'Dados-Status-Invest'!$1:$1000,MATCH(Q$1,'Dados-Status-Invest'!$2:$2,0),FALSE())/100,"")</f>
        <v/>
      </c>
      <c r="R821" s="12" t="str">
        <f aca="false">IFERROR(VLOOKUP(A821,'Dados-Status-Invest'!$1:$1000,MATCH(R$1,'Dados-Status-Invest'!$2:$2,0),FALSE()),"")</f>
        <v/>
      </c>
      <c r="S821" s="12" t="str">
        <f aca="false">IFERROR(VLOOKUP(A821,'Dados-Status-Invest'!$1:$1000,MATCH(S$1,'Dados-Status-Invest'!$2:$2,0),FALSE()),"")</f>
        <v/>
      </c>
      <c r="T821" s="12" t="str">
        <f aca="false">IFERROR(VLOOKUP(A821,'Dados-Status-Invest'!$1:$1000,MATCH(T$1,'Dados-Status-Invest'!$2:$2,0),FALSE()),"")</f>
        <v/>
      </c>
      <c r="U821" s="12" t="str">
        <f aca="false">IFERROR(VLOOKUP(A821,'Dados-Status-Invest'!$1:$1000,MATCH(U$1,'Dados-Status-Invest'!$2:$2,0),FALSE()),"")</f>
        <v/>
      </c>
      <c r="V821" s="12" t="str">
        <f aca="false">IFERROR(VLOOKUP(A821,'Dados-Status-Invest'!$1:$1000,MATCH(V$1,'Dados-Status-Invest'!$2:$2,0),FALSE()),"")</f>
        <v/>
      </c>
      <c r="W821" s="10" t="str">
        <f aca="false">IFERROR(VLOOKUP(A821,'Dados-Status-Invest'!$1:$1000,MATCH(W$1,'Dados-Status-Invest'!$2:$2,0),FALSE())/100,"")</f>
        <v/>
      </c>
      <c r="X821" s="10" t="str">
        <f aca="false">IFERROR(VLOOKUP(A821,'Dados-Status-Invest'!$1:$1000,MATCH(X$1,'Dados-Status-Invest'!$2:$2,0),FALSE())/100,"")</f>
        <v/>
      </c>
    </row>
    <row r="822" customFormat="false" ht="15.75" hidden="false" customHeight="false" outlineLevel="0" collapsed="false">
      <c r="B822" s="7" t="str">
        <f aca="false">IFERROR(VLOOKUP(LEFT(A822,4),Setor!A:D,2,FALSE()),"")</f>
        <v/>
      </c>
      <c r="C822" s="8" t="str">
        <f aca="false">IFERROR(__xludf.dummyfunction("IFERROR(IFERROR(GOOGLEFINANCE(A828,""price""),VLOOKUP(A828,'Dados-Status-Invest'!A:B,2,FALSE)),"""")"),"")</f>
        <v/>
      </c>
      <c r="D822" s="8" t="str">
        <f aca="false">IFERROR(VLOOKUP(A822,'Dados-Status-Invest'!$1:$1000,MATCH(D$1,'Dados-Status-Invest'!$2:$2,0),FALSE()),"")</f>
        <v/>
      </c>
      <c r="E822" s="8" t="e">
        <f aca="false">IF(D822+H822&gt;0,D822+H822,"")</f>
        <v>#VALUE!</v>
      </c>
      <c r="F822" s="8" t="str">
        <f aca="false">IFERROR(D822/VLOOKUP(A822,'Dados-Status-Invest'!$1:$1000,5,FALSE()),"")</f>
        <v/>
      </c>
      <c r="G822" s="8" t="str">
        <f aca="false">IFERROR(D822/VLOOKUP(A822,'Dados-Status-Invest'!$1:$1000,6,FALSE()),"")</f>
        <v/>
      </c>
      <c r="H822" s="8" t="str">
        <f aca="false">IFERROR(VLOOKUP(A822,'Dados-Status-Invest'!$1:$1000,12,FALSE())*J822,"")</f>
        <v/>
      </c>
      <c r="I822" s="8" t="str">
        <f aca="false">IFERROR(D822/VLOOKUP(A822,'Dados-Status-Invest'!$1:$1000,14,FALSE()),"")</f>
        <v/>
      </c>
      <c r="J822" s="9" t="str">
        <f aca="false">IFERROR(D822/VLOOKUP(A822,'Dados-Status-Invest'!$1:$1000,10,FALSE()),"")</f>
        <v/>
      </c>
      <c r="K822" s="10" t="str">
        <f aca="false">IFERROR(VLOOKUP(A822,'Dados-Status-Invest'!$1:$1000,3,FALSE())/100,"")</f>
        <v/>
      </c>
      <c r="L822" s="11" t="str">
        <f aca="false">IFERROR(VLOOKUP(A822,'Dados-Status-Invest'!$1:$1000,MATCH(L$1,'Dados-Status-Invest'!$2:$2,0),FALSE())/100,"")</f>
        <v/>
      </c>
      <c r="M822" s="10" t="str">
        <f aca="false">IFERROR(VLOOKUP(A822,'Dados-Status-Invest'!$1:$1000,MATCH(M$1,'Dados-Status-Invest'!$2:$2,0),FALSE())/100,"")</f>
        <v/>
      </c>
      <c r="N822" s="10" t="str">
        <f aca="false">IFERROR(VLOOKUP(A822,'Dados-Status-Invest'!$1:$1000,MATCH(N$1,'Dados-Status-Invest'!$2:$2,0),FALSE())/100,"")</f>
        <v/>
      </c>
      <c r="O822" s="10" t="str">
        <f aca="false">IFERROR(VLOOKUP(A822,'Dados-Status-Invest'!$1:$1000,MATCH(O$1,'Dados-Status-Invest'!$2:$2,0),FALSE())/100,"")</f>
        <v/>
      </c>
      <c r="P822" s="10" t="str">
        <f aca="false">IFERROR(VLOOKUP(A822,'Dados-Status-Invest'!$1:$1000,MATCH(P$1,'Dados-Status-Invest'!$2:$2,0),FALSE())/100,"")</f>
        <v/>
      </c>
      <c r="Q822" s="10" t="str">
        <f aca="false">IFERROR(VLOOKUP(A822,'Dados-Status-Invest'!$1:$1000,MATCH(Q$1,'Dados-Status-Invest'!$2:$2,0),FALSE())/100,"")</f>
        <v/>
      </c>
      <c r="R822" s="12" t="str">
        <f aca="false">IFERROR(VLOOKUP(A822,'Dados-Status-Invest'!$1:$1000,MATCH(R$1,'Dados-Status-Invest'!$2:$2,0),FALSE()),"")</f>
        <v/>
      </c>
      <c r="S822" s="12" t="str">
        <f aca="false">IFERROR(VLOOKUP(A822,'Dados-Status-Invest'!$1:$1000,MATCH(S$1,'Dados-Status-Invest'!$2:$2,0),FALSE()),"")</f>
        <v/>
      </c>
      <c r="T822" s="12" t="str">
        <f aca="false">IFERROR(VLOOKUP(A822,'Dados-Status-Invest'!$1:$1000,MATCH(T$1,'Dados-Status-Invest'!$2:$2,0),FALSE()),"")</f>
        <v/>
      </c>
      <c r="U822" s="12" t="str">
        <f aca="false">IFERROR(VLOOKUP(A822,'Dados-Status-Invest'!$1:$1000,MATCH(U$1,'Dados-Status-Invest'!$2:$2,0),FALSE()),"")</f>
        <v/>
      </c>
      <c r="V822" s="12" t="str">
        <f aca="false">IFERROR(VLOOKUP(A822,'Dados-Status-Invest'!$1:$1000,MATCH(V$1,'Dados-Status-Invest'!$2:$2,0),FALSE()),"")</f>
        <v/>
      </c>
      <c r="W822" s="10" t="str">
        <f aca="false">IFERROR(VLOOKUP(A822,'Dados-Status-Invest'!$1:$1000,MATCH(W$1,'Dados-Status-Invest'!$2:$2,0),FALSE())/100,"")</f>
        <v/>
      </c>
      <c r="X822" s="10" t="str">
        <f aca="false">IFERROR(VLOOKUP(A822,'Dados-Status-Invest'!$1:$1000,MATCH(X$1,'Dados-Status-Invest'!$2:$2,0),FALSE())/100,"")</f>
        <v/>
      </c>
    </row>
    <row r="823" customFormat="false" ht="15.75" hidden="false" customHeight="false" outlineLevel="0" collapsed="false">
      <c r="B823" s="7" t="str">
        <f aca="false">IFERROR(VLOOKUP(LEFT(A823,4),Setor!A:D,2,FALSE()),"")</f>
        <v/>
      </c>
      <c r="C823" s="8" t="str">
        <f aca="false">IFERROR(__xludf.dummyfunction("IFERROR(IFERROR(GOOGLEFINANCE(A829,""price""),VLOOKUP(A829,'Dados-Status-Invest'!A:B,2,FALSE)),"""")"),"")</f>
        <v/>
      </c>
      <c r="D823" s="8" t="str">
        <f aca="false">IFERROR(VLOOKUP(A823,'Dados-Status-Invest'!$1:$1000,MATCH(D$1,'Dados-Status-Invest'!$2:$2,0),FALSE()),"")</f>
        <v/>
      </c>
      <c r="E823" s="8" t="e">
        <f aca="false">IF(D823+H823&gt;0,D823+H823,"")</f>
        <v>#VALUE!</v>
      </c>
      <c r="F823" s="8" t="str">
        <f aca="false">IFERROR(D823/VLOOKUP(A823,'Dados-Status-Invest'!$1:$1000,5,FALSE()),"")</f>
        <v/>
      </c>
      <c r="G823" s="8" t="str">
        <f aca="false">IFERROR(D823/VLOOKUP(A823,'Dados-Status-Invest'!$1:$1000,6,FALSE()),"")</f>
        <v/>
      </c>
      <c r="H823" s="8" t="str">
        <f aca="false">IFERROR(VLOOKUP(A823,'Dados-Status-Invest'!$1:$1000,12,FALSE())*J823,"")</f>
        <v/>
      </c>
      <c r="I823" s="8" t="str">
        <f aca="false">IFERROR(D823/VLOOKUP(A823,'Dados-Status-Invest'!$1:$1000,14,FALSE()),"")</f>
        <v/>
      </c>
      <c r="J823" s="9" t="str">
        <f aca="false">IFERROR(D823/VLOOKUP(A823,'Dados-Status-Invest'!$1:$1000,10,FALSE()),"")</f>
        <v/>
      </c>
      <c r="K823" s="10" t="str">
        <f aca="false">IFERROR(VLOOKUP(A823,'Dados-Status-Invest'!$1:$1000,3,FALSE())/100,"")</f>
        <v/>
      </c>
      <c r="L823" s="11" t="str">
        <f aca="false">IFERROR(VLOOKUP(A823,'Dados-Status-Invest'!$1:$1000,MATCH(L$1,'Dados-Status-Invest'!$2:$2,0),FALSE())/100,"")</f>
        <v/>
      </c>
      <c r="M823" s="10" t="str">
        <f aca="false">IFERROR(VLOOKUP(A823,'Dados-Status-Invest'!$1:$1000,MATCH(M$1,'Dados-Status-Invest'!$2:$2,0),FALSE())/100,"")</f>
        <v/>
      </c>
      <c r="N823" s="10" t="str">
        <f aca="false">IFERROR(VLOOKUP(A823,'Dados-Status-Invest'!$1:$1000,MATCH(N$1,'Dados-Status-Invest'!$2:$2,0),FALSE())/100,"")</f>
        <v/>
      </c>
      <c r="O823" s="10" t="str">
        <f aca="false">IFERROR(VLOOKUP(A823,'Dados-Status-Invest'!$1:$1000,MATCH(O$1,'Dados-Status-Invest'!$2:$2,0),FALSE())/100,"")</f>
        <v/>
      </c>
      <c r="P823" s="10" t="str">
        <f aca="false">IFERROR(VLOOKUP(A823,'Dados-Status-Invest'!$1:$1000,MATCH(P$1,'Dados-Status-Invest'!$2:$2,0),FALSE())/100,"")</f>
        <v/>
      </c>
      <c r="Q823" s="10" t="str">
        <f aca="false">IFERROR(VLOOKUP(A823,'Dados-Status-Invest'!$1:$1000,MATCH(Q$1,'Dados-Status-Invest'!$2:$2,0),FALSE())/100,"")</f>
        <v/>
      </c>
      <c r="R823" s="12" t="str">
        <f aca="false">IFERROR(VLOOKUP(A823,'Dados-Status-Invest'!$1:$1000,MATCH(R$1,'Dados-Status-Invest'!$2:$2,0),FALSE()),"")</f>
        <v/>
      </c>
      <c r="S823" s="12" t="str">
        <f aca="false">IFERROR(VLOOKUP(A823,'Dados-Status-Invest'!$1:$1000,MATCH(S$1,'Dados-Status-Invest'!$2:$2,0),FALSE()),"")</f>
        <v/>
      </c>
      <c r="T823" s="12" t="str">
        <f aca="false">IFERROR(VLOOKUP(A823,'Dados-Status-Invest'!$1:$1000,MATCH(T$1,'Dados-Status-Invest'!$2:$2,0),FALSE()),"")</f>
        <v/>
      </c>
      <c r="U823" s="12" t="str">
        <f aca="false">IFERROR(VLOOKUP(A823,'Dados-Status-Invest'!$1:$1000,MATCH(U$1,'Dados-Status-Invest'!$2:$2,0),FALSE()),"")</f>
        <v/>
      </c>
      <c r="V823" s="12" t="str">
        <f aca="false">IFERROR(VLOOKUP(A823,'Dados-Status-Invest'!$1:$1000,MATCH(V$1,'Dados-Status-Invest'!$2:$2,0),FALSE()),"")</f>
        <v/>
      </c>
      <c r="W823" s="10" t="str">
        <f aca="false">IFERROR(VLOOKUP(A823,'Dados-Status-Invest'!$1:$1000,MATCH(W$1,'Dados-Status-Invest'!$2:$2,0),FALSE())/100,"")</f>
        <v/>
      </c>
      <c r="X823" s="10" t="str">
        <f aca="false">IFERROR(VLOOKUP(A823,'Dados-Status-Invest'!$1:$1000,MATCH(X$1,'Dados-Status-Invest'!$2:$2,0),FALSE())/100,"")</f>
        <v/>
      </c>
    </row>
    <row r="824" customFormat="false" ht="15.75" hidden="false" customHeight="false" outlineLevel="0" collapsed="false">
      <c r="B824" s="7" t="str">
        <f aca="false">IFERROR(VLOOKUP(LEFT(A824,4),Setor!A:D,2,FALSE()),"")</f>
        <v/>
      </c>
      <c r="C824" s="8" t="str">
        <f aca="false">IFERROR(__xludf.dummyfunction("IFERROR(IFERROR(GOOGLEFINANCE(A830,""price""),VLOOKUP(A830,'Dados-Status-Invest'!A:B,2,FALSE)),"""")"),"")</f>
        <v/>
      </c>
      <c r="D824" s="8" t="str">
        <f aca="false">IFERROR(VLOOKUP(A824,'Dados-Status-Invest'!$1:$1000,MATCH(D$1,'Dados-Status-Invest'!$2:$2,0),FALSE()),"")</f>
        <v/>
      </c>
      <c r="E824" s="8" t="e">
        <f aca="false">IF(D824+H824&gt;0,D824+H824,"")</f>
        <v>#VALUE!</v>
      </c>
      <c r="F824" s="8" t="str">
        <f aca="false">IFERROR(D824/VLOOKUP(A824,'Dados-Status-Invest'!$1:$1000,5,FALSE()),"")</f>
        <v/>
      </c>
      <c r="G824" s="8" t="str">
        <f aca="false">IFERROR(D824/VLOOKUP(A824,'Dados-Status-Invest'!$1:$1000,6,FALSE()),"")</f>
        <v/>
      </c>
      <c r="H824" s="8" t="str">
        <f aca="false">IFERROR(VLOOKUP(A824,'Dados-Status-Invest'!$1:$1000,12,FALSE())*J824,"")</f>
        <v/>
      </c>
      <c r="I824" s="8" t="str">
        <f aca="false">IFERROR(D824/VLOOKUP(A824,'Dados-Status-Invest'!$1:$1000,14,FALSE()),"")</f>
        <v/>
      </c>
      <c r="J824" s="9" t="str">
        <f aca="false">IFERROR(D824/VLOOKUP(A824,'Dados-Status-Invest'!$1:$1000,10,FALSE()),"")</f>
        <v/>
      </c>
      <c r="K824" s="10" t="str">
        <f aca="false">IFERROR(VLOOKUP(A824,'Dados-Status-Invest'!$1:$1000,3,FALSE())/100,"")</f>
        <v/>
      </c>
      <c r="L824" s="11" t="str">
        <f aca="false">IFERROR(VLOOKUP(A824,'Dados-Status-Invest'!$1:$1000,MATCH(L$1,'Dados-Status-Invest'!$2:$2,0),FALSE())/100,"")</f>
        <v/>
      </c>
      <c r="M824" s="10" t="str">
        <f aca="false">IFERROR(VLOOKUP(A824,'Dados-Status-Invest'!$1:$1000,MATCH(M$1,'Dados-Status-Invest'!$2:$2,0),FALSE())/100,"")</f>
        <v/>
      </c>
      <c r="N824" s="10" t="str">
        <f aca="false">IFERROR(VLOOKUP(A824,'Dados-Status-Invest'!$1:$1000,MATCH(N$1,'Dados-Status-Invest'!$2:$2,0),FALSE())/100,"")</f>
        <v/>
      </c>
      <c r="O824" s="10" t="str">
        <f aca="false">IFERROR(VLOOKUP(A824,'Dados-Status-Invest'!$1:$1000,MATCH(O$1,'Dados-Status-Invest'!$2:$2,0),FALSE())/100,"")</f>
        <v/>
      </c>
      <c r="P824" s="10" t="str">
        <f aca="false">IFERROR(VLOOKUP(A824,'Dados-Status-Invest'!$1:$1000,MATCH(P$1,'Dados-Status-Invest'!$2:$2,0),FALSE())/100,"")</f>
        <v/>
      </c>
      <c r="Q824" s="10" t="str">
        <f aca="false">IFERROR(VLOOKUP(A824,'Dados-Status-Invest'!$1:$1000,MATCH(Q$1,'Dados-Status-Invest'!$2:$2,0),FALSE())/100,"")</f>
        <v/>
      </c>
      <c r="R824" s="12" t="str">
        <f aca="false">IFERROR(VLOOKUP(A824,'Dados-Status-Invest'!$1:$1000,MATCH(R$1,'Dados-Status-Invest'!$2:$2,0),FALSE()),"")</f>
        <v/>
      </c>
      <c r="S824" s="12" t="str">
        <f aca="false">IFERROR(VLOOKUP(A824,'Dados-Status-Invest'!$1:$1000,MATCH(S$1,'Dados-Status-Invest'!$2:$2,0),FALSE()),"")</f>
        <v/>
      </c>
      <c r="T824" s="12" t="str">
        <f aca="false">IFERROR(VLOOKUP(A824,'Dados-Status-Invest'!$1:$1000,MATCH(T$1,'Dados-Status-Invest'!$2:$2,0),FALSE()),"")</f>
        <v/>
      </c>
      <c r="U824" s="12" t="str">
        <f aca="false">IFERROR(VLOOKUP(A824,'Dados-Status-Invest'!$1:$1000,MATCH(U$1,'Dados-Status-Invest'!$2:$2,0),FALSE()),"")</f>
        <v/>
      </c>
      <c r="V824" s="12" t="str">
        <f aca="false">IFERROR(VLOOKUP(A824,'Dados-Status-Invest'!$1:$1000,MATCH(V$1,'Dados-Status-Invest'!$2:$2,0),FALSE()),"")</f>
        <v/>
      </c>
      <c r="W824" s="10" t="str">
        <f aca="false">IFERROR(VLOOKUP(A824,'Dados-Status-Invest'!$1:$1000,MATCH(W$1,'Dados-Status-Invest'!$2:$2,0),FALSE())/100,"")</f>
        <v/>
      </c>
      <c r="X824" s="10" t="str">
        <f aca="false">IFERROR(VLOOKUP(A824,'Dados-Status-Invest'!$1:$1000,MATCH(X$1,'Dados-Status-Invest'!$2:$2,0),FALSE())/100,"")</f>
        <v/>
      </c>
    </row>
    <row r="825" customFormat="false" ht="15.75" hidden="false" customHeight="false" outlineLevel="0" collapsed="false">
      <c r="B825" s="7" t="str">
        <f aca="false">IFERROR(VLOOKUP(LEFT(A825,4),Setor!A:D,2,FALSE()),"")</f>
        <v/>
      </c>
      <c r="C825" s="8" t="str">
        <f aca="false">IFERROR(__xludf.dummyfunction("IFERROR(IFERROR(GOOGLEFINANCE(A831,""price""),VLOOKUP(A831,'Dados-Status-Invest'!A:B,2,FALSE)),"""")"),"")</f>
        <v/>
      </c>
      <c r="D825" s="8" t="str">
        <f aca="false">IFERROR(VLOOKUP(A825,'Dados-Status-Invest'!$1:$1000,MATCH(D$1,'Dados-Status-Invest'!$2:$2,0),FALSE()),"")</f>
        <v/>
      </c>
      <c r="E825" s="8" t="e">
        <f aca="false">IF(D825+H825&gt;0,D825+H825,"")</f>
        <v>#VALUE!</v>
      </c>
      <c r="F825" s="8" t="str">
        <f aca="false">IFERROR(D825/VLOOKUP(A825,'Dados-Status-Invest'!$1:$1000,5,FALSE()),"")</f>
        <v/>
      </c>
      <c r="G825" s="8" t="str">
        <f aca="false">IFERROR(D825/VLOOKUP(A825,'Dados-Status-Invest'!$1:$1000,6,FALSE()),"")</f>
        <v/>
      </c>
      <c r="H825" s="8" t="str">
        <f aca="false">IFERROR(VLOOKUP(A825,'Dados-Status-Invest'!$1:$1000,12,FALSE())*J825,"")</f>
        <v/>
      </c>
      <c r="I825" s="8" t="str">
        <f aca="false">IFERROR(D825/VLOOKUP(A825,'Dados-Status-Invest'!$1:$1000,14,FALSE()),"")</f>
        <v/>
      </c>
      <c r="J825" s="9" t="str">
        <f aca="false">IFERROR(D825/VLOOKUP(A825,'Dados-Status-Invest'!$1:$1000,10,FALSE()),"")</f>
        <v/>
      </c>
      <c r="K825" s="10" t="str">
        <f aca="false">IFERROR(VLOOKUP(A825,'Dados-Status-Invest'!$1:$1000,3,FALSE())/100,"")</f>
        <v/>
      </c>
      <c r="L825" s="11" t="str">
        <f aca="false">IFERROR(VLOOKUP(A825,'Dados-Status-Invest'!$1:$1000,MATCH(L$1,'Dados-Status-Invest'!$2:$2,0),FALSE())/100,"")</f>
        <v/>
      </c>
      <c r="M825" s="10" t="str">
        <f aca="false">IFERROR(VLOOKUP(A825,'Dados-Status-Invest'!$1:$1000,MATCH(M$1,'Dados-Status-Invest'!$2:$2,0),FALSE())/100,"")</f>
        <v/>
      </c>
      <c r="N825" s="10" t="str">
        <f aca="false">IFERROR(VLOOKUP(A825,'Dados-Status-Invest'!$1:$1000,MATCH(N$1,'Dados-Status-Invest'!$2:$2,0),FALSE())/100,"")</f>
        <v/>
      </c>
      <c r="O825" s="10" t="str">
        <f aca="false">IFERROR(VLOOKUP(A825,'Dados-Status-Invest'!$1:$1000,MATCH(O$1,'Dados-Status-Invest'!$2:$2,0),FALSE())/100,"")</f>
        <v/>
      </c>
      <c r="P825" s="10" t="str">
        <f aca="false">IFERROR(VLOOKUP(A825,'Dados-Status-Invest'!$1:$1000,MATCH(P$1,'Dados-Status-Invest'!$2:$2,0),FALSE())/100,"")</f>
        <v/>
      </c>
      <c r="Q825" s="10" t="str">
        <f aca="false">IFERROR(VLOOKUP(A825,'Dados-Status-Invest'!$1:$1000,MATCH(Q$1,'Dados-Status-Invest'!$2:$2,0),FALSE())/100,"")</f>
        <v/>
      </c>
      <c r="R825" s="12" t="str">
        <f aca="false">IFERROR(VLOOKUP(A825,'Dados-Status-Invest'!$1:$1000,MATCH(R$1,'Dados-Status-Invest'!$2:$2,0),FALSE()),"")</f>
        <v/>
      </c>
      <c r="S825" s="12" t="str">
        <f aca="false">IFERROR(VLOOKUP(A825,'Dados-Status-Invest'!$1:$1000,MATCH(S$1,'Dados-Status-Invest'!$2:$2,0),FALSE()),"")</f>
        <v/>
      </c>
      <c r="T825" s="12" t="str">
        <f aca="false">IFERROR(VLOOKUP(A825,'Dados-Status-Invest'!$1:$1000,MATCH(T$1,'Dados-Status-Invest'!$2:$2,0),FALSE()),"")</f>
        <v/>
      </c>
      <c r="U825" s="12" t="str">
        <f aca="false">IFERROR(VLOOKUP(A825,'Dados-Status-Invest'!$1:$1000,MATCH(U$1,'Dados-Status-Invest'!$2:$2,0),FALSE()),"")</f>
        <v/>
      </c>
      <c r="V825" s="12" t="str">
        <f aca="false">IFERROR(VLOOKUP(A825,'Dados-Status-Invest'!$1:$1000,MATCH(V$1,'Dados-Status-Invest'!$2:$2,0),FALSE()),"")</f>
        <v/>
      </c>
      <c r="W825" s="10" t="str">
        <f aca="false">IFERROR(VLOOKUP(A825,'Dados-Status-Invest'!$1:$1000,MATCH(W$1,'Dados-Status-Invest'!$2:$2,0),FALSE())/100,"")</f>
        <v/>
      </c>
      <c r="X825" s="10" t="str">
        <f aca="false">IFERROR(VLOOKUP(A825,'Dados-Status-Invest'!$1:$1000,MATCH(X$1,'Dados-Status-Invest'!$2:$2,0),FALSE())/100,"")</f>
        <v/>
      </c>
    </row>
    <row r="826" customFormat="false" ht="15.75" hidden="false" customHeight="false" outlineLevel="0" collapsed="false">
      <c r="B826" s="7" t="str">
        <f aca="false">IFERROR(VLOOKUP(LEFT(A826,4),Setor!A:D,2,FALSE()),"")</f>
        <v/>
      </c>
      <c r="C826" s="8" t="str">
        <f aca="false">IFERROR(__xludf.dummyfunction("IFERROR(IFERROR(GOOGLEFINANCE(A832,""price""),VLOOKUP(A832,'Dados-Status-Invest'!A:B,2,FALSE)),"""")"),"")</f>
        <v/>
      </c>
      <c r="D826" s="8" t="str">
        <f aca="false">IFERROR(VLOOKUP(A826,'Dados-Status-Invest'!$1:$1000,MATCH(D$1,'Dados-Status-Invest'!$2:$2,0),FALSE()),"")</f>
        <v/>
      </c>
      <c r="E826" s="8" t="e">
        <f aca="false">IF(D826+H826&gt;0,D826+H826,"")</f>
        <v>#VALUE!</v>
      </c>
      <c r="F826" s="8" t="str">
        <f aca="false">IFERROR(D826/VLOOKUP(A826,'Dados-Status-Invest'!$1:$1000,5,FALSE()),"")</f>
        <v/>
      </c>
      <c r="G826" s="8" t="str">
        <f aca="false">IFERROR(D826/VLOOKUP(A826,'Dados-Status-Invest'!$1:$1000,6,FALSE()),"")</f>
        <v/>
      </c>
      <c r="H826" s="8" t="str">
        <f aca="false">IFERROR(VLOOKUP(A826,'Dados-Status-Invest'!$1:$1000,12,FALSE())*J826,"")</f>
        <v/>
      </c>
      <c r="I826" s="8" t="str">
        <f aca="false">IFERROR(D826/VLOOKUP(A826,'Dados-Status-Invest'!$1:$1000,14,FALSE()),"")</f>
        <v/>
      </c>
      <c r="J826" s="9" t="str">
        <f aca="false">IFERROR(D826/VLOOKUP(A826,'Dados-Status-Invest'!$1:$1000,10,FALSE()),"")</f>
        <v/>
      </c>
      <c r="K826" s="10" t="str">
        <f aca="false">IFERROR(VLOOKUP(A826,'Dados-Status-Invest'!$1:$1000,3,FALSE())/100,"")</f>
        <v/>
      </c>
      <c r="L826" s="11" t="str">
        <f aca="false">IFERROR(VLOOKUP(A826,'Dados-Status-Invest'!$1:$1000,MATCH(L$1,'Dados-Status-Invest'!$2:$2,0),FALSE())/100,"")</f>
        <v/>
      </c>
      <c r="M826" s="10" t="str">
        <f aca="false">IFERROR(VLOOKUP(A826,'Dados-Status-Invest'!$1:$1000,MATCH(M$1,'Dados-Status-Invest'!$2:$2,0),FALSE())/100,"")</f>
        <v/>
      </c>
      <c r="N826" s="10" t="str">
        <f aca="false">IFERROR(VLOOKUP(A826,'Dados-Status-Invest'!$1:$1000,MATCH(N$1,'Dados-Status-Invest'!$2:$2,0),FALSE())/100,"")</f>
        <v/>
      </c>
      <c r="O826" s="10" t="str">
        <f aca="false">IFERROR(VLOOKUP(A826,'Dados-Status-Invest'!$1:$1000,MATCH(O$1,'Dados-Status-Invest'!$2:$2,0),FALSE())/100,"")</f>
        <v/>
      </c>
      <c r="P826" s="10" t="str">
        <f aca="false">IFERROR(VLOOKUP(A826,'Dados-Status-Invest'!$1:$1000,MATCH(P$1,'Dados-Status-Invest'!$2:$2,0),FALSE())/100,"")</f>
        <v/>
      </c>
      <c r="Q826" s="10" t="str">
        <f aca="false">IFERROR(VLOOKUP(A826,'Dados-Status-Invest'!$1:$1000,MATCH(Q$1,'Dados-Status-Invest'!$2:$2,0),FALSE())/100,"")</f>
        <v/>
      </c>
      <c r="R826" s="12" t="str">
        <f aca="false">IFERROR(VLOOKUP(A826,'Dados-Status-Invest'!$1:$1000,MATCH(R$1,'Dados-Status-Invest'!$2:$2,0),FALSE()),"")</f>
        <v/>
      </c>
      <c r="S826" s="12" t="str">
        <f aca="false">IFERROR(VLOOKUP(A826,'Dados-Status-Invest'!$1:$1000,MATCH(S$1,'Dados-Status-Invest'!$2:$2,0),FALSE()),"")</f>
        <v/>
      </c>
      <c r="T826" s="12" t="str">
        <f aca="false">IFERROR(VLOOKUP(A826,'Dados-Status-Invest'!$1:$1000,MATCH(T$1,'Dados-Status-Invest'!$2:$2,0),FALSE()),"")</f>
        <v/>
      </c>
      <c r="U826" s="12" t="str">
        <f aca="false">IFERROR(VLOOKUP(A826,'Dados-Status-Invest'!$1:$1000,MATCH(U$1,'Dados-Status-Invest'!$2:$2,0),FALSE()),"")</f>
        <v/>
      </c>
      <c r="V826" s="12" t="str">
        <f aca="false">IFERROR(VLOOKUP(A826,'Dados-Status-Invest'!$1:$1000,MATCH(V$1,'Dados-Status-Invest'!$2:$2,0),FALSE()),"")</f>
        <v/>
      </c>
      <c r="W826" s="10" t="str">
        <f aca="false">IFERROR(VLOOKUP(A826,'Dados-Status-Invest'!$1:$1000,MATCH(W$1,'Dados-Status-Invest'!$2:$2,0),FALSE())/100,"")</f>
        <v/>
      </c>
      <c r="X826" s="10" t="str">
        <f aca="false">IFERROR(VLOOKUP(A826,'Dados-Status-Invest'!$1:$1000,MATCH(X$1,'Dados-Status-Invest'!$2:$2,0),FALSE())/100,"")</f>
        <v/>
      </c>
    </row>
    <row r="827" customFormat="false" ht="15.75" hidden="false" customHeight="false" outlineLevel="0" collapsed="false">
      <c r="B827" s="7" t="str">
        <f aca="false">IFERROR(VLOOKUP(LEFT(A827,4),Setor!A:D,2,FALSE()),"")</f>
        <v/>
      </c>
      <c r="C827" s="8" t="str">
        <f aca="false">IFERROR(__xludf.dummyfunction("IFERROR(IFERROR(GOOGLEFINANCE(A833,""price""),VLOOKUP(A833,'Dados-Status-Invest'!A:B,2,FALSE)),"""")"),"")</f>
        <v/>
      </c>
      <c r="D827" s="8" t="str">
        <f aca="false">IFERROR(VLOOKUP(A827,'Dados-Status-Invest'!$1:$1000,MATCH(D$1,'Dados-Status-Invest'!$2:$2,0),FALSE()),"")</f>
        <v/>
      </c>
      <c r="E827" s="8" t="e">
        <f aca="false">IF(D827+H827&gt;0,D827+H827,"")</f>
        <v>#VALUE!</v>
      </c>
      <c r="F827" s="8" t="str">
        <f aca="false">IFERROR(D827/VLOOKUP(A827,'Dados-Status-Invest'!$1:$1000,5,FALSE()),"")</f>
        <v/>
      </c>
      <c r="G827" s="8" t="str">
        <f aca="false">IFERROR(D827/VLOOKUP(A827,'Dados-Status-Invest'!$1:$1000,6,FALSE()),"")</f>
        <v/>
      </c>
      <c r="H827" s="8" t="str">
        <f aca="false">IFERROR(VLOOKUP(A827,'Dados-Status-Invest'!$1:$1000,12,FALSE())*J827,"")</f>
        <v/>
      </c>
      <c r="I827" s="8" t="str">
        <f aca="false">IFERROR(D827/VLOOKUP(A827,'Dados-Status-Invest'!$1:$1000,14,FALSE()),"")</f>
        <v/>
      </c>
      <c r="J827" s="9" t="str">
        <f aca="false">IFERROR(D827/VLOOKUP(A827,'Dados-Status-Invest'!$1:$1000,10,FALSE()),"")</f>
        <v/>
      </c>
      <c r="K827" s="10" t="str">
        <f aca="false">IFERROR(VLOOKUP(A827,'Dados-Status-Invest'!$1:$1000,3,FALSE())/100,"")</f>
        <v/>
      </c>
      <c r="L827" s="11" t="str">
        <f aca="false">IFERROR(VLOOKUP(A827,'Dados-Status-Invest'!$1:$1000,MATCH(L$1,'Dados-Status-Invest'!$2:$2,0),FALSE())/100,"")</f>
        <v/>
      </c>
      <c r="M827" s="10" t="str">
        <f aca="false">IFERROR(VLOOKUP(A827,'Dados-Status-Invest'!$1:$1000,MATCH(M$1,'Dados-Status-Invest'!$2:$2,0),FALSE())/100,"")</f>
        <v/>
      </c>
      <c r="N827" s="10" t="str">
        <f aca="false">IFERROR(VLOOKUP(A827,'Dados-Status-Invest'!$1:$1000,MATCH(N$1,'Dados-Status-Invest'!$2:$2,0),FALSE())/100,"")</f>
        <v/>
      </c>
      <c r="O827" s="10" t="str">
        <f aca="false">IFERROR(VLOOKUP(A827,'Dados-Status-Invest'!$1:$1000,MATCH(O$1,'Dados-Status-Invest'!$2:$2,0),FALSE())/100,"")</f>
        <v/>
      </c>
      <c r="P827" s="10" t="str">
        <f aca="false">IFERROR(VLOOKUP(A827,'Dados-Status-Invest'!$1:$1000,MATCH(P$1,'Dados-Status-Invest'!$2:$2,0),FALSE())/100,"")</f>
        <v/>
      </c>
      <c r="Q827" s="10" t="str">
        <f aca="false">IFERROR(VLOOKUP(A827,'Dados-Status-Invest'!$1:$1000,MATCH(Q$1,'Dados-Status-Invest'!$2:$2,0),FALSE())/100,"")</f>
        <v/>
      </c>
      <c r="R827" s="12" t="str">
        <f aca="false">IFERROR(VLOOKUP(A827,'Dados-Status-Invest'!$1:$1000,MATCH(R$1,'Dados-Status-Invest'!$2:$2,0),FALSE()),"")</f>
        <v/>
      </c>
      <c r="S827" s="12" t="str">
        <f aca="false">IFERROR(VLOOKUP(A827,'Dados-Status-Invest'!$1:$1000,MATCH(S$1,'Dados-Status-Invest'!$2:$2,0),FALSE()),"")</f>
        <v/>
      </c>
      <c r="T827" s="12" t="str">
        <f aca="false">IFERROR(VLOOKUP(A827,'Dados-Status-Invest'!$1:$1000,MATCH(T$1,'Dados-Status-Invest'!$2:$2,0),FALSE()),"")</f>
        <v/>
      </c>
      <c r="U827" s="12" t="str">
        <f aca="false">IFERROR(VLOOKUP(A827,'Dados-Status-Invest'!$1:$1000,MATCH(U$1,'Dados-Status-Invest'!$2:$2,0),FALSE()),"")</f>
        <v/>
      </c>
      <c r="V827" s="12" t="str">
        <f aca="false">IFERROR(VLOOKUP(A827,'Dados-Status-Invest'!$1:$1000,MATCH(V$1,'Dados-Status-Invest'!$2:$2,0),FALSE()),"")</f>
        <v/>
      </c>
      <c r="W827" s="10" t="str">
        <f aca="false">IFERROR(VLOOKUP(A827,'Dados-Status-Invest'!$1:$1000,MATCH(W$1,'Dados-Status-Invest'!$2:$2,0),FALSE())/100,"")</f>
        <v/>
      </c>
      <c r="X827" s="10" t="str">
        <f aca="false">IFERROR(VLOOKUP(A827,'Dados-Status-Invest'!$1:$1000,MATCH(X$1,'Dados-Status-Invest'!$2:$2,0),FALSE())/100,"")</f>
        <v/>
      </c>
    </row>
    <row r="828" customFormat="false" ht="15.75" hidden="false" customHeight="false" outlineLevel="0" collapsed="false">
      <c r="B828" s="7" t="str">
        <f aca="false">IFERROR(VLOOKUP(LEFT(A828,4),Setor!A:D,2,FALSE()),"")</f>
        <v/>
      </c>
      <c r="C828" s="8" t="str">
        <f aca="false">IFERROR(__xludf.dummyfunction("IFERROR(IFERROR(GOOGLEFINANCE(A834,""price""),VLOOKUP(A834,'Dados-Status-Invest'!A:B,2,FALSE)),"""")"),"")</f>
        <v/>
      </c>
      <c r="D828" s="8" t="str">
        <f aca="false">IFERROR(VLOOKUP(A828,'Dados-Status-Invest'!$1:$1000,MATCH(D$1,'Dados-Status-Invest'!$2:$2,0),FALSE()),"")</f>
        <v/>
      </c>
      <c r="E828" s="8" t="e">
        <f aca="false">IF(D828+H828&gt;0,D828+H828,"")</f>
        <v>#VALUE!</v>
      </c>
      <c r="F828" s="8" t="str">
        <f aca="false">IFERROR(D828/VLOOKUP(A828,'Dados-Status-Invest'!$1:$1000,5,FALSE()),"")</f>
        <v/>
      </c>
      <c r="G828" s="8" t="str">
        <f aca="false">IFERROR(D828/VLOOKUP(A828,'Dados-Status-Invest'!$1:$1000,6,FALSE()),"")</f>
        <v/>
      </c>
      <c r="H828" s="8" t="str">
        <f aca="false">IFERROR(VLOOKUP(A828,'Dados-Status-Invest'!$1:$1000,12,FALSE())*J828,"")</f>
        <v/>
      </c>
      <c r="I828" s="8" t="str">
        <f aca="false">IFERROR(D828/VLOOKUP(A828,'Dados-Status-Invest'!$1:$1000,14,FALSE()),"")</f>
        <v/>
      </c>
      <c r="J828" s="9" t="str">
        <f aca="false">IFERROR(D828/VLOOKUP(A828,'Dados-Status-Invest'!$1:$1000,10,FALSE()),"")</f>
        <v/>
      </c>
      <c r="K828" s="10" t="str">
        <f aca="false">IFERROR(VLOOKUP(A828,'Dados-Status-Invest'!$1:$1000,3,FALSE())/100,"")</f>
        <v/>
      </c>
      <c r="L828" s="11" t="str">
        <f aca="false">IFERROR(VLOOKUP(A828,'Dados-Status-Invest'!$1:$1000,MATCH(L$1,'Dados-Status-Invest'!$2:$2,0),FALSE())/100,"")</f>
        <v/>
      </c>
      <c r="M828" s="10" t="str">
        <f aca="false">IFERROR(VLOOKUP(A828,'Dados-Status-Invest'!$1:$1000,MATCH(M$1,'Dados-Status-Invest'!$2:$2,0),FALSE())/100,"")</f>
        <v/>
      </c>
      <c r="N828" s="10" t="str">
        <f aca="false">IFERROR(VLOOKUP(A828,'Dados-Status-Invest'!$1:$1000,MATCH(N$1,'Dados-Status-Invest'!$2:$2,0),FALSE())/100,"")</f>
        <v/>
      </c>
      <c r="O828" s="10" t="str">
        <f aca="false">IFERROR(VLOOKUP(A828,'Dados-Status-Invest'!$1:$1000,MATCH(O$1,'Dados-Status-Invest'!$2:$2,0),FALSE())/100,"")</f>
        <v/>
      </c>
      <c r="P828" s="10" t="str">
        <f aca="false">IFERROR(VLOOKUP(A828,'Dados-Status-Invest'!$1:$1000,MATCH(P$1,'Dados-Status-Invest'!$2:$2,0),FALSE())/100,"")</f>
        <v/>
      </c>
      <c r="Q828" s="10" t="str">
        <f aca="false">IFERROR(VLOOKUP(A828,'Dados-Status-Invest'!$1:$1000,MATCH(Q$1,'Dados-Status-Invest'!$2:$2,0),FALSE())/100,"")</f>
        <v/>
      </c>
      <c r="R828" s="12" t="str">
        <f aca="false">IFERROR(VLOOKUP(A828,'Dados-Status-Invest'!$1:$1000,MATCH(R$1,'Dados-Status-Invest'!$2:$2,0),FALSE()),"")</f>
        <v/>
      </c>
      <c r="S828" s="12" t="str">
        <f aca="false">IFERROR(VLOOKUP(A828,'Dados-Status-Invest'!$1:$1000,MATCH(S$1,'Dados-Status-Invest'!$2:$2,0),FALSE()),"")</f>
        <v/>
      </c>
      <c r="T828" s="12" t="str">
        <f aca="false">IFERROR(VLOOKUP(A828,'Dados-Status-Invest'!$1:$1000,MATCH(T$1,'Dados-Status-Invest'!$2:$2,0),FALSE()),"")</f>
        <v/>
      </c>
      <c r="U828" s="12" t="str">
        <f aca="false">IFERROR(VLOOKUP(A828,'Dados-Status-Invest'!$1:$1000,MATCH(U$1,'Dados-Status-Invest'!$2:$2,0),FALSE()),"")</f>
        <v/>
      </c>
      <c r="V828" s="12" t="str">
        <f aca="false">IFERROR(VLOOKUP(A828,'Dados-Status-Invest'!$1:$1000,MATCH(V$1,'Dados-Status-Invest'!$2:$2,0),FALSE()),"")</f>
        <v/>
      </c>
      <c r="W828" s="10" t="str">
        <f aca="false">IFERROR(VLOOKUP(A828,'Dados-Status-Invest'!$1:$1000,MATCH(W$1,'Dados-Status-Invest'!$2:$2,0),FALSE())/100,"")</f>
        <v/>
      </c>
      <c r="X828" s="10" t="str">
        <f aca="false">IFERROR(VLOOKUP(A828,'Dados-Status-Invest'!$1:$1000,MATCH(X$1,'Dados-Status-Invest'!$2:$2,0),FALSE())/100,"")</f>
        <v/>
      </c>
    </row>
    <row r="829" customFormat="false" ht="15.75" hidden="false" customHeight="false" outlineLevel="0" collapsed="false">
      <c r="B829" s="7" t="str">
        <f aca="false">IFERROR(VLOOKUP(LEFT(A829,4),Setor!A:D,2,FALSE()),"")</f>
        <v/>
      </c>
      <c r="C829" s="8" t="str">
        <f aca="false">IFERROR(__xludf.dummyfunction("IFERROR(IFERROR(GOOGLEFINANCE(A835,""price""),VLOOKUP(A835,'Dados-Status-Invest'!A:B,2,FALSE)),"""")"),"")</f>
        <v/>
      </c>
      <c r="D829" s="8" t="str">
        <f aca="false">IFERROR(VLOOKUP(A829,'Dados-Status-Invest'!$1:$1000,MATCH(D$1,'Dados-Status-Invest'!$2:$2,0),FALSE()),"")</f>
        <v/>
      </c>
      <c r="E829" s="8" t="e">
        <f aca="false">IF(D829+H829&gt;0,D829+H829,"")</f>
        <v>#VALUE!</v>
      </c>
      <c r="F829" s="8" t="str">
        <f aca="false">IFERROR(D829/VLOOKUP(A829,'Dados-Status-Invest'!$1:$1000,5,FALSE()),"")</f>
        <v/>
      </c>
      <c r="G829" s="8" t="str">
        <f aca="false">IFERROR(D829/VLOOKUP(A829,'Dados-Status-Invest'!$1:$1000,6,FALSE()),"")</f>
        <v/>
      </c>
      <c r="H829" s="8" t="str">
        <f aca="false">IFERROR(VLOOKUP(A829,'Dados-Status-Invest'!$1:$1000,12,FALSE())*J829,"")</f>
        <v/>
      </c>
      <c r="I829" s="8" t="str">
        <f aca="false">IFERROR(D829/VLOOKUP(A829,'Dados-Status-Invest'!$1:$1000,14,FALSE()),"")</f>
        <v/>
      </c>
      <c r="J829" s="9" t="str">
        <f aca="false">IFERROR(D829/VLOOKUP(A829,'Dados-Status-Invest'!$1:$1000,10,FALSE()),"")</f>
        <v/>
      </c>
      <c r="K829" s="10" t="str">
        <f aca="false">IFERROR(VLOOKUP(A829,'Dados-Status-Invest'!$1:$1000,3,FALSE())/100,"")</f>
        <v/>
      </c>
      <c r="L829" s="11" t="str">
        <f aca="false">IFERROR(VLOOKUP(A829,'Dados-Status-Invest'!$1:$1000,MATCH(L$1,'Dados-Status-Invest'!$2:$2,0),FALSE())/100,"")</f>
        <v/>
      </c>
      <c r="M829" s="10" t="str">
        <f aca="false">IFERROR(VLOOKUP(A829,'Dados-Status-Invest'!$1:$1000,MATCH(M$1,'Dados-Status-Invest'!$2:$2,0),FALSE())/100,"")</f>
        <v/>
      </c>
      <c r="N829" s="10" t="str">
        <f aca="false">IFERROR(VLOOKUP(A829,'Dados-Status-Invest'!$1:$1000,MATCH(N$1,'Dados-Status-Invest'!$2:$2,0),FALSE())/100,"")</f>
        <v/>
      </c>
      <c r="O829" s="10" t="str">
        <f aca="false">IFERROR(VLOOKUP(A829,'Dados-Status-Invest'!$1:$1000,MATCH(O$1,'Dados-Status-Invest'!$2:$2,0),FALSE())/100,"")</f>
        <v/>
      </c>
      <c r="P829" s="10" t="str">
        <f aca="false">IFERROR(VLOOKUP(A829,'Dados-Status-Invest'!$1:$1000,MATCH(P$1,'Dados-Status-Invest'!$2:$2,0),FALSE())/100,"")</f>
        <v/>
      </c>
      <c r="Q829" s="10" t="str">
        <f aca="false">IFERROR(VLOOKUP(A829,'Dados-Status-Invest'!$1:$1000,MATCH(Q$1,'Dados-Status-Invest'!$2:$2,0),FALSE())/100,"")</f>
        <v/>
      </c>
      <c r="R829" s="12" t="str">
        <f aca="false">IFERROR(VLOOKUP(A829,'Dados-Status-Invest'!$1:$1000,MATCH(R$1,'Dados-Status-Invest'!$2:$2,0),FALSE()),"")</f>
        <v/>
      </c>
      <c r="S829" s="12" t="str">
        <f aca="false">IFERROR(VLOOKUP(A829,'Dados-Status-Invest'!$1:$1000,MATCH(S$1,'Dados-Status-Invest'!$2:$2,0),FALSE()),"")</f>
        <v/>
      </c>
      <c r="T829" s="12" t="str">
        <f aca="false">IFERROR(VLOOKUP(A829,'Dados-Status-Invest'!$1:$1000,MATCH(T$1,'Dados-Status-Invest'!$2:$2,0),FALSE()),"")</f>
        <v/>
      </c>
      <c r="U829" s="12" t="str">
        <f aca="false">IFERROR(VLOOKUP(A829,'Dados-Status-Invest'!$1:$1000,MATCH(U$1,'Dados-Status-Invest'!$2:$2,0),FALSE()),"")</f>
        <v/>
      </c>
      <c r="V829" s="12" t="str">
        <f aca="false">IFERROR(VLOOKUP(A829,'Dados-Status-Invest'!$1:$1000,MATCH(V$1,'Dados-Status-Invest'!$2:$2,0),FALSE()),"")</f>
        <v/>
      </c>
      <c r="W829" s="10" t="str">
        <f aca="false">IFERROR(VLOOKUP(A829,'Dados-Status-Invest'!$1:$1000,MATCH(W$1,'Dados-Status-Invest'!$2:$2,0),FALSE())/100,"")</f>
        <v/>
      </c>
      <c r="X829" s="10" t="str">
        <f aca="false">IFERROR(VLOOKUP(A829,'Dados-Status-Invest'!$1:$1000,MATCH(X$1,'Dados-Status-Invest'!$2:$2,0),FALSE())/100,"")</f>
        <v/>
      </c>
    </row>
    <row r="830" customFormat="false" ht="15.75" hidden="false" customHeight="false" outlineLevel="0" collapsed="false">
      <c r="B830" s="7" t="str">
        <f aca="false">IFERROR(VLOOKUP(LEFT(A830,4),Setor!A:D,2,FALSE()),"")</f>
        <v/>
      </c>
      <c r="C830" s="8" t="str">
        <f aca="false">IFERROR(__xludf.dummyfunction("IFERROR(IFERROR(GOOGLEFINANCE(A836,""price""),VLOOKUP(A836,'Dados-Status-Invest'!A:B,2,FALSE)),"""")"),"")</f>
        <v/>
      </c>
      <c r="D830" s="8" t="str">
        <f aca="false">IFERROR(VLOOKUP(A830,'Dados-Status-Invest'!$1:$1000,MATCH(D$1,'Dados-Status-Invest'!$2:$2,0),FALSE()),"")</f>
        <v/>
      </c>
      <c r="E830" s="8" t="e">
        <f aca="false">IF(D830+H830&gt;0,D830+H830,"")</f>
        <v>#VALUE!</v>
      </c>
      <c r="F830" s="8" t="str">
        <f aca="false">IFERROR(D830/VLOOKUP(A830,'Dados-Status-Invest'!$1:$1000,5,FALSE()),"")</f>
        <v/>
      </c>
      <c r="G830" s="8" t="str">
        <f aca="false">IFERROR(D830/VLOOKUP(A830,'Dados-Status-Invest'!$1:$1000,6,FALSE()),"")</f>
        <v/>
      </c>
      <c r="H830" s="8" t="str">
        <f aca="false">IFERROR(VLOOKUP(A830,'Dados-Status-Invest'!$1:$1000,12,FALSE())*J830,"")</f>
        <v/>
      </c>
      <c r="I830" s="8" t="str">
        <f aca="false">IFERROR(D830/VLOOKUP(A830,'Dados-Status-Invest'!$1:$1000,14,FALSE()),"")</f>
        <v/>
      </c>
      <c r="J830" s="9" t="str">
        <f aca="false">IFERROR(D830/VLOOKUP(A830,'Dados-Status-Invest'!$1:$1000,10,FALSE()),"")</f>
        <v/>
      </c>
      <c r="K830" s="10" t="str">
        <f aca="false">IFERROR(VLOOKUP(A830,'Dados-Status-Invest'!$1:$1000,3,FALSE())/100,"")</f>
        <v/>
      </c>
      <c r="L830" s="11" t="str">
        <f aca="false">IFERROR(VLOOKUP(A830,'Dados-Status-Invest'!$1:$1000,MATCH(L$1,'Dados-Status-Invest'!$2:$2,0),FALSE())/100,"")</f>
        <v/>
      </c>
      <c r="M830" s="10" t="str">
        <f aca="false">IFERROR(VLOOKUP(A830,'Dados-Status-Invest'!$1:$1000,MATCH(M$1,'Dados-Status-Invest'!$2:$2,0),FALSE())/100,"")</f>
        <v/>
      </c>
      <c r="N830" s="10" t="str">
        <f aca="false">IFERROR(VLOOKUP(A830,'Dados-Status-Invest'!$1:$1000,MATCH(N$1,'Dados-Status-Invest'!$2:$2,0),FALSE())/100,"")</f>
        <v/>
      </c>
      <c r="O830" s="10" t="str">
        <f aca="false">IFERROR(VLOOKUP(A830,'Dados-Status-Invest'!$1:$1000,MATCH(O$1,'Dados-Status-Invest'!$2:$2,0),FALSE())/100,"")</f>
        <v/>
      </c>
      <c r="P830" s="10" t="str">
        <f aca="false">IFERROR(VLOOKUP(A830,'Dados-Status-Invest'!$1:$1000,MATCH(P$1,'Dados-Status-Invest'!$2:$2,0),FALSE())/100,"")</f>
        <v/>
      </c>
      <c r="Q830" s="10" t="str">
        <f aca="false">IFERROR(VLOOKUP(A830,'Dados-Status-Invest'!$1:$1000,MATCH(Q$1,'Dados-Status-Invest'!$2:$2,0),FALSE())/100,"")</f>
        <v/>
      </c>
      <c r="R830" s="12" t="str">
        <f aca="false">IFERROR(VLOOKUP(A830,'Dados-Status-Invest'!$1:$1000,MATCH(R$1,'Dados-Status-Invest'!$2:$2,0),FALSE()),"")</f>
        <v/>
      </c>
      <c r="S830" s="12" t="str">
        <f aca="false">IFERROR(VLOOKUP(A830,'Dados-Status-Invest'!$1:$1000,MATCH(S$1,'Dados-Status-Invest'!$2:$2,0),FALSE()),"")</f>
        <v/>
      </c>
      <c r="T830" s="12" t="str">
        <f aca="false">IFERROR(VLOOKUP(A830,'Dados-Status-Invest'!$1:$1000,MATCH(T$1,'Dados-Status-Invest'!$2:$2,0),FALSE()),"")</f>
        <v/>
      </c>
      <c r="U830" s="12" t="str">
        <f aca="false">IFERROR(VLOOKUP(A830,'Dados-Status-Invest'!$1:$1000,MATCH(U$1,'Dados-Status-Invest'!$2:$2,0),FALSE()),"")</f>
        <v/>
      </c>
      <c r="V830" s="12" t="str">
        <f aca="false">IFERROR(VLOOKUP(A830,'Dados-Status-Invest'!$1:$1000,MATCH(V$1,'Dados-Status-Invest'!$2:$2,0),FALSE()),"")</f>
        <v/>
      </c>
      <c r="W830" s="10" t="str">
        <f aca="false">IFERROR(VLOOKUP(A830,'Dados-Status-Invest'!$1:$1000,MATCH(W$1,'Dados-Status-Invest'!$2:$2,0),FALSE())/100,"")</f>
        <v/>
      </c>
      <c r="X830" s="10" t="str">
        <f aca="false">IFERROR(VLOOKUP(A830,'Dados-Status-Invest'!$1:$1000,MATCH(X$1,'Dados-Status-Invest'!$2:$2,0),FALSE())/100,"")</f>
        <v/>
      </c>
    </row>
    <row r="831" customFormat="false" ht="15.75" hidden="false" customHeight="false" outlineLevel="0" collapsed="false">
      <c r="B831" s="7" t="str">
        <f aca="false">IFERROR(VLOOKUP(LEFT(A831,4),Setor!A:D,2,FALSE()),"")</f>
        <v/>
      </c>
      <c r="C831" s="8" t="str">
        <f aca="false">IFERROR(__xludf.dummyfunction("IFERROR(IFERROR(GOOGLEFINANCE(A837,""price""),VLOOKUP(A837,'Dados-Status-Invest'!A:B,2,FALSE)),"""")"),"")</f>
        <v/>
      </c>
      <c r="D831" s="8" t="str">
        <f aca="false">IFERROR(VLOOKUP(A831,'Dados-Status-Invest'!$1:$1000,MATCH(D$1,'Dados-Status-Invest'!$2:$2,0),FALSE()),"")</f>
        <v/>
      </c>
      <c r="E831" s="8" t="e">
        <f aca="false">IF(D831+H831&gt;0,D831+H831,"")</f>
        <v>#VALUE!</v>
      </c>
      <c r="F831" s="8" t="str">
        <f aca="false">IFERROR(D831/VLOOKUP(A831,'Dados-Status-Invest'!$1:$1000,5,FALSE()),"")</f>
        <v/>
      </c>
      <c r="G831" s="8" t="str">
        <f aca="false">IFERROR(D831/VLOOKUP(A831,'Dados-Status-Invest'!$1:$1000,6,FALSE()),"")</f>
        <v/>
      </c>
      <c r="H831" s="8" t="str">
        <f aca="false">IFERROR(VLOOKUP(A831,'Dados-Status-Invest'!$1:$1000,12,FALSE())*J831,"")</f>
        <v/>
      </c>
      <c r="I831" s="8" t="str">
        <f aca="false">IFERROR(D831/VLOOKUP(A831,'Dados-Status-Invest'!$1:$1000,14,FALSE()),"")</f>
        <v/>
      </c>
      <c r="J831" s="9" t="str">
        <f aca="false">IFERROR(D831/VLOOKUP(A831,'Dados-Status-Invest'!$1:$1000,10,FALSE()),"")</f>
        <v/>
      </c>
      <c r="K831" s="10" t="str">
        <f aca="false">IFERROR(VLOOKUP(A831,'Dados-Status-Invest'!$1:$1000,3,FALSE())/100,"")</f>
        <v/>
      </c>
      <c r="L831" s="11" t="str">
        <f aca="false">IFERROR(VLOOKUP(A831,'Dados-Status-Invest'!$1:$1000,MATCH(L$1,'Dados-Status-Invest'!$2:$2,0),FALSE())/100,"")</f>
        <v/>
      </c>
      <c r="M831" s="10" t="str">
        <f aca="false">IFERROR(VLOOKUP(A831,'Dados-Status-Invest'!$1:$1000,MATCH(M$1,'Dados-Status-Invest'!$2:$2,0),FALSE())/100,"")</f>
        <v/>
      </c>
      <c r="N831" s="10" t="str">
        <f aca="false">IFERROR(VLOOKUP(A831,'Dados-Status-Invest'!$1:$1000,MATCH(N$1,'Dados-Status-Invest'!$2:$2,0),FALSE())/100,"")</f>
        <v/>
      </c>
      <c r="O831" s="10" t="str">
        <f aca="false">IFERROR(VLOOKUP(A831,'Dados-Status-Invest'!$1:$1000,MATCH(O$1,'Dados-Status-Invest'!$2:$2,0),FALSE())/100,"")</f>
        <v/>
      </c>
      <c r="P831" s="10" t="str">
        <f aca="false">IFERROR(VLOOKUP(A831,'Dados-Status-Invest'!$1:$1000,MATCH(P$1,'Dados-Status-Invest'!$2:$2,0),FALSE())/100,"")</f>
        <v/>
      </c>
      <c r="Q831" s="10" t="str">
        <f aca="false">IFERROR(VLOOKUP(A831,'Dados-Status-Invest'!$1:$1000,MATCH(Q$1,'Dados-Status-Invest'!$2:$2,0),FALSE())/100,"")</f>
        <v/>
      </c>
      <c r="R831" s="12" t="str">
        <f aca="false">IFERROR(VLOOKUP(A831,'Dados-Status-Invest'!$1:$1000,MATCH(R$1,'Dados-Status-Invest'!$2:$2,0),FALSE()),"")</f>
        <v/>
      </c>
      <c r="S831" s="12" t="str">
        <f aca="false">IFERROR(VLOOKUP(A831,'Dados-Status-Invest'!$1:$1000,MATCH(S$1,'Dados-Status-Invest'!$2:$2,0),FALSE()),"")</f>
        <v/>
      </c>
      <c r="T831" s="12" t="str">
        <f aca="false">IFERROR(VLOOKUP(A831,'Dados-Status-Invest'!$1:$1000,MATCH(T$1,'Dados-Status-Invest'!$2:$2,0),FALSE()),"")</f>
        <v/>
      </c>
      <c r="U831" s="12" t="str">
        <f aca="false">IFERROR(VLOOKUP(A831,'Dados-Status-Invest'!$1:$1000,MATCH(U$1,'Dados-Status-Invest'!$2:$2,0),FALSE()),"")</f>
        <v/>
      </c>
      <c r="V831" s="12" t="str">
        <f aca="false">IFERROR(VLOOKUP(A831,'Dados-Status-Invest'!$1:$1000,MATCH(V$1,'Dados-Status-Invest'!$2:$2,0),FALSE()),"")</f>
        <v/>
      </c>
      <c r="W831" s="10" t="str">
        <f aca="false">IFERROR(VLOOKUP(A831,'Dados-Status-Invest'!$1:$1000,MATCH(W$1,'Dados-Status-Invest'!$2:$2,0),FALSE())/100,"")</f>
        <v/>
      </c>
      <c r="X831" s="10" t="str">
        <f aca="false">IFERROR(VLOOKUP(A831,'Dados-Status-Invest'!$1:$1000,MATCH(X$1,'Dados-Status-Invest'!$2:$2,0),FALSE())/100,"")</f>
        <v/>
      </c>
    </row>
    <row r="832" customFormat="false" ht="15.75" hidden="false" customHeight="false" outlineLevel="0" collapsed="false">
      <c r="B832" s="7" t="str">
        <f aca="false">IFERROR(VLOOKUP(LEFT(A832,4),Setor!A:D,2,FALSE()),"")</f>
        <v/>
      </c>
      <c r="C832" s="8" t="str">
        <f aca="false">IFERROR(__xludf.dummyfunction("IFERROR(IFERROR(GOOGLEFINANCE(A838,""price""),VLOOKUP(A838,'Dados-Status-Invest'!A:B,2,FALSE)),"""")"),"")</f>
        <v/>
      </c>
      <c r="D832" s="8" t="str">
        <f aca="false">IFERROR(VLOOKUP(A832,'Dados-Status-Invest'!$1:$1000,MATCH(D$1,'Dados-Status-Invest'!$2:$2,0),FALSE()),"")</f>
        <v/>
      </c>
      <c r="E832" s="8" t="e">
        <f aca="false">IF(D832+H832&gt;0,D832+H832,"")</f>
        <v>#VALUE!</v>
      </c>
      <c r="F832" s="8" t="str">
        <f aca="false">IFERROR(D832/VLOOKUP(A832,'Dados-Status-Invest'!$1:$1000,5,FALSE()),"")</f>
        <v/>
      </c>
      <c r="G832" s="8" t="str">
        <f aca="false">IFERROR(D832/VLOOKUP(A832,'Dados-Status-Invest'!$1:$1000,6,FALSE()),"")</f>
        <v/>
      </c>
      <c r="H832" s="8" t="str">
        <f aca="false">IFERROR(VLOOKUP(A832,'Dados-Status-Invest'!$1:$1000,12,FALSE())*J832,"")</f>
        <v/>
      </c>
      <c r="I832" s="8" t="str">
        <f aca="false">IFERROR(D832/VLOOKUP(A832,'Dados-Status-Invest'!$1:$1000,14,FALSE()),"")</f>
        <v/>
      </c>
      <c r="J832" s="9" t="str">
        <f aca="false">IFERROR(D832/VLOOKUP(A832,'Dados-Status-Invest'!$1:$1000,10,FALSE()),"")</f>
        <v/>
      </c>
      <c r="K832" s="10" t="str">
        <f aca="false">IFERROR(VLOOKUP(A832,'Dados-Status-Invest'!$1:$1000,3,FALSE())/100,"")</f>
        <v/>
      </c>
      <c r="L832" s="11" t="str">
        <f aca="false">IFERROR(VLOOKUP(A832,'Dados-Status-Invest'!$1:$1000,MATCH(L$1,'Dados-Status-Invest'!$2:$2,0),FALSE())/100,"")</f>
        <v/>
      </c>
      <c r="M832" s="10" t="str">
        <f aca="false">IFERROR(VLOOKUP(A832,'Dados-Status-Invest'!$1:$1000,MATCH(M$1,'Dados-Status-Invest'!$2:$2,0),FALSE())/100,"")</f>
        <v/>
      </c>
      <c r="N832" s="10" t="str">
        <f aca="false">IFERROR(VLOOKUP(A832,'Dados-Status-Invest'!$1:$1000,MATCH(N$1,'Dados-Status-Invest'!$2:$2,0),FALSE())/100,"")</f>
        <v/>
      </c>
      <c r="O832" s="10" t="str">
        <f aca="false">IFERROR(VLOOKUP(A832,'Dados-Status-Invest'!$1:$1000,MATCH(O$1,'Dados-Status-Invest'!$2:$2,0),FALSE())/100,"")</f>
        <v/>
      </c>
      <c r="P832" s="10" t="str">
        <f aca="false">IFERROR(VLOOKUP(A832,'Dados-Status-Invest'!$1:$1000,MATCH(P$1,'Dados-Status-Invest'!$2:$2,0),FALSE())/100,"")</f>
        <v/>
      </c>
      <c r="Q832" s="10" t="str">
        <f aca="false">IFERROR(VLOOKUP(A832,'Dados-Status-Invest'!$1:$1000,MATCH(Q$1,'Dados-Status-Invest'!$2:$2,0),FALSE())/100,"")</f>
        <v/>
      </c>
      <c r="R832" s="12" t="str">
        <f aca="false">IFERROR(VLOOKUP(A832,'Dados-Status-Invest'!$1:$1000,MATCH(R$1,'Dados-Status-Invest'!$2:$2,0),FALSE()),"")</f>
        <v/>
      </c>
      <c r="S832" s="12" t="str">
        <f aca="false">IFERROR(VLOOKUP(A832,'Dados-Status-Invest'!$1:$1000,MATCH(S$1,'Dados-Status-Invest'!$2:$2,0),FALSE()),"")</f>
        <v/>
      </c>
      <c r="T832" s="12" t="str">
        <f aca="false">IFERROR(VLOOKUP(A832,'Dados-Status-Invest'!$1:$1000,MATCH(T$1,'Dados-Status-Invest'!$2:$2,0),FALSE()),"")</f>
        <v/>
      </c>
      <c r="U832" s="12" t="str">
        <f aca="false">IFERROR(VLOOKUP(A832,'Dados-Status-Invest'!$1:$1000,MATCH(U$1,'Dados-Status-Invest'!$2:$2,0),FALSE()),"")</f>
        <v/>
      </c>
      <c r="V832" s="12" t="str">
        <f aca="false">IFERROR(VLOOKUP(A832,'Dados-Status-Invest'!$1:$1000,MATCH(V$1,'Dados-Status-Invest'!$2:$2,0),FALSE()),"")</f>
        <v/>
      </c>
      <c r="W832" s="10" t="str">
        <f aca="false">IFERROR(VLOOKUP(A832,'Dados-Status-Invest'!$1:$1000,MATCH(W$1,'Dados-Status-Invest'!$2:$2,0),FALSE())/100,"")</f>
        <v/>
      </c>
      <c r="X832" s="10" t="str">
        <f aca="false">IFERROR(VLOOKUP(A832,'Dados-Status-Invest'!$1:$1000,MATCH(X$1,'Dados-Status-Invest'!$2:$2,0),FALSE())/100,"")</f>
        <v/>
      </c>
    </row>
    <row r="833" customFormat="false" ht="15.75" hidden="false" customHeight="false" outlineLevel="0" collapsed="false">
      <c r="B833" s="7" t="str">
        <f aca="false">IFERROR(VLOOKUP(LEFT(A833,4),Setor!A:D,2,FALSE()),"")</f>
        <v/>
      </c>
      <c r="C833" s="8" t="str">
        <f aca="false">IFERROR(__xludf.dummyfunction("IFERROR(IFERROR(GOOGLEFINANCE(A839,""price""),VLOOKUP(A839,'Dados-Status-Invest'!A:B,2,FALSE)),"""")"),"")</f>
        <v/>
      </c>
      <c r="D833" s="8" t="str">
        <f aca="false">IFERROR(VLOOKUP(A833,'Dados-Status-Invest'!$1:$1000,MATCH(D$1,'Dados-Status-Invest'!$2:$2,0),FALSE()),"")</f>
        <v/>
      </c>
      <c r="E833" s="8" t="e">
        <f aca="false">IF(D833+H833&gt;0,D833+H833,"")</f>
        <v>#VALUE!</v>
      </c>
      <c r="F833" s="8" t="str">
        <f aca="false">IFERROR(D833/VLOOKUP(A833,'Dados-Status-Invest'!$1:$1000,5,FALSE()),"")</f>
        <v/>
      </c>
      <c r="G833" s="8" t="str">
        <f aca="false">IFERROR(D833/VLOOKUP(A833,'Dados-Status-Invest'!$1:$1000,6,FALSE()),"")</f>
        <v/>
      </c>
      <c r="H833" s="8" t="str">
        <f aca="false">IFERROR(VLOOKUP(A833,'Dados-Status-Invest'!$1:$1000,12,FALSE())*J833,"")</f>
        <v/>
      </c>
      <c r="I833" s="8" t="str">
        <f aca="false">IFERROR(D833/VLOOKUP(A833,'Dados-Status-Invest'!$1:$1000,14,FALSE()),"")</f>
        <v/>
      </c>
      <c r="J833" s="9" t="str">
        <f aca="false">IFERROR(D833/VLOOKUP(A833,'Dados-Status-Invest'!$1:$1000,10,FALSE()),"")</f>
        <v/>
      </c>
      <c r="K833" s="10" t="str">
        <f aca="false">IFERROR(VLOOKUP(A833,'Dados-Status-Invest'!$1:$1000,3,FALSE())/100,"")</f>
        <v/>
      </c>
      <c r="L833" s="11" t="str">
        <f aca="false">IFERROR(VLOOKUP(A833,'Dados-Status-Invest'!$1:$1000,MATCH(L$1,'Dados-Status-Invest'!$2:$2,0),FALSE())/100,"")</f>
        <v/>
      </c>
      <c r="M833" s="10" t="str">
        <f aca="false">IFERROR(VLOOKUP(A833,'Dados-Status-Invest'!$1:$1000,MATCH(M$1,'Dados-Status-Invest'!$2:$2,0),FALSE())/100,"")</f>
        <v/>
      </c>
      <c r="N833" s="10" t="str">
        <f aca="false">IFERROR(VLOOKUP(A833,'Dados-Status-Invest'!$1:$1000,MATCH(N$1,'Dados-Status-Invest'!$2:$2,0),FALSE())/100,"")</f>
        <v/>
      </c>
      <c r="O833" s="10" t="str">
        <f aca="false">IFERROR(VLOOKUP(A833,'Dados-Status-Invest'!$1:$1000,MATCH(O$1,'Dados-Status-Invest'!$2:$2,0),FALSE())/100,"")</f>
        <v/>
      </c>
      <c r="P833" s="10" t="str">
        <f aca="false">IFERROR(VLOOKUP(A833,'Dados-Status-Invest'!$1:$1000,MATCH(P$1,'Dados-Status-Invest'!$2:$2,0),FALSE())/100,"")</f>
        <v/>
      </c>
      <c r="Q833" s="10" t="str">
        <f aca="false">IFERROR(VLOOKUP(A833,'Dados-Status-Invest'!$1:$1000,MATCH(Q$1,'Dados-Status-Invest'!$2:$2,0),FALSE())/100,"")</f>
        <v/>
      </c>
      <c r="R833" s="12" t="str">
        <f aca="false">IFERROR(VLOOKUP(A833,'Dados-Status-Invest'!$1:$1000,MATCH(R$1,'Dados-Status-Invest'!$2:$2,0),FALSE()),"")</f>
        <v/>
      </c>
      <c r="S833" s="12" t="str">
        <f aca="false">IFERROR(VLOOKUP(A833,'Dados-Status-Invest'!$1:$1000,MATCH(S$1,'Dados-Status-Invest'!$2:$2,0),FALSE()),"")</f>
        <v/>
      </c>
      <c r="T833" s="12" t="str">
        <f aca="false">IFERROR(VLOOKUP(A833,'Dados-Status-Invest'!$1:$1000,MATCH(T$1,'Dados-Status-Invest'!$2:$2,0),FALSE()),"")</f>
        <v/>
      </c>
      <c r="U833" s="12" t="str">
        <f aca="false">IFERROR(VLOOKUP(A833,'Dados-Status-Invest'!$1:$1000,MATCH(U$1,'Dados-Status-Invest'!$2:$2,0),FALSE()),"")</f>
        <v/>
      </c>
      <c r="V833" s="12" t="str">
        <f aca="false">IFERROR(VLOOKUP(A833,'Dados-Status-Invest'!$1:$1000,MATCH(V$1,'Dados-Status-Invest'!$2:$2,0),FALSE()),"")</f>
        <v/>
      </c>
      <c r="W833" s="10" t="str">
        <f aca="false">IFERROR(VLOOKUP(A833,'Dados-Status-Invest'!$1:$1000,MATCH(W$1,'Dados-Status-Invest'!$2:$2,0),FALSE())/100,"")</f>
        <v/>
      </c>
      <c r="X833" s="10" t="str">
        <f aca="false">IFERROR(VLOOKUP(A833,'Dados-Status-Invest'!$1:$1000,MATCH(X$1,'Dados-Status-Invest'!$2:$2,0),FALSE())/100,"")</f>
        <v/>
      </c>
    </row>
    <row r="834" customFormat="false" ht="15.75" hidden="false" customHeight="false" outlineLevel="0" collapsed="false">
      <c r="B834" s="7" t="str">
        <f aca="false">IFERROR(VLOOKUP(LEFT(A834,4),Setor!A:D,2,FALSE()),"")</f>
        <v/>
      </c>
      <c r="C834" s="8" t="str">
        <f aca="false">IFERROR(__xludf.dummyfunction("IFERROR(IFERROR(GOOGLEFINANCE(A840,""price""),VLOOKUP(A840,'Dados-Status-Invest'!A:B,2,FALSE)),"""")"),"")</f>
        <v/>
      </c>
      <c r="D834" s="8" t="str">
        <f aca="false">IFERROR(VLOOKUP(A834,'Dados-Status-Invest'!$1:$1000,MATCH(D$1,'Dados-Status-Invest'!$2:$2,0),FALSE()),"")</f>
        <v/>
      </c>
      <c r="E834" s="8" t="e">
        <f aca="false">IF(D834+H834&gt;0,D834+H834,"")</f>
        <v>#VALUE!</v>
      </c>
      <c r="F834" s="8" t="str">
        <f aca="false">IFERROR(D834/VLOOKUP(A834,'Dados-Status-Invest'!$1:$1000,5,FALSE()),"")</f>
        <v/>
      </c>
      <c r="G834" s="8" t="str">
        <f aca="false">IFERROR(D834/VLOOKUP(A834,'Dados-Status-Invest'!$1:$1000,6,FALSE()),"")</f>
        <v/>
      </c>
      <c r="H834" s="8" t="str">
        <f aca="false">IFERROR(VLOOKUP(A834,'Dados-Status-Invest'!$1:$1000,12,FALSE())*J834,"")</f>
        <v/>
      </c>
      <c r="I834" s="8" t="str">
        <f aca="false">IFERROR(D834/VLOOKUP(A834,'Dados-Status-Invest'!$1:$1000,14,FALSE()),"")</f>
        <v/>
      </c>
      <c r="J834" s="9" t="str">
        <f aca="false">IFERROR(D834/VLOOKUP(A834,'Dados-Status-Invest'!$1:$1000,10,FALSE()),"")</f>
        <v/>
      </c>
      <c r="K834" s="10" t="str">
        <f aca="false">IFERROR(VLOOKUP(A834,'Dados-Status-Invest'!$1:$1000,3,FALSE())/100,"")</f>
        <v/>
      </c>
      <c r="L834" s="11" t="str">
        <f aca="false">IFERROR(VLOOKUP(A834,'Dados-Status-Invest'!$1:$1000,MATCH(L$1,'Dados-Status-Invest'!$2:$2,0),FALSE())/100,"")</f>
        <v/>
      </c>
      <c r="M834" s="10" t="str">
        <f aca="false">IFERROR(VLOOKUP(A834,'Dados-Status-Invest'!$1:$1000,MATCH(M$1,'Dados-Status-Invest'!$2:$2,0),FALSE())/100,"")</f>
        <v/>
      </c>
      <c r="N834" s="10" t="str">
        <f aca="false">IFERROR(VLOOKUP(A834,'Dados-Status-Invest'!$1:$1000,MATCH(N$1,'Dados-Status-Invest'!$2:$2,0),FALSE())/100,"")</f>
        <v/>
      </c>
      <c r="O834" s="10" t="str">
        <f aca="false">IFERROR(VLOOKUP(A834,'Dados-Status-Invest'!$1:$1000,MATCH(O$1,'Dados-Status-Invest'!$2:$2,0),FALSE())/100,"")</f>
        <v/>
      </c>
      <c r="P834" s="10" t="str">
        <f aca="false">IFERROR(VLOOKUP(A834,'Dados-Status-Invest'!$1:$1000,MATCH(P$1,'Dados-Status-Invest'!$2:$2,0),FALSE())/100,"")</f>
        <v/>
      </c>
      <c r="Q834" s="10" t="str">
        <f aca="false">IFERROR(VLOOKUP(A834,'Dados-Status-Invest'!$1:$1000,MATCH(Q$1,'Dados-Status-Invest'!$2:$2,0),FALSE())/100,"")</f>
        <v/>
      </c>
      <c r="R834" s="12" t="str">
        <f aca="false">IFERROR(VLOOKUP(A834,'Dados-Status-Invest'!$1:$1000,MATCH(R$1,'Dados-Status-Invest'!$2:$2,0),FALSE()),"")</f>
        <v/>
      </c>
      <c r="S834" s="12" t="str">
        <f aca="false">IFERROR(VLOOKUP(A834,'Dados-Status-Invest'!$1:$1000,MATCH(S$1,'Dados-Status-Invest'!$2:$2,0),FALSE()),"")</f>
        <v/>
      </c>
      <c r="T834" s="12" t="str">
        <f aca="false">IFERROR(VLOOKUP(A834,'Dados-Status-Invest'!$1:$1000,MATCH(T$1,'Dados-Status-Invest'!$2:$2,0),FALSE()),"")</f>
        <v/>
      </c>
      <c r="U834" s="12" t="str">
        <f aca="false">IFERROR(VLOOKUP(A834,'Dados-Status-Invest'!$1:$1000,MATCH(U$1,'Dados-Status-Invest'!$2:$2,0),FALSE()),"")</f>
        <v/>
      </c>
      <c r="V834" s="12" t="str">
        <f aca="false">IFERROR(VLOOKUP(A834,'Dados-Status-Invest'!$1:$1000,MATCH(V$1,'Dados-Status-Invest'!$2:$2,0),FALSE()),"")</f>
        <v/>
      </c>
      <c r="W834" s="10" t="str">
        <f aca="false">IFERROR(VLOOKUP(A834,'Dados-Status-Invest'!$1:$1000,MATCH(W$1,'Dados-Status-Invest'!$2:$2,0),FALSE())/100,"")</f>
        <v/>
      </c>
      <c r="X834" s="10" t="str">
        <f aca="false">IFERROR(VLOOKUP(A834,'Dados-Status-Invest'!$1:$1000,MATCH(X$1,'Dados-Status-Invest'!$2:$2,0),FALSE())/100,"")</f>
        <v/>
      </c>
    </row>
    <row r="835" customFormat="false" ht="15.75" hidden="false" customHeight="false" outlineLevel="0" collapsed="false">
      <c r="B835" s="7" t="str">
        <f aca="false">IFERROR(VLOOKUP(LEFT(A835,4),Setor!A:D,2,FALSE()),"")</f>
        <v/>
      </c>
      <c r="C835" s="8" t="str">
        <f aca="false">IFERROR(__xludf.dummyfunction("IFERROR(IFERROR(GOOGLEFINANCE(A841,""price""),VLOOKUP(A841,'Dados-Status-Invest'!A:B,2,FALSE)),"""")"),"")</f>
        <v/>
      </c>
      <c r="D835" s="8" t="str">
        <f aca="false">IFERROR(VLOOKUP(A835,'Dados-Status-Invest'!$1:$1000,MATCH(D$1,'Dados-Status-Invest'!$2:$2,0),FALSE()),"")</f>
        <v/>
      </c>
      <c r="E835" s="8" t="e">
        <f aca="false">IF(D835+H835&gt;0,D835+H835,"")</f>
        <v>#VALUE!</v>
      </c>
      <c r="F835" s="8" t="str">
        <f aca="false">IFERROR(D835/VLOOKUP(A835,'Dados-Status-Invest'!$1:$1000,5,FALSE()),"")</f>
        <v/>
      </c>
      <c r="G835" s="8" t="str">
        <f aca="false">IFERROR(D835/VLOOKUP(A835,'Dados-Status-Invest'!$1:$1000,6,FALSE()),"")</f>
        <v/>
      </c>
      <c r="H835" s="8" t="str">
        <f aca="false">IFERROR(VLOOKUP(A835,'Dados-Status-Invest'!$1:$1000,12,FALSE())*J835,"")</f>
        <v/>
      </c>
      <c r="I835" s="8" t="str">
        <f aca="false">IFERROR(D835/VLOOKUP(A835,'Dados-Status-Invest'!$1:$1000,14,FALSE()),"")</f>
        <v/>
      </c>
      <c r="J835" s="9" t="str">
        <f aca="false">IFERROR(D835/VLOOKUP(A835,'Dados-Status-Invest'!$1:$1000,10,FALSE()),"")</f>
        <v/>
      </c>
      <c r="K835" s="10" t="str">
        <f aca="false">IFERROR(VLOOKUP(A835,'Dados-Status-Invest'!$1:$1000,3,FALSE())/100,"")</f>
        <v/>
      </c>
      <c r="L835" s="11" t="str">
        <f aca="false">IFERROR(VLOOKUP(A835,'Dados-Status-Invest'!$1:$1000,MATCH(L$1,'Dados-Status-Invest'!$2:$2,0),FALSE())/100,"")</f>
        <v/>
      </c>
      <c r="M835" s="10" t="str">
        <f aca="false">IFERROR(VLOOKUP(A835,'Dados-Status-Invest'!$1:$1000,MATCH(M$1,'Dados-Status-Invest'!$2:$2,0),FALSE())/100,"")</f>
        <v/>
      </c>
      <c r="N835" s="10" t="str">
        <f aca="false">IFERROR(VLOOKUP(A835,'Dados-Status-Invest'!$1:$1000,MATCH(N$1,'Dados-Status-Invest'!$2:$2,0),FALSE())/100,"")</f>
        <v/>
      </c>
      <c r="O835" s="10" t="str">
        <f aca="false">IFERROR(VLOOKUP(A835,'Dados-Status-Invest'!$1:$1000,MATCH(O$1,'Dados-Status-Invest'!$2:$2,0),FALSE())/100,"")</f>
        <v/>
      </c>
      <c r="P835" s="10" t="str">
        <f aca="false">IFERROR(VLOOKUP(A835,'Dados-Status-Invest'!$1:$1000,MATCH(P$1,'Dados-Status-Invest'!$2:$2,0),FALSE())/100,"")</f>
        <v/>
      </c>
      <c r="Q835" s="10" t="str">
        <f aca="false">IFERROR(VLOOKUP(A835,'Dados-Status-Invest'!$1:$1000,MATCH(Q$1,'Dados-Status-Invest'!$2:$2,0),FALSE())/100,"")</f>
        <v/>
      </c>
      <c r="R835" s="12" t="str">
        <f aca="false">IFERROR(VLOOKUP(A835,'Dados-Status-Invest'!$1:$1000,MATCH(R$1,'Dados-Status-Invest'!$2:$2,0),FALSE()),"")</f>
        <v/>
      </c>
      <c r="S835" s="12" t="str">
        <f aca="false">IFERROR(VLOOKUP(A835,'Dados-Status-Invest'!$1:$1000,MATCH(S$1,'Dados-Status-Invest'!$2:$2,0),FALSE()),"")</f>
        <v/>
      </c>
      <c r="T835" s="12" t="str">
        <f aca="false">IFERROR(VLOOKUP(A835,'Dados-Status-Invest'!$1:$1000,MATCH(T$1,'Dados-Status-Invest'!$2:$2,0),FALSE()),"")</f>
        <v/>
      </c>
      <c r="U835" s="12" t="str">
        <f aca="false">IFERROR(VLOOKUP(A835,'Dados-Status-Invest'!$1:$1000,MATCH(U$1,'Dados-Status-Invest'!$2:$2,0),FALSE()),"")</f>
        <v/>
      </c>
      <c r="V835" s="12" t="str">
        <f aca="false">IFERROR(VLOOKUP(A835,'Dados-Status-Invest'!$1:$1000,MATCH(V$1,'Dados-Status-Invest'!$2:$2,0),FALSE()),"")</f>
        <v/>
      </c>
      <c r="W835" s="10" t="str">
        <f aca="false">IFERROR(VLOOKUP(A835,'Dados-Status-Invest'!$1:$1000,MATCH(W$1,'Dados-Status-Invest'!$2:$2,0),FALSE())/100,"")</f>
        <v/>
      </c>
      <c r="X835" s="10" t="str">
        <f aca="false">IFERROR(VLOOKUP(A835,'Dados-Status-Invest'!$1:$1000,MATCH(X$1,'Dados-Status-Invest'!$2:$2,0),FALSE())/100,"")</f>
        <v/>
      </c>
    </row>
    <row r="836" customFormat="false" ht="15.75" hidden="false" customHeight="false" outlineLevel="0" collapsed="false">
      <c r="B836" s="7" t="str">
        <f aca="false">IFERROR(VLOOKUP(LEFT(A836,4),Setor!A:D,2,FALSE()),"")</f>
        <v/>
      </c>
      <c r="C836" s="8" t="str">
        <f aca="false">IFERROR(__xludf.dummyfunction("IFERROR(IFERROR(GOOGLEFINANCE(A842,""price""),VLOOKUP(A842,'Dados-Status-Invest'!A:B,2,FALSE)),"""")"),"")</f>
        <v/>
      </c>
      <c r="D836" s="8" t="str">
        <f aca="false">IFERROR(VLOOKUP(A836,'Dados-Status-Invest'!$1:$1000,MATCH(D$1,'Dados-Status-Invest'!$2:$2,0),FALSE()),"")</f>
        <v/>
      </c>
      <c r="E836" s="8" t="e">
        <f aca="false">IF(D836+H836&gt;0,D836+H836,"")</f>
        <v>#VALUE!</v>
      </c>
      <c r="F836" s="8" t="str">
        <f aca="false">IFERROR(D836/VLOOKUP(A836,'Dados-Status-Invest'!$1:$1000,5,FALSE()),"")</f>
        <v/>
      </c>
      <c r="G836" s="8" t="str">
        <f aca="false">IFERROR(D836/VLOOKUP(A836,'Dados-Status-Invest'!$1:$1000,6,FALSE()),"")</f>
        <v/>
      </c>
      <c r="H836" s="8" t="str">
        <f aca="false">IFERROR(VLOOKUP(A836,'Dados-Status-Invest'!$1:$1000,12,FALSE())*J836,"")</f>
        <v/>
      </c>
      <c r="I836" s="8" t="str">
        <f aca="false">IFERROR(D836/VLOOKUP(A836,'Dados-Status-Invest'!$1:$1000,14,FALSE()),"")</f>
        <v/>
      </c>
      <c r="J836" s="9" t="str">
        <f aca="false">IFERROR(D836/VLOOKUP(A836,'Dados-Status-Invest'!$1:$1000,10,FALSE()),"")</f>
        <v/>
      </c>
      <c r="K836" s="10" t="str">
        <f aca="false">IFERROR(VLOOKUP(A836,'Dados-Status-Invest'!$1:$1000,3,FALSE())/100,"")</f>
        <v/>
      </c>
      <c r="L836" s="11" t="str">
        <f aca="false">IFERROR(VLOOKUP(A836,'Dados-Status-Invest'!$1:$1000,MATCH(L$1,'Dados-Status-Invest'!$2:$2,0),FALSE())/100,"")</f>
        <v/>
      </c>
      <c r="M836" s="10" t="str">
        <f aca="false">IFERROR(VLOOKUP(A836,'Dados-Status-Invest'!$1:$1000,MATCH(M$1,'Dados-Status-Invest'!$2:$2,0),FALSE())/100,"")</f>
        <v/>
      </c>
      <c r="N836" s="10" t="str">
        <f aca="false">IFERROR(VLOOKUP(A836,'Dados-Status-Invest'!$1:$1000,MATCH(N$1,'Dados-Status-Invest'!$2:$2,0),FALSE())/100,"")</f>
        <v/>
      </c>
      <c r="O836" s="10" t="str">
        <f aca="false">IFERROR(VLOOKUP(A836,'Dados-Status-Invest'!$1:$1000,MATCH(O$1,'Dados-Status-Invest'!$2:$2,0),FALSE())/100,"")</f>
        <v/>
      </c>
      <c r="P836" s="10" t="str">
        <f aca="false">IFERROR(VLOOKUP(A836,'Dados-Status-Invest'!$1:$1000,MATCH(P$1,'Dados-Status-Invest'!$2:$2,0),FALSE())/100,"")</f>
        <v/>
      </c>
      <c r="Q836" s="10" t="str">
        <f aca="false">IFERROR(VLOOKUP(A836,'Dados-Status-Invest'!$1:$1000,MATCH(Q$1,'Dados-Status-Invest'!$2:$2,0),FALSE())/100,"")</f>
        <v/>
      </c>
      <c r="R836" s="12" t="str">
        <f aca="false">IFERROR(VLOOKUP(A836,'Dados-Status-Invest'!$1:$1000,MATCH(R$1,'Dados-Status-Invest'!$2:$2,0),FALSE()),"")</f>
        <v/>
      </c>
      <c r="S836" s="12" t="str">
        <f aca="false">IFERROR(VLOOKUP(A836,'Dados-Status-Invest'!$1:$1000,MATCH(S$1,'Dados-Status-Invest'!$2:$2,0),FALSE()),"")</f>
        <v/>
      </c>
      <c r="T836" s="12" t="str">
        <f aca="false">IFERROR(VLOOKUP(A836,'Dados-Status-Invest'!$1:$1000,MATCH(T$1,'Dados-Status-Invest'!$2:$2,0),FALSE()),"")</f>
        <v/>
      </c>
      <c r="U836" s="12" t="str">
        <f aca="false">IFERROR(VLOOKUP(A836,'Dados-Status-Invest'!$1:$1000,MATCH(U$1,'Dados-Status-Invest'!$2:$2,0),FALSE()),"")</f>
        <v/>
      </c>
      <c r="V836" s="12" t="str">
        <f aca="false">IFERROR(VLOOKUP(A836,'Dados-Status-Invest'!$1:$1000,MATCH(V$1,'Dados-Status-Invest'!$2:$2,0),FALSE()),"")</f>
        <v/>
      </c>
      <c r="W836" s="10" t="str">
        <f aca="false">IFERROR(VLOOKUP(A836,'Dados-Status-Invest'!$1:$1000,MATCH(W$1,'Dados-Status-Invest'!$2:$2,0),FALSE())/100,"")</f>
        <v/>
      </c>
      <c r="X836" s="10" t="str">
        <f aca="false">IFERROR(VLOOKUP(A836,'Dados-Status-Invest'!$1:$1000,MATCH(X$1,'Dados-Status-Invest'!$2:$2,0),FALSE())/100,"")</f>
        <v/>
      </c>
    </row>
    <row r="837" customFormat="false" ht="15.75" hidden="false" customHeight="false" outlineLevel="0" collapsed="false">
      <c r="B837" s="7" t="str">
        <f aca="false">IFERROR(VLOOKUP(LEFT(A837,4),Setor!A:D,2,FALSE()),"")</f>
        <v/>
      </c>
      <c r="C837" s="8" t="str">
        <f aca="false">IFERROR(__xludf.dummyfunction("IFERROR(IFERROR(GOOGLEFINANCE(A843,""price""),VLOOKUP(A843,'Dados-Status-Invest'!A:B,2,FALSE)),"""")"),"")</f>
        <v/>
      </c>
      <c r="D837" s="8" t="str">
        <f aca="false">IFERROR(VLOOKUP(A837,'Dados-Status-Invest'!$1:$1000,MATCH(D$1,'Dados-Status-Invest'!$2:$2,0),FALSE()),"")</f>
        <v/>
      </c>
      <c r="E837" s="8" t="e">
        <f aca="false">IF(D837+H837&gt;0,D837+H837,"")</f>
        <v>#VALUE!</v>
      </c>
      <c r="F837" s="8" t="str">
        <f aca="false">IFERROR(D837/VLOOKUP(A837,'Dados-Status-Invest'!$1:$1000,5,FALSE()),"")</f>
        <v/>
      </c>
      <c r="G837" s="8" t="str">
        <f aca="false">IFERROR(D837/VLOOKUP(A837,'Dados-Status-Invest'!$1:$1000,6,FALSE()),"")</f>
        <v/>
      </c>
      <c r="H837" s="8" t="str">
        <f aca="false">IFERROR(VLOOKUP(A837,'Dados-Status-Invest'!$1:$1000,12,FALSE())*J837,"")</f>
        <v/>
      </c>
      <c r="I837" s="8" t="str">
        <f aca="false">IFERROR(D837/VLOOKUP(A837,'Dados-Status-Invest'!$1:$1000,14,FALSE()),"")</f>
        <v/>
      </c>
      <c r="J837" s="9" t="str">
        <f aca="false">IFERROR(D837/VLOOKUP(A837,'Dados-Status-Invest'!$1:$1000,10,FALSE()),"")</f>
        <v/>
      </c>
      <c r="K837" s="10" t="str">
        <f aca="false">IFERROR(VLOOKUP(A837,'Dados-Status-Invest'!$1:$1000,3,FALSE())/100,"")</f>
        <v/>
      </c>
      <c r="L837" s="11" t="str">
        <f aca="false">IFERROR(VLOOKUP(A837,'Dados-Status-Invest'!$1:$1000,MATCH(L$1,'Dados-Status-Invest'!$2:$2,0),FALSE())/100,"")</f>
        <v/>
      </c>
      <c r="M837" s="10" t="str">
        <f aca="false">IFERROR(VLOOKUP(A837,'Dados-Status-Invest'!$1:$1000,MATCH(M$1,'Dados-Status-Invest'!$2:$2,0),FALSE())/100,"")</f>
        <v/>
      </c>
      <c r="N837" s="10" t="str">
        <f aca="false">IFERROR(VLOOKUP(A837,'Dados-Status-Invest'!$1:$1000,MATCH(N$1,'Dados-Status-Invest'!$2:$2,0),FALSE())/100,"")</f>
        <v/>
      </c>
      <c r="O837" s="10" t="str">
        <f aca="false">IFERROR(VLOOKUP(A837,'Dados-Status-Invest'!$1:$1000,MATCH(O$1,'Dados-Status-Invest'!$2:$2,0),FALSE())/100,"")</f>
        <v/>
      </c>
      <c r="P837" s="10" t="str">
        <f aca="false">IFERROR(VLOOKUP(A837,'Dados-Status-Invest'!$1:$1000,MATCH(P$1,'Dados-Status-Invest'!$2:$2,0),FALSE())/100,"")</f>
        <v/>
      </c>
      <c r="Q837" s="10" t="str">
        <f aca="false">IFERROR(VLOOKUP(A837,'Dados-Status-Invest'!$1:$1000,MATCH(Q$1,'Dados-Status-Invest'!$2:$2,0),FALSE())/100,"")</f>
        <v/>
      </c>
      <c r="R837" s="12" t="str">
        <f aca="false">IFERROR(VLOOKUP(A837,'Dados-Status-Invest'!$1:$1000,MATCH(R$1,'Dados-Status-Invest'!$2:$2,0),FALSE()),"")</f>
        <v/>
      </c>
      <c r="S837" s="12" t="str">
        <f aca="false">IFERROR(VLOOKUP(A837,'Dados-Status-Invest'!$1:$1000,MATCH(S$1,'Dados-Status-Invest'!$2:$2,0),FALSE()),"")</f>
        <v/>
      </c>
      <c r="T837" s="12" t="str">
        <f aca="false">IFERROR(VLOOKUP(A837,'Dados-Status-Invest'!$1:$1000,MATCH(T$1,'Dados-Status-Invest'!$2:$2,0),FALSE()),"")</f>
        <v/>
      </c>
      <c r="U837" s="12" t="str">
        <f aca="false">IFERROR(VLOOKUP(A837,'Dados-Status-Invest'!$1:$1000,MATCH(U$1,'Dados-Status-Invest'!$2:$2,0),FALSE()),"")</f>
        <v/>
      </c>
      <c r="V837" s="12" t="str">
        <f aca="false">IFERROR(VLOOKUP(A837,'Dados-Status-Invest'!$1:$1000,MATCH(V$1,'Dados-Status-Invest'!$2:$2,0),FALSE()),"")</f>
        <v/>
      </c>
      <c r="W837" s="10" t="str">
        <f aca="false">IFERROR(VLOOKUP(A837,'Dados-Status-Invest'!$1:$1000,MATCH(W$1,'Dados-Status-Invest'!$2:$2,0),FALSE())/100,"")</f>
        <v/>
      </c>
      <c r="X837" s="10" t="str">
        <f aca="false">IFERROR(VLOOKUP(A837,'Dados-Status-Invest'!$1:$1000,MATCH(X$1,'Dados-Status-Invest'!$2:$2,0),FALSE())/100,"")</f>
        <v/>
      </c>
    </row>
    <row r="838" customFormat="false" ht="15.75" hidden="false" customHeight="false" outlineLevel="0" collapsed="false">
      <c r="B838" s="7" t="str">
        <f aca="false">IFERROR(VLOOKUP(LEFT(A838,4),Setor!A:D,2,FALSE()),"")</f>
        <v/>
      </c>
      <c r="C838" s="8" t="str">
        <f aca="false">IFERROR(__xludf.dummyfunction("IFERROR(IFERROR(GOOGLEFINANCE(A844,""price""),VLOOKUP(A844,'Dados-Status-Invest'!A:B,2,FALSE)),"""")"),"")</f>
        <v/>
      </c>
      <c r="D838" s="8" t="str">
        <f aca="false">IFERROR(VLOOKUP(A838,'Dados-Status-Invest'!$1:$1000,MATCH(D$1,'Dados-Status-Invest'!$2:$2,0),FALSE()),"")</f>
        <v/>
      </c>
      <c r="E838" s="8" t="e">
        <f aca="false">IF(D838+H838&gt;0,D838+H838,"")</f>
        <v>#VALUE!</v>
      </c>
      <c r="F838" s="8" t="str">
        <f aca="false">IFERROR(D838/VLOOKUP(A838,'Dados-Status-Invest'!$1:$1000,5,FALSE()),"")</f>
        <v/>
      </c>
      <c r="G838" s="8" t="str">
        <f aca="false">IFERROR(D838/VLOOKUP(A838,'Dados-Status-Invest'!$1:$1000,6,FALSE()),"")</f>
        <v/>
      </c>
      <c r="H838" s="8" t="str">
        <f aca="false">IFERROR(VLOOKUP(A838,'Dados-Status-Invest'!$1:$1000,12,FALSE())*J838,"")</f>
        <v/>
      </c>
      <c r="I838" s="8" t="str">
        <f aca="false">IFERROR(D838/VLOOKUP(A838,'Dados-Status-Invest'!$1:$1000,14,FALSE()),"")</f>
        <v/>
      </c>
      <c r="J838" s="9" t="str">
        <f aca="false">IFERROR(D838/VLOOKUP(A838,'Dados-Status-Invest'!$1:$1000,10,FALSE()),"")</f>
        <v/>
      </c>
      <c r="K838" s="10" t="str">
        <f aca="false">IFERROR(VLOOKUP(A838,'Dados-Status-Invest'!$1:$1000,3,FALSE())/100,"")</f>
        <v/>
      </c>
      <c r="L838" s="11" t="str">
        <f aca="false">IFERROR(VLOOKUP(A838,'Dados-Status-Invest'!$1:$1000,MATCH(L$1,'Dados-Status-Invest'!$2:$2,0),FALSE())/100,"")</f>
        <v/>
      </c>
      <c r="M838" s="10" t="str">
        <f aca="false">IFERROR(VLOOKUP(A838,'Dados-Status-Invest'!$1:$1000,MATCH(M$1,'Dados-Status-Invest'!$2:$2,0),FALSE())/100,"")</f>
        <v/>
      </c>
      <c r="N838" s="10" t="str">
        <f aca="false">IFERROR(VLOOKUP(A838,'Dados-Status-Invest'!$1:$1000,MATCH(N$1,'Dados-Status-Invest'!$2:$2,0),FALSE())/100,"")</f>
        <v/>
      </c>
      <c r="O838" s="10" t="str">
        <f aca="false">IFERROR(VLOOKUP(A838,'Dados-Status-Invest'!$1:$1000,MATCH(O$1,'Dados-Status-Invest'!$2:$2,0),FALSE())/100,"")</f>
        <v/>
      </c>
      <c r="P838" s="10" t="str">
        <f aca="false">IFERROR(VLOOKUP(A838,'Dados-Status-Invest'!$1:$1000,MATCH(P$1,'Dados-Status-Invest'!$2:$2,0),FALSE())/100,"")</f>
        <v/>
      </c>
      <c r="Q838" s="10" t="str">
        <f aca="false">IFERROR(VLOOKUP(A838,'Dados-Status-Invest'!$1:$1000,MATCH(Q$1,'Dados-Status-Invest'!$2:$2,0),FALSE())/100,"")</f>
        <v/>
      </c>
      <c r="R838" s="12" t="str">
        <f aca="false">IFERROR(VLOOKUP(A838,'Dados-Status-Invest'!$1:$1000,MATCH(R$1,'Dados-Status-Invest'!$2:$2,0),FALSE()),"")</f>
        <v/>
      </c>
      <c r="S838" s="12" t="str">
        <f aca="false">IFERROR(VLOOKUP(A838,'Dados-Status-Invest'!$1:$1000,MATCH(S$1,'Dados-Status-Invest'!$2:$2,0),FALSE()),"")</f>
        <v/>
      </c>
      <c r="T838" s="12" t="str">
        <f aca="false">IFERROR(VLOOKUP(A838,'Dados-Status-Invest'!$1:$1000,MATCH(T$1,'Dados-Status-Invest'!$2:$2,0),FALSE()),"")</f>
        <v/>
      </c>
      <c r="U838" s="12" t="str">
        <f aca="false">IFERROR(VLOOKUP(A838,'Dados-Status-Invest'!$1:$1000,MATCH(U$1,'Dados-Status-Invest'!$2:$2,0),FALSE()),"")</f>
        <v/>
      </c>
      <c r="V838" s="12" t="str">
        <f aca="false">IFERROR(VLOOKUP(A838,'Dados-Status-Invest'!$1:$1000,MATCH(V$1,'Dados-Status-Invest'!$2:$2,0),FALSE()),"")</f>
        <v/>
      </c>
      <c r="W838" s="10" t="str">
        <f aca="false">IFERROR(VLOOKUP(A838,'Dados-Status-Invest'!$1:$1000,MATCH(W$1,'Dados-Status-Invest'!$2:$2,0),FALSE())/100,"")</f>
        <v/>
      </c>
      <c r="X838" s="10" t="str">
        <f aca="false">IFERROR(VLOOKUP(A838,'Dados-Status-Invest'!$1:$1000,MATCH(X$1,'Dados-Status-Invest'!$2:$2,0),FALSE())/100,"")</f>
        <v/>
      </c>
    </row>
    <row r="839" customFormat="false" ht="15.75" hidden="false" customHeight="false" outlineLevel="0" collapsed="false">
      <c r="B839" s="7" t="str">
        <f aca="false">IFERROR(VLOOKUP(LEFT(A839,4),Setor!A:D,2,FALSE()),"")</f>
        <v/>
      </c>
      <c r="C839" s="8" t="str">
        <f aca="false">IFERROR(__xludf.dummyfunction("IFERROR(IFERROR(GOOGLEFINANCE(A845,""price""),VLOOKUP(A845,'Dados-Status-Invest'!A:B,2,FALSE)),"""")"),"")</f>
        <v/>
      </c>
      <c r="D839" s="8" t="str">
        <f aca="false">IFERROR(VLOOKUP(A839,'Dados-Status-Invest'!$1:$1000,MATCH(D$1,'Dados-Status-Invest'!$2:$2,0),FALSE()),"")</f>
        <v/>
      </c>
      <c r="E839" s="8" t="e">
        <f aca="false">IF(D839+H839&gt;0,D839+H839,"")</f>
        <v>#VALUE!</v>
      </c>
      <c r="F839" s="8" t="str">
        <f aca="false">IFERROR(D839/VLOOKUP(A839,'Dados-Status-Invest'!$1:$1000,5,FALSE()),"")</f>
        <v/>
      </c>
      <c r="G839" s="8" t="str">
        <f aca="false">IFERROR(D839/VLOOKUP(A839,'Dados-Status-Invest'!$1:$1000,6,FALSE()),"")</f>
        <v/>
      </c>
      <c r="H839" s="8" t="str">
        <f aca="false">IFERROR(VLOOKUP(A839,'Dados-Status-Invest'!$1:$1000,12,FALSE())*J839,"")</f>
        <v/>
      </c>
      <c r="I839" s="8" t="str">
        <f aca="false">IFERROR(D839/VLOOKUP(A839,'Dados-Status-Invest'!$1:$1000,14,FALSE()),"")</f>
        <v/>
      </c>
      <c r="J839" s="9" t="str">
        <f aca="false">IFERROR(D839/VLOOKUP(A839,'Dados-Status-Invest'!$1:$1000,10,FALSE()),"")</f>
        <v/>
      </c>
      <c r="K839" s="10" t="str">
        <f aca="false">IFERROR(VLOOKUP(A839,'Dados-Status-Invest'!$1:$1000,3,FALSE())/100,"")</f>
        <v/>
      </c>
      <c r="L839" s="11" t="str">
        <f aca="false">IFERROR(VLOOKUP(A839,'Dados-Status-Invest'!$1:$1000,MATCH(L$1,'Dados-Status-Invest'!$2:$2,0),FALSE())/100,"")</f>
        <v/>
      </c>
      <c r="M839" s="10" t="str">
        <f aca="false">IFERROR(VLOOKUP(A839,'Dados-Status-Invest'!$1:$1000,MATCH(M$1,'Dados-Status-Invest'!$2:$2,0),FALSE())/100,"")</f>
        <v/>
      </c>
      <c r="N839" s="10" t="str">
        <f aca="false">IFERROR(VLOOKUP(A839,'Dados-Status-Invest'!$1:$1000,MATCH(N$1,'Dados-Status-Invest'!$2:$2,0),FALSE())/100,"")</f>
        <v/>
      </c>
      <c r="O839" s="10" t="str">
        <f aca="false">IFERROR(VLOOKUP(A839,'Dados-Status-Invest'!$1:$1000,MATCH(O$1,'Dados-Status-Invest'!$2:$2,0),FALSE())/100,"")</f>
        <v/>
      </c>
      <c r="P839" s="10" t="str">
        <f aca="false">IFERROR(VLOOKUP(A839,'Dados-Status-Invest'!$1:$1000,MATCH(P$1,'Dados-Status-Invest'!$2:$2,0),FALSE())/100,"")</f>
        <v/>
      </c>
      <c r="Q839" s="10" t="str">
        <f aca="false">IFERROR(VLOOKUP(A839,'Dados-Status-Invest'!$1:$1000,MATCH(Q$1,'Dados-Status-Invest'!$2:$2,0),FALSE())/100,"")</f>
        <v/>
      </c>
      <c r="R839" s="12" t="str">
        <f aca="false">IFERROR(VLOOKUP(A839,'Dados-Status-Invest'!$1:$1000,MATCH(R$1,'Dados-Status-Invest'!$2:$2,0),FALSE()),"")</f>
        <v/>
      </c>
      <c r="S839" s="12" t="str">
        <f aca="false">IFERROR(VLOOKUP(A839,'Dados-Status-Invest'!$1:$1000,MATCH(S$1,'Dados-Status-Invest'!$2:$2,0),FALSE()),"")</f>
        <v/>
      </c>
      <c r="T839" s="12" t="str">
        <f aca="false">IFERROR(VLOOKUP(A839,'Dados-Status-Invest'!$1:$1000,MATCH(T$1,'Dados-Status-Invest'!$2:$2,0),FALSE()),"")</f>
        <v/>
      </c>
      <c r="U839" s="12" t="str">
        <f aca="false">IFERROR(VLOOKUP(A839,'Dados-Status-Invest'!$1:$1000,MATCH(U$1,'Dados-Status-Invest'!$2:$2,0),FALSE()),"")</f>
        <v/>
      </c>
      <c r="V839" s="12" t="str">
        <f aca="false">IFERROR(VLOOKUP(A839,'Dados-Status-Invest'!$1:$1000,MATCH(V$1,'Dados-Status-Invest'!$2:$2,0),FALSE()),"")</f>
        <v/>
      </c>
      <c r="W839" s="10" t="str">
        <f aca="false">IFERROR(VLOOKUP(A839,'Dados-Status-Invest'!$1:$1000,MATCH(W$1,'Dados-Status-Invest'!$2:$2,0),FALSE())/100,"")</f>
        <v/>
      </c>
      <c r="X839" s="10" t="str">
        <f aca="false">IFERROR(VLOOKUP(A839,'Dados-Status-Invest'!$1:$1000,MATCH(X$1,'Dados-Status-Invest'!$2:$2,0),FALSE())/100,"")</f>
        <v/>
      </c>
    </row>
    <row r="840" customFormat="false" ht="15.75" hidden="false" customHeight="false" outlineLevel="0" collapsed="false">
      <c r="B840" s="7" t="str">
        <f aca="false">IFERROR(VLOOKUP(LEFT(A840,4),Setor!A:D,2,FALSE()),"")</f>
        <v/>
      </c>
      <c r="C840" s="8" t="str">
        <f aca="false">IFERROR(__xludf.dummyfunction("IFERROR(IFERROR(GOOGLEFINANCE(A846,""price""),VLOOKUP(A846,'Dados-Status-Invest'!A:B,2,FALSE)),"""")"),"")</f>
        <v/>
      </c>
      <c r="D840" s="8" t="str">
        <f aca="false">IFERROR(VLOOKUP(A840,'Dados-Status-Invest'!$1:$1000,MATCH(D$1,'Dados-Status-Invest'!$2:$2,0),FALSE()),"")</f>
        <v/>
      </c>
      <c r="E840" s="8" t="e">
        <f aca="false">IF(D840+H840&gt;0,D840+H840,"")</f>
        <v>#VALUE!</v>
      </c>
      <c r="F840" s="8" t="str">
        <f aca="false">IFERROR(D840/VLOOKUP(A840,'Dados-Status-Invest'!$1:$1000,5,FALSE()),"")</f>
        <v/>
      </c>
      <c r="G840" s="8" t="str">
        <f aca="false">IFERROR(D840/VLOOKUP(A840,'Dados-Status-Invest'!$1:$1000,6,FALSE()),"")</f>
        <v/>
      </c>
      <c r="H840" s="8" t="str">
        <f aca="false">IFERROR(VLOOKUP(A840,'Dados-Status-Invest'!$1:$1000,12,FALSE())*J840,"")</f>
        <v/>
      </c>
      <c r="I840" s="8" t="str">
        <f aca="false">IFERROR(D840/VLOOKUP(A840,'Dados-Status-Invest'!$1:$1000,14,FALSE()),"")</f>
        <v/>
      </c>
      <c r="J840" s="9" t="str">
        <f aca="false">IFERROR(D840/VLOOKUP(A840,'Dados-Status-Invest'!$1:$1000,10,FALSE()),"")</f>
        <v/>
      </c>
      <c r="K840" s="10" t="str">
        <f aca="false">IFERROR(VLOOKUP(A840,'Dados-Status-Invest'!$1:$1000,3,FALSE())/100,"")</f>
        <v/>
      </c>
      <c r="L840" s="11" t="str">
        <f aca="false">IFERROR(VLOOKUP(A840,'Dados-Status-Invest'!$1:$1000,MATCH(L$1,'Dados-Status-Invest'!$2:$2,0),FALSE())/100,"")</f>
        <v/>
      </c>
      <c r="M840" s="10" t="str">
        <f aca="false">IFERROR(VLOOKUP(A840,'Dados-Status-Invest'!$1:$1000,MATCH(M$1,'Dados-Status-Invest'!$2:$2,0),FALSE())/100,"")</f>
        <v/>
      </c>
      <c r="N840" s="10" t="str">
        <f aca="false">IFERROR(VLOOKUP(A840,'Dados-Status-Invest'!$1:$1000,MATCH(N$1,'Dados-Status-Invest'!$2:$2,0),FALSE())/100,"")</f>
        <v/>
      </c>
      <c r="O840" s="10" t="str">
        <f aca="false">IFERROR(VLOOKUP(A840,'Dados-Status-Invest'!$1:$1000,MATCH(O$1,'Dados-Status-Invest'!$2:$2,0),FALSE())/100,"")</f>
        <v/>
      </c>
      <c r="P840" s="10" t="str">
        <f aca="false">IFERROR(VLOOKUP(A840,'Dados-Status-Invest'!$1:$1000,MATCH(P$1,'Dados-Status-Invest'!$2:$2,0),FALSE())/100,"")</f>
        <v/>
      </c>
      <c r="Q840" s="10" t="str">
        <f aca="false">IFERROR(VLOOKUP(A840,'Dados-Status-Invest'!$1:$1000,MATCH(Q$1,'Dados-Status-Invest'!$2:$2,0),FALSE())/100,"")</f>
        <v/>
      </c>
      <c r="R840" s="12" t="str">
        <f aca="false">IFERROR(VLOOKUP(A840,'Dados-Status-Invest'!$1:$1000,MATCH(R$1,'Dados-Status-Invest'!$2:$2,0),FALSE()),"")</f>
        <v/>
      </c>
      <c r="S840" s="12" t="str">
        <f aca="false">IFERROR(VLOOKUP(A840,'Dados-Status-Invest'!$1:$1000,MATCH(S$1,'Dados-Status-Invest'!$2:$2,0),FALSE()),"")</f>
        <v/>
      </c>
      <c r="T840" s="12" t="str">
        <f aca="false">IFERROR(VLOOKUP(A840,'Dados-Status-Invest'!$1:$1000,MATCH(T$1,'Dados-Status-Invest'!$2:$2,0),FALSE()),"")</f>
        <v/>
      </c>
      <c r="U840" s="12" t="str">
        <f aca="false">IFERROR(VLOOKUP(A840,'Dados-Status-Invest'!$1:$1000,MATCH(U$1,'Dados-Status-Invest'!$2:$2,0),FALSE()),"")</f>
        <v/>
      </c>
      <c r="V840" s="12" t="str">
        <f aca="false">IFERROR(VLOOKUP(A840,'Dados-Status-Invest'!$1:$1000,MATCH(V$1,'Dados-Status-Invest'!$2:$2,0),FALSE()),"")</f>
        <v/>
      </c>
      <c r="W840" s="10" t="str">
        <f aca="false">IFERROR(VLOOKUP(A840,'Dados-Status-Invest'!$1:$1000,MATCH(W$1,'Dados-Status-Invest'!$2:$2,0),FALSE())/100,"")</f>
        <v/>
      </c>
      <c r="X840" s="10" t="str">
        <f aca="false">IFERROR(VLOOKUP(A840,'Dados-Status-Invest'!$1:$1000,MATCH(X$1,'Dados-Status-Invest'!$2:$2,0),FALSE())/100,"")</f>
        <v/>
      </c>
    </row>
    <row r="841" customFormat="false" ht="15.75" hidden="false" customHeight="false" outlineLevel="0" collapsed="false">
      <c r="B841" s="7" t="str">
        <f aca="false">IFERROR(VLOOKUP(LEFT(A841,4),Setor!A:D,2,FALSE()),"")</f>
        <v/>
      </c>
      <c r="C841" s="8" t="str">
        <f aca="false">IFERROR(__xludf.dummyfunction("IFERROR(IFERROR(GOOGLEFINANCE(A847,""price""),VLOOKUP(A847,'Dados-Status-Invest'!A:B,2,FALSE)),"""")"),"")</f>
        <v/>
      </c>
      <c r="D841" s="8" t="str">
        <f aca="false">IFERROR(VLOOKUP(A841,'Dados-Status-Invest'!$1:$1000,MATCH(D$1,'Dados-Status-Invest'!$2:$2,0),FALSE()),"")</f>
        <v/>
      </c>
      <c r="E841" s="8" t="e">
        <f aca="false">IF(D841+H841&gt;0,D841+H841,"")</f>
        <v>#VALUE!</v>
      </c>
      <c r="F841" s="8" t="str">
        <f aca="false">IFERROR(D841/VLOOKUP(A841,'Dados-Status-Invest'!$1:$1000,5,FALSE()),"")</f>
        <v/>
      </c>
      <c r="G841" s="8" t="str">
        <f aca="false">IFERROR(D841/VLOOKUP(A841,'Dados-Status-Invest'!$1:$1000,6,FALSE()),"")</f>
        <v/>
      </c>
      <c r="H841" s="8" t="str">
        <f aca="false">IFERROR(VLOOKUP(A841,'Dados-Status-Invest'!$1:$1000,12,FALSE())*J841,"")</f>
        <v/>
      </c>
      <c r="I841" s="8" t="str">
        <f aca="false">IFERROR(D841/VLOOKUP(A841,'Dados-Status-Invest'!$1:$1000,14,FALSE()),"")</f>
        <v/>
      </c>
      <c r="J841" s="9" t="str">
        <f aca="false">IFERROR(D841/VLOOKUP(A841,'Dados-Status-Invest'!$1:$1000,10,FALSE()),"")</f>
        <v/>
      </c>
      <c r="K841" s="10" t="str">
        <f aca="false">IFERROR(VLOOKUP(A841,'Dados-Status-Invest'!$1:$1000,3,FALSE())/100,"")</f>
        <v/>
      </c>
      <c r="L841" s="11" t="str">
        <f aca="false">IFERROR(VLOOKUP(A841,'Dados-Status-Invest'!$1:$1000,MATCH(L$1,'Dados-Status-Invest'!$2:$2,0),FALSE())/100,"")</f>
        <v/>
      </c>
      <c r="M841" s="10" t="str">
        <f aca="false">IFERROR(VLOOKUP(A841,'Dados-Status-Invest'!$1:$1000,MATCH(M$1,'Dados-Status-Invest'!$2:$2,0),FALSE())/100,"")</f>
        <v/>
      </c>
      <c r="N841" s="10" t="str">
        <f aca="false">IFERROR(VLOOKUP(A841,'Dados-Status-Invest'!$1:$1000,MATCH(N$1,'Dados-Status-Invest'!$2:$2,0),FALSE())/100,"")</f>
        <v/>
      </c>
      <c r="O841" s="10" t="str">
        <f aca="false">IFERROR(VLOOKUP(A841,'Dados-Status-Invest'!$1:$1000,MATCH(O$1,'Dados-Status-Invest'!$2:$2,0),FALSE())/100,"")</f>
        <v/>
      </c>
      <c r="P841" s="10" t="str">
        <f aca="false">IFERROR(VLOOKUP(A841,'Dados-Status-Invest'!$1:$1000,MATCH(P$1,'Dados-Status-Invest'!$2:$2,0),FALSE())/100,"")</f>
        <v/>
      </c>
      <c r="Q841" s="10" t="str">
        <f aca="false">IFERROR(VLOOKUP(A841,'Dados-Status-Invest'!$1:$1000,MATCH(Q$1,'Dados-Status-Invest'!$2:$2,0),FALSE())/100,"")</f>
        <v/>
      </c>
      <c r="R841" s="12" t="str">
        <f aca="false">IFERROR(VLOOKUP(A841,'Dados-Status-Invest'!$1:$1000,MATCH(R$1,'Dados-Status-Invest'!$2:$2,0),FALSE()),"")</f>
        <v/>
      </c>
      <c r="S841" s="12" t="str">
        <f aca="false">IFERROR(VLOOKUP(A841,'Dados-Status-Invest'!$1:$1000,MATCH(S$1,'Dados-Status-Invest'!$2:$2,0),FALSE()),"")</f>
        <v/>
      </c>
      <c r="T841" s="12" t="str">
        <f aca="false">IFERROR(VLOOKUP(A841,'Dados-Status-Invest'!$1:$1000,MATCH(T$1,'Dados-Status-Invest'!$2:$2,0),FALSE()),"")</f>
        <v/>
      </c>
      <c r="U841" s="12" t="str">
        <f aca="false">IFERROR(VLOOKUP(A841,'Dados-Status-Invest'!$1:$1000,MATCH(U$1,'Dados-Status-Invest'!$2:$2,0),FALSE()),"")</f>
        <v/>
      </c>
      <c r="V841" s="12" t="str">
        <f aca="false">IFERROR(VLOOKUP(A841,'Dados-Status-Invest'!$1:$1000,MATCH(V$1,'Dados-Status-Invest'!$2:$2,0),FALSE()),"")</f>
        <v/>
      </c>
      <c r="W841" s="10" t="str">
        <f aca="false">IFERROR(VLOOKUP(A841,'Dados-Status-Invest'!$1:$1000,MATCH(W$1,'Dados-Status-Invest'!$2:$2,0),FALSE())/100,"")</f>
        <v/>
      </c>
      <c r="X841" s="10" t="str">
        <f aca="false">IFERROR(VLOOKUP(A841,'Dados-Status-Invest'!$1:$1000,MATCH(X$1,'Dados-Status-Invest'!$2:$2,0),FALSE())/100,"")</f>
        <v/>
      </c>
    </row>
    <row r="842" customFormat="false" ht="15.75" hidden="false" customHeight="false" outlineLevel="0" collapsed="false">
      <c r="B842" s="7" t="str">
        <f aca="false">IFERROR(VLOOKUP(LEFT(A842,4),Setor!A:D,2,FALSE()),"")</f>
        <v/>
      </c>
      <c r="C842" s="8" t="str">
        <f aca="false">IFERROR(__xludf.dummyfunction("IFERROR(IFERROR(GOOGLEFINANCE(A848,""price""),VLOOKUP(A848,'Dados-Status-Invest'!A:B,2,FALSE)),"""")"),"")</f>
        <v/>
      </c>
      <c r="D842" s="8" t="str">
        <f aca="false">IFERROR(VLOOKUP(A842,'Dados-Status-Invest'!$1:$1000,MATCH(D$1,'Dados-Status-Invest'!$2:$2,0),FALSE()),"")</f>
        <v/>
      </c>
      <c r="E842" s="8" t="e">
        <f aca="false">IF(D842+H842&gt;0,D842+H842,"")</f>
        <v>#VALUE!</v>
      </c>
      <c r="F842" s="8" t="str">
        <f aca="false">IFERROR(D842/VLOOKUP(A842,'Dados-Status-Invest'!$1:$1000,5,FALSE()),"")</f>
        <v/>
      </c>
      <c r="G842" s="8" t="str">
        <f aca="false">IFERROR(D842/VLOOKUP(A842,'Dados-Status-Invest'!$1:$1000,6,FALSE()),"")</f>
        <v/>
      </c>
      <c r="H842" s="8" t="str">
        <f aca="false">IFERROR(VLOOKUP(A842,'Dados-Status-Invest'!$1:$1000,12,FALSE())*J842,"")</f>
        <v/>
      </c>
      <c r="I842" s="8" t="str">
        <f aca="false">IFERROR(D842/VLOOKUP(A842,'Dados-Status-Invest'!$1:$1000,14,FALSE()),"")</f>
        <v/>
      </c>
      <c r="J842" s="9" t="str">
        <f aca="false">IFERROR(D842/VLOOKUP(A842,'Dados-Status-Invest'!$1:$1000,10,FALSE()),"")</f>
        <v/>
      </c>
      <c r="K842" s="10" t="str">
        <f aca="false">IFERROR(VLOOKUP(A842,'Dados-Status-Invest'!$1:$1000,3,FALSE())/100,"")</f>
        <v/>
      </c>
      <c r="L842" s="11" t="str">
        <f aca="false">IFERROR(VLOOKUP(A842,'Dados-Status-Invest'!$1:$1000,MATCH(L$1,'Dados-Status-Invest'!$2:$2,0),FALSE())/100,"")</f>
        <v/>
      </c>
      <c r="M842" s="10" t="str">
        <f aca="false">IFERROR(VLOOKUP(A842,'Dados-Status-Invest'!$1:$1000,MATCH(M$1,'Dados-Status-Invest'!$2:$2,0),FALSE())/100,"")</f>
        <v/>
      </c>
      <c r="N842" s="10" t="str">
        <f aca="false">IFERROR(VLOOKUP(A842,'Dados-Status-Invest'!$1:$1000,MATCH(N$1,'Dados-Status-Invest'!$2:$2,0),FALSE())/100,"")</f>
        <v/>
      </c>
      <c r="O842" s="10" t="str">
        <f aca="false">IFERROR(VLOOKUP(A842,'Dados-Status-Invest'!$1:$1000,MATCH(O$1,'Dados-Status-Invest'!$2:$2,0),FALSE())/100,"")</f>
        <v/>
      </c>
      <c r="P842" s="10" t="str">
        <f aca="false">IFERROR(VLOOKUP(A842,'Dados-Status-Invest'!$1:$1000,MATCH(P$1,'Dados-Status-Invest'!$2:$2,0),FALSE())/100,"")</f>
        <v/>
      </c>
      <c r="Q842" s="10" t="str">
        <f aca="false">IFERROR(VLOOKUP(A842,'Dados-Status-Invest'!$1:$1000,MATCH(Q$1,'Dados-Status-Invest'!$2:$2,0),FALSE())/100,"")</f>
        <v/>
      </c>
      <c r="R842" s="12" t="str">
        <f aca="false">IFERROR(VLOOKUP(A842,'Dados-Status-Invest'!$1:$1000,MATCH(R$1,'Dados-Status-Invest'!$2:$2,0),FALSE()),"")</f>
        <v/>
      </c>
      <c r="S842" s="12" t="str">
        <f aca="false">IFERROR(VLOOKUP(A842,'Dados-Status-Invest'!$1:$1000,MATCH(S$1,'Dados-Status-Invest'!$2:$2,0),FALSE()),"")</f>
        <v/>
      </c>
      <c r="T842" s="12" t="str">
        <f aca="false">IFERROR(VLOOKUP(A842,'Dados-Status-Invest'!$1:$1000,MATCH(T$1,'Dados-Status-Invest'!$2:$2,0),FALSE()),"")</f>
        <v/>
      </c>
      <c r="U842" s="12" t="str">
        <f aca="false">IFERROR(VLOOKUP(A842,'Dados-Status-Invest'!$1:$1000,MATCH(U$1,'Dados-Status-Invest'!$2:$2,0),FALSE()),"")</f>
        <v/>
      </c>
      <c r="V842" s="12" t="str">
        <f aca="false">IFERROR(VLOOKUP(A842,'Dados-Status-Invest'!$1:$1000,MATCH(V$1,'Dados-Status-Invest'!$2:$2,0),FALSE()),"")</f>
        <v/>
      </c>
      <c r="W842" s="10" t="str">
        <f aca="false">IFERROR(VLOOKUP(A842,'Dados-Status-Invest'!$1:$1000,MATCH(W$1,'Dados-Status-Invest'!$2:$2,0),FALSE())/100,"")</f>
        <v/>
      </c>
      <c r="X842" s="10" t="str">
        <f aca="false">IFERROR(VLOOKUP(A842,'Dados-Status-Invest'!$1:$1000,MATCH(X$1,'Dados-Status-Invest'!$2:$2,0),FALSE())/100,"")</f>
        <v/>
      </c>
    </row>
    <row r="843" customFormat="false" ht="15.75" hidden="false" customHeight="false" outlineLevel="0" collapsed="false">
      <c r="B843" s="7" t="str">
        <f aca="false">IFERROR(VLOOKUP(LEFT(A843,4),Setor!A:D,2,FALSE()),"")</f>
        <v/>
      </c>
      <c r="C843" s="8" t="str">
        <f aca="false">IFERROR(__xludf.dummyfunction("IFERROR(IFERROR(GOOGLEFINANCE(A849,""price""),VLOOKUP(A849,'Dados-Status-Invest'!A:B,2,FALSE)),"""")"),"")</f>
        <v/>
      </c>
      <c r="D843" s="8" t="str">
        <f aca="false">IFERROR(VLOOKUP(A843,'Dados-Status-Invest'!$1:$1000,MATCH(D$1,'Dados-Status-Invest'!$2:$2,0),FALSE()),"")</f>
        <v/>
      </c>
      <c r="E843" s="8" t="e">
        <f aca="false">IF(D843+H843&gt;0,D843+H843,"")</f>
        <v>#VALUE!</v>
      </c>
      <c r="F843" s="8" t="str">
        <f aca="false">IFERROR(D843/VLOOKUP(A843,'Dados-Status-Invest'!$1:$1000,5,FALSE()),"")</f>
        <v/>
      </c>
      <c r="G843" s="8" t="str">
        <f aca="false">IFERROR(D843/VLOOKUP(A843,'Dados-Status-Invest'!$1:$1000,6,FALSE()),"")</f>
        <v/>
      </c>
      <c r="H843" s="8" t="str">
        <f aca="false">IFERROR(VLOOKUP(A843,'Dados-Status-Invest'!$1:$1000,12,FALSE())*J843,"")</f>
        <v/>
      </c>
      <c r="I843" s="8" t="str">
        <f aca="false">IFERROR(D843/VLOOKUP(A843,'Dados-Status-Invest'!$1:$1000,14,FALSE()),"")</f>
        <v/>
      </c>
      <c r="J843" s="9" t="str">
        <f aca="false">IFERROR(D843/VLOOKUP(A843,'Dados-Status-Invest'!$1:$1000,10,FALSE()),"")</f>
        <v/>
      </c>
      <c r="K843" s="10" t="str">
        <f aca="false">IFERROR(VLOOKUP(A843,'Dados-Status-Invest'!$1:$1000,3,FALSE())/100,"")</f>
        <v/>
      </c>
      <c r="L843" s="11" t="str">
        <f aca="false">IFERROR(VLOOKUP(A843,'Dados-Status-Invest'!$1:$1000,MATCH(L$1,'Dados-Status-Invest'!$2:$2,0),FALSE())/100,"")</f>
        <v/>
      </c>
      <c r="M843" s="10" t="str">
        <f aca="false">IFERROR(VLOOKUP(A843,'Dados-Status-Invest'!$1:$1000,MATCH(M$1,'Dados-Status-Invest'!$2:$2,0),FALSE())/100,"")</f>
        <v/>
      </c>
      <c r="N843" s="10" t="str">
        <f aca="false">IFERROR(VLOOKUP(A843,'Dados-Status-Invest'!$1:$1000,MATCH(N$1,'Dados-Status-Invest'!$2:$2,0),FALSE())/100,"")</f>
        <v/>
      </c>
      <c r="O843" s="10" t="str">
        <f aca="false">IFERROR(VLOOKUP(A843,'Dados-Status-Invest'!$1:$1000,MATCH(O$1,'Dados-Status-Invest'!$2:$2,0),FALSE())/100,"")</f>
        <v/>
      </c>
      <c r="P843" s="10" t="str">
        <f aca="false">IFERROR(VLOOKUP(A843,'Dados-Status-Invest'!$1:$1000,MATCH(P$1,'Dados-Status-Invest'!$2:$2,0),FALSE())/100,"")</f>
        <v/>
      </c>
      <c r="Q843" s="10" t="str">
        <f aca="false">IFERROR(VLOOKUP(A843,'Dados-Status-Invest'!$1:$1000,MATCH(Q$1,'Dados-Status-Invest'!$2:$2,0),FALSE())/100,"")</f>
        <v/>
      </c>
      <c r="R843" s="12" t="str">
        <f aca="false">IFERROR(VLOOKUP(A843,'Dados-Status-Invest'!$1:$1000,MATCH(R$1,'Dados-Status-Invest'!$2:$2,0),FALSE()),"")</f>
        <v/>
      </c>
      <c r="S843" s="12" t="str">
        <f aca="false">IFERROR(VLOOKUP(A843,'Dados-Status-Invest'!$1:$1000,MATCH(S$1,'Dados-Status-Invest'!$2:$2,0),FALSE()),"")</f>
        <v/>
      </c>
      <c r="T843" s="12" t="str">
        <f aca="false">IFERROR(VLOOKUP(A843,'Dados-Status-Invest'!$1:$1000,MATCH(T$1,'Dados-Status-Invest'!$2:$2,0),FALSE()),"")</f>
        <v/>
      </c>
      <c r="U843" s="12" t="str">
        <f aca="false">IFERROR(VLOOKUP(A843,'Dados-Status-Invest'!$1:$1000,MATCH(U$1,'Dados-Status-Invest'!$2:$2,0),FALSE()),"")</f>
        <v/>
      </c>
      <c r="V843" s="12" t="str">
        <f aca="false">IFERROR(VLOOKUP(A843,'Dados-Status-Invest'!$1:$1000,MATCH(V$1,'Dados-Status-Invest'!$2:$2,0),FALSE()),"")</f>
        <v/>
      </c>
      <c r="W843" s="10" t="str">
        <f aca="false">IFERROR(VLOOKUP(A843,'Dados-Status-Invest'!$1:$1000,MATCH(W$1,'Dados-Status-Invest'!$2:$2,0),FALSE())/100,"")</f>
        <v/>
      </c>
      <c r="X843" s="10" t="str">
        <f aca="false">IFERROR(VLOOKUP(A843,'Dados-Status-Invest'!$1:$1000,MATCH(X$1,'Dados-Status-Invest'!$2:$2,0),FALSE())/100,"")</f>
        <v/>
      </c>
    </row>
    <row r="844" customFormat="false" ht="15.75" hidden="false" customHeight="false" outlineLevel="0" collapsed="false">
      <c r="B844" s="7" t="str">
        <f aca="false">IFERROR(VLOOKUP(LEFT(A844,4),Setor!A:D,2,FALSE()),"")</f>
        <v/>
      </c>
      <c r="C844" s="8" t="str">
        <f aca="false">IFERROR(__xludf.dummyfunction("IFERROR(IFERROR(GOOGLEFINANCE(A850,""price""),VLOOKUP(A850,'Dados-Status-Invest'!A:B,2,FALSE)),"""")"),"")</f>
        <v/>
      </c>
      <c r="D844" s="8" t="str">
        <f aca="false">IFERROR(VLOOKUP(A844,'Dados-Status-Invest'!$1:$1000,MATCH(D$1,'Dados-Status-Invest'!$2:$2,0),FALSE()),"")</f>
        <v/>
      </c>
      <c r="E844" s="8" t="e">
        <f aca="false">IF(D844+H844&gt;0,D844+H844,"")</f>
        <v>#VALUE!</v>
      </c>
      <c r="F844" s="8" t="str">
        <f aca="false">IFERROR(D844/VLOOKUP(A844,'Dados-Status-Invest'!$1:$1000,5,FALSE()),"")</f>
        <v/>
      </c>
      <c r="G844" s="8" t="str">
        <f aca="false">IFERROR(D844/VLOOKUP(A844,'Dados-Status-Invest'!$1:$1000,6,FALSE()),"")</f>
        <v/>
      </c>
      <c r="H844" s="8" t="str">
        <f aca="false">IFERROR(VLOOKUP(A844,'Dados-Status-Invest'!$1:$1000,12,FALSE())*J844,"")</f>
        <v/>
      </c>
      <c r="I844" s="8" t="str">
        <f aca="false">IFERROR(D844/VLOOKUP(A844,'Dados-Status-Invest'!$1:$1000,14,FALSE()),"")</f>
        <v/>
      </c>
      <c r="J844" s="9" t="str">
        <f aca="false">IFERROR(D844/VLOOKUP(A844,'Dados-Status-Invest'!$1:$1000,10,FALSE()),"")</f>
        <v/>
      </c>
      <c r="K844" s="10" t="str">
        <f aca="false">IFERROR(VLOOKUP(A844,'Dados-Status-Invest'!$1:$1000,3,FALSE())/100,"")</f>
        <v/>
      </c>
      <c r="L844" s="11" t="str">
        <f aca="false">IFERROR(VLOOKUP(A844,'Dados-Status-Invest'!$1:$1000,MATCH(L$1,'Dados-Status-Invest'!$2:$2,0),FALSE())/100,"")</f>
        <v/>
      </c>
      <c r="M844" s="10" t="str">
        <f aca="false">IFERROR(VLOOKUP(A844,'Dados-Status-Invest'!$1:$1000,MATCH(M$1,'Dados-Status-Invest'!$2:$2,0),FALSE())/100,"")</f>
        <v/>
      </c>
      <c r="N844" s="10" t="str">
        <f aca="false">IFERROR(VLOOKUP(A844,'Dados-Status-Invest'!$1:$1000,MATCH(N$1,'Dados-Status-Invest'!$2:$2,0),FALSE())/100,"")</f>
        <v/>
      </c>
      <c r="O844" s="10" t="str">
        <f aca="false">IFERROR(VLOOKUP(A844,'Dados-Status-Invest'!$1:$1000,MATCH(O$1,'Dados-Status-Invest'!$2:$2,0),FALSE())/100,"")</f>
        <v/>
      </c>
      <c r="P844" s="10" t="str">
        <f aca="false">IFERROR(VLOOKUP(A844,'Dados-Status-Invest'!$1:$1000,MATCH(P$1,'Dados-Status-Invest'!$2:$2,0),FALSE())/100,"")</f>
        <v/>
      </c>
      <c r="Q844" s="10" t="str">
        <f aca="false">IFERROR(VLOOKUP(A844,'Dados-Status-Invest'!$1:$1000,MATCH(Q$1,'Dados-Status-Invest'!$2:$2,0),FALSE())/100,"")</f>
        <v/>
      </c>
      <c r="R844" s="12" t="str">
        <f aca="false">IFERROR(VLOOKUP(A844,'Dados-Status-Invest'!$1:$1000,MATCH(R$1,'Dados-Status-Invest'!$2:$2,0),FALSE()),"")</f>
        <v/>
      </c>
      <c r="S844" s="12" t="str">
        <f aca="false">IFERROR(VLOOKUP(A844,'Dados-Status-Invest'!$1:$1000,MATCH(S$1,'Dados-Status-Invest'!$2:$2,0),FALSE()),"")</f>
        <v/>
      </c>
      <c r="T844" s="12" t="str">
        <f aca="false">IFERROR(VLOOKUP(A844,'Dados-Status-Invest'!$1:$1000,MATCH(T$1,'Dados-Status-Invest'!$2:$2,0),FALSE()),"")</f>
        <v/>
      </c>
      <c r="U844" s="12" t="str">
        <f aca="false">IFERROR(VLOOKUP(A844,'Dados-Status-Invest'!$1:$1000,MATCH(U$1,'Dados-Status-Invest'!$2:$2,0),FALSE()),"")</f>
        <v/>
      </c>
      <c r="V844" s="12" t="str">
        <f aca="false">IFERROR(VLOOKUP(A844,'Dados-Status-Invest'!$1:$1000,MATCH(V$1,'Dados-Status-Invest'!$2:$2,0),FALSE()),"")</f>
        <v/>
      </c>
      <c r="W844" s="10" t="str">
        <f aca="false">IFERROR(VLOOKUP(A844,'Dados-Status-Invest'!$1:$1000,MATCH(W$1,'Dados-Status-Invest'!$2:$2,0),FALSE())/100,"")</f>
        <v/>
      </c>
      <c r="X844" s="10" t="str">
        <f aca="false">IFERROR(VLOOKUP(A844,'Dados-Status-Invest'!$1:$1000,MATCH(X$1,'Dados-Status-Invest'!$2:$2,0),FALSE())/100,"")</f>
        <v/>
      </c>
    </row>
    <row r="845" customFormat="false" ht="15.75" hidden="false" customHeight="false" outlineLevel="0" collapsed="false">
      <c r="B845" s="7" t="str">
        <f aca="false">IFERROR(VLOOKUP(LEFT(A845,4),Setor!A:D,2,FALSE()),"")</f>
        <v/>
      </c>
      <c r="C845" s="8" t="str">
        <f aca="false">IFERROR(__xludf.dummyfunction("IFERROR(IFERROR(GOOGLEFINANCE(A851,""price""),VLOOKUP(A851,'Dados-Status-Invest'!A:B,2,FALSE)),"""")"),"")</f>
        <v/>
      </c>
      <c r="D845" s="8" t="str">
        <f aca="false">IFERROR(VLOOKUP(A845,'Dados-Status-Invest'!$1:$1000,MATCH(D$1,'Dados-Status-Invest'!$2:$2,0),FALSE()),"")</f>
        <v/>
      </c>
      <c r="E845" s="8" t="e">
        <f aca="false">IF(D845+H845&gt;0,D845+H845,"")</f>
        <v>#VALUE!</v>
      </c>
      <c r="F845" s="8" t="str">
        <f aca="false">IFERROR(D845/VLOOKUP(A845,'Dados-Status-Invest'!$1:$1000,5,FALSE()),"")</f>
        <v/>
      </c>
      <c r="G845" s="8" t="str">
        <f aca="false">IFERROR(D845/VLOOKUP(A845,'Dados-Status-Invest'!$1:$1000,6,FALSE()),"")</f>
        <v/>
      </c>
      <c r="H845" s="8" t="str">
        <f aca="false">IFERROR(VLOOKUP(A845,'Dados-Status-Invest'!$1:$1000,12,FALSE())*J845,"")</f>
        <v/>
      </c>
      <c r="I845" s="8" t="str">
        <f aca="false">IFERROR(D845/VLOOKUP(A845,'Dados-Status-Invest'!$1:$1000,14,FALSE()),"")</f>
        <v/>
      </c>
      <c r="J845" s="9" t="str">
        <f aca="false">IFERROR(D845/VLOOKUP(A845,'Dados-Status-Invest'!$1:$1000,10,FALSE()),"")</f>
        <v/>
      </c>
      <c r="K845" s="10" t="str">
        <f aca="false">IFERROR(VLOOKUP(A845,'Dados-Status-Invest'!$1:$1000,3,FALSE())/100,"")</f>
        <v/>
      </c>
      <c r="L845" s="11" t="str">
        <f aca="false">IFERROR(VLOOKUP(A845,'Dados-Status-Invest'!$1:$1000,MATCH(L$1,'Dados-Status-Invest'!$2:$2,0),FALSE())/100,"")</f>
        <v/>
      </c>
      <c r="M845" s="10" t="str">
        <f aca="false">IFERROR(VLOOKUP(A845,'Dados-Status-Invest'!$1:$1000,MATCH(M$1,'Dados-Status-Invest'!$2:$2,0),FALSE())/100,"")</f>
        <v/>
      </c>
      <c r="N845" s="10" t="str">
        <f aca="false">IFERROR(VLOOKUP(A845,'Dados-Status-Invest'!$1:$1000,MATCH(N$1,'Dados-Status-Invest'!$2:$2,0),FALSE())/100,"")</f>
        <v/>
      </c>
      <c r="O845" s="10" t="str">
        <f aca="false">IFERROR(VLOOKUP(A845,'Dados-Status-Invest'!$1:$1000,MATCH(O$1,'Dados-Status-Invest'!$2:$2,0),FALSE())/100,"")</f>
        <v/>
      </c>
      <c r="P845" s="10" t="str">
        <f aca="false">IFERROR(VLOOKUP(A845,'Dados-Status-Invest'!$1:$1000,MATCH(P$1,'Dados-Status-Invest'!$2:$2,0),FALSE())/100,"")</f>
        <v/>
      </c>
      <c r="Q845" s="10" t="str">
        <f aca="false">IFERROR(VLOOKUP(A845,'Dados-Status-Invest'!$1:$1000,MATCH(Q$1,'Dados-Status-Invest'!$2:$2,0),FALSE())/100,"")</f>
        <v/>
      </c>
      <c r="R845" s="12" t="str">
        <f aca="false">IFERROR(VLOOKUP(A845,'Dados-Status-Invest'!$1:$1000,MATCH(R$1,'Dados-Status-Invest'!$2:$2,0),FALSE()),"")</f>
        <v/>
      </c>
      <c r="S845" s="12" t="str">
        <f aca="false">IFERROR(VLOOKUP(A845,'Dados-Status-Invest'!$1:$1000,MATCH(S$1,'Dados-Status-Invest'!$2:$2,0),FALSE()),"")</f>
        <v/>
      </c>
      <c r="T845" s="12" t="str">
        <f aca="false">IFERROR(VLOOKUP(A845,'Dados-Status-Invest'!$1:$1000,MATCH(T$1,'Dados-Status-Invest'!$2:$2,0),FALSE()),"")</f>
        <v/>
      </c>
      <c r="U845" s="12" t="str">
        <f aca="false">IFERROR(VLOOKUP(A845,'Dados-Status-Invest'!$1:$1000,MATCH(U$1,'Dados-Status-Invest'!$2:$2,0),FALSE()),"")</f>
        <v/>
      </c>
      <c r="V845" s="12" t="str">
        <f aca="false">IFERROR(VLOOKUP(A845,'Dados-Status-Invest'!$1:$1000,MATCH(V$1,'Dados-Status-Invest'!$2:$2,0),FALSE()),"")</f>
        <v/>
      </c>
      <c r="W845" s="10" t="str">
        <f aca="false">IFERROR(VLOOKUP(A845,'Dados-Status-Invest'!$1:$1000,MATCH(W$1,'Dados-Status-Invest'!$2:$2,0),FALSE())/100,"")</f>
        <v/>
      </c>
      <c r="X845" s="10" t="str">
        <f aca="false">IFERROR(VLOOKUP(A845,'Dados-Status-Invest'!$1:$1000,MATCH(X$1,'Dados-Status-Invest'!$2:$2,0),FALSE())/100,"")</f>
        <v/>
      </c>
    </row>
    <row r="846" customFormat="false" ht="15.75" hidden="false" customHeight="false" outlineLevel="0" collapsed="false">
      <c r="B846" s="7" t="str">
        <f aca="false">IFERROR(VLOOKUP(LEFT(A846,4),Setor!A:D,2,FALSE()),"")</f>
        <v/>
      </c>
      <c r="C846" s="8" t="str">
        <f aca="false">IFERROR(__xludf.dummyfunction("IFERROR(IFERROR(GOOGLEFINANCE(A852,""price""),VLOOKUP(A852,'Dados-Status-Invest'!A:B,2,FALSE)),"""")"),"")</f>
        <v/>
      </c>
      <c r="D846" s="8" t="str">
        <f aca="false">IFERROR(VLOOKUP(A846,'Dados-Status-Invest'!$1:$1000,MATCH(D$1,'Dados-Status-Invest'!$2:$2,0),FALSE()),"")</f>
        <v/>
      </c>
      <c r="E846" s="8" t="e">
        <f aca="false">IF(D846+H846&gt;0,D846+H846,"")</f>
        <v>#VALUE!</v>
      </c>
      <c r="F846" s="8" t="str">
        <f aca="false">IFERROR(D846/VLOOKUP(A846,'Dados-Status-Invest'!$1:$1000,5,FALSE()),"")</f>
        <v/>
      </c>
      <c r="G846" s="8" t="str">
        <f aca="false">IFERROR(D846/VLOOKUP(A846,'Dados-Status-Invest'!$1:$1000,6,FALSE()),"")</f>
        <v/>
      </c>
      <c r="H846" s="8" t="str">
        <f aca="false">IFERROR(VLOOKUP(A846,'Dados-Status-Invest'!$1:$1000,12,FALSE())*J846,"")</f>
        <v/>
      </c>
      <c r="I846" s="8" t="str">
        <f aca="false">IFERROR(D846/VLOOKUP(A846,'Dados-Status-Invest'!$1:$1000,14,FALSE()),"")</f>
        <v/>
      </c>
      <c r="J846" s="9" t="str">
        <f aca="false">IFERROR(D846/VLOOKUP(A846,'Dados-Status-Invest'!$1:$1000,10,FALSE()),"")</f>
        <v/>
      </c>
      <c r="K846" s="10" t="str">
        <f aca="false">IFERROR(VLOOKUP(A846,'Dados-Status-Invest'!$1:$1000,3,FALSE())/100,"")</f>
        <v/>
      </c>
      <c r="L846" s="11" t="str">
        <f aca="false">IFERROR(VLOOKUP(A846,'Dados-Status-Invest'!$1:$1000,MATCH(L$1,'Dados-Status-Invest'!$2:$2,0),FALSE())/100,"")</f>
        <v/>
      </c>
      <c r="M846" s="10" t="str">
        <f aca="false">IFERROR(VLOOKUP(A846,'Dados-Status-Invest'!$1:$1000,MATCH(M$1,'Dados-Status-Invest'!$2:$2,0),FALSE())/100,"")</f>
        <v/>
      </c>
      <c r="N846" s="10" t="str">
        <f aca="false">IFERROR(VLOOKUP(A846,'Dados-Status-Invest'!$1:$1000,MATCH(N$1,'Dados-Status-Invest'!$2:$2,0),FALSE())/100,"")</f>
        <v/>
      </c>
      <c r="O846" s="10" t="str">
        <f aca="false">IFERROR(VLOOKUP(A846,'Dados-Status-Invest'!$1:$1000,MATCH(O$1,'Dados-Status-Invest'!$2:$2,0),FALSE())/100,"")</f>
        <v/>
      </c>
      <c r="P846" s="10" t="str">
        <f aca="false">IFERROR(VLOOKUP(A846,'Dados-Status-Invest'!$1:$1000,MATCH(P$1,'Dados-Status-Invest'!$2:$2,0),FALSE())/100,"")</f>
        <v/>
      </c>
      <c r="Q846" s="10" t="str">
        <f aca="false">IFERROR(VLOOKUP(A846,'Dados-Status-Invest'!$1:$1000,MATCH(Q$1,'Dados-Status-Invest'!$2:$2,0),FALSE())/100,"")</f>
        <v/>
      </c>
      <c r="R846" s="12" t="str">
        <f aca="false">IFERROR(VLOOKUP(A846,'Dados-Status-Invest'!$1:$1000,MATCH(R$1,'Dados-Status-Invest'!$2:$2,0),FALSE()),"")</f>
        <v/>
      </c>
      <c r="S846" s="12" t="str">
        <f aca="false">IFERROR(VLOOKUP(A846,'Dados-Status-Invest'!$1:$1000,MATCH(S$1,'Dados-Status-Invest'!$2:$2,0),FALSE()),"")</f>
        <v/>
      </c>
      <c r="T846" s="12" t="str">
        <f aca="false">IFERROR(VLOOKUP(A846,'Dados-Status-Invest'!$1:$1000,MATCH(T$1,'Dados-Status-Invest'!$2:$2,0),FALSE()),"")</f>
        <v/>
      </c>
      <c r="U846" s="12" t="str">
        <f aca="false">IFERROR(VLOOKUP(A846,'Dados-Status-Invest'!$1:$1000,MATCH(U$1,'Dados-Status-Invest'!$2:$2,0),FALSE()),"")</f>
        <v/>
      </c>
      <c r="V846" s="12" t="str">
        <f aca="false">IFERROR(VLOOKUP(A846,'Dados-Status-Invest'!$1:$1000,MATCH(V$1,'Dados-Status-Invest'!$2:$2,0),FALSE()),"")</f>
        <v/>
      </c>
      <c r="W846" s="10" t="str">
        <f aca="false">IFERROR(VLOOKUP(A846,'Dados-Status-Invest'!$1:$1000,MATCH(W$1,'Dados-Status-Invest'!$2:$2,0),FALSE())/100,"")</f>
        <v/>
      </c>
      <c r="X846" s="10" t="str">
        <f aca="false">IFERROR(VLOOKUP(A846,'Dados-Status-Invest'!$1:$1000,MATCH(X$1,'Dados-Status-Invest'!$2:$2,0),FALSE())/100,"")</f>
        <v/>
      </c>
    </row>
    <row r="847" customFormat="false" ht="15.75" hidden="false" customHeight="false" outlineLevel="0" collapsed="false">
      <c r="B847" s="7" t="str">
        <f aca="false">IFERROR(VLOOKUP(LEFT(A847,4),Setor!A:D,2,FALSE()),"")</f>
        <v/>
      </c>
      <c r="C847" s="8" t="str">
        <f aca="false">IFERROR(__xludf.dummyfunction("IFERROR(IFERROR(GOOGLEFINANCE(A853,""price""),VLOOKUP(A853,'Dados-Status-Invest'!A:B,2,FALSE)),"""")"),"")</f>
        <v/>
      </c>
      <c r="D847" s="8" t="str">
        <f aca="false">IFERROR(VLOOKUP(A847,'Dados-Status-Invest'!$1:$1000,MATCH(D$1,'Dados-Status-Invest'!$2:$2,0),FALSE()),"")</f>
        <v/>
      </c>
      <c r="E847" s="8" t="e">
        <f aca="false">IF(D847+H847&gt;0,D847+H847,"")</f>
        <v>#VALUE!</v>
      </c>
      <c r="F847" s="8" t="str">
        <f aca="false">IFERROR(D847/VLOOKUP(A847,'Dados-Status-Invest'!$1:$1000,5,FALSE()),"")</f>
        <v/>
      </c>
      <c r="G847" s="8" t="str">
        <f aca="false">IFERROR(D847/VLOOKUP(A847,'Dados-Status-Invest'!$1:$1000,6,FALSE()),"")</f>
        <v/>
      </c>
      <c r="H847" s="8" t="str">
        <f aca="false">IFERROR(VLOOKUP(A847,'Dados-Status-Invest'!$1:$1000,12,FALSE())*J847,"")</f>
        <v/>
      </c>
      <c r="I847" s="8" t="str">
        <f aca="false">IFERROR(D847/VLOOKUP(A847,'Dados-Status-Invest'!$1:$1000,14,FALSE()),"")</f>
        <v/>
      </c>
      <c r="J847" s="9" t="str">
        <f aca="false">IFERROR(D847/VLOOKUP(A847,'Dados-Status-Invest'!$1:$1000,10,FALSE()),"")</f>
        <v/>
      </c>
      <c r="K847" s="10" t="str">
        <f aca="false">IFERROR(VLOOKUP(A847,'Dados-Status-Invest'!$1:$1000,3,FALSE())/100,"")</f>
        <v/>
      </c>
      <c r="L847" s="11" t="str">
        <f aca="false">IFERROR(VLOOKUP(A847,'Dados-Status-Invest'!$1:$1000,MATCH(L$1,'Dados-Status-Invest'!$2:$2,0),FALSE())/100,"")</f>
        <v/>
      </c>
      <c r="M847" s="10" t="str">
        <f aca="false">IFERROR(VLOOKUP(A847,'Dados-Status-Invest'!$1:$1000,MATCH(M$1,'Dados-Status-Invest'!$2:$2,0),FALSE())/100,"")</f>
        <v/>
      </c>
      <c r="N847" s="10" t="str">
        <f aca="false">IFERROR(VLOOKUP(A847,'Dados-Status-Invest'!$1:$1000,MATCH(N$1,'Dados-Status-Invest'!$2:$2,0),FALSE())/100,"")</f>
        <v/>
      </c>
      <c r="O847" s="10" t="str">
        <f aca="false">IFERROR(VLOOKUP(A847,'Dados-Status-Invest'!$1:$1000,MATCH(O$1,'Dados-Status-Invest'!$2:$2,0),FALSE())/100,"")</f>
        <v/>
      </c>
      <c r="P847" s="10" t="str">
        <f aca="false">IFERROR(VLOOKUP(A847,'Dados-Status-Invest'!$1:$1000,MATCH(P$1,'Dados-Status-Invest'!$2:$2,0),FALSE())/100,"")</f>
        <v/>
      </c>
      <c r="Q847" s="10" t="str">
        <f aca="false">IFERROR(VLOOKUP(A847,'Dados-Status-Invest'!$1:$1000,MATCH(Q$1,'Dados-Status-Invest'!$2:$2,0),FALSE())/100,"")</f>
        <v/>
      </c>
      <c r="R847" s="12" t="str">
        <f aca="false">IFERROR(VLOOKUP(A847,'Dados-Status-Invest'!$1:$1000,MATCH(R$1,'Dados-Status-Invest'!$2:$2,0),FALSE()),"")</f>
        <v/>
      </c>
      <c r="S847" s="12" t="str">
        <f aca="false">IFERROR(VLOOKUP(A847,'Dados-Status-Invest'!$1:$1000,MATCH(S$1,'Dados-Status-Invest'!$2:$2,0),FALSE()),"")</f>
        <v/>
      </c>
      <c r="T847" s="12" t="str">
        <f aca="false">IFERROR(VLOOKUP(A847,'Dados-Status-Invest'!$1:$1000,MATCH(T$1,'Dados-Status-Invest'!$2:$2,0),FALSE()),"")</f>
        <v/>
      </c>
      <c r="U847" s="12" t="str">
        <f aca="false">IFERROR(VLOOKUP(A847,'Dados-Status-Invest'!$1:$1000,MATCH(U$1,'Dados-Status-Invest'!$2:$2,0),FALSE()),"")</f>
        <v/>
      </c>
      <c r="V847" s="12" t="str">
        <f aca="false">IFERROR(VLOOKUP(A847,'Dados-Status-Invest'!$1:$1000,MATCH(V$1,'Dados-Status-Invest'!$2:$2,0),FALSE()),"")</f>
        <v/>
      </c>
      <c r="W847" s="10" t="str">
        <f aca="false">IFERROR(VLOOKUP(A847,'Dados-Status-Invest'!$1:$1000,MATCH(W$1,'Dados-Status-Invest'!$2:$2,0),FALSE())/100,"")</f>
        <v/>
      </c>
      <c r="X847" s="10" t="str">
        <f aca="false">IFERROR(VLOOKUP(A847,'Dados-Status-Invest'!$1:$1000,MATCH(X$1,'Dados-Status-Invest'!$2:$2,0),FALSE())/100,"")</f>
        <v/>
      </c>
    </row>
    <row r="848" customFormat="false" ht="15.75" hidden="false" customHeight="false" outlineLevel="0" collapsed="false">
      <c r="B848" s="7" t="str">
        <f aca="false">IFERROR(VLOOKUP(LEFT(A848,4),Setor!A:D,2,FALSE()),"")</f>
        <v/>
      </c>
      <c r="C848" s="8" t="str">
        <f aca="false">IFERROR(__xludf.dummyfunction("IFERROR(IFERROR(GOOGLEFINANCE(A854,""price""),VLOOKUP(A854,'Dados-Status-Invest'!A:B,2,FALSE)),"""")"),"")</f>
        <v/>
      </c>
      <c r="D848" s="8" t="str">
        <f aca="false">IFERROR(VLOOKUP(A848,'Dados-Status-Invest'!$1:$1000,MATCH(D$1,'Dados-Status-Invest'!$2:$2,0),FALSE()),"")</f>
        <v/>
      </c>
      <c r="E848" s="8" t="e">
        <f aca="false">IF(D848+H848&gt;0,D848+H848,"")</f>
        <v>#VALUE!</v>
      </c>
      <c r="F848" s="8" t="str">
        <f aca="false">IFERROR(D848/VLOOKUP(A848,'Dados-Status-Invest'!$1:$1000,5,FALSE()),"")</f>
        <v/>
      </c>
      <c r="G848" s="8" t="str">
        <f aca="false">IFERROR(D848/VLOOKUP(A848,'Dados-Status-Invest'!$1:$1000,6,FALSE()),"")</f>
        <v/>
      </c>
      <c r="H848" s="8" t="str">
        <f aca="false">IFERROR(VLOOKUP(A848,'Dados-Status-Invest'!$1:$1000,12,FALSE())*J848,"")</f>
        <v/>
      </c>
      <c r="I848" s="8" t="str">
        <f aca="false">IFERROR(D848/VLOOKUP(A848,'Dados-Status-Invest'!$1:$1000,14,FALSE()),"")</f>
        <v/>
      </c>
      <c r="J848" s="9" t="str">
        <f aca="false">IFERROR(D848/VLOOKUP(A848,'Dados-Status-Invest'!$1:$1000,10,FALSE()),"")</f>
        <v/>
      </c>
      <c r="K848" s="10" t="str">
        <f aca="false">IFERROR(VLOOKUP(A848,'Dados-Status-Invest'!$1:$1000,3,FALSE())/100,"")</f>
        <v/>
      </c>
      <c r="L848" s="11" t="str">
        <f aca="false">IFERROR(VLOOKUP(A848,'Dados-Status-Invest'!$1:$1000,MATCH(L$1,'Dados-Status-Invest'!$2:$2,0),FALSE())/100,"")</f>
        <v/>
      </c>
      <c r="M848" s="10" t="str">
        <f aca="false">IFERROR(VLOOKUP(A848,'Dados-Status-Invest'!$1:$1000,MATCH(M$1,'Dados-Status-Invest'!$2:$2,0),FALSE())/100,"")</f>
        <v/>
      </c>
      <c r="N848" s="10" t="str">
        <f aca="false">IFERROR(VLOOKUP(A848,'Dados-Status-Invest'!$1:$1000,MATCH(N$1,'Dados-Status-Invest'!$2:$2,0),FALSE())/100,"")</f>
        <v/>
      </c>
      <c r="O848" s="10" t="str">
        <f aca="false">IFERROR(VLOOKUP(A848,'Dados-Status-Invest'!$1:$1000,MATCH(O$1,'Dados-Status-Invest'!$2:$2,0),FALSE())/100,"")</f>
        <v/>
      </c>
      <c r="P848" s="10" t="str">
        <f aca="false">IFERROR(VLOOKUP(A848,'Dados-Status-Invest'!$1:$1000,MATCH(P$1,'Dados-Status-Invest'!$2:$2,0),FALSE())/100,"")</f>
        <v/>
      </c>
      <c r="Q848" s="10" t="str">
        <f aca="false">IFERROR(VLOOKUP(A848,'Dados-Status-Invest'!$1:$1000,MATCH(Q$1,'Dados-Status-Invest'!$2:$2,0),FALSE())/100,"")</f>
        <v/>
      </c>
      <c r="R848" s="12" t="str">
        <f aca="false">IFERROR(VLOOKUP(A848,'Dados-Status-Invest'!$1:$1000,MATCH(R$1,'Dados-Status-Invest'!$2:$2,0),FALSE()),"")</f>
        <v/>
      </c>
      <c r="S848" s="12" t="str">
        <f aca="false">IFERROR(VLOOKUP(A848,'Dados-Status-Invest'!$1:$1000,MATCH(S$1,'Dados-Status-Invest'!$2:$2,0),FALSE()),"")</f>
        <v/>
      </c>
      <c r="T848" s="12" t="str">
        <f aca="false">IFERROR(VLOOKUP(A848,'Dados-Status-Invest'!$1:$1000,MATCH(T$1,'Dados-Status-Invest'!$2:$2,0),FALSE()),"")</f>
        <v/>
      </c>
      <c r="U848" s="12" t="str">
        <f aca="false">IFERROR(VLOOKUP(A848,'Dados-Status-Invest'!$1:$1000,MATCH(U$1,'Dados-Status-Invest'!$2:$2,0),FALSE()),"")</f>
        <v/>
      </c>
      <c r="V848" s="12" t="str">
        <f aca="false">IFERROR(VLOOKUP(A848,'Dados-Status-Invest'!$1:$1000,MATCH(V$1,'Dados-Status-Invest'!$2:$2,0),FALSE()),"")</f>
        <v/>
      </c>
      <c r="W848" s="10" t="str">
        <f aca="false">IFERROR(VLOOKUP(A848,'Dados-Status-Invest'!$1:$1000,MATCH(W$1,'Dados-Status-Invest'!$2:$2,0),FALSE())/100,"")</f>
        <v/>
      </c>
      <c r="X848" s="10" t="str">
        <f aca="false">IFERROR(VLOOKUP(A848,'Dados-Status-Invest'!$1:$1000,MATCH(X$1,'Dados-Status-Invest'!$2:$2,0),FALSE())/100,"")</f>
        <v/>
      </c>
    </row>
    <row r="849" customFormat="false" ht="15.75" hidden="false" customHeight="false" outlineLevel="0" collapsed="false">
      <c r="B849" s="7" t="str">
        <f aca="false">IFERROR(VLOOKUP(LEFT(A849,4),Setor!A:D,2,FALSE()),"")</f>
        <v/>
      </c>
      <c r="C849" s="8" t="str">
        <f aca="false">IFERROR(__xludf.dummyfunction("IFERROR(IFERROR(GOOGLEFINANCE(A855,""price""),VLOOKUP(A855,'Dados-Status-Invest'!A:B,2,FALSE)),"""")"),"")</f>
        <v/>
      </c>
      <c r="D849" s="8" t="str">
        <f aca="false">IFERROR(VLOOKUP(A849,'Dados-Status-Invest'!$1:$1000,MATCH(D$1,'Dados-Status-Invest'!$2:$2,0),FALSE()),"")</f>
        <v/>
      </c>
      <c r="E849" s="8" t="e">
        <f aca="false">IF(D849+H849&gt;0,D849+H849,"")</f>
        <v>#VALUE!</v>
      </c>
      <c r="F849" s="8" t="str">
        <f aca="false">IFERROR(D849/VLOOKUP(A849,'Dados-Status-Invest'!$1:$1000,5,FALSE()),"")</f>
        <v/>
      </c>
      <c r="G849" s="8" t="str">
        <f aca="false">IFERROR(D849/VLOOKUP(A849,'Dados-Status-Invest'!$1:$1000,6,FALSE()),"")</f>
        <v/>
      </c>
      <c r="H849" s="8" t="str">
        <f aca="false">IFERROR(VLOOKUP(A849,'Dados-Status-Invest'!$1:$1000,12,FALSE())*J849,"")</f>
        <v/>
      </c>
      <c r="I849" s="8" t="str">
        <f aca="false">IFERROR(D849/VLOOKUP(A849,'Dados-Status-Invest'!$1:$1000,14,FALSE()),"")</f>
        <v/>
      </c>
      <c r="J849" s="9" t="str">
        <f aca="false">IFERROR(D849/VLOOKUP(A849,'Dados-Status-Invest'!$1:$1000,10,FALSE()),"")</f>
        <v/>
      </c>
      <c r="K849" s="10" t="str">
        <f aca="false">IFERROR(VLOOKUP(A849,'Dados-Status-Invest'!$1:$1000,3,FALSE())/100,"")</f>
        <v/>
      </c>
      <c r="L849" s="11" t="str">
        <f aca="false">IFERROR(VLOOKUP(A849,'Dados-Status-Invest'!$1:$1000,MATCH(L$1,'Dados-Status-Invest'!$2:$2,0),FALSE())/100,"")</f>
        <v/>
      </c>
      <c r="M849" s="10" t="str">
        <f aca="false">IFERROR(VLOOKUP(A849,'Dados-Status-Invest'!$1:$1000,MATCH(M$1,'Dados-Status-Invest'!$2:$2,0),FALSE())/100,"")</f>
        <v/>
      </c>
      <c r="N849" s="10" t="str">
        <f aca="false">IFERROR(VLOOKUP(A849,'Dados-Status-Invest'!$1:$1000,MATCH(N$1,'Dados-Status-Invest'!$2:$2,0),FALSE())/100,"")</f>
        <v/>
      </c>
      <c r="O849" s="10" t="str">
        <f aca="false">IFERROR(VLOOKUP(A849,'Dados-Status-Invest'!$1:$1000,MATCH(O$1,'Dados-Status-Invest'!$2:$2,0),FALSE())/100,"")</f>
        <v/>
      </c>
      <c r="P849" s="10" t="str">
        <f aca="false">IFERROR(VLOOKUP(A849,'Dados-Status-Invest'!$1:$1000,MATCH(P$1,'Dados-Status-Invest'!$2:$2,0),FALSE())/100,"")</f>
        <v/>
      </c>
      <c r="Q849" s="10" t="str">
        <f aca="false">IFERROR(VLOOKUP(A849,'Dados-Status-Invest'!$1:$1000,MATCH(Q$1,'Dados-Status-Invest'!$2:$2,0),FALSE())/100,"")</f>
        <v/>
      </c>
      <c r="R849" s="12" t="str">
        <f aca="false">IFERROR(VLOOKUP(A849,'Dados-Status-Invest'!$1:$1000,MATCH(R$1,'Dados-Status-Invest'!$2:$2,0),FALSE()),"")</f>
        <v/>
      </c>
      <c r="S849" s="12" t="str">
        <f aca="false">IFERROR(VLOOKUP(A849,'Dados-Status-Invest'!$1:$1000,MATCH(S$1,'Dados-Status-Invest'!$2:$2,0),FALSE()),"")</f>
        <v/>
      </c>
      <c r="T849" s="12" t="str">
        <f aca="false">IFERROR(VLOOKUP(A849,'Dados-Status-Invest'!$1:$1000,MATCH(T$1,'Dados-Status-Invest'!$2:$2,0),FALSE()),"")</f>
        <v/>
      </c>
      <c r="U849" s="12" t="str">
        <f aca="false">IFERROR(VLOOKUP(A849,'Dados-Status-Invest'!$1:$1000,MATCH(U$1,'Dados-Status-Invest'!$2:$2,0),FALSE()),"")</f>
        <v/>
      </c>
      <c r="V849" s="12" t="str">
        <f aca="false">IFERROR(VLOOKUP(A849,'Dados-Status-Invest'!$1:$1000,MATCH(V$1,'Dados-Status-Invest'!$2:$2,0),FALSE()),"")</f>
        <v/>
      </c>
      <c r="W849" s="10" t="str">
        <f aca="false">IFERROR(VLOOKUP(A849,'Dados-Status-Invest'!$1:$1000,MATCH(W$1,'Dados-Status-Invest'!$2:$2,0),FALSE())/100,"")</f>
        <v/>
      </c>
      <c r="X849" s="10" t="str">
        <f aca="false">IFERROR(VLOOKUP(A849,'Dados-Status-Invest'!$1:$1000,MATCH(X$1,'Dados-Status-Invest'!$2:$2,0),FALSE())/100,"")</f>
        <v/>
      </c>
    </row>
    <row r="850" customFormat="false" ht="15.75" hidden="false" customHeight="false" outlineLevel="0" collapsed="false">
      <c r="B850" s="7" t="str">
        <f aca="false">IFERROR(VLOOKUP(LEFT(A850,4),Setor!A:D,2,FALSE()),"")</f>
        <v/>
      </c>
      <c r="C850" s="8" t="str">
        <f aca="false">IFERROR(__xludf.dummyfunction("IFERROR(IFERROR(GOOGLEFINANCE(A856,""price""),VLOOKUP(A856,'Dados-Status-Invest'!A:B,2,FALSE)),"""")"),"")</f>
        <v/>
      </c>
      <c r="D850" s="8" t="str">
        <f aca="false">IFERROR(VLOOKUP(A850,'Dados-Status-Invest'!$1:$1000,MATCH(D$1,'Dados-Status-Invest'!$2:$2,0),FALSE()),"")</f>
        <v/>
      </c>
      <c r="E850" s="8" t="e">
        <f aca="false">IF(D850+H850&gt;0,D850+H850,"")</f>
        <v>#VALUE!</v>
      </c>
      <c r="F850" s="8" t="str">
        <f aca="false">IFERROR(D850/VLOOKUP(A850,'Dados-Status-Invest'!$1:$1000,5,FALSE()),"")</f>
        <v/>
      </c>
      <c r="G850" s="8" t="str">
        <f aca="false">IFERROR(D850/VLOOKUP(A850,'Dados-Status-Invest'!$1:$1000,6,FALSE()),"")</f>
        <v/>
      </c>
      <c r="H850" s="8" t="str">
        <f aca="false">IFERROR(VLOOKUP(A850,'Dados-Status-Invest'!$1:$1000,12,FALSE())*J850,"")</f>
        <v/>
      </c>
      <c r="I850" s="8" t="str">
        <f aca="false">IFERROR(D850/VLOOKUP(A850,'Dados-Status-Invest'!$1:$1000,14,FALSE()),"")</f>
        <v/>
      </c>
      <c r="J850" s="9" t="str">
        <f aca="false">IFERROR(D850/VLOOKUP(A850,'Dados-Status-Invest'!$1:$1000,10,FALSE()),"")</f>
        <v/>
      </c>
      <c r="K850" s="10" t="str">
        <f aca="false">IFERROR(VLOOKUP(A850,'Dados-Status-Invest'!$1:$1000,3,FALSE())/100,"")</f>
        <v/>
      </c>
      <c r="L850" s="11" t="str">
        <f aca="false">IFERROR(VLOOKUP(A850,'Dados-Status-Invest'!$1:$1000,MATCH(L$1,'Dados-Status-Invest'!$2:$2,0),FALSE())/100,"")</f>
        <v/>
      </c>
      <c r="M850" s="10" t="str">
        <f aca="false">IFERROR(VLOOKUP(A850,'Dados-Status-Invest'!$1:$1000,MATCH(M$1,'Dados-Status-Invest'!$2:$2,0),FALSE())/100,"")</f>
        <v/>
      </c>
      <c r="N850" s="10" t="str">
        <f aca="false">IFERROR(VLOOKUP(A850,'Dados-Status-Invest'!$1:$1000,MATCH(N$1,'Dados-Status-Invest'!$2:$2,0),FALSE())/100,"")</f>
        <v/>
      </c>
      <c r="O850" s="10" t="str">
        <f aca="false">IFERROR(VLOOKUP(A850,'Dados-Status-Invest'!$1:$1000,MATCH(O$1,'Dados-Status-Invest'!$2:$2,0),FALSE())/100,"")</f>
        <v/>
      </c>
      <c r="P850" s="10" t="str">
        <f aca="false">IFERROR(VLOOKUP(A850,'Dados-Status-Invest'!$1:$1000,MATCH(P$1,'Dados-Status-Invest'!$2:$2,0),FALSE())/100,"")</f>
        <v/>
      </c>
      <c r="Q850" s="10" t="str">
        <f aca="false">IFERROR(VLOOKUP(A850,'Dados-Status-Invest'!$1:$1000,MATCH(Q$1,'Dados-Status-Invest'!$2:$2,0),FALSE())/100,"")</f>
        <v/>
      </c>
      <c r="R850" s="12" t="str">
        <f aca="false">IFERROR(VLOOKUP(A850,'Dados-Status-Invest'!$1:$1000,MATCH(R$1,'Dados-Status-Invest'!$2:$2,0),FALSE()),"")</f>
        <v/>
      </c>
      <c r="S850" s="12" t="str">
        <f aca="false">IFERROR(VLOOKUP(A850,'Dados-Status-Invest'!$1:$1000,MATCH(S$1,'Dados-Status-Invest'!$2:$2,0),FALSE()),"")</f>
        <v/>
      </c>
      <c r="T850" s="12" t="str">
        <f aca="false">IFERROR(VLOOKUP(A850,'Dados-Status-Invest'!$1:$1000,MATCH(T$1,'Dados-Status-Invest'!$2:$2,0),FALSE()),"")</f>
        <v/>
      </c>
      <c r="U850" s="12" t="str">
        <f aca="false">IFERROR(VLOOKUP(A850,'Dados-Status-Invest'!$1:$1000,MATCH(U$1,'Dados-Status-Invest'!$2:$2,0),FALSE()),"")</f>
        <v/>
      </c>
      <c r="V850" s="12" t="str">
        <f aca="false">IFERROR(VLOOKUP(A850,'Dados-Status-Invest'!$1:$1000,MATCH(V$1,'Dados-Status-Invest'!$2:$2,0),FALSE()),"")</f>
        <v/>
      </c>
      <c r="W850" s="10" t="str">
        <f aca="false">IFERROR(VLOOKUP(A850,'Dados-Status-Invest'!$1:$1000,MATCH(W$1,'Dados-Status-Invest'!$2:$2,0),FALSE())/100,"")</f>
        <v/>
      </c>
      <c r="X850" s="10" t="str">
        <f aca="false">IFERROR(VLOOKUP(A850,'Dados-Status-Invest'!$1:$1000,MATCH(X$1,'Dados-Status-Invest'!$2:$2,0),FALSE())/100,"")</f>
        <v/>
      </c>
    </row>
    <row r="851" customFormat="false" ht="15.75" hidden="false" customHeight="false" outlineLevel="0" collapsed="false">
      <c r="B851" s="7" t="str">
        <f aca="false">IFERROR(VLOOKUP(LEFT(A851,4),Setor!A:D,2,FALSE()),"")</f>
        <v/>
      </c>
      <c r="C851" s="8" t="str">
        <f aca="false">IFERROR(__xludf.dummyfunction("IFERROR(IFERROR(GOOGLEFINANCE(A857,""price""),VLOOKUP(A857,'Dados-Status-Invest'!A:B,2,FALSE)),"""")"),"")</f>
        <v/>
      </c>
      <c r="D851" s="8" t="str">
        <f aca="false">IFERROR(VLOOKUP(A851,'Dados-Status-Invest'!$1:$1000,MATCH(D$1,'Dados-Status-Invest'!$2:$2,0),FALSE()),"")</f>
        <v/>
      </c>
      <c r="E851" s="8" t="e">
        <f aca="false">IF(D851+H851&gt;0,D851+H851,"")</f>
        <v>#VALUE!</v>
      </c>
      <c r="F851" s="8" t="str">
        <f aca="false">IFERROR(D851/VLOOKUP(A851,'Dados-Status-Invest'!$1:$1000,5,FALSE()),"")</f>
        <v/>
      </c>
      <c r="G851" s="8" t="str">
        <f aca="false">IFERROR(D851/VLOOKUP(A851,'Dados-Status-Invest'!$1:$1000,6,FALSE()),"")</f>
        <v/>
      </c>
      <c r="H851" s="8" t="str">
        <f aca="false">IFERROR(VLOOKUP(A851,'Dados-Status-Invest'!$1:$1000,12,FALSE())*J851,"")</f>
        <v/>
      </c>
      <c r="I851" s="8" t="str">
        <f aca="false">IFERROR(D851/VLOOKUP(A851,'Dados-Status-Invest'!$1:$1000,14,FALSE()),"")</f>
        <v/>
      </c>
      <c r="J851" s="9" t="str">
        <f aca="false">IFERROR(D851/VLOOKUP(A851,'Dados-Status-Invest'!$1:$1000,10,FALSE()),"")</f>
        <v/>
      </c>
      <c r="K851" s="10" t="str">
        <f aca="false">IFERROR(VLOOKUP(A851,'Dados-Status-Invest'!$1:$1000,3,FALSE())/100,"")</f>
        <v/>
      </c>
      <c r="L851" s="11" t="str">
        <f aca="false">IFERROR(VLOOKUP(A851,'Dados-Status-Invest'!$1:$1000,MATCH(L$1,'Dados-Status-Invest'!$2:$2,0),FALSE())/100,"")</f>
        <v/>
      </c>
      <c r="M851" s="10" t="str">
        <f aca="false">IFERROR(VLOOKUP(A851,'Dados-Status-Invest'!$1:$1000,MATCH(M$1,'Dados-Status-Invest'!$2:$2,0),FALSE())/100,"")</f>
        <v/>
      </c>
      <c r="N851" s="10" t="str">
        <f aca="false">IFERROR(VLOOKUP(A851,'Dados-Status-Invest'!$1:$1000,MATCH(N$1,'Dados-Status-Invest'!$2:$2,0),FALSE())/100,"")</f>
        <v/>
      </c>
      <c r="O851" s="10" t="str">
        <f aca="false">IFERROR(VLOOKUP(A851,'Dados-Status-Invest'!$1:$1000,MATCH(O$1,'Dados-Status-Invest'!$2:$2,0),FALSE())/100,"")</f>
        <v/>
      </c>
      <c r="P851" s="10" t="str">
        <f aca="false">IFERROR(VLOOKUP(A851,'Dados-Status-Invest'!$1:$1000,MATCH(P$1,'Dados-Status-Invest'!$2:$2,0),FALSE())/100,"")</f>
        <v/>
      </c>
      <c r="Q851" s="10" t="str">
        <f aca="false">IFERROR(VLOOKUP(A851,'Dados-Status-Invest'!$1:$1000,MATCH(Q$1,'Dados-Status-Invest'!$2:$2,0),FALSE())/100,"")</f>
        <v/>
      </c>
      <c r="R851" s="12" t="str">
        <f aca="false">IFERROR(VLOOKUP(A851,'Dados-Status-Invest'!$1:$1000,MATCH(R$1,'Dados-Status-Invest'!$2:$2,0),FALSE()),"")</f>
        <v/>
      </c>
      <c r="S851" s="12" t="str">
        <f aca="false">IFERROR(VLOOKUP(A851,'Dados-Status-Invest'!$1:$1000,MATCH(S$1,'Dados-Status-Invest'!$2:$2,0),FALSE()),"")</f>
        <v/>
      </c>
      <c r="T851" s="12" t="str">
        <f aca="false">IFERROR(VLOOKUP(A851,'Dados-Status-Invest'!$1:$1000,MATCH(T$1,'Dados-Status-Invest'!$2:$2,0),FALSE()),"")</f>
        <v/>
      </c>
      <c r="U851" s="12" t="str">
        <f aca="false">IFERROR(VLOOKUP(A851,'Dados-Status-Invest'!$1:$1000,MATCH(U$1,'Dados-Status-Invest'!$2:$2,0),FALSE()),"")</f>
        <v/>
      </c>
      <c r="V851" s="12" t="str">
        <f aca="false">IFERROR(VLOOKUP(A851,'Dados-Status-Invest'!$1:$1000,MATCH(V$1,'Dados-Status-Invest'!$2:$2,0),FALSE()),"")</f>
        <v/>
      </c>
      <c r="W851" s="10" t="str">
        <f aca="false">IFERROR(VLOOKUP(A851,'Dados-Status-Invest'!$1:$1000,MATCH(W$1,'Dados-Status-Invest'!$2:$2,0),FALSE())/100,"")</f>
        <v/>
      </c>
      <c r="X851" s="10" t="str">
        <f aca="false">IFERROR(VLOOKUP(A851,'Dados-Status-Invest'!$1:$1000,MATCH(X$1,'Dados-Status-Invest'!$2:$2,0),FALSE())/100,"")</f>
        <v/>
      </c>
    </row>
    <row r="852" customFormat="false" ht="15.75" hidden="false" customHeight="false" outlineLevel="0" collapsed="false">
      <c r="B852" s="7" t="str">
        <f aca="false">IFERROR(VLOOKUP(LEFT(A852,4),Setor!A:D,2,FALSE()),"")</f>
        <v/>
      </c>
      <c r="C852" s="8" t="str">
        <f aca="false">IFERROR(__xludf.dummyfunction("IFERROR(IFERROR(GOOGLEFINANCE(A858,""price""),VLOOKUP(A858,'Dados-Status-Invest'!A:B,2,FALSE)),"""")"),"")</f>
        <v/>
      </c>
      <c r="D852" s="8" t="str">
        <f aca="false">IFERROR(VLOOKUP(A852,'Dados-Status-Invest'!$1:$1000,MATCH(D$1,'Dados-Status-Invest'!$2:$2,0),FALSE()),"")</f>
        <v/>
      </c>
      <c r="E852" s="8" t="e">
        <f aca="false">IF(D852+H852&gt;0,D852+H852,"")</f>
        <v>#VALUE!</v>
      </c>
      <c r="F852" s="8" t="str">
        <f aca="false">IFERROR(D852/VLOOKUP(A852,'Dados-Status-Invest'!$1:$1000,5,FALSE()),"")</f>
        <v/>
      </c>
      <c r="G852" s="8" t="str">
        <f aca="false">IFERROR(D852/VLOOKUP(A852,'Dados-Status-Invest'!$1:$1000,6,FALSE()),"")</f>
        <v/>
      </c>
      <c r="H852" s="8" t="str">
        <f aca="false">IFERROR(VLOOKUP(A852,'Dados-Status-Invest'!$1:$1000,12,FALSE())*J852,"")</f>
        <v/>
      </c>
      <c r="I852" s="8" t="str">
        <f aca="false">IFERROR(D852/VLOOKUP(A852,'Dados-Status-Invest'!$1:$1000,14,FALSE()),"")</f>
        <v/>
      </c>
      <c r="J852" s="9" t="str">
        <f aca="false">IFERROR(D852/VLOOKUP(A852,'Dados-Status-Invest'!$1:$1000,10,FALSE()),"")</f>
        <v/>
      </c>
      <c r="K852" s="10" t="str">
        <f aca="false">IFERROR(VLOOKUP(A852,'Dados-Status-Invest'!$1:$1000,3,FALSE())/100,"")</f>
        <v/>
      </c>
      <c r="L852" s="11" t="str">
        <f aca="false">IFERROR(VLOOKUP(A852,'Dados-Status-Invest'!$1:$1000,MATCH(L$1,'Dados-Status-Invest'!$2:$2,0),FALSE())/100,"")</f>
        <v/>
      </c>
      <c r="M852" s="10" t="str">
        <f aca="false">IFERROR(VLOOKUP(A852,'Dados-Status-Invest'!$1:$1000,MATCH(M$1,'Dados-Status-Invest'!$2:$2,0),FALSE())/100,"")</f>
        <v/>
      </c>
      <c r="N852" s="10" t="str">
        <f aca="false">IFERROR(VLOOKUP(A852,'Dados-Status-Invest'!$1:$1000,MATCH(N$1,'Dados-Status-Invest'!$2:$2,0),FALSE())/100,"")</f>
        <v/>
      </c>
      <c r="O852" s="10" t="str">
        <f aca="false">IFERROR(VLOOKUP(A852,'Dados-Status-Invest'!$1:$1000,MATCH(O$1,'Dados-Status-Invest'!$2:$2,0),FALSE())/100,"")</f>
        <v/>
      </c>
      <c r="P852" s="10" t="str">
        <f aca="false">IFERROR(VLOOKUP(A852,'Dados-Status-Invest'!$1:$1000,MATCH(P$1,'Dados-Status-Invest'!$2:$2,0),FALSE())/100,"")</f>
        <v/>
      </c>
      <c r="Q852" s="10" t="str">
        <f aca="false">IFERROR(VLOOKUP(A852,'Dados-Status-Invest'!$1:$1000,MATCH(Q$1,'Dados-Status-Invest'!$2:$2,0),FALSE())/100,"")</f>
        <v/>
      </c>
      <c r="R852" s="12" t="str">
        <f aca="false">IFERROR(VLOOKUP(A852,'Dados-Status-Invest'!$1:$1000,MATCH(R$1,'Dados-Status-Invest'!$2:$2,0),FALSE()),"")</f>
        <v/>
      </c>
      <c r="S852" s="12" t="str">
        <f aca="false">IFERROR(VLOOKUP(A852,'Dados-Status-Invest'!$1:$1000,MATCH(S$1,'Dados-Status-Invest'!$2:$2,0),FALSE()),"")</f>
        <v/>
      </c>
      <c r="T852" s="12" t="str">
        <f aca="false">IFERROR(VLOOKUP(A852,'Dados-Status-Invest'!$1:$1000,MATCH(T$1,'Dados-Status-Invest'!$2:$2,0),FALSE()),"")</f>
        <v/>
      </c>
      <c r="U852" s="12" t="str">
        <f aca="false">IFERROR(VLOOKUP(A852,'Dados-Status-Invest'!$1:$1000,MATCH(U$1,'Dados-Status-Invest'!$2:$2,0),FALSE()),"")</f>
        <v/>
      </c>
      <c r="V852" s="12" t="str">
        <f aca="false">IFERROR(VLOOKUP(A852,'Dados-Status-Invest'!$1:$1000,MATCH(V$1,'Dados-Status-Invest'!$2:$2,0),FALSE()),"")</f>
        <v/>
      </c>
      <c r="W852" s="10" t="str">
        <f aca="false">IFERROR(VLOOKUP(A852,'Dados-Status-Invest'!$1:$1000,MATCH(W$1,'Dados-Status-Invest'!$2:$2,0),FALSE())/100,"")</f>
        <v/>
      </c>
      <c r="X852" s="10" t="str">
        <f aca="false">IFERROR(VLOOKUP(A852,'Dados-Status-Invest'!$1:$1000,MATCH(X$1,'Dados-Status-Invest'!$2:$2,0),FALSE())/100,"")</f>
        <v/>
      </c>
    </row>
    <row r="853" customFormat="false" ht="15.75" hidden="false" customHeight="false" outlineLevel="0" collapsed="false">
      <c r="B853" s="7" t="str">
        <f aca="false">IFERROR(VLOOKUP(LEFT(A853,4),Setor!A:D,2,FALSE()),"")</f>
        <v/>
      </c>
      <c r="C853" s="8" t="str">
        <f aca="false">IFERROR(__xludf.dummyfunction("IFERROR(IFERROR(GOOGLEFINANCE(A859,""price""),VLOOKUP(A859,'Dados-Status-Invest'!A:B,2,FALSE)),"""")"),"")</f>
        <v/>
      </c>
      <c r="D853" s="8" t="str">
        <f aca="false">IFERROR(VLOOKUP(A853,'Dados-Status-Invest'!$1:$1000,MATCH(D$1,'Dados-Status-Invest'!$2:$2,0),FALSE()),"")</f>
        <v/>
      </c>
      <c r="E853" s="8" t="e">
        <f aca="false">IF(D853+H853&gt;0,D853+H853,"")</f>
        <v>#VALUE!</v>
      </c>
      <c r="F853" s="8" t="str">
        <f aca="false">IFERROR(D853/VLOOKUP(A853,'Dados-Status-Invest'!$1:$1000,5,FALSE()),"")</f>
        <v/>
      </c>
      <c r="G853" s="8" t="str">
        <f aca="false">IFERROR(D853/VLOOKUP(A853,'Dados-Status-Invest'!$1:$1000,6,FALSE()),"")</f>
        <v/>
      </c>
      <c r="H853" s="8" t="str">
        <f aca="false">IFERROR(VLOOKUP(A853,'Dados-Status-Invest'!$1:$1000,12,FALSE())*J853,"")</f>
        <v/>
      </c>
      <c r="I853" s="8" t="str">
        <f aca="false">IFERROR(D853/VLOOKUP(A853,'Dados-Status-Invest'!$1:$1000,14,FALSE()),"")</f>
        <v/>
      </c>
      <c r="J853" s="9" t="str">
        <f aca="false">IFERROR(D853/VLOOKUP(A853,'Dados-Status-Invest'!$1:$1000,10,FALSE()),"")</f>
        <v/>
      </c>
      <c r="K853" s="10" t="str">
        <f aca="false">IFERROR(VLOOKUP(A853,'Dados-Status-Invest'!$1:$1000,3,FALSE())/100,"")</f>
        <v/>
      </c>
      <c r="L853" s="11" t="str">
        <f aca="false">IFERROR(VLOOKUP(A853,'Dados-Status-Invest'!$1:$1000,MATCH(L$1,'Dados-Status-Invest'!$2:$2,0),FALSE())/100,"")</f>
        <v/>
      </c>
      <c r="M853" s="10" t="str">
        <f aca="false">IFERROR(VLOOKUP(A853,'Dados-Status-Invest'!$1:$1000,MATCH(M$1,'Dados-Status-Invest'!$2:$2,0),FALSE())/100,"")</f>
        <v/>
      </c>
      <c r="N853" s="10" t="str">
        <f aca="false">IFERROR(VLOOKUP(A853,'Dados-Status-Invest'!$1:$1000,MATCH(N$1,'Dados-Status-Invest'!$2:$2,0),FALSE())/100,"")</f>
        <v/>
      </c>
      <c r="O853" s="10" t="str">
        <f aca="false">IFERROR(VLOOKUP(A853,'Dados-Status-Invest'!$1:$1000,MATCH(O$1,'Dados-Status-Invest'!$2:$2,0),FALSE())/100,"")</f>
        <v/>
      </c>
      <c r="P853" s="10" t="str">
        <f aca="false">IFERROR(VLOOKUP(A853,'Dados-Status-Invest'!$1:$1000,MATCH(P$1,'Dados-Status-Invest'!$2:$2,0),FALSE())/100,"")</f>
        <v/>
      </c>
      <c r="Q853" s="10" t="str">
        <f aca="false">IFERROR(VLOOKUP(A853,'Dados-Status-Invest'!$1:$1000,MATCH(Q$1,'Dados-Status-Invest'!$2:$2,0),FALSE())/100,"")</f>
        <v/>
      </c>
      <c r="R853" s="12" t="str">
        <f aca="false">IFERROR(VLOOKUP(A853,'Dados-Status-Invest'!$1:$1000,MATCH(R$1,'Dados-Status-Invest'!$2:$2,0),FALSE()),"")</f>
        <v/>
      </c>
      <c r="S853" s="12" t="str">
        <f aca="false">IFERROR(VLOOKUP(A853,'Dados-Status-Invest'!$1:$1000,MATCH(S$1,'Dados-Status-Invest'!$2:$2,0),FALSE()),"")</f>
        <v/>
      </c>
      <c r="T853" s="12" t="str">
        <f aca="false">IFERROR(VLOOKUP(A853,'Dados-Status-Invest'!$1:$1000,MATCH(T$1,'Dados-Status-Invest'!$2:$2,0),FALSE()),"")</f>
        <v/>
      </c>
      <c r="U853" s="12" t="str">
        <f aca="false">IFERROR(VLOOKUP(A853,'Dados-Status-Invest'!$1:$1000,MATCH(U$1,'Dados-Status-Invest'!$2:$2,0),FALSE()),"")</f>
        <v/>
      </c>
      <c r="V853" s="12" t="str">
        <f aca="false">IFERROR(VLOOKUP(A853,'Dados-Status-Invest'!$1:$1000,MATCH(V$1,'Dados-Status-Invest'!$2:$2,0),FALSE()),"")</f>
        <v/>
      </c>
      <c r="W853" s="10" t="str">
        <f aca="false">IFERROR(VLOOKUP(A853,'Dados-Status-Invest'!$1:$1000,MATCH(W$1,'Dados-Status-Invest'!$2:$2,0),FALSE())/100,"")</f>
        <v/>
      </c>
      <c r="X853" s="10" t="str">
        <f aca="false">IFERROR(VLOOKUP(A853,'Dados-Status-Invest'!$1:$1000,MATCH(X$1,'Dados-Status-Invest'!$2:$2,0),FALSE())/100,"")</f>
        <v/>
      </c>
    </row>
    <row r="854" customFormat="false" ht="15.75" hidden="false" customHeight="false" outlineLevel="0" collapsed="false">
      <c r="B854" s="7" t="str">
        <f aca="false">IFERROR(VLOOKUP(LEFT(A854,4),Setor!A:D,2,FALSE()),"")</f>
        <v/>
      </c>
      <c r="C854" s="8" t="str">
        <f aca="false">IFERROR(__xludf.dummyfunction("IFERROR(IFERROR(GOOGLEFINANCE(A860,""price""),VLOOKUP(A860,'Dados-Status-Invest'!A:B,2,FALSE)),"""")"),"")</f>
        <v/>
      </c>
      <c r="D854" s="8" t="str">
        <f aca="false">IFERROR(VLOOKUP(A854,'Dados-Status-Invest'!$1:$1000,MATCH(D$1,'Dados-Status-Invest'!$2:$2,0),FALSE()),"")</f>
        <v/>
      </c>
      <c r="E854" s="8" t="e">
        <f aca="false">IF(D854+H854&gt;0,D854+H854,"")</f>
        <v>#VALUE!</v>
      </c>
      <c r="F854" s="8" t="str">
        <f aca="false">IFERROR(D854/VLOOKUP(A854,'Dados-Status-Invest'!$1:$1000,5,FALSE()),"")</f>
        <v/>
      </c>
      <c r="G854" s="8" t="str">
        <f aca="false">IFERROR(D854/VLOOKUP(A854,'Dados-Status-Invest'!$1:$1000,6,FALSE()),"")</f>
        <v/>
      </c>
      <c r="H854" s="8" t="str">
        <f aca="false">IFERROR(VLOOKUP(A854,'Dados-Status-Invest'!$1:$1000,12,FALSE())*J854,"")</f>
        <v/>
      </c>
      <c r="I854" s="8" t="str">
        <f aca="false">IFERROR(D854/VLOOKUP(A854,'Dados-Status-Invest'!$1:$1000,14,FALSE()),"")</f>
        <v/>
      </c>
      <c r="J854" s="9" t="str">
        <f aca="false">IFERROR(D854/VLOOKUP(A854,'Dados-Status-Invest'!$1:$1000,10,FALSE()),"")</f>
        <v/>
      </c>
      <c r="K854" s="10" t="str">
        <f aca="false">IFERROR(VLOOKUP(A854,'Dados-Status-Invest'!$1:$1000,3,FALSE())/100,"")</f>
        <v/>
      </c>
      <c r="L854" s="11" t="str">
        <f aca="false">IFERROR(VLOOKUP(A854,'Dados-Status-Invest'!$1:$1000,MATCH(L$1,'Dados-Status-Invest'!$2:$2,0),FALSE())/100,"")</f>
        <v/>
      </c>
      <c r="M854" s="10" t="str">
        <f aca="false">IFERROR(VLOOKUP(A854,'Dados-Status-Invest'!$1:$1000,MATCH(M$1,'Dados-Status-Invest'!$2:$2,0),FALSE())/100,"")</f>
        <v/>
      </c>
      <c r="N854" s="10" t="str">
        <f aca="false">IFERROR(VLOOKUP(A854,'Dados-Status-Invest'!$1:$1000,MATCH(N$1,'Dados-Status-Invest'!$2:$2,0),FALSE())/100,"")</f>
        <v/>
      </c>
      <c r="O854" s="10" t="str">
        <f aca="false">IFERROR(VLOOKUP(A854,'Dados-Status-Invest'!$1:$1000,MATCH(O$1,'Dados-Status-Invest'!$2:$2,0),FALSE())/100,"")</f>
        <v/>
      </c>
      <c r="P854" s="10" t="str">
        <f aca="false">IFERROR(VLOOKUP(A854,'Dados-Status-Invest'!$1:$1000,MATCH(P$1,'Dados-Status-Invest'!$2:$2,0),FALSE())/100,"")</f>
        <v/>
      </c>
      <c r="Q854" s="10" t="str">
        <f aca="false">IFERROR(VLOOKUP(A854,'Dados-Status-Invest'!$1:$1000,MATCH(Q$1,'Dados-Status-Invest'!$2:$2,0),FALSE())/100,"")</f>
        <v/>
      </c>
      <c r="R854" s="12" t="str">
        <f aca="false">IFERROR(VLOOKUP(A854,'Dados-Status-Invest'!$1:$1000,MATCH(R$1,'Dados-Status-Invest'!$2:$2,0),FALSE()),"")</f>
        <v/>
      </c>
      <c r="S854" s="12" t="str">
        <f aca="false">IFERROR(VLOOKUP(A854,'Dados-Status-Invest'!$1:$1000,MATCH(S$1,'Dados-Status-Invest'!$2:$2,0),FALSE()),"")</f>
        <v/>
      </c>
      <c r="T854" s="12" t="str">
        <f aca="false">IFERROR(VLOOKUP(A854,'Dados-Status-Invest'!$1:$1000,MATCH(T$1,'Dados-Status-Invest'!$2:$2,0),FALSE()),"")</f>
        <v/>
      </c>
      <c r="U854" s="12" t="str">
        <f aca="false">IFERROR(VLOOKUP(A854,'Dados-Status-Invest'!$1:$1000,MATCH(U$1,'Dados-Status-Invest'!$2:$2,0),FALSE()),"")</f>
        <v/>
      </c>
      <c r="V854" s="12" t="str">
        <f aca="false">IFERROR(VLOOKUP(A854,'Dados-Status-Invest'!$1:$1000,MATCH(V$1,'Dados-Status-Invest'!$2:$2,0),FALSE()),"")</f>
        <v/>
      </c>
      <c r="W854" s="10" t="str">
        <f aca="false">IFERROR(VLOOKUP(A854,'Dados-Status-Invest'!$1:$1000,MATCH(W$1,'Dados-Status-Invest'!$2:$2,0),FALSE())/100,"")</f>
        <v/>
      </c>
      <c r="X854" s="10" t="str">
        <f aca="false">IFERROR(VLOOKUP(A854,'Dados-Status-Invest'!$1:$1000,MATCH(X$1,'Dados-Status-Invest'!$2:$2,0),FALSE())/100,"")</f>
        <v/>
      </c>
    </row>
    <row r="855" customFormat="false" ht="15.75" hidden="false" customHeight="false" outlineLevel="0" collapsed="false">
      <c r="B855" s="7" t="str">
        <f aca="false">IFERROR(VLOOKUP(LEFT(A855,4),Setor!A:D,2,FALSE()),"")</f>
        <v/>
      </c>
      <c r="C855" s="8" t="str">
        <f aca="false">IFERROR(__xludf.dummyfunction("IFERROR(IFERROR(GOOGLEFINANCE(A861,""price""),VLOOKUP(A861,'Dados-Status-Invest'!A:B,2,FALSE)),"""")"),"")</f>
        <v/>
      </c>
      <c r="D855" s="8" t="str">
        <f aca="false">IFERROR(VLOOKUP(A855,'Dados-Status-Invest'!$1:$1000,MATCH(D$1,'Dados-Status-Invest'!$2:$2,0),FALSE()),"")</f>
        <v/>
      </c>
      <c r="E855" s="8" t="e">
        <f aca="false">IF(D855+H855&gt;0,D855+H855,"")</f>
        <v>#VALUE!</v>
      </c>
      <c r="F855" s="8" t="str">
        <f aca="false">IFERROR(D855/VLOOKUP(A855,'Dados-Status-Invest'!$1:$1000,5,FALSE()),"")</f>
        <v/>
      </c>
      <c r="G855" s="8" t="str">
        <f aca="false">IFERROR(D855/VLOOKUP(A855,'Dados-Status-Invest'!$1:$1000,6,FALSE()),"")</f>
        <v/>
      </c>
      <c r="H855" s="8" t="str">
        <f aca="false">IFERROR(VLOOKUP(A855,'Dados-Status-Invest'!$1:$1000,12,FALSE())*J855,"")</f>
        <v/>
      </c>
      <c r="I855" s="8" t="str">
        <f aca="false">IFERROR(D855/VLOOKUP(A855,'Dados-Status-Invest'!$1:$1000,14,FALSE()),"")</f>
        <v/>
      </c>
      <c r="J855" s="9" t="str">
        <f aca="false">IFERROR(D855/VLOOKUP(A855,'Dados-Status-Invest'!$1:$1000,10,FALSE()),"")</f>
        <v/>
      </c>
      <c r="K855" s="10" t="str">
        <f aca="false">IFERROR(VLOOKUP(A855,'Dados-Status-Invest'!$1:$1000,3,FALSE())/100,"")</f>
        <v/>
      </c>
      <c r="L855" s="11" t="str">
        <f aca="false">IFERROR(VLOOKUP(A855,'Dados-Status-Invest'!$1:$1000,MATCH(L$1,'Dados-Status-Invest'!$2:$2,0),FALSE())/100,"")</f>
        <v/>
      </c>
      <c r="M855" s="10" t="str">
        <f aca="false">IFERROR(VLOOKUP(A855,'Dados-Status-Invest'!$1:$1000,MATCH(M$1,'Dados-Status-Invest'!$2:$2,0),FALSE())/100,"")</f>
        <v/>
      </c>
      <c r="N855" s="10" t="str">
        <f aca="false">IFERROR(VLOOKUP(A855,'Dados-Status-Invest'!$1:$1000,MATCH(N$1,'Dados-Status-Invest'!$2:$2,0),FALSE())/100,"")</f>
        <v/>
      </c>
      <c r="O855" s="10" t="str">
        <f aca="false">IFERROR(VLOOKUP(A855,'Dados-Status-Invest'!$1:$1000,MATCH(O$1,'Dados-Status-Invest'!$2:$2,0),FALSE())/100,"")</f>
        <v/>
      </c>
      <c r="P855" s="10" t="str">
        <f aca="false">IFERROR(VLOOKUP(A855,'Dados-Status-Invest'!$1:$1000,MATCH(P$1,'Dados-Status-Invest'!$2:$2,0),FALSE())/100,"")</f>
        <v/>
      </c>
      <c r="Q855" s="10" t="str">
        <f aca="false">IFERROR(VLOOKUP(A855,'Dados-Status-Invest'!$1:$1000,MATCH(Q$1,'Dados-Status-Invest'!$2:$2,0),FALSE())/100,"")</f>
        <v/>
      </c>
      <c r="R855" s="12" t="str">
        <f aca="false">IFERROR(VLOOKUP(A855,'Dados-Status-Invest'!$1:$1000,MATCH(R$1,'Dados-Status-Invest'!$2:$2,0),FALSE()),"")</f>
        <v/>
      </c>
      <c r="S855" s="12" t="str">
        <f aca="false">IFERROR(VLOOKUP(A855,'Dados-Status-Invest'!$1:$1000,MATCH(S$1,'Dados-Status-Invest'!$2:$2,0),FALSE()),"")</f>
        <v/>
      </c>
      <c r="T855" s="12" t="str">
        <f aca="false">IFERROR(VLOOKUP(A855,'Dados-Status-Invest'!$1:$1000,MATCH(T$1,'Dados-Status-Invest'!$2:$2,0),FALSE()),"")</f>
        <v/>
      </c>
      <c r="U855" s="12" t="str">
        <f aca="false">IFERROR(VLOOKUP(A855,'Dados-Status-Invest'!$1:$1000,MATCH(U$1,'Dados-Status-Invest'!$2:$2,0),FALSE()),"")</f>
        <v/>
      </c>
      <c r="V855" s="12" t="str">
        <f aca="false">IFERROR(VLOOKUP(A855,'Dados-Status-Invest'!$1:$1000,MATCH(V$1,'Dados-Status-Invest'!$2:$2,0),FALSE()),"")</f>
        <v/>
      </c>
      <c r="W855" s="10" t="str">
        <f aca="false">IFERROR(VLOOKUP(A855,'Dados-Status-Invest'!$1:$1000,MATCH(W$1,'Dados-Status-Invest'!$2:$2,0),FALSE())/100,"")</f>
        <v/>
      </c>
      <c r="X855" s="10" t="str">
        <f aca="false">IFERROR(VLOOKUP(A855,'Dados-Status-Invest'!$1:$1000,MATCH(X$1,'Dados-Status-Invest'!$2:$2,0),FALSE())/100,"")</f>
        <v/>
      </c>
    </row>
    <row r="856" customFormat="false" ht="15.75" hidden="false" customHeight="false" outlineLevel="0" collapsed="false">
      <c r="B856" s="7" t="str">
        <f aca="false">IFERROR(VLOOKUP(LEFT(A856,4),Setor!A:D,2,FALSE()),"")</f>
        <v/>
      </c>
      <c r="C856" s="8" t="str">
        <f aca="false">IFERROR(__xludf.dummyfunction("IFERROR(IFERROR(GOOGLEFINANCE(A862,""price""),VLOOKUP(A862,'Dados-Status-Invest'!A:B,2,FALSE)),"""")"),"")</f>
        <v/>
      </c>
      <c r="D856" s="8" t="str">
        <f aca="false">IFERROR(VLOOKUP(A856,'Dados-Status-Invest'!$1:$1000,MATCH(D$1,'Dados-Status-Invest'!$2:$2,0),FALSE()),"")</f>
        <v/>
      </c>
      <c r="E856" s="8" t="e">
        <f aca="false">IF(D856+H856&gt;0,D856+H856,"")</f>
        <v>#VALUE!</v>
      </c>
      <c r="F856" s="8" t="str">
        <f aca="false">IFERROR(D856/VLOOKUP(A856,'Dados-Status-Invest'!$1:$1000,5,FALSE()),"")</f>
        <v/>
      </c>
      <c r="G856" s="8" t="str">
        <f aca="false">IFERROR(D856/VLOOKUP(A856,'Dados-Status-Invest'!$1:$1000,6,FALSE()),"")</f>
        <v/>
      </c>
      <c r="H856" s="8" t="str">
        <f aca="false">IFERROR(VLOOKUP(A856,'Dados-Status-Invest'!$1:$1000,12,FALSE())*J856,"")</f>
        <v/>
      </c>
      <c r="I856" s="8" t="str">
        <f aca="false">IFERROR(D856/VLOOKUP(A856,'Dados-Status-Invest'!$1:$1000,14,FALSE()),"")</f>
        <v/>
      </c>
      <c r="J856" s="9" t="str">
        <f aca="false">IFERROR(D856/VLOOKUP(A856,'Dados-Status-Invest'!$1:$1000,10,FALSE()),"")</f>
        <v/>
      </c>
      <c r="K856" s="10" t="str">
        <f aca="false">IFERROR(VLOOKUP(A856,'Dados-Status-Invest'!$1:$1000,3,FALSE())/100,"")</f>
        <v/>
      </c>
      <c r="L856" s="11" t="str">
        <f aca="false">IFERROR(VLOOKUP(A856,'Dados-Status-Invest'!$1:$1000,MATCH(L$1,'Dados-Status-Invest'!$2:$2,0),FALSE())/100,"")</f>
        <v/>
      </c>
      <c r="M856" s="10" t="str">
        <f aca="false">IFERROR(VLOOKUP(A856,'Dados-Status-Invest'!$1:$1000,MATCH(M$1,'Dados-Status-Invest'!$2:$2,0),FALSE())/100,"")</f>
        <v/>
      </c>
      <c r="N856" s="10" t="str">
        <f aca="false">IFERROR(VLOOKUP(A856,'Dados-Status-Invest'!$1:$1000,MATCH(N$1,'Dados-Status-Invest'!$2:$2,0),FALSE())/100,"")</f>
        <v/>
      </c>
      <c r="O856" s="10" t="str">
        <f aca="false">IFERROR(VLOOKUP(A856,'Dados-Status-Invest'!$1:$1000,MATCH(O$1,'Dados-Status-Invest'!$2:$2,0),FALSE())/100,"")</f>
        <v/>
      </c>
      <c r="P856" s="10" t="str">
        <f aca="false">IFERROR(VLOOKUP(A856,'Dados-Status-Invest'!$1:$1000,MATCH(P$1,'Dados-Status-Invest'!$2:$2,0),FALSE())/100,"")</f>
        <v/>
      </c>
      <c r="Q856" s="10" t="str">
        <f aca="false">IFERROR(VLOOKUP(A856,'Dados-Status-Invest'!$1:$1000,MATCH(Q$1,'Dados-Status-Invest'!$2:$2,0),FALSE())/100,"")</f>
        <v/>
      </c>
      <c r="R856" s="12" t="str">
        <f aca="false">IFERROR(VLOOKUP(A856,'Dados-Status-Invest'!$1:$1000,MATCH(R$1,'Dados-Status-Invest'!$2:$2,0),FALSE()),"")</f>
        <v/>
      </c>
      <c r="S856" s="12" t="str">
        <f aca="false">IFERROR(VLOOKUP(A856,'Dados-Status-Invest'!$1:$1000,MATCH(S$1,'Dados-Status-Invest'!$2:$2,0),FALSE()),"")</f>
        <v/>
      </c>
      <c r="T856" s="12" t="str">
        <f aca="false">IFERROR(VLOOKUP(A856,'Dados-Status-Invest'!$1:$1000,MATCH(T$1,'Dados-Status-Invest'!$2:$2,0),FALSE()),"")</f>
        <v/>
      </c>
      <c r="U856" s="12" t="str">
        <f aca="false">IFERROR(VLOOKUP(A856,'Dados-Status-Invest'!$1:$1000,MATCH(U$1,'Dados-Status-Invest'!$2:$2,0),FALSE()),"")</f>
        <v/>
      </c>
      <c r="V856" s="12" t="str">
        <f aca="false">IFERROR(VLOOKUP(A856,'Dados-Status-Invest'!$1:$1000,MATCH(V$1,'Dados-Status-Invest'!$2:$2,0),FALSE()),"")</f>
        <v/>
      </c>
      <c r="W856" s="10" t="str">
        <f aca="false">IFERROR(VLOOKUP(A856,'Dados-Status-Invest'!$1:$1000,MATCH(W$1,'Dados-Status-Invest'!$2:$2,0),FALSE())/100,"")</f>
        <v/>
      </c>
      <c r="X856" s="10" t="str">
        <f aca="false">IFERROR(VLOOKUP(A856,'Dados-Status-Invest'!$1:$1000,MATCH(X$1,'Dados-Status-Invest'!$2:$2,0),FALSE())/100,"")</f>
        <v/>
      </c>
    </row>
    <row r="857" customFormat="false" ht="15.75" hidden="false" customHeight="false" outlineLevel="0" collapsed="false">
      <c r="B857" s="7" t="str">
        <f aca="false">IFERROR(VLOOKUP(LEFT(A857,4),Setor!A:D,2,FALSE()),"")</f>
        <v/>
      </c>
      <c r="C857" s="8" t="str">
        <f aca="false">IFERROR(__xludf.dummyfunction("IFERROR(IFERROR(GOOGLEFINANCE(A863,""price""),VLOOKUP(A863,'Dados-Status-Invest'!A:B,2,FALSE)),"""")"),"")</f>
        <v/>
      </c>
      <c r="D857" s="8" t="str">
        <f aca="false">IFERROR(VLOOKUP(A857,'Dados-Status-Invest'!$1:$1000,MATCH(D$1,'Dados-Status-Invest'!$2:$2,0),FALSE()),"")</f>
        <v/>
      </c>
      <c r="E857" s="8" t="e">
        <f aca="false">IF(D857+H857&gt;0,D857+H857,"")</f>
        <v>#VALUE!</v>
      </c>
      <c r="F857" s="8" t="str">
        <f aca="false">IFERROR(D857/VLOOKUP(A857,'Dados-Status-Invest'!$1:$1000,5,FALSE()),"")</f>
        <v/>
      </c>
      <c r="G857" s="8" t="str">
        <f aca="false">IFERROR(D857/VLOOKUP(A857,'Dados-Status-Invest'!$1:$1000,6,FALSE()),"")</f>
        <v/>
      </c>
      <c r="H857" s="8" t="str">
        <f aca="false">IFERROR(VLOOKUP(A857,'Dados-Status-Invest'!$1:$1000,12,FALSE())*J857,"")</f>
        <v/>
      </c>
      <c r="I857" s="8" t="str">
        <f aca="false">IFERROR(D857/VLOOKUP(A857,'Dados-Status-Invest'!$1:$1000,14,FALSE()),"")</f>
        <v/>
      </c>
      <c r="J857" s="9" t="str">
        <f aca="false">IFERROR(D857/VLOOKUP(A857,'Dados-Status-Invest'!$1:$1000,10,FALSE()),"")</f>
        <v/>
      </c>
      <c r="K857" s="10" t="str">
        <f aca="false">IFERROR(VLOOKUP(A857,'Dados-Status-Invest'!$1:$1000,3,FALSE())/100,"")</f>
        <v/>
      </c>
      <c r="L857" s="11" t="str">
        <f aca="false">IFERROR(VLOOKUP(A857,'Dados-Status-Invest'!$1:$1000,MATCH(L$1,'Dados-Status-Invest'!$2:$2,0),FALSE())/100,"")</f>
        <v/>
      </c>
      <c r="M857" s="10" t="str">
        <f aca="false">IFERROR(VLOOKUP(A857,'Dados-Status-Invest'!$1:$1000,MATCH(M$1,'Dados-Status-Invest'!$2:$2,0),FALSE())/100,"")</f>
        <v/>
      </c>
      <c r="N857" s="10" t="str">
        <f aca="false">IFERROR(VLOOKUP(A857,'Dados-Status-Invest'!$1:$1000,MATCH(N$1,'Dados-Status-Invest'!$2:$2,0),FALSE())/100,"")</f>
        <v/>
      </c>
      <c r="O857" s="10" t="str">
        <f aca="false">IFERROR(VLOOKUP(A857,'Dados-Status-Invest'!$1:$1000,MATCH(O$1,'Dados-Status-Invest'!$2:$2,0),FALSE())/100,"")</f>
        <v/>
      </c>
      <c r="P857" s="10" t="str">
        <f aca="false">IFERROR(VLOOKUP(A857,'Dados-Status-Invest'!$1:$1000,MATCH(P$1,'Dados-Status-Invest'!$2:$2,0),FALSE())/100,"")</f>
        <v/>
      </c>
      <c r="Q857" s="10" t="str">
        <f aca="false">IFERROR(VLOOKUP(A857,'Dados-Status-Invest'!$1:$1000,MATCH(Q$1,'Dados-Status-Invest'!$2:$2,0),FALSE())/100,"")</f>
        <v/>
      </c>
      <c r="R857" s="12" t="str">
        <f aca="false">IFERROR(VLOOKUP(A857,'Dados-Status-Invest'!$1:$1000,MATCH(R$1,'Dados-Status-Invest'!$2:$2,0),FALSE()),"")</f>
        <v/>
      </c>
      <c r="S857" s="12" t="str">
        <f aca="false">IFERROR(VLOOKUP(A857,'Dados-Status-Invest'!$1:$1000,MATCH(S$1,'Dados-Status-Invest'!$2:$2,0),FALSE()),"")</f>
        <v/>
      </c>
      <c r="T857" s="12" t="str">
        <f aca="false">IFERROR(VLOOKUP(A857,'Dados-Status-Invest'!$1:$1000,MATCH(T$1,'Dados-Status-Invest'!$2:$2,0),FALSE()),"")</f>
        <v/>
      </c>
      <c r="U857" s="12" t="str">
        <f aca="false">IFERROR(VLOOKUP(A857,'Dados-Status-Invest'!$1:$1000,MATCH(U$1,'Dados-Status-Invest'!$2:$2,0),FALSE()),"")</f>
        <v/>
      </c>
      <c r="V857" s="12" t="str">
        <f aca="false">IFERROR(VLOOKUP(A857,'Dados-Status-Invest'!$1:$1000,MATCH(V$1,'Dados-Status-Invest'!$2:$2,0),FALSE()),"")</f>
        <v/>
      </c>
      <c r="W857" s="10" t="str">
        <f aca="false">IFERROR(VLOOKUP(A857,'Dados-Status-Invest'!$1:$1000,MATCH(W$1,'Dados-Status-Invest'!$2:$2,0),FALSE())/100,"")</f>
        <v/>
      </c>
      <c r="X857" s="10" t="str">
        <f aca="false">IFERROR(VLOOKUP(A857,'Dados-Status-Invest'!$1:$1000,MATCH(X$1,'Dados-Status-Invest'!$2:$2,0),FALSE())/100,"")</f>
        <v/>
      </c>
    </row>
    <row r="858" customFormat="false" ht="15.75" hidden="false" customHeight="false" outlineLevel="0" collapsed="false">
      <c r="B858" s="7" t="str">
        <f aca="false">IFERROR(VLOOKUP(LEFT(A858,4),Setor!A:D,2,FALSE()),"")</f>
        <v/>
      </c>
      <c r="C858" s="8" t="str">
        <f aca="false">IFERROR(__xludf.dummyfunction("IFERROR(IFERROR(GOOGLEFINANCE(A864,""price""),VLOOKUP(A864,'Dados-Status-Invest'!A:B,2,FALSE)),"""")"),"")</f>
        <v/>
      </c>
      <c r="D858" s="8" t="str">
        <f aca="false">IFERROR(VLOOKUP(A858,'Dados-Status-Invest'!$1:$1000,MATCH(D$1,'Dados-Status-Invest'!$2:$2,0),FALSE()),"")</f>
        <v/>
      </c>
      <c r="E858" s="8" t="e">
        <f aca="false">IF(D858+H858&gt;0,D858+H858,"")</f>
        <v>#VALUE!</v>
      </c>
      <c r="F858" s="8" t="str">
        <f aca="false">IFERROR(D858/VLOOKUP(A858,'Dados-Status-Invest'!$1:$1000,5,FALSE()),"")</f>
        <v/>
      </c>
      <c r="G858" s="8" t="str">
        <f aca="false">IFERROR(D858/VLOOKUP(A858,'Dados-Status-Invest'!$1:$1000,6,FALSE()),"")</f>
        <v/>
      </c>
      <c r="H858" s="8" t="str">
        <f aca="false">IFERROR(VLOOKUP(A858,'Dados-Status-Invest'!$1:$1000,12,FALSE())*J858,"")</f>
        <v/>
      </c>
      <c r="I858" s="8" t="str">
        <f aca="false">IFERROR(D858/VLOOKUP(A858,'Dados-Status-Invest'!$1:$1000,14,FALSE()),"")</f>
        <v/>
      </c>
      <c r="J858" s="9" t="str">
        <f aca="false">IFERROR(D858/VLOOKUP(A858,'Dados-Status-Invest'!$1:$1000,10,FALSE()),"")</f>
        <v/>
      </c>
      <c r="K858" s="10" t="str">
        <f aca="false">IFERROR(VLOOKUP(A858,'Dados-Status-Invest'!$1:$1000,3,FALSE())/100,"")</f>
        <v/>
      </c>
      <c r="L858" s="11" t="str">
        <f aca="false">IFERROR(VLOOKUP(A858,'Dados-Status-Invest'!$1:$1000,MATCH(L$1,'Dados-Status-Invest'!$2:$2,0),FALSE())/100,"")</f>
        <v/>
      </c>
      <c r="M858" s="10" t="str">
        <f aca="false">IFERROR(VLOOKUP(A858,'Dados-Status-Invest'!$1:$1000,MATCH(M$1,'Dados-Status-Invest'!$2:$2,0),FALSE())/100,"")</f>
        <v/>
      </c>
      <c r="N858" s="10" t="str">
        <f aca="false">IFERROR(VLOOKUP(A858,'Dados-Status-Invest'!$1:$1000,MATCH(N$1,'Dados-Status-Invest'!$2:$2,0),FALSE())/100,"")</f>
        <v/>
      </c>
      <c r="O858" s="10" t="str">
        <f aca="false">IFERROR(VLOOKUP(A858,'Dados-Status-Invest'!$1:$1000,MATCH(O$1,'Dados-Status-Invest'!$2:$2,0),FALSE())/100,"")</f>
        <v/>
      </c>
      <c r="P858" s="10" t="str">
        <f aca="false">IFERROR(VLOOKUP(A858,'Dados-Status-Invest'!$1:$1000,MATCH(P$1,'Dados-Status-Invest'!$2:$2,0),FALSE())/100,"")</f>
        <v/>
      </c>
      <c r="Q858" s="10" t="str">
        <f aca="false">IFERROR(VLOOKUP(A858,'Dados-Status-Invest'!$1:$1000,MATCH(Q$1,'Dados-Status-Invest'!$2:$2,0),FALSE())/100,"")</f>
        <v/>
      </c>
      <c r="R858" s="12" t="str">
        <f aca="false">IFERROR(VLOOKUP(A858,'Dados-Status-Invest'!$1:$1000,MATCH(R$1,'Dados-Status-Invest'!$2:$2,0),FALSE()),"")</f>
        <v/>
      </c>
      <c r="S858" s="12" t="str">
        <f aca="false">IFERROR(VLOOKUP(A858,'Dados-Status-Invest'!$1:$1000,MATCH(S$1,'Dados-Status-Invest'!$2:$2,0),FALSE()),"")</f>
        <v/>
      </c>
      <c r="T858" s="12" t="str">
        <f aca="false">IFERROR(VLOOKUP(A858,'Dados-Status-Invest'!$1:$1000,MATCH(T$1,'Dados-Status-Invest'!$2:$2,0),FALSE()),"")</f>
        <v/>
      </c>
      <c r="U858" s="12" t="str">
        <f aca="false">IFERROR(VLOOKUP(A858,'Dados-Status-Invest'!$1:$1000,MATCH(U$1,'Dados-Status-Invest'!$2:$2,0),FALSE()),"")</f>
        <v/>
      </c>
      <c r="V858" s="12" t="str">
        <f aca="false">IFERROR(VLOOKUP(A858,'Dados-Status-Invest'!$1:$1000,MATCH(V$1,'Dados-Status-Invest'!$2:$2,0),FALSE()),"")</f>
        <v/>
      </c>
      <c r="W858" s="10" t="str">
        <f aca="false">IFERROR(VLOOKUP(A858,'Dados-Status-Invest'!$1:$1000,MATCH(W$1,'Dados-Status-Invest'!$2:$2,0),FALSE())/100,"")</f>
        <v/>
      </c>
      <c r="X858" s="10" t="str">
        <f aca="false">IFERROR(VLOOKUP(A858,'Dados-Status-Invest'!$1:$1000,MATCH(X$1,'Dados-Status-Invest'!$2:$2,0),FALSE())/100,"")</f>
        <v/>
      </c>
    </row>
    <row r="859" customFormat="false" ht="15.75" hidden="false" customHeight="false" outlineLevel="0" collapsed="false">
      <c r="B859" s="7" t="str">
        <f aca="false">IFERROR(VLOOKUP(LEFT(A859,4),Setor!A:D,2,FALSE()),"")</f>
        <v/>
      </c>
      <c r="C859" s="8" t="str">
        <f aca="false">IFERROR(__xludf.dummyfunction("IFERROR(IFERROR(GOOGLEFINANCE(A865,""price""),VLOOKUP(A865,'Dados-Status-Invest'!A:B,2,FALSE)),"""")"),"")</f>
        <v/>
      </c>
      <c r="D859" s="8" t="str">
        <f aca="false">IFERROR(VLOOKUP(A859,'Dados-Status-Invest'!$1:$1000,MATCH(D$1,'Dados-Status-Invest'!$2:$2,0),FALSE()),"")</f>
        <v/>
      </c>
      <c r="E859" s="8" t="e">
        <f aca="false">IF(D859+H859&gt;0,D859+H859,"")</f>
        <v>#VALUE!</v>
      </c>
      <c r="F859" s="8" t="str">
        <f aca="false">IFERROR(D859/VLOOKUP(A859,'Dados-Status-Invest'!$1:$1000,5,FALSE()),"")</f>
        <v/>
      </c>
      <c r="G859" s="8" t="str">
        <f aca="false">IFERROR(D859/VLOOKUP(A859,'Dados-Status-Invest'!$1:$1000,6,FALSE()),"")</f>
        <v/>
      </c>
      <c r="H859" s="8" t="str">
        <f aca="false">IFERROR(VLOOKUP(A859,'Dados-Status-Invest'!$1:$1000,12,FALSE())*J859,"")</f>
        <v/>
      </c>
      <c r="I859" s="8" t="str">
        <f aca="false">IFERROR(D859/VLOOKUP(A859,'Dados-Status-Invest'!$1:$1000,14,FALSE()),"")</f>
        <v/>
      </c>
      <c r="J859" s="9" t="str">
        <f aca="false">IFERROR(D859/VLOOKUP(A859,'Dados-Status-Invest'!$1:$1000,10,FALSE()),"")</f>
        <v/>
      </c>
      <c r="K859" s="10" t="str">
        <f aca="false">IFERROR(VLOOKUP(A859,'Dados-Status-Invest'!$1:$1000,3,FALSE())/100,"")</f>
        <v/>
      </c>
      <c r="L859" s="11" t="str">
        <f aca="false">IFERROR(VLOOKUP(A859,'Dados-Status-Invest'!$1:$1000,MATCH(L$1,'Dados-Status-Invest'!$2:$2,0),FALSE())/100,"")</f>
        <v/>
      </c>
      <c r="M859" s="10" t="str">
        <f aca="false">IFERROR(VLOOKUP(A859,'Dados-Status-Invest'!$1:$1000,MATCH(M$1,'Dados-Status-Invest'!$2:$2,0),FALSE())/100,"")</f>
        <v/>
      </c>
      <c r="N859" s="10" t="str">
        <f aca="false">IFERROR(VLOOKUP(A859,'Dados-Status-Invest'!$1:$1000,MATCH(N$1,'Dados-Status-Invest'!$2:$2,0),FALSE())/100,"")</f>
        <v/>
      </c>
      <c r="O859" s="10" t="str">
        <f aca="false">IFERROR(VLOOKUP(A859,'Dados-Status-Invest'!$1:$1000,MATCH(O$1,'Dados-Status-Invest'!$2:$2,0),FALSE())/100,"")</f>
        <v/>
      </c>
      <c r="P859" s="10" t="str">
        <f aca="false">IFERROR(VLOOKUP(A859,'Dados-Status-Invest'!$1:$1000,MATCH(P$1,'Dados-Status-Invest'!$2:$2,0),FALSE())/100,"")</f>
        <v/>
      </c>
      <c r="Q859" s="10" t="str">
        <f aca="false">IFERROR(VLOOKUP(A859,'Dados-Status-Invest'!$1:$1000,MATCH(Q$1,'Dados-Status-Invest'!$2:$2,0),FALSE())/100,"")</f>
        <v/>
      </c>
      <c r="R859" s="12" t="str">
        <f aca="false">IFERROR(VLOOKUP(A859,'Dados-Status-Invest'!$1:$1000,MATCH(R$1,'Dados-Status-Invest'!$2:$2,0),FALSE()),"")</f>
        <v/>
      </c>
      <c r="S859" s="12" t="str">
        <f aca="false">IFERROR(VLOOKUP(A859,'Dados-Status-Invest'!$1:$1000,MATCH(S$1,'Dados-Status-Invest'!$2:$2,0),FALSE()),"")</f>
        <v/>
      </c>
      <c r="T859" s="12" t="str">
        <f aca="false">IFERROR(VLOOKUP(A859,'Dados-Status-Invest'!$1:$1000,MATCH(T$1,'Dados-Status-Invest'!$2:$2,0),FALSE()),"")</f>
        <v/>
      </c>
      <c r="U859" s="12" t="str">
        <f aca="false">IFERROR(VLOOKUP(A859,'Dados-Status-Invest'!$1:$1000,MATCH(U$1,'Dados-Status-Invest'!$2:$2,0),FALSE()),"")</f>
        <v/>
      </c>
      <c r="V859" s="12" t="str">
        <f aca="false">IFERROR(VLOOKUP(A859,'Dados-Status-Invest'!$1:$1000,MATCH(V$1,'Dados-Status-Invest'!$2:$2,0),FALSE()),"")</f>
        <v/>
      </c>
      <c r="W859" s="10" t="str">
        <f aca="false">IFERROR(VLOOKUP(A859,'Dados-Status-Invest'!$1:$1000,MATCH(W$1,'Dados-Status-Invest'!$2:$2,0),FALSE())/100,"")</f>
        <v/>
      </c>
      <c r="X859" s="10" t="str">
        <f aca="false">IFERROR(VLOOKUP(A859,'Dados-Status-Invest'!$1:$1000,MATCH(X$1,'Dados-Status-Invest'!$2:$2,0),FALSE())/100,"")</f>
        <v/>
      </c>
    </row>
    <row r="860" customFormat="false" ht="15.75" hidden="false" customHeight="false" outlineLevel="0" collapsed="false">
      <c r="B860" s="7" t="str">
        <f aca="false">IFERROR(VLOOKUP(LEFT(A860,4),Setor!A:D,2,FALSE()),"")</f>
        <v/>
      </c>
      <c r="C860" s="8" t="str">
        <f aca="false">IFERROR(__xludf.dummyfunction("IFERROR(IFERROR(GOOGLEFINANCE(A866,""price""),VLOOKUP(A866,'Dados-Status-Invest'!A:B,2,FALSE)),"""")"),"")</f>
        <v/>
      </c>
      <c r="D860" s="8" t="str">
        <f aca="false">IFERROR(VLOOKUP(A860,'Dados-Status-Invest'!$1:$1000,MATCH(D$1,'Dados-Status-Invest'!$2:$2,0),FALSE()),"")</f>
        <v/>
      </c>
      <c r="E860" s="8" t="e">
        <f aca="false">IF(D860+H860&gt;0,D860+H860,"")</f>
        <v>#VALUE!</v>
      </c>
      <c r="F860" s="8" t="str">
        <f aca="false">IFERROR(D860/VLOOKUP(A860,'Dados-Status-Invest'!$1:$1000,5,FALSE()),"")</f>
        <v/>
      </c>
      <c r="G860" s="8" t="str">
        <f aca="false">IFERROR(D860/VLOOKUP(A860,'Dados-Status-Invest'!$1:$1000,6,FALSE()),"")</f>
        <v/>
      </c>
      <c r="H860" s="8" t="str">
        <f aca="false">IFERROR(VLOOKUP(A860,'Dados-Status-Invest'!$1:$1000,12,FALSE())*J860,"")</f>
        <v/>
      </c>
      <c r="I860" s="8" t="str">
        <f aca="false">IFERROR(D860/VLOOKUP(A860,'Dados-Status-Invest'!$1:$1000,14,FALSE()),"")</f>
        <v/>
      </c>
      <c r="J860" s="9" t="str">
        <f aca="false">IFERROR(D860/VLOOKUP(A860,'Dados-Status-Invest'!$1:$1000,10,FALSE()),"")</f>
        <v/>
      </c>
      <c r="K860" s="10" t="str">
        <f aca="false">IFERROR(VLOOKUP(A860,'Dados-Status-Invest'!$1:$1000,3,FALSE())/100,"")</f>
        <v/>
      </c>
      <c r="L860" s="11" t="str">
        <f aca="false">IFERROR(VLOOKUP(A860,'Dados-Status-Invest'!$1:$1000,MATCH(L$1,'Dados-Status-Invest'!$2:$2,0),FALSE())/100,"")</f>
        <v/>
      </c>
      <c r="M860" s="10" t="str">
        <f aca="false">IFERROR(VLOOKUP(A860,'Dados-Status-Invest'!$1:$1000,MATCH(M$1,'Dados-Status-Invest'!$2:$2,0),FALSE())/100,"")</f>
        <v/>
      </c>
      <c r="N860" s="10" t="str">
        <f aca="false">IFERROR(VLOOKUP(A860,'Dados-Status-Invest'!$1:$1000,MATCH(N$1,'Dados-Status-Invest'!$2:$2,0),FALSE())/100,"")</f>
        <v/>
      </c>
      <c r="O860" s="10" t="str">
        <f aca="false">IFERROR(VLOOKUP(A860,'Dados-Status-Invest'!$1:$1000,MATCH(O$1,'Dados-Status-Invest'!$2:$2,0),FALSE())/100,"")</f>
        <v/>
      </c>
      <c r="P860" s="10" t="str">
        <f aca="false">IFERROR(VLOOKUP(A860,'Dados-Status-Invest'!$1:$1000,MATCH(P$1,'Dados-Status-Invest'!$2:$2,0),FALSE())/100,"")</f>
        <v/>
      </c>
      <c r="Q860" s="10" t="str">
        <f aca="false">IFERROR(VLOOKUP(A860,'Dados-Status-Invest'!$1:$1000,MATCH(Q$1,'Dados-Status-Invest'!$2:$2,0),FALSE())/100,"")</f>
        <v/>
      </c>
      <c r="R860" s="12" t="str">
        <f aca="false">IFERROR(VLOOKUP(A860,'Dados-Status-Invest'!$1:$1000,MATCH(R$1,'Dados-Status-Invest'!$2:$2,0),FALSE()),"")</f>
        <v/>
      </c>
      <c r="S860" s="12" t="str">
        <f aca="false">IFERROR(VLOOKUP(A860,'Dados-Status-Invest'!$1:$1000,MATCH(S$1,'Dados-Status-Invest'!$2:$2,0),FALSE()),"")</f>
        <v/>
      </c>
      <c r="T860" s="12" t="str">
        <f aca="false">IFERROR(VLOOKUP(A860,'Dados-Status-Invest'!$1:$1000,MATCH(T$1,'Dados-Status-Invest'!$2:$2,0),FALSE()),"")</f>
        <v/>
      </c>
      <c r="U860" s="12" t="str">
        <f aca="false">IFERROR(VLOOKUP(A860,'Dados-Status-Invest'!$1:$1000,MATCH(U$1,'Dados-Status-Invest'!$2:$2,0),FALSE()),"")</f>
        <v/>
      </c>
      <c r="V860" s="12" t="str">
        <f aca="false">IFERROR(VLOOKUP(A860,'Dados-Status-Invest'!$1:$1000,MATCH(V$1,'Dados-Status-Invest'!$2:$2,0),FALSE()),"")</f>
        <v/>
      </c>
      <c r="W860" s="10" t="str">
        <f aca="false">IFERROR(VLOOKUP(A860,'Dados-Status-Invest'!$1:$1000,MATCH(W$1,'Dados-Status-Invest'!$2:$2,0),FALSE())/100,"")</f>
        <v/>
      </c>
      <c r="X860" s="10" t="str">
        <f aca="false">IFERROR(VLOOKUP(A860,'Dados-Status-Invest'!$1:$1000,MATCH(X$1,'Dados-Status-Invest'!$2:$2,0),FALSE())/100,"")</f>
        <v/>
      </c>
    </row>
    <row r="861" customFormat="false" ht="15.75" hidden="false" customHeight="false" outlineLevel="0" collapsed="false">
      <c r="B861" s="7" t="str">
        <f aca="false">IFERROR(VLOOKUP(LEFT(A861,4),Setor!A:D,2,FALSE()),"")</f>
        <v/>
      </c>
      <c r="C861" s="8" t="str">
        <f aca="false">IFERROR(__xludf.dummyfunction("IFERROR(IFERROR(GOOGLEFINANCE(A867,""price""),VLOOKUP(A867,'Dados-Status-Invest'!A:B,2,FALSE)),"""")"),"")</f>
        <v/>
      </c>
      <c r="D861" s="8" t="str">
        <f aca="false">IFERROR(VLOOKUP(A861,'Dados-Status-Invest'!$1:$1000,MATCH(D$1,'Dados-Status-Invest'!$2:$2,0),FALSE()),"")</f>
        <v/>
      </c>
      <c r="E861" s="8" t="e">
        <f aca="false">IF(D861+H861&gt;0,D861+H861,"")</f>
        <v>#VALUE!</v>
      </c>
      <c r="F861" s="8" t="str">
        <f aca="false">IFERROR(D861/VLOOKUP(A861,'Dados-Status-Invest'!$1:$1000,5,FALSE()),"")</f>
        <v/>
      </c>
      <c r="G861" s="8" t="str">
        <f aca="false">IFERROR(D861/VLOOKUP(A861,'Dados-Status-Invest'!$1:$1000,6,FALSE()),"")</f>
        <v/>
      </c>
      <c r="H861" s="8" t="str">
        <f aca="false">IFERROR(VLOOKUP(A861,'Dados-Status-Invest'!$1:$1000,12,FALSE())*J861,"")</f>
        <v/>
      </c>
      <c r="I861" s="8" t="str">
        <f aca="false">IFERROR(D861/VLOOKUP(A861,'Dados-Status-Invest'!$1:$1000,14,FALSE()),"")</f>
        <v/>
      </c>
      <c r="J861" s="9" t="str">
        <f aca="false">IFERROR(D861/VLOOKUP(A861,'Dados-Status-Invest'!$1:$1000,10,FALSE()),"")</f>
        <v/>
      </c>
      <c r="K861" s="10" t="str">
        <f aca="false">IFERROR(VLOOKUP(A861,'Dados-Status-Invest'!$1:$1000,3,FALSE())/100,"")</f>
        <v/>
      </c>
      <c r="L861" s="11" t="str">
        <f aca="false">IFERROR(VLOOKUP(A861,'Dados-Status-Invest'!$1:$1000,MATCH(L$1,'Dados-Status-Invest'!$2:$2,0),FALSE())/100,"")</f>
        <v/>
      </c>
      <c r="M861" s="10" t="str">
        <f aca="false">IFERROR(VLOOKUP(A861,'Dados-Status-Invest'!$1:$1000,MATCH(M$1,'Dados-Status-Invest'!$2:$2,0),FALSE())/100,"")</f>
        <v/>
      </c>
      <c r="N861" s="10" t="str">
        <f aca="false">IFERROR(VLOOKUP(A861,'Dados-Status-Invest'!$1:$1000,MATCH(N$1,'Dados-Status-Invest'!$2:$2,0),FALSE())/100,"")</f>
        <v/>
      </c>
      <c r="O861" s="10" t="str">
        <f aca="false">IFERROR(VLOOKUP(A861,'Dados-Status-Invest'!$1:$1000,MATCH(O$1,'Dados-Status-Invest'!$2:$2,0),FALSE())/100,"")</f>
        <v/>
      </c>
      <c r="P861" s="10" t="str">
        <f aca="false">IFERROR(VLOOKUP(A861,'Dados-Status-Invest'!$1:$1000,MATCH(P$1,'Dados-Status-Invest'!$2:$2,0),FALSE())/100,"")</f>
        <v/>
      </c>
      <c r="Q861" s="10" t="str">
        <f aca="false">IFERROR(VLOOKUP(A861,'Dados-Status-Invest'!$1:$1000,MATCH(Q$1,'Dados-Status-Invest'!$2:$2,0),FALSE())/100,"")</f>
        <v/>
      </c>
      <c r="R861" s="12" t="str">
        <f aca="false">IFERROR(VLOOKUP(A861,'Dados-Status-Invest'!$1:$1000,MATCH(R$1,'Dados-Status-Invest'!$2:$2,0),FALSE()),"")</f>
        <v/>
      </c>
      <c r="S861" s="12" t="str">
        <f aca="false">IFERROR(VLOOKUP(A861,'Dados-Status-Invest'!$1:$1000,MATCH(S$1,'Dados-Status-Invest'!$2:$2,0),FALSE()),"")</f>
        <v/>
      </c>
      <c r="T861" s="12" t="str">
        <f aca="false">IFERROR(VLOOKUP(A861,'Dados-Status-Invest'!$1:$1000,MATCH(T$1,'Dados-Status-Invest'!$2:$2,0),FALSE()),"")</f>
        <v/>
      </c>
      <c r="U861" s="12" t="str">
        <f aca="false">IFERROR(VLOOKUP(A861,'Dados-Status-Invest'!$1:$1000,MATCH(U$1,'Dados-Status-Invest'!$2:$2,0),FALSE()),"")</f>
        <v/>
      </c>
      <c r="V861" s="12" t="str">
        <f aca="false">IFERROR(VLOOKUP(A861,'Dados-Status-Invest'!$1:$1000,MATCH(V$1,'Dados-Status-Invest'!$2:$2,0),FALSE()),"")</f>
        <v/>
      </c>
      <c r="W861" s="10" t="str">
        <f aca="false">IFERROR(VLOOKUP(A861,'Dados-Status-Invest'!$1:$1000,MATCH(W$1,'Dados-Status-Invest'!$2:$2,0),FALSE())/100,"")</f>
        <v/>
      </c>
      <c r="X861" s="10" t="str">
        <f aca="false">IFERROR(VLOOKUP(A861,'Dados-Status-Invest'!$1:$1000,MATCH(X$1,'Dados-Status-Invest'!$2:$2,0),FALSE())/100,"")</f>
        <v/>
      </c>
    </row>
    <row r="862" customFormat="false" ht="15.75" hidden="false" customHeight="false" outlineLevel="0" collapsed="false">
      <c r="B862" s="7" t="str">
        <f aca="false">IFERROR(VLOOKUP(LEFT(A862,4),Setor!A:D,2,FALSE()),"")</f>
        <v/>
      </c>
      <c r="C862" s="8" t="str">
        <f aca="false">IFERROR(__xludf.dummyfunction("IFERROR(IFERROR(GOOGLEFINANCE(A868,""price""),VLOOKUP(A868,'Dados-Status-Invest'!A:B,2,FALSE)),"""")"),"")</f>
        <v/>
      </c>
      <c r="D862" s="8" t="str">
        <f aca="false">IFERROR(VLOOKUP(A862,'Dados-Status-Invest'!$1:$1000,MATCH(D$1,'Dados-Status-Invest'!$2:$2,0),FALSE()),"")</f>
        <v/>
      </c>
      <c r="E862" s="8" t="e">
        <f aca="false">IF(D862+H862&gt;0,D862+H862,"")</f>
        <v>#VALUE!</v>
      </c>
      <c r="F862" s="8" t="str">
        <f aca="false">IFERROR(D862/VLOOKUP(A862,'Dados-Status-Invest'!$1:$1000,5,FALSE()),"")</f>
        <v/>
      </c>
      <c r="G862" s="8" t="str">
        <f aca="false">IFERROR(D862/VLOOKUP(A862,'Dados-Status-Invest'!$1:$1000,6,FALSE()),"")</f>
        <v/>
      </c>
      <c r="H862" s="8" t="str">
        <f aca="false">IFERROR(VLOOKUP(A862,'Dados-Status-Invest'!$1:$1000,12,FALSE())*J862,"")</f>
        <v/>
      </c>
      <c r="I862" s="8" t="str">
        <f aca="false">IFERROR(D862/VLOOKUP(A862,'Dados-Status-Invest'!$1:$1000,14,FALSE()),"")</f>
        <v/>
      </c>
      <c r="J862" s="9" t="str">
        <f aca="false">IFERROR(D862/VLOOKUP(A862,'Dados-Status-Invest'!$1:$1000,10,FALSE()),"")</f>
        <v/>
      </c>
      <c r="K862" s="10" t="str">
        <f aca="false">IFERROR(VLOOKUP(A862,'Dados-Status-Invest'!$1:$1000,3,FALSE())/100,"")</f>
        <v/>
      </c>
      <c r="L862" s="11" t="str">
        <f aca="false">IFERROR(VLOOKUP(A862,'Dados-Status-Invest'!$1:$1000,MATCH(L$1,'Dados-Status-Invest'!$2:$2,0),FALSE())/100,"")</f>
        <v/>
      </c>
      <c r="M862" s="10" t="str">
        <f aca="false">IFERROR(VLOOKUP(A862,'Dados-Status-Invest'!$1:$1000,MATCH(M$1,'Dados-Status-Invest'!$2:$2,0),FALSE())/100,"")</f>
        <v/>
      </c>
      <c r="N862" s="10" t="str">
        <f aca="false">IFERROR(VLOOKUP(A862,'Dados-Status-Invest'!$1:$1000,MATCH(N$1,'Dados-Status-Invest'!$2:$2,0),FALSE())/100,"")</f>
        <v/>
      </c>
      <c r="O862" s="10" t="str">
        <f aca="false">IFERROR(VLOOKUP(A862,'Dados-Status-Invest'!$1:$1000,MATCH(O$1,'Dados-Status-Invest'!$2:$2,0),FALSE())/100,"")</f>
        <v/>
      </c>
      <c r="P862" s="10" t="str">
        <f aca="false">IFERROR(VLOOKUP(A862,'Dados-Status-Invest'!$1:$1000,MATCH(P$1,'Dados-Status-Invest'!$2:$2,0),FALSE())/100,"")</f>
        <v/>
      </c>
      <c r="Q862" s="10" t="str">
        <f aca="false">IFERROR(VLOOKUP(A862,'Dados-Status-Invest'!$1:$1000,MATCH(Q$1,'Dados-Status-Invest'!$2:$2,0),FALSE())/100,"")</f>
        <v/>
      </c>
      <c r="R862" s="12" t="str">
        <f aca="false">IFERROR(VLOOKUP(A862,'Dados-Status-Invest'!$1:$1000,MATCH(R$1,'Dados-Status-Invest'!$2:$2,0),FALSE()),"")</f>
        <v/>
      </c>
      <c r="S862" s="12" t="str">
        <f aca="false">IFERROR(VLOOKUP(A862,'Dados-Status-Invest'!$1:$1000,MATCH(S$1,'Dados-Status-Invest'!$2:$2,0),FALSE()),"")</f>
        <v/>
      </c>
      <c r="T862" s="12" t="str">
        <f aca="false">IFERROR(VLOOKUP(A862,'Dados-Status-Invest'!$1:$1000,MATCH(T$1,'Dados-Status-Invest'!$2:$2,0),FALSE()),"")</f>
        <v/>
      </c>
      <c r="U862" s="12" t="str">
        <f aca="false">IFERROR(VLOOKUP(A862,'Dados-Status-Invest'!$1:$1000,MATCH(U$1,'Dados-Status-Invest'!$2:$2,0),FALSE()),"")</f>
        <v/>
      </c>
      <c r="V862" s="12" t="str">
        <f aca="false">IFERROR(VLOOKUP(A862,'Dados-Status-Invest'!$1:$1000,MATCH(V$1,'Dados-Status-Invest'!$2:$2,0),FALSE()),"")</f>
        <v/>
      </c>
      <c r="W862" s="10" t="str">
        <f aca="false">IFERROR(VLOOKUP(A862,'Dados-Status-Invest'!$1:$1000,MATCH(W$1,'Dados-Status-Invest'!$2:$2,0),FALSE())/100,"")</f>
        <v/>
      </c>
      <c r="X862" s="10" t="str">
        <f aca="false">IFERROR(VLOOKUP(A862,'Dados-Status-Invest'!$1:$1000,MATCH(X$1,'Dados-Status-Invest'!$2:$2,0),FALSE())/100,"")</f>
        <v/>
      </c>
    </row>
    <row r="863" customFormat="false" ht="15.75" hidden="false" customHeight="false" outlineLevel="0" collapsed="false">
      <c r="B863" s="7" t="str">
        <f aca="false">IFERROR(VLOOKUP(LEFT(A863,4),Setor!A:D,2,FALSE()),"")</f>
        <v/>
      </c>
      <c r="C863" s="8" t="str">
        <f aca="false">IFERROR(__xludf.dummyfunction("IFERROR(IFERROR(GOOGLEFINANCE(A869,""price""),VLOOKUP(A869,'Dados-Status-Invest'!A:B,2,FALSE)),"""")"),"")</f>
        <v/>
      </c>
      <c r="D863" s="8" t="str">
        <f aca="false">IFERROR(VLOOKUP(A863,'Dados-Status-Invest'!$1:$1000,MATCH(D$1,'Dados-Status-Invest'!$2:$2,0),FALSE()),"")</f>
        <v/>
      </c>
      <c r="E863" s="8" t="e">
        <f aca="false">IF(D863+H863&gt;0,D863+H863,"")</f>
        <v>#VALUE!</v>
      </c>
      <c r="F863" s="8" t="str">
        <f aca="false">IFERROR(D863/VLOOKUP(A863,'Dados-Status-Invest'!$1:$1000,5,FALSE()),"")</f>
        <v/>
      </c>
      <c r="G863" s="8" t="str">
        <f aca="false">IFERROR(D863/VLOOKUP(A863,'Dados-Status-Invest'!$1:$1000,6,FALSE()),"")</f>
        <v/>
      </c>
      <c r="H863" s="8" t="str">
        <f aca="false">IFERROR(VLOOKUP(A863,'Dados-Status-Invest'!$1:$1000,12,FALSE())*J863,"")</f>
        <v/>
      </c>
      <c r="I863" s="8" t="str">
        <f aca="false">IFERROR(D863/VLOOKUP(A863,'Dados-Status-Invest'!$1:$1000,14,FALSE()),"")</f>
        <v/>
      </c>
      <c r="J863" s="9" t="str">
        <f aca="false">IFERROR(D863/VLOOKUP(A863,'Dados-Status-Invest'!$1:$1000,10,FALSE()),"")</f>
        <v/>
      </c>
      <c r="K863" s="10" t="str">
        <f aca="false">IFERROR(VLOOKUP(A863,'Dados-Status-Invest'!$1:$1000,3,FALSE())/100,"")</f>
        <v/>
      </c>
      <c r="L863" s="11" t="str">
        <f aca="false">IFERROR(VLOOKUP(A863,'Dados-Status-Invest'!$1:$1000,MATCH(L$1,'Dados-Status-Invest'!$2:$2,0),FALSE())/100,"")</f>
        <v/>
      </c>
      <c r="M863" s="10" t="str">
        <f aca="false">IFERROR(VLOOKUP(A863,'Dados-Status-Invest'!$1:$1000,MATCH(M$1,'Dados-Status-Invest'!$2:$2,0),FALSE())/100,"")</f>
        <v/>
      </c>
      <c r="N863" s="10" t="str">
        <f aca="false">IFERROR(VLOOKUP(A863,'Dados-Status-Invest'!$1:$1000,MATCH(N$1,'Dados-Status-Invest'!$2:$2,0),FALSE())/100,"")</f>
        <v/>
      </c>
      <c r="O863" s="10" t="str">
        <f aca="false">IFERROR(VLOOKUP(A863,'Dados-Status-Invest'!$1:$1000,MATCH(O$1,'Dados-Status-Invest'!$2:$2,0),FALSE())/100,"")</f>
        <v/>
      </c>
      <c r="P863" s="10" t="str">
        <f aca="false">IFERROR(VLOOKUP(A863,'Dados-Status-Invest'!$1:$1000,MATCH(P$1,'Dados-Status-Invest'!$2:$2,0),FALSE())/100,"")</f>
        <v/>
      </c>
      <c r="Q863" s="10" t="str">
        <f aca="false">IFERROR(VLOOKUP(A863,'Dados-Status-Invest'!$1:$1000,MATCH(Q$1,'Dados-Status-Invest'!$2:$2,0),FALSE())/100,"")</f>
        <v/>
      </c>
      <c r="R863" s="12" t="str">
        <f aca="false">IFERROR(VLOOKUP(A863,'Dados-Status-Invest'!$1:$1000,MATCH(R$1,'Dados-Status-Invest'!$2:$2,0),FALSE()),"")</f>
        <v/>
      </c>
      <c r="S863" s="12" t="str">
        <f aca="false">IFERROR(VLOOKUP(A863,'Dados-Status-Invest'!$1:$1000,MATCH(S$1,'Dados-Status-Invest'!$2:$2,0),FALSE()),"")</f>
        <v/>
      </c>
      <c r="T863" s="12" t="str">
        <f aca="false">IFERROR(VLOOKUP(A863,'Dados-Status-Invest'!$1:$1000,MATCH(T$1,'Dados-Status-Invest'!$2:$2,0),FALSE()),"")</f>
        <v/>
      </c>
      <c r="U863" s="12" t="str">
        <f aca="false">IFERROR(VLOOKUP(A863,'Dados-Status-Invest'!$1:$1000,MATCH(U$1,'Dados-Status-Invest'!$2:$2,0),FALSE()),"")</f>
        <v/>
      </c>
      <c r="V863" s="12" t="str">
        <f aca="false">IFERROR(VLOOKUP(A863,'Dados-Status-Invest'!$1:$1000,MATCH(V$1,'Dados-Status-Invest'!$2:$2,0),FALSE()),"")</f>
        <v/>
      </c>
      <c r="W863" s="10" t="str">
        <f aca="false">IFERROR(VLOOKUP(A863,'Dados-Status-Invest'!$1:$1000,MATCH(W$1,'Dados-Status-Invest'!$2:$2,0),FALSE())/100,"")</f>
        <v/>
      </c>
      <c r="X863" s="10" t="str">
        <f aca="false">IFERROR(VLOOKUP(A863,'Dados-Status-Invest'!$1:$1000,MATCH(X$1,'Dados-Status-Invest'!$2:$2,0),FALSE())/100,"")</f>
        <v/>
      </c>
    </row>
    <row r="864" customFormat="false" ht="15.75" hidden="false" customHeight="false" outlineLevel="0" collapsed="false">
      <c r="B864" s="7" t="str">
        <f aca="false">IFERROR(VLOOKUP(LEFT(A864,4),Setor!A:D,2,FALSE()),"")</f>
        <v/>
      </c>
      <c r="C864" s="8" t="str">
        <f aca="false">IFERROR(__xludf.dummyfunction("IFERROR(IFERROR(GOOGLEFINANCE(A870,""price""),VLOOKUP(A870,'Dados-Status-Invest'!A:B,2,FALSE)),"""")"),"")</f>
        <v/>
      </c>
      <c r="D864" s="8" t="str">
        <f aca="false">IFERROR(VLOOKUP(A864,'Dados-Status-Invest'!$1:$1000,MATCH(D$1,'Dados-Status-Invest'!$2:$2,0),FALSE()),"")</f>
        <v/>
      </c>
      <c r="E864" s="8" t="e">
        <f aca="false">IF(D864+H864&gt;0,D864+H864,"")</f>
        <v>#VALUE!</v>
      </c>
      <c r="F864" s="8" t="str">
        <f aca="false">IFERROR(D864/VLOOKUP(A864,'Dados-Status-Invest'!$1:$1000,5,FALSE()),"")</f>
        <v/>
      </c>
      <c r="G864" s="8" t="str">
        <f aca="false">IFERROR(D864/VLOOKUP(A864,'Dados-Status-Invest'!$1:$1000,6,FALSE()),"")</f>
        <v/>
      </c>
      <c r="H864" s="8" t="str">
        <f aca="false">IFERROR(VLOOKUP(A864,'Dados-Status-Invest'!$1:$1000,12,FALSE())*J864,"")</f>
        <v/>
      </c>
      <c r="I864" s="8" t="str">
        <f aca="false">IFERROR(D864/VLOOKUP(A864,'Dados-Status-Invest'!$1:$1000,14,FALSE()),"")</f>
        <v/>
      </c>
      <c r="J864" s="9" t="str">
        <f aca="false">IFERROR(D864/VLOOKUP(A864,'Dados-Status-Invest'!$1:$1000,10,FALSE()),"")</f>
        <v/>
      </c>
      <c r="K864" s="10" t="str">
        <f aca="false">IFERROR(VLOOKUP(A864,'Dados-Status-Invest'!$1:$1000,3,FALSE())/100,"")</f>
        <v/>
      </c>
      <c r="L864" s="11" t="str">
        <f aca="false">IFERROR(VLOOKUP(A864,'Dados-Status-Invest'!$1:$1000,MATCH(L$1,'Dados-Status-Invest'!$2:$2,0),FALSE())/100,"")</f>
        <v/>
      </c>
      <c r="M864" s="10" t="str">
        <f aca="false">IFERROR(VLOOKUP(A864,'Dados-Status-Invest'!$1:$1000,MATCH(M$1,'Dados-Status-Invest'!$2:$2,0),FALSE())/100,"")</f>
        <v/>
      </c>
      <c r="N864" s="10" t="str">
        <f aca="false">IFERROR(VLOOKUP(A864,'Dados-Status-Invest'!$1:$1000,MATCH(N$1,'Dados-Status-Invest'!$2:$2,0),FALSE())/100,"")</f>
        <v/>
      </c>
      <c r="O864" s="10" t="str">
        <f aca="false">IFERROR(VLOOKUP(A864,'Dados-Status-Invest'!$1:$1000,MATCH(O$1,'Dados-Status-Invest'!$2:$2,0),FALSE())/100,"")</f>
        <v/>
      </c>
      <c r="P864" s="10" t="str">
        <f aca="false">IFERROR(VLOOKUP(A864,'Dados-Status-Invest'!$1:$1000,MATCH(P$1,'Dados-Status-Invest'!$2:$2,0),FALSE())/100,"")</f>
        <v/>
      </c>
      <c r="Q864" s="10" t="str">
        <f aca="false">IFERROR(VLOOKUP(A864,'Dados-Status-Invest'!$1:$1000,MATCH(Q$1,'Dados-Status-Invest'!$2:$2,0),FALSE())/100,"")</f>
        <v/>
      </c>
      <c r="R864" s="12" t="str">
        <f aca="false">IFERROR(VLOOKUP(A864,'Dados-Status-Invest'!$1:$1000,MATCH(R$1,'Dados-Status-Invest'!$2:$2,0),FALSE()),"")</f>
        <v/>
      </c>
      <c r="S864" s="12" t="str">
        <f aca="false">IFERROR(VLOOKUP(A864,'Dados-Status-Invest'!$1:$1000,MATCH(S$1,'Dados-Status-Invest'!$2:$2,0),FALSE()),"")</f>
        <v/>
      </c>
      <c r="T864" s="12" t="str">
        <f aca="false">IFERROR(VLOOKUP(A864,'Dados-Status-Invest'!$1:$1000,MATCH(T$1,'Dados-Status-Invest'!$2:$2,0),FALSE()),"")</f>
        <v/>
      </c>
      <c r="U864" s="12" t="str">
        <f aca="false">IFERROR(VLOOKUP(A864,'Dados-Status-Invest'!$1:$1000,MATCH(U$1,'Dados-Status-Invest'!$2:$2,0),FALSE()),"")</f>
        <v/>
      </c>
      <c r="V864" s="12" t="str">
        <f aca="false">IFERROR(VLOOKUP(A864,'Dados-Status-Invest'!$1:$1000,MATCH(V$1,'Dados-Status-Invest'!$2:$2,0),FALSE()),"")</f>
        <v/>
      </c>
      <c r="W864" s="10" t="str">
        <f aca="false">IFERROR(VLOOKUP(A864,'Dados-Status-Invest'!$1:$1000,MATCH(W$1,'Dados-Status-Invest'!$2:$2,0),FALSE())/100,"")</f>
        <v/>
      </c>
      <c r="X864" s="10" t="str">
        <f aca="false">IFERROR(VLOOKUP(A864,'Dados-Status-Invest'!$1:$1000,MATCH(X$1,'Dados-Status-Invest'!$2:$2,0),FALSE())/100,"")</f>
        <v/>
      </c>
    </row>
    <row r="865" customFormat="false" ht="15.75" hidden="false" customHeight="false" outlineLevel="0" collapsed="false">
      <c r="B865" s="7" t="str">
        <f aca="false">IFERROR(VLOOKUP(LEFT(A865,4),Setor!A:D,2,FALSE()),"")</f>
        <v/>
      </c>
      <c r="C865" s="8" t="str">
        <f aca="false">IFERROR(__xludf.dummyfunction("IFERROR(IFERROR(GOOGLEFINANCE(A871,""price""),VLOOKUP(A871,'Dados-Status-Invest'!A:B,2,FALSE)),"""")"),"")</f>
        <v/>
      </c>
      <c r="D865" s="8" t="str">
        <f aca="false">IFERROR(VLOOKUP(A865,'Dados-Status-Invest'!$1:$1000,MATCH(D$1,'Dados-Status-Invest'!$2:$2,0),FALSE()),"")</f>
        <v/>
      </c>
      <c r="E865" s="8" t="e">
        <f aca="false">IF(D865+H865&gt;0,D865+H865,"")</f>
        <v>#VALUE!</v>
      </c>
      <c r="F865" s="8" t="str">
        <f aca="false">IFERROR(D865/VLOOKUP(A865,'Dados-Status-Invest'!$1:$1000,5,FALSE()),"")</f>
        <v/>
      </c>
      <c r="G865" s="8" t="str">
        <f aca="false">IFERROR(D865/VLOOKUP(A865,'Dados-Status-Invest'!$1:$1000,6,FALSE()),"")</f>
        <v/>
      </c>
      <c r="H865" s="8" t="str">
        <f aca="false">IFERROR(VLOOKUP(A865,'Dados-Status-Invest'!$1:$1000,12,FALSE())*J865,"")</f>
        <v/>
      </c>
      <c r="I865" s="8" t="str">
        <f aca="false">IFERROR(D865/VLOOKUP(A865,'Dados-Status-Invest'!$1:$1000,14,FALSE()),"")</f>
        <v/>
      </c>
      <c r="J865" s="9" t="str">
        <f aca="false">IFERROR(D865/VLOOKUP(A865,'Dados-Status-Invest'!$1:$1000,10,FALSE()),"")</f>
        <v/>
      </c>
      <c r="K865" s="10" t="str">
        <f aca="false">IFERROR(VLOOKUP(A865,'Dados-Status-Invest'!$1:$1000,3,FALSE())/100,"")</f>
        <v/>
      </c>
      <c r="L865" s="11" t="str">
        <f aca="false">IFERROR(VLOOKUP(A865,'Dados-Status-Invest'!$1:$1000,MATCH(L$1,'Dados-Status-Invest'!$2:$2,0),FALSE())/100,"")</f>
        <v/>
      </c>
      <c r="M865" s="10" t="str">
        <f aca="false">IFERROR(VLOOKUP(A865,'Dados-Status-Invest'!$1:$1000,MATCH(M$1,'Dados-Status-Invest'!$2:$2,0),FALSE())/100,"")</f>
        <v/>
      </c>
      <c r="N865" s="10" t="str">
        <f aca="false">IFERROR(VLOOKUP(A865,'Dados-Status-Invest'!$1:$1000,MATCH(N$1,'Dados-Status-Invest'!$2:$2,0),FALSE())/100,"")</f>
        <v/>
      </c>
      <c r="O865" s="10" t="str">
        <f aca="false">IFERROR(VLOOKUP(A865,'Dados-Status-Invest'!$1:$1000,MATCH(O$1,'Dados-Status-Invest'!$2:$2,0),FALSE())/100,"")</f>
        <v/>
      </c>
      <c r="P865" s="10" t="str">
        <f aca="false">IFERROR(VLOOKUP(A865,'Dados-Status-Invest'!$1:$1000,MATCH(P$1,'Dados-Status-Invest'!$2:$2,0),FALSE())/100,"")</f>
        <v/>
      </c>
      <c r="Q865" s="10" t="str">
        <f aca="false">IFERROR(VLOOKUP(A865,'Dados-Status-Invest'!$1:$1000,MATCH(Q$1,'Dados-Status-Invest'!$2:$2,0),FALSE())/100,"")</f>
        <v/>
      </c>
      <c r="R865" s="12" t="str">
        <f aca="false">IFERROR(VLOOKUP(A865,'Dados-Status-Invest'!$1:$1000,MATCH(R$1,'Dados-Status-Invest'!$2:$2,0),FALSE()),"")</f>
        <v/>
      </c>
      <c r="S865" s="12" t="str">
        <f aca="false">IFERROR(VLOOKUP(A865,'Dados-Status-Invest'!$1:$1000,MATCH(S$1,'Dados-Status-Invest'!$2:$2,0),FALSE()),"")</f>
        <v/>
      </c>
      <c r="T865" s="12" t="str">
        <f aca="false">IFERROR(VLOOKUP(A865,'Dados-Status-Invest'!$1:$1000,MATCH(T$1,'Dados-Status-Invest'!$2:$2,0),FALSE()),"")</f>
        <v/>
      </c>
      <c r="U865" s="12" t="str">
        <f aca="false">IFERROR(VLOOKUP(A865,'Dados-Status-Invest'!$1:$1000,MATCH(U$1,'Dados-Status-Invest'!$2:$2,0),FALSE()),"")</f>
        <v/>
      </c>
      <c r="V865" s="12" t="str">
        <f aca="false">IFERROR(VLOOKUP(A865,'Dados-Status-Invest'!$1:$1000,MATCH(V$1,'Dados-Status-Invest'!$2:$2,0),FALSE()),"")</f>
        <v/>
      </c>
      <c r="W865" s="10" t="str">
        <f aca="false">IFERROR(VLOOKUP(A865,'Dados-Status-Invest'!$1:$1000,MATCH(W$1,'Dados-Status-Invest'!$2:$2,0),FALSE())/100,"")</f>
        <v/>
      </c>
      <c r="X865" s="10" t="str">
        <f aca="false">IFERROR(VLOOKUP(A865,'Dados-Status-Invest'!$1:$1000,MATCH(X$1,'Dados-Status-Invest'!$2:$2,0),FALSE())/100,"")</f>
        <v/>
      </c>
    </row>
    <row r="866" customFormat="false" ht="15.75" hidden="false" customHeight="false" outlineLevel="0" collapsed="false">
      <c r="B866" s="7" t="str">
        <f aca="false">IFERROR(VLOOKUP(LEFT(A866,4),Setor!A:D,2,FALSE()),"")</f>
        <v/>
      </c>
      <c r="C866" s="8" t="str">
        <f aca="false">IFERROR(__xludf.dummyfunction("IFERROR(IFERROR(GOOGLEFINANCE(A872,""price""),VLOOKUP(A872,'Dados-Status-Invest'!A:B,2,FALSE)),"""")"),"")</f>
        <v/>
      </c>
      <c r="D866" s="8" t="str">
        <f aca="false">IFERROR(VLOOKUP(A866,'Dados-Status-Invest'!$1:$1000,MATCH(D$1,'Dados-Status-Invest'!$2:$2,0),FALSE()),"")</f>
        <v/>
      </c>
      <c r="E866" s="8" t="e">
        <f aca="false">IF(D866+H866&gt;0,D866+H866,"")</f>
        <v>#VALUE!</v>
      </c>
      <c r="F866" s="8" t="str">
        <f aca="false">IFERROR(D866/VLOOKUP(A866,'Dados-Status-Invest'!$1:$1000,5,FALSE()),"")</f>
        <v/>
      </c>
      <c r="G866" s="8" t="str">
        <f aca="false">IFERROR(D866/VLOOKUP(A866,'Dados-Status-Invest'!$1:$1000,6,FALSE()),"")</f>
        <v/>
      </c>
      <c r="H866" s="8" t="str">
        <f aca="false">IFERROR(VLOOKUP(A866,'Dados-Status-Invest'!$1:$1000,12,FALSE())*J866,"")</f>
        <v/>
      </c>
      <c r="I866" s="8" t="str">
        <f aca="false">IFERROR(D866/VLOOKUP(A866,'Dados-Status-Invest'!$1:$1000,14,FALSE()),"")</f>
        <v/>
      </c>
      <c r="J866" s="9" t="str">
        <f aca="false">IFERROR(D866/VLOOKUP(A866,'Dados-Status-Invest'!$1:$1000,10,FALSE()),"")</f>
        <v/>
      </c>
      <c r="K866" s="10" t="str">
        <f aca="false">IFERROR(VLOOKUP(A866,'Dados-Status-Invest'!$1:$1000,3,FALSE())/100,"")</f>
        <v/>
      </c>
      <c r="L866" s="11" t="str">
        <f aca="false">IFERROR(VLOOKUP(A866,'Dados-Status-Invest'!$1:$1000,MATCH(L$1,'Dados-Status-Invest'!$2:$2,0),FALSE())/100,"")</f>
        <v/>
      </c>
      <c r="M866" s="10" t="str">
        <f aca="false">IFERROR(VLOOKUP(A866,'Dados-Status-Invest'!$1:$1000,MATCH(M$1,'Dados-Status-Invest'!$2:$2,0),FALSE())/100,"")</f>
        <v/>
      </c>
      <c r="N866" s="10" t="str">
        <f aca="false">IFERROR(VLOOKUP(A866,'Dados-Status-Invest'!$1:$1000,MATCH(N$1,'Dados-Status-Invest'!$2:$2,0),FALSE())/100,"")</f>
        <v/>
      </c>
      <c r="O866" s="10" t="str">
        <f aca="false">IFERROR(VLOOKUP(A866,'Dados-Status-Invest'!$1:$1000,MATCH(O$1,'Dados-Status-Invest'!$2:$2,0),FALSE())/100,"")</f>
        <v/>
      </c>
      <c r="P866" s="10" t="str">
        <f aca="false">IFERROR(VLOOKUP(A866,'Dados-Status-Invest'!$1:$1000,MATCH(P$1,'Dados-Status-Invest'!$2:$2,0),FALSE())/100,"")</f>
        <v/>
      </c>
      <c r="Q866" s="10" t="str">
        <f aca="false">IFERROR(VLOOKUP(A866,'Dados-Status-Invest'!$1:$1000,MATCH(Q$1,'Dados-Status-Invest'!$2:$2,0),FALSE())/100,"")</f>
        <v/>
      </c>
      <c r="R866" s="12" t="str">
        <f aca="false">IFERROR(VLOOKUP(A866,'Dados-Status-Invest'!$1:$1000,MATCH(R$1,'Dados-Status-Invest'!$2:$2,0),FALSE()),"")</f>
        <v/>
      </c>
      <c r="S866" s="12" t="str">
        <f aca="false">IFERROR(VLOOKUP(A866,'Dados-Status-Invest'!$1:$1000,MATCH(S$1,'Dados-Status-Invest'!$2:$2,0),FALSE()),"")</f>
        <v/>
      </c>
      <c r="T866" s="12" t="str">
        <f aca="false">IFERROR(VLOOKUP(A866,'Dados-Status-Invest'!$1:$1000,MATCH(T$1,'Dados-Status-Invest'!$2:$2,0),FALSE()),"")</f>
        <v/>
      </c>
      <c r="U866" s="12" t="str">
        <f aca="false">IFERROR(VLOOKUP(A866,'Dados-Status-Invest'!$1:$1000,MATCH(U$1,'Dados-Status-Invest'!$2:$2,0),FALSE()),"")</f>
        <v/>
      </c>
      <c r="V866" s="12" t="str">
        <f aca="false">IFERROR(VLOOKUP(A866,'Dados-Status-Invest'!$1:$1000,MATCH(V$1,'Dados-Status-Invest'!$2:$2,0),FALSE()),"")</f>
        <v/>
      </c>
      <c r="W866" s="10" t="str">
        <f aca="false">IFERROR(VLOOKUP(A866,'Dados-Status-Invest'!$1:$1000,MATCH(W$1,'Dados-Status-Invest'!$2:$2,0),FALSE())/100,"")</f>
        <v/>
      </c>
      <c r="X866" s="10" t="str">
        <f aca="false">IFERROR(VLOOKUP(A866,'Dados-Status-Invest'!$1:$1000,MATCH(X$1,'Dados-Status-Invest'!$2:$2,0),FALSE())/100,"")</f>
        <v/>
      </c>
    </row>
    <row r="867" customFormat="false" ht="15.75" hidden="false" customHeight="false" outlineLevel="0" collapsed="false">
      <c r="B867" s="7" t="str">
        <f aca="false">IFERROR(VLOOKUP(LEFT(A867,4),Setor!A:D,2,FALSE()),"")</f>
        <v/>
      </c>
      <c r="C867" s="8" t="str">
        <f aca="false">IFERROR(__xludf.dummyfunction("IFERROR(IFERROR(GOOGLEFINANCE(A873,""price""),VLOOKUP(A873,'Dados-Status-Invest'!A:B,2,FALSE)),"""")"),"")</f>
        <v/>
      </c>
      <c r="D867" s="8" t="str">
        <f aca="false">IFERROR(VLOOKUP(A867,'Dados-Status-Invest'!$1:$1000,MATCH(D$1,'Dados-Status-Invest'!$2:$2,0),FALSE()),"")</f>
        <v/>
      </c>
      <c r="E867" s="8" t="e">
        <f aca="false">IF(D867+H867&gt;0,D867+H867,"")</f>
        <v>#VALUE!</v>
      </c>
      <c r="F867" s="8" t="str">
        <f aca="false">IFERROR(D867/VLOOKUP(A867,'Dados-Status-Invest'!$1:$1000,5,FALSE()),"")</f>
        <v/>
      </c>
      <c r="G867" s="8" t="str">
        <f aca="false">IFERROR(D867/VLOOKUP(A867,'Dados-Status-Invest'!$1:$1000,6,FALSE()),"")</f>
        <v/>
      </c>
      <c r="H867" s="8" t="str">
        <f aca="false">IFERROR(VLOOKUP(A867,'Dados-Status-Invest'!$1:$1000,12,FALSE())*J867,"")</f>
        <v/>
      </c>
      <c r="I867" s="8" t="str">
        <f aca="false">IFERROR(D867/VLOOKUP(A867,'Dados-Status-Invest'!$1:$1000,14,FALSE()),"")</f>
        <v/>
      </c>
      <c r="J867" s="9" t="str">
        <f aca="false">IFERROR(D867/VLOOKUP(A867,'Dados-Status-Invest'!$1:$1000,10,FALSE()),"")</f>
        <v/>
      </c>
      <c r="K867" s="10" t="str">
        <f aca="false">IFERROR(VLOOKUP(A867,'Dados-Status-Invest'!$1:$1000,3,FALSE())/100,"")</f>
        <v/>
      </c>
      <c r="L867" s="11" t="str">
        <f aca="false">IFERROR(VLOOKUP(A867,'Dados-Status-Invest'!$1:$1000,MATCH(L$1,'Dados-Status-Invest'!$2:$2,0),FALSE())/100,"")</f>
        <v/>
      </c>
      <c r="M867" s="10" t="str">
        <f aca="false">IFERROR(VLOOKUP(A867,'Dados-Status-Invest'!$1:$1000,MATCH(M$1,'Dados-Status-Invest'!$2:$2,0),FALSE())/100,"")</f>
        <v/>
      </c>
      <c r="N867" s="10" t="str">
        <f aca="false">IFERROR(VLOOKUP(A867,'Dados-Status-Invest'!$1:$1000,MATCH(N$1,'Dados-Status-Invest'!$2:$2,0),FALSE())/100,"")</f>
        <v/>
      </c>
      <c r="O867" s="10" t="str">
        <f aca="false">IFERROR(VLOOKUP(A867,'Dados-Status-Invest'!$1:$1000,MATCH(O$1,'Dados-Status-Invest'!$2:$2,0),FALSE())/100,"")</f>
        <v/>
      </c>
      <c r="P867" s="10" t="str">
        <f aca="false">IFERROR(VLOOKUP(A867,'Dados-Status-Invest'!$1:$1000,MATCH(P$1,'Dados-Status-Invest'!$2:$2,0),FALSE())/100,"")</f>
        <v/>
      </c>
      <c r="Q867" s="10" t="str">
        <f aca="false">IFERROR(VLOOKUP(A867,'Dados-Status-Invest'!$1:$1000,MATCH(Q$1,'Dados-Status-Invest'!$2:$2,0),FALSE())/100,"")</f>
        <v/>
      </c>
      <c r="R867" s="12" t="str">
        <f aca="false">IFERROR(VLOOKUP(A867,'Dados-Status-Invest'!$1:$1000,MATCH(R$1,'Dados-Status-Invest'!$2:$2,0),FALSE()),"")</f>
        <v/>
      </c>
      <c r="S867" s="12" t="str">
        <f aca="false">IFERROR(VLOOKUP(A867,'Dados-Status-Invest'!$1:$1000,MATCH(S$1,'Dados-Status-Invest'!$2:$2,0),FALSE()),"")</f>
        <v/>
      </c>
      <c r="T867" s="12" t="str">
        <f aca="false">IFERROR(VLOOKUP(A867,'Dados-Status-Invest'!$1:$1000,MATCH(T$1,'Dados-Status-Invest'!$2:$2,0),FALSE()),"")</f>
        <v/>
      </c>
      <c r="U867" s="12" t="str">
        <f aca="false">IFERROR(VLOOKUP(A867,'Dados-Status-Invest'!$1:$1000,MATCH(U$1,'Dados-Status-Invest'!$2:$2,0),FALSE()),"")</f>
        <v/>
      </c>
      <c r="V867" s="12" t="str">
        <f aca="false">IFERROR(VLOOKUP(A867,'Dados-Status-Invest'!$1:$1000,MATCH(V$1,'Dados-Status-Invest'!$2:$2,0),FALSE()),"")</f>
        <v/>
      </c>
      <c r="W867" s="10" t="str">
        <f aca="false">IFERROR(VLOOKUP(A867,'Dados-Status-Invest'!$1:$1000,MATCH(W$1,'Dados-Status-Invest'!$2:$2,0),FALSE())/100,"")</f>
        <v/>
      </c>
      <c r="X867" s="10" t="str">
        <f aca="false">IFERROR(VLOOKUP(A867,'Dados-Status-Invest'!$1:$1000,MATCH(X$1,'Dados-Status-Invest'!$2:$2,0),FALSE())/100,"")</f>
        <v/>
      </c>
    </row>
    <row r="868" customFormat="false" ht="15.75" hidden="false" customHeight="false" outlineLevel="0" collapsed="false">
      <c r="B868" s="7" t="str">
        <f aca="false">IFERROR(VLOOKUP(LEFT(A868,4),Setor!A:D,2,FALSE()),"")</f>
        <v/>
      </c>
      <c r="C868" s="8" t="str">
        <f aca="false">IFERROR(__xludf.dummyfunction("IFERROR(IFERROR(GOOGLEFINANCE(A874,""price""),VLOOKUP(A874,'Dados-Status-Invest'!A:B,2,FALSE)),"""")"),"")</f>
        <v/>
      </c>
      <c r="D868" s="8" t="str">
        <f aca="false">IFERROR(VLOOKUP(A868,'Dados-Status-Invest'!$1:$1000,MATCH(D$1,'Dados-Status-Invest'!$2:$2,0),FALSE()),"")</f>
        <v/>
      </c>
      <c r="E868" s="8" t="e">
        <f aca="false">IF(D868+H868&gt;0,D868+H868,"")</f>
        <v>#VALUE!</v>
      </c>
      <c r="F868" s="8" t="str">
        <f aca="false">IFERROR(D868/VLOOKUP(A868,'Dados-Status-Invest'!$1:$1000,5,FALSE()),"")</f>
        <v/>
      </c>
      <c r="G868" s="8" t="str">
        <f aca="false">IFERROR(D868/VLOOKUP(A868,'Dados-Status-Invest'!$1:$1000,6,FALSE()),"")</f>
        <v/>
      </c>
      <c r="H868" s="8" t="str">
        <f aca="false">IFERROR(VLOOKUP(A868,'Dados-Status-Invest'!$1:$1000,12,FALSE())*J868,"")</f>
        <v/>
      </c>
      <c r="I868" s="8" t="str">
        <f aca="false">IFERROR(D868/VLOOKUP(A868,'Dados-Status-Invest'!$1:$1000,14,FALSE()),"")</f>
        <v/>
      </c>
      <c r="J868" s="9" t="str">
        <f aca="false">IFERROR(D868/VLOOKUP(A868,'Dados-Status-Invest'!$1:$1000,10,FALSE()),"")</f>
        <v/>
      </c>
      <c r="K868" s="10" t="str">
        <f aca="false">IFERROR(VLOOKUP(A868,'Dados-Status-Invest'!$1:$1000,3,FALSE())/100,"")</f>
        <v/>
      </c>
      <c r="L868" s="11" t="str">
        <f aca="false">IFERROR(VLOOKUP(A868,'Dados-Status-Invest'!$1:$1000,MATCH(L$1,'Dados-Status-Invest'!$2:$2,0),FALSE())/100,"")</f>
        <v/>
      </c>
      <c r="M868" s="10" t="str">
        <f aca="false">IFERROR(VLOOKUP(A868,'Dados-Status-Invest'!$1:$1000,MATCH(M$1,'Dados-Status-Invest'!$2:$2,0),FALSE())/100,"")</f>
        <v/>
      </c>
      <c r="N868" s="10" t="str">
        <f aca="false">IFERROR(VLOOKUP(A868,'Dados-Status-Invest'!$1:$1000,MATCH(N$1,'Dados-Status-Invest'!$2:$2,0),FALSE())/100,"")</f>
        <v/>
      </c>
      <c r="O868" s="10" t="str">
        <f aca="false">IFERROR(VLOOKUP(A868,'Dados-Status-Invest'!$1:$1000,MATCH(O$1,'Dados-Status-Invest'!$2:$2,0),FALSE())/100,"")</f>
        <v/>
      </c>
      <c r="P868" s="10" t="str">
        <f aca="false">IFERROR(VLOOKUP(A868,'Dados-Status-Invest'!$1:$1000,MATCH(P$1,'Dados-Status-Invest'!$2:$2,0),FALSE())/100,"")</f>
        <v/>
      </c>
      <c r="Q868" s="10" t="str">
        <f aca="false">IFERROR(VLOOKUP(A868,'Dados-Status-Invest'!$1:$1000,MATCH(Q$1,'Dados-Status-Invest'!$2:$2,0),FALSE())/100,"")</f>
        <v/>
      </c>
      <c r="R868" s="12" t="str">
        <f aca="false">IFERROR(VLOOKUP(A868,'Dados-Status-Invest'!$1:$1000,MATCH(R$1,'Dados-Status-Invest'!$2:$2,0),FALSE()),"")</f>
        <v/>
      </c>
      <c r="S868" s="12" t="str">
        <f aca="false">IFERROR(VLOOKUP(A868,'Dados-Status-Invest'!$1:$1000,MATCH(S$1,'Dados-Status-Invest'!$2:$2,0),FALSE()),"")</f>
        <v/>
      </c>
      <c r="T868" s="12" t="str">
        <f aca="false">IFERROR(VLOOKUP(A868,'Dados-Status-Invest'!$1:$1000,MATCH(T$1,'Dados-Status-Invest'!$2:$2,0),FALSE()),"")</f>
        <v/>
      </c>
      <c r="U868" s="12" t="str">
        <f aca="false">IFERROR(VLOOKUP(A868,'Dados-Status-Invest'!$1:$1000,MATCH(U$1,'Dados-Status-Invest'!$2:$2,0),FALSE()),"")</f>
        <v/>
      </c>
      <c r="V868" s="12" t="str">
        <f aca="false">IFERROR(VLOOKUP(A868,'Dados-Status-Invest'!$1:$1000,MATCH(V$1,'Dados-Status-Invest'!$2:$2,0),FALSE()),"")</f>
        <v/>
      </c>
      <c r="W868" s="10" t="str">
        <f aca="false">IFERROR(VLOOKUP(A868,'Dados-Status-Invest'!$1:$1000,MATCH(W$1,'Dados-Status-Invest'!$2:$2,0),FALSE())/100,"")</f>
        <v/>
      </c>
      <c r="X868" s="10" t="str">
        <f aca="false">IFERROR(VLOOKUP(A868,'Dados-Status-Invest'!$1:$1000,MATCH(X$1,'Dados-Status-Invest'!$2:$2,0),FALSE())/100,"")</f>
        <v/>
      </c>
    </row>
    <row r="869" customFormat="false" ht="15.75" hidden="false" customHeight="false" outlineLevel="0" collapsed="false">
      <c r="B869" s="7" t="str">
        <f aca="false">IFERROR(VLOOKUP(LEFT(A869,4),Setor!A:D,2,FALSE()),"")</f>
        <v/>
      </c>
      <c r="C869" s="8" t="str">
        <f aca="false">IFERROR(__xludf.dummyfunction("IFERROR(IFERROR(GOOGLEFINANCE(A875,""price""),VLOOKUP(A875,'Dados-Status-Invest'!A:B,2,FALSE)),"""")"),"")</f>
        <v/>
      </c>
      <c r="D869" s="8" t="str">
        <f aca="false">IFERROR(VLOOKUP(A869,'Dados-Status-Invest'!$1:$1000,MATCH(D$1,'Dados-Status-Invest'!$2:$2,0),FALSE()),"")</f>
        <v/>
      </c>
      <c r="E869" s="8" t="e">
        <f aca="false">IF(D869+H869&gt;0,D869+H869,"")</f>
        <v>#VALUE!</v>
      </c>
      <c r="F869" s="8" t="str">
        <f aca="false">IFERROR(D869/VLOOKUP(A869,'Dados-Status-Invest'!$1:$1000,5,FALSE()),"")</f>
        <v/>
      </c>
      <c r="G869" s="8" t="str">
        <f aca="false">IFERROR(D869/VLOOKUP(A869,'Dados-Status-Invest'!$1:$1000,6,FALSE()),"")</f>
        <v/>
      </c>
      <c r="H869" s="8" t="str">
        <f aca="false">IFERROR(VLOOKUP(A869,'Dados-Status-Invest'!$1:$1000,12,FALSE())*J869,"")</f>
        <v/>
      </c>
      <c r="I869" s="8" t="str">
        <f aca="false">IFERROR(D869/VLOOKUP(A869,'Dados-Status-Invest'!$1:$1000,14,FALSE()),"")</f>
        <v/>
      </c>
      <c r="J869" s="9" t="str">
        <f aca="false">IFERROR(D869/VLOOKUP(A869,'Dados-Status-Invest'!$1:$1000,10,FALSE()),"")</f>
        <v/>
      </c>
      <c r="K869" s="10" t="str">
        <f aca="false">IFERROR(VLOOKUP(A869,'Dados-Status-Invest'!$1:$1000,3,FALSE())/100,"")</f>
        <v/>
      </c>
      <c r="L869" s="11" t="str">
        <f aca="false">IFERROR(VLOOKUP(A869,'Dados-Status-Invest'!$1:$1000,MATCH(L$1,'Dados-Status-Invest'!$2:$2,0),FALSE())/100,"")</f>
        <v/>
      </c>
      <c r="M869" s="10" t="str">
        <f aca="false">IFERROR(VLOOKUP(A869,'Dados-Status-Invest'!$1:$1000,MATCH(M$1,'Dados-Status-Invest'!$2:$2,0),FALSE())/100,"")</f>
        <v/>
      </c>
      <c r="N869" s="10" t="str">
        <f aca="false">IFERROR(VLOOKUP(A869,'Dados-Status-Invest'!$1:$1000,MATCH(N$1,'Dados-Status-Invest'!$2:$2,0),FALSE())/100,"")</f>
        <v/>
      </c>
      <c r="O869" s="10" t="str">
        <f aca="false">IFERROR(VLOOKUP(A869,'Dados-Status-Invest'!$1:$1000,MATCH(O$1,'Dados-Status-Invest'!$2:$2,0),FALSE())/100,"")</f>
        <v/>
      </c>
      <c r="P869" s="10" t="str">
        <f aca="false">IFERROR(VLOOKUP(A869,'Dados-Status-Invest'!$1:$1000,MATCH(P$1,'Dados-Status-Invest'!$2:$2,0),FALSE())/100,"")</f>
        <v/>
      </c>
      <c r="Q869" s="10" t="str">
        <f aca="false">IFERROR(VLOOKUP(A869,'Dados-Status-Invest'!$1:$1000,MATCH(Q$1,'Dados-Status-Invest'!$2:$2,0),FALSE())/100,"")</f>
        <v/>
      </c>
      <c r="R869" s="12" t="str">
        <f aca="false">IFERROR(VLOOKUP(A869,'Dados-Status-Invest'!$1:$1000,MATCH(R$1,'Dados-Status-Invest'!$2:$2,0),FALSE()),"")</f>
        <v/>
      </c>
      <c r="S869" s="12" t="str">
        <f aca="false">IFERROR(VLOOKUP(A869,'Dados-Status-Invest'!$1:$1000,MATCH(S$1,'Dados-Status-Invest'!$2:$2,0),FALSE()),"")</f>
        <v/>
      </c>
      <c r="T869" s="12" t="str">
        <f aca="false">IFERROR(VLOOKUP(A869,'Dados-Status-Invest'!$1:$1000,MATCH(T$1,'Dados-Status-Invest'!$2:$2,0),FALSE()),"")</f>
        <v/>
      </c>
      <c r="U869" s="12" t="str">
        <f aca="false">IFERROR(VLOOKUP(A869,'Dados-Status-Invest'!$1:$1000,MATCH(U$1,'Dados-Status-Invest'!$2:$2,0),FALSE()),"")</f>
        <v/>
      </c>
      <c r="V869" s="12" t="str">
        <f aca="false">IFERROR(VLOOKUP(A869,'Dados-Status-Invest'!$1:$1000,MATCH(V$1,'Dados-Status-Invest'!$2:$2,0),FALSE()),"")</f>
        <v/>
      </c>
      <c r="W869" s="10" t="str">
        <f aca="false">IFERROR(VLOOKUP(A869,'Dados-Status-Invest'!$1:$1000,MATCH(W$1,'Dados-Status-Invest'!$2:$2,0),FALSE())/100,"")</f>
        <v/>
      </c>
      <c r="X869" s="10" t="str">
        <f aca="false">IFERROR(VLOOKUP(A869,'Dados-Status-Invest'!$1:$1000,MATCH(X$1,'Dados-Status-Invest'!$2:$2,0),FALSE())/100,"")</f>
        <v/>
      </c>
    </row>
    <row r="870" customFormat="false" ht="15.75" hidden="false" customHeight="false" outlineLevel="0" collapsed="false">
      <c r="B870" s="7" t="str">
        <f aca="false">IFERROR(VLOOKUP(LEFT(A870,4),Setor!A:D,2,FALSE()),"")</f>
        <v/>
      </c>
      <c r="C870" s="8" t="str">
        <f aca="false">IFERROR(__xludf.dummyfunction("IFERROR(IFERROR(GOOGLEFINANCE(A876,""price""),VLOOKUP(A876,'Dados-Status-Invest'!A:B,2,FALSE)),"""")"),"")</f>
        <v/>
      </c>
      <c r="D870" s="8" t="str">
        <f aca="false">IFERROR(VLOOKUP(A870,'Dados-Status-Invest'!$1:$1000,MATCH(D$1,'Dados-Status-Invest'!$2:$2,0),FALSE()),"")</f>
        <v/>
      </c>
      <c r="E870" s="8" t="e">
        <f aca="false">IF(D870+H870&gt;0,D870+H870,"")</f>
        <v>#VALUE!</v>
      </c>
      <c r="F870" s="8" t="str">
        <f aca="false">IFERROR(D870/VLOOKUP(A870,'Dados-Status-Invest'!$1:$1000,5,FALSE()),"")</f>
        <v/>
      </c>
      <c r="G870" s="8" t="str">
        <f aca="false">IFERROR(D870/VLOOKUP(A870,'Dados-Status-Invest'!$1:$1000,6,FALSE()),"")</f>
        <v/>
      </c>
      <c r="H870" s="8" t="str">
        <f aca="false">IFERROR(VLOOKUP(A870,'Dados-Status-Invest'!$1:$1000,12,FALSE())*J870,"")</f>
        <v/>
      </c>
      <c r="I870" s="8" t="str">
        <f aca="false">IFERROR(D870/VLOOKUP(A870,'Dados-Status-Invest'!$1:$1000,14,FALSE()),"")</f>
        <v/>
      </c>
      <c r="J870" s="9" t="str">
        <f aca="false">IFERROR(D870/VLOOKUP(A870,'Dados-Status-Invest'!$1:$1000,10,FALSE()),"")</f>
        <v/>
      </c>
      <c r="K870" s="10" t="str">
        <f aca="false">IFERROR(VLOOKUP(A870,'Dados-Status-Invest'!$1:$1000,3,FALSE())/100,"")</f>
        <v/>
      </c>
      <c r="L870" s="11" t="str">
        <f aca="false">IFERROR(VLOOKUP(A870,'Dados-Status-Invest'!$1:$1000,MATCH(L$1,'Dados-Status-Invest'!$2:$2,0),FALSE())/100,"")</f>
        <v/>
      </c>
      <c r="M870" s="10" t="str">
        <f aca="false">IFERROR(VLOOKUP(A870,'Dados-Status-Invest'!$1:$1000,MATCH(M$1,'Dados-Status-Invest'!$2:$2,0),FALSE())/100,"")</f>
        <v/>
      </c>
      <c r="N870" s="10" t="str">
        <f aca="false">IFERROR(VLOOKUP(A870,'Dados-Status-Invest'!$1:$1000,MATCH(N$1,'Dados-Status-Invest'!$2:$2,0),FALSE())/100,"")</f>
        <v/>
      </c>
      <c r="O870" s="10" t="str">
        <f aca="false">IFERROR(VLOOKUP(A870,'Dados-Status-Invest'!$1:$1000,MATCH(O$1,'Dados-Status-Invest'!$2:$2,0),FALSE())/100,"")</f>
        <v/>
      </c>
      <c r="P870" s="10" t="str">
        <f aca="false">IFERROR(VLOOKUP(A870,'Dados-Status-Invest'!$1:$1000,MATCH(P$1,'Dados-Status-Invest'!$2:$2,0),FALSE())/100,"")</f>
        <v/>
      </c>
      <c r="Q870" s="10" t="str">
        <f aca="false">IFERROR(VLOOKUP(A870,'Dados-Status-Invest'!$1:$1000,MATCH(Q$1,'Dados-Status-Invest'!$2:$2,0),FALSE())/100,"")</f>
        <v/>
      </c>
      <c r="R870" s="12" t="str">
        <f aca="false">IFERROR(VLOOKUP(A870,'Dados-Status-Invest'!$1:$1000,MATCH(R$1,'Dados-Status-Invest'!$2:$2,0),FALSE()),"")</f>
        <v/>
      </c>
      <c r="S870" s="12" t="str">
        <f aca="false">IFERROR(VLOOKUP(A870,'Dados-Status-Invest'!$1:$1000,MATCH(S$1,'Dados-Status-Invest'!$2:$2,0),FALSE()),"")</f>
        <v/>
      </c>
      <c r="T870" s="12" t="str">
        <f aca="false">IFERROR(VLOOKUP(A870,'Dados-Status-Invest'!$1:$1000,MATCH(T$1,'Dados-Status-Invest'!$2:$2,0),FALSE()),"")</f>
        <v/>
      </c>
      <c r="U870" s="12" t="str">
        <f aca="false">IFERROR(VLOOKUP(A870,'Dados-Status-Invest'!$1:$1000,MATCH(U$1,'Dados-Status-Invest'!$2:$2,0),FALSE()),"")</f>
        <v/>
      </c>
      <c r="V870" s="12" t="str">
        <f aca="false">IFERROR(VLOOKUP(A870,'Dados-Status-Invest'!$1:$1000,MATCH(V$1,'Dados-Status-Invest'!$2:$2,0),FALSE()),"")</f>
        <v/>
      </c>
      <c r="W870" s="10" t="str">
        <f aca="false">IFERROR(VLOOKUP(A870,'Dados-Status-Invest'!$1:$1000,MATCH(W$1,'Dados-Status-Invest'!$2:$2,0),FALSE())/100,"")</f>
        <v/>
      </c>
      <c r="X870" s="10" t="str">
        <f aca="false">IFERROR(VLOOKUP(A870,'Dados-Status-Invest'!$1:$1000,MATCH(X$1,'Dados-Status-Invest'!$2:$2,0),FALSE())/100,"")</f>
        <v/>
      </c>
    </row>
    <row r="871" customFormat="false" ht="15.75" hidden="false" customHeight="false" outlineLevel="0" collapsed="false">
      <c r="B871" s="7" t="str">
        <f aca="false">IFERROR(VLOOKUP(LEFT(A871,4),Setor!A:D,2,FALSE()),"")</f>
        <v/>
      </c>
      <c r="C871" s="8" t="str">
        <f aca="false">IFERROR(__xludf.dummyfunction("IFERROR(IFERROR(GOOGLEFINANCE(A877,""price""),VLOOKUP(A877,'Dados-Status-Invest'!A:B,2,FALSE)),"""")"),"")</f>
        <v/>
      </c>
      <c r="D871" s="8" t="str">
        <f aca="false">IFERROR(VLOOKUP(A871,'Dados-Status-Invest'!$1:$1000,MATCH(D$1,'Dados-Status-Invest'!$2:$2,0),FALSE()),"")</f>
        <v/>
      </c>
      <c r="E871" s="8" t="e">
        <f aca="false">IF(D871+H871&gt;0,D871+H871,"")</f>
        <v>#VALUE!</v>
      </c>
      <c r="F871" s="8" t="str">
        <f aca="false">IFERROR(D871/VLOOKUP(A871,'Dados-Status-Invest'!$1:$1000,5,FALSE()),"")</f>
        <v/>
      </c>
      <c r="G871" s="8" t="str">
        <f aca="false">IFERROR(D871/VLOOKUP(A871,'Dados-Status-Invest'!$1:$1000,6,FALSE()),"")</f>
        <v/>
      </c>
      <c r="H871" s="8" t="str">
        <f aca="false">IFERROR(VLOOKUP(A871,'Dados-Status-Invest'!$1:$1000,12,FALSE())*J871,"")</f>
        <v/>
      </c>
      <c r="I871" s="8" t="str">
        <f aca="false">IFERROR(D871/VLOOKUP(A871,'Dados-Status-Invest'!$1:$1000,14,FALSE()),"")</f>
        <v/>
      </c>
      <c r="J871" s="9" t="str">
        <f aca="false">IFERROR(D871/VLOOKUP(A871,'Dados-Status-Invest'!$1:$1000,10,FALSE()),"")</f>
        <v/>
      </c>
      <c r="K871" s="10" t="str">
        <f aca="false">IFERROR(VLOOKUP(A871,'Dados-Status-Invest'!$1:$1000,3,FALSE())/100,"")</f>
        <v/>
      </c>
      <c r="L871" s="11" t="str">
        <f aca="false">IFERROR(VLOOKUP(A871,'Dados-Status-Invest'!$1:$1000,MATCH(L$1,'Dados-Status-Invest'!$2:$2,0),FALSE())/100,"")</f>
        <v/>
      </c>
      <c r="M871" s="10" t="str">
        <f aca="false">IFERROR(VLOOKUP(A871,'Dados-Status-Invest'!$1:$1000,MATCH(M$1,'Dados-Status-Invest'!$2:$2,0),FALSE())/100,"")</f>
        <v/>
      </c>
      <c r="N871" s="10" t="str">
        <f aca="false">IFERROR(VLOOKUP(A871,'Dados-Status-Invest'!$1:$1000,MATCH(N$1,'Dados-Status-Invest'!$2:$2,0),FALSE())/100,"")</f>
        <v/>
      </c>
      <c r="O871" s="10" t="str">
        <f aca="false">IFERROR(VLOOKUP(A871,'Dados-Status-Invest'!$1:$1000,MATCH(O$1,'Dados-Status-Invest'!$2:$2,0),FALSE())/100,"")</f>
        <v/>
      </c>
      <c r="P871" s="10" t="str">
        <f aca="false">IFERROR(VLOOKUP(A871,'Dados-Status-Invest'!$1:$1000,MATCH(P$1,'Dados-Status-Invest'!$2:$2,0),FALSE())/100,"")</f>
        <v/>
      </c>
      <c r="Q871" s="10" t="str">
        <f aca="false">IFERROR(VLOOKUP(A871,'Dados-Status-Invest'!$1:$1000,MATCH(Q$1,'Dados-Status-Invest'!$2:$2,0),FALSE())/100,"")</f>
        <v/>
      </c>
      <c r="R871" s="12" t="str">
        <f aca="false">IFERROR(VLOOKUP(A871,'Dados-Status-Invest'!$1:$1000,MATCH(R$1,'Dados-Status-Invest'!$2:$2,0),FALSE()),"")</f>
        <v/>
      </c>
      <c r="S871" s="12" t="str">
        <f aca="false">IFERROR(VLOOKUP(A871,'Dados-Status-Invest'!$1:$1000,MATCH(S$1,'Dados-Status-Invest'!$2:$2,0),FALSE()),"")</f>
        <v/>
      </c>
      <c r="T871" s="12" t="str">
        <f aca="false">IFERROR(VLOOKUP(A871,'Dados-Status-Invest'!$1:$1000,MATCH(T$1,'Dados-Status-Invest'!$2:$2,0),FALSE()),"")</f>
        <v/>
      </c>
      <c r="U871" s="12" t="str">
        <f aca="false">IFERROR(VLOOKUP(A871,'Dados-Status-Invest'!$1:$1000,MATCH(U$1,'Dados-Status-Invest'!$2:$2,0),FALSE()),"")</f>
        <v/>
      </c>
      <c r="V871" s="12" t="str">
        <f aca="false">IFERROR(VLOOKUP(A871,'Dados-Status-Invest'!$1:$1000,MATCH(V$1,'Dados-Status-Invest'!$2:$2,0),FALSE()),"")</f>
        <v/>
      </c>
      <c r="W871" s="10" t="str">
        <f aca="false">IFERROR(VLOOKUP(A871,'Dados-Status-Invest'!$1:$1000,MATCH(W$1,'Dados-Status-Invest'!$2:$2,0),FALSE())/100,"")</f>
        <v/>
      </c>
      <c r="X871" s="10" t="str">
        <f aca="false">IFERROR(VLOOKUP(A871,'Dados-Status-Invest'!$1:$1000,MATCH(X$1,'Dados-Status-Invest'!$2:$2,0),FALSE())/100,"")</f>
        <v/>
      </c>
    </row>
    <row r="872" customFormat="false" ht="15.75" hidden="false" customHeight="false" outlineLevel="0" collapsed="false">
      <c r="B872" s="7" t="str">
        <f aca="false">IFERROR(VLOOKUP(LEFT(A872,4),Setor!A:D,2,FALSE()),"")</f>
        <v/>
      </c>
      <c r="C872" s="8" t="str">
        <f aca="false">IFERROR(__xludf.dummyfunction("IFERROR(IFERROR(GOOGLEFINANCE(A878,""price""),VLOOKUP(A878,'Dados-Status-Invest'!A:B,2,FALSE)),"""")"),"")</f>
        <v/>
      </c>
      <c r="D872" s="8" t="str">
        <f aca="false">IFERROR(VLOOKUP(A872,'Dados-Status-Invest'!$1:$1000,MATCH(D$1,'Dados-Status-Invest'!$2:$2,0),FALSE()),"")</f>
        <v/>
      </c>
      <c r="E872" s="8" t="e">
        <f aca="false">IF(D872+H872&gt;0,D872+H872,"")</f>
        <v>#VALUE!</v>
      </c>
      <c r="F872" s="8" t="str">
        <f aca="false">IFERROR(D872/VLOOKUP(A872,'Dados-Status-Invest'!$1:$1000,5,FALSE()),"")</f>
        <v/>
      </c>
      <c r="G872" s="8" t="str">
        <f aca="false">IFERROR(D872/VLOOKUP(A872,'Dados-Status-Invest'!$1:$1000,6,FALSE()),"")</f>
        <v/>
      </c>
      <c r="H872" s="8" t="str">
        <f aca="false">IFERROR(VLOOKUP(A872,'Dados-Status-Invest'!$1:$1000,12,FALSE())*J872,"")</f>
        <v/>
      </c>
      <c r="I872" s="8" t="str">
        <f aca="false">IFERROR(D872/VLOOKUP(A872,'Dados-Status-Invest'!$1:$1000,14,FALSE()),"")</f>
        <v/>
      </c>
      <c r="J872" s="9" t="str">
        <f aca="false">IFERROR(D872/VLOOKUP(A872,'Dados-Status-Invest'!$1:$1000,10,FALSE()),"")</f>
        <v/>
      </c>
      <c r="K872" s="10" t="str">
        <f aca="false">IFERROR(VLOOKUP(A872,'Dados-Status-Invest'!$1:$1000,3,FALSE())/100,"")</f>
        <v/>
      </c>
      <c r="L872" s="11" t="str">
        <f aca="false">IFERROR(VLOOKUP(A872,'Dados-Status-Invest'!$1:$1000,MATCH(L$1,'Dados-Status-Invest'!$2:$2,0),FALSE())/100,"")</f>
        <v/>
      </c>
      <c r="M872" s="10" t="str">
        <f aca="false">IFERROR(VLOOKUP(A872,'Dados-Status-Invest'!$1:$1000,MATCH(M$1,'Dados-Status-Invest'!$2:$2,0),FALSE())/100,"")</f>
        <v/>
      </c>
      <c r="N872" s="10" t="str">
        <f aca="false">IFERROR(VLOOKUP(A872,'Dados-Status-Invest'!$1:$1000,MATCH(N$1,'Dados-Status-Invest'!$2:$2,0),FALSE())/100,"")</f>
        <v/>
      </c>
      <c r="O872" s="10" t="str">
        <f aca="false">IFERROR(VLOOKUP(A872,'Dados-Status-Invest'!$1:$1000,MATCH(O$1,'Dados-Status-Invest'!$2:$2,0),FALSE())/100,"")</f>
        <v/>
      </c>
      <c r="P872" s="10" t="str">
        <f aca="false">IFERROR(VLOOKUP(A872,'Dados-Status-Invest'!$1:$1000,MATCH(P$1,'Dados-Status-Invest'!$2:$2,0),FALSE())/100,"")</f>
        <v/>
      </c>
      <c r="Q872" s="10" t="str">
        <f aca="false">IFERROR(VLOOKUP(A872,'Dados-Status-Invest'!$1:$1000,MATCH(Q$1,'Dados-Status-Invest'!$2:$2,0),FALSE())/100,"")</f>
        <v/>
      </c>
      <c r="R872" s="12" t="str">
        <f aca="false">IFERROR(VLOOKUP(A872,'Dados-Status-Invest'!$1:$1000,MATCH(R$1,'Dados-Status-Invest'!$2:$2,0),FALSE()),"")</f>
        <v/>
      </c>
      <c r="S872" s="12" t="str">
        <f aca="false">IFERROR(VLOOKUP(A872,'Dados-Status-Invest'!$1:$1000,MATCH(S$1,'Dados-Status-Invest'!$2:$2,0),FALSE()),"")</f>
        <v/>
      </c>
      <c r="T872" s="12" t="str">
        <f aca="false">IFERROR(VLOOKUP(A872,'Dados-Status-Invest'!$1:$1000,MATCH(T$1,'Dados-Status-Invest'!$2:$2,0),FALSE()),"")</f>
        <v/>
      </c>
      <c r="U872" s="12" t="str">
        <f aca="false">IFERROR(VLOOKUP(A872,'Dados-Status-Invest'!$1:$1000,MATCH(U$1,'Dados-Status-Invest'!$2:$2,0),FALSE()),"")</f>
        <v/>
      </c>
      <c r="V872" s="12" t="str">
        <f aca="false">IFERROR(VLOOKUP(A872,'Dados-Status-Invest'!$1:$1000,MATCH(V$1,'Dados-Status-Invest'!$2:$2,0),FALSE()),"")</f>
        <v/>
      </c>
      <c r="W872" s="10" t="str">
        <f aca="false">IFERROR(VLOOKUP(A872,'Dados-Status-Invest'!$1:$1000,MATCH(W$1,'Dados-Status-Invest'!$2:$2,0),FALSE())/100,"")</f>
        <v/>
      </c>
      <c r="X872" s="10" t="str">
        <f aca="false">IFERROR(VLOOKUP(A872,'Dados-Status-Invest'!$1:$1000,MATCH(X$1,'Dados-Status-Invest'!$2:$2,0),FALSE())/100,"")</f>
        <v/>
      </c>
    </row>
    <row r="873" customFormat="false" ht="15.75" hidden="false" customHeight="false" outlineLevel="0" collapsed="false">
      <c r="B873" s="7" t="str">
        <f aca="false">IFERROR(VLOOKUP(LEFT(A873,4),Setor!A:D,2,FALSE()),"")</f>
        <v/>
      </c>
      <c r="C873" s="8" t="str">
        <f aca="false">IFERROR(__xludf.dummyfunction("IFERROR(IFERROR(GOOGLEFINANCE(A879,""price""),VLOOKUP(A879,'Dados-Status-Invest'!A:B,2,FALSE)),"""")"),"")</f>
        <v/>
      </c>
      <c r="D873" s="8" t="str">
        <f aca="false">IFERROR(VLOOKUP(A873,'Dados-Status-Invest'!$1:$1000,MATCH(D$1,'Dados-Status-Invest'!$2:$2,0),FALSE()),"")</f>
        <v/>
      </c>
      <c r="E873" s="8" t="e">
        <f aca="false">IF(D873+H873&gt;0,D873+H873,"")</f>
        <v>#VALUE!</v>
      </c>
      <c r="F873" s="8" t="str">
        <f aca="false">IFERROR(D873/VLOOKUP(A873,'Dados-Status-Invest'!$1:$1000,5,FALSE()),"")</f>
        <v/>
      </c>
      <c r="G873" s="8" t="str">
        <f aca="false">IFERROR(D873/VLOOKUP(A873,'Dados-Status-Invest'!$1:$1000,6,FALSE()),"")</f>
        <v/>
      </c>
      <c r="H873" s="8" t="str">
        <f aca="false">IFERROR(VLOOKUP(A873,'Dados-Status-Invest'!$1:$1000,12,FALSE())*J873,"")</f>
        <v/>
      </c>
      <c r="I873" s="8" t="str">
        <f aca="false">IFERROR(D873/VLOOKUP(A873,'Dados-Status-Invest'!$1:$1000,14,FALSE()),"")</f>
        <v/>
      </c>
      <c r="J873" s="9" t="str">
        <f aca="false">IFERROR(D873/VLOOKUP(A873,'Dados-Status-Invest'!$1:$1000,10,FALSE()),"")</f>
        <v/>
      </c>
      <c r="K873" s="10" t="str">
        <f aca="false">IFERROR(VLOOKUP(A873,'Dados-Status-Invest'!$1:$1000,3,FALSE())/100,"")</f>
        <v/>
      </c>
      <c r="L873" s="11" t="str">
        <f aca="false">IFERROR(VLOOKUP(A873,'Dados-Status-Invest'!$1:$1000,MATCH(L$1,'Dados-Status-Invest'!$2:$2,0),FALSE())/100,"")</f>
        <v/>
      </c>
      <c r="M873" s="10" t="str">
        <f aca="false">IFERROR(VLOOKUP(A873,'Dados-Status-Invest'!$1:$1000,MATCH(M$1,'Dados-Status-Invest'!$2:$2,0),FALSE())/100,"")</f>
        <v/>
      </c>
      <c r="N873" s="10" t="str">
        <f aca="false">IFERROR(VLOOKUP(A873,'Dados-Status-Invest'!$1:$1000,MATCH(N$1,'Dados-Status-Invest'!$2:$2,0),FALSE())/100,"")</f>
        <v/>
      </c>
      <c r="O873" s="10" t="str">
        <f aca="false">IFERROR(VLOOKUP(A873,'Dados-Status-Invest'!$1:$1000,MATCH(O$1,'Dados-Status-Invest'!$2:$2,0),FALSE())/100,"")</f>
        <v/>
      </c>
      <c r="P873" s="10" t="str">
        <f aca="false">IFERROR(VLOOKUP(A873,'Dados-Status-Invest'!$1:$1000,MATCH(P$1,'Dados-Status-Invest'!$2:$2,0),FALSE())/100,"")</f>
        <v/>
      </c>
      <c r="Q873" s="10" t="str">
        <f aca="false">IFERROR(VLOOKUP(A873,'Dados-Status-Invest'!$1:$1000,MATCH(Q$1,'Dados-Status-Invest'!$2:$2,0),FALSE())/100,"")</f>
        <v/>
      </c>
      <c r="R873" s="12" t="str">
        <f aca="false">IFERROR(VLOOKUP(A873,'Dados-Status-Invest'!$1:$1000,MATCH(R$1,'Dados-Status-Invest'!$2:$2,0),FALSE()),"")</f>
        <v/>
      </c>
      <c r="S873" s="12" t="str">
        <f aca="false">IFERROR(VLOOKUP(A873,'Dados-Status-Invest'!$1:$1000,MATCH(S$1,'Dados-Status-Invest'!$2:$2,0),FALSE()),"")</f>
        <v/>
      </c>
      <c r="T873" s="12" t="str">
        <f aca="false">IFERROR(VLOOKUP(A873,'Dados-Status-Invest'!$1:$1000,MATCH(T$1,'Dados-Status-Invest'!$2:$2,0),FALSE()),"")</f>
        <v/>
      </c>
      <c r="U873" s="12" t="str">
        <f aca="false">IFERROR(VLOOKUP(A873,'Dados-Status-Invest'!$1:$1000,MATCH(U$1,'Dados-Status-Invest'!$2:$2,0),FALSE()),"")</f>
        <v/>
      </c>
      <c r="V873" s="12" t="str">
        <f aca="false">IFERROR(VLOOKUP(A873,'Dados-Status-Invest'!$1:$1000,MATCH(V$1,'Dados-Status-Invest'!$2:$2,0),FALSE()),"")</f>
        <v/>
      </c>
      <c r="W873" s="10" t="str">
        <f aca="false">IFERROR(VLOOKUP(A873,'Dados-Status-Invest'!$1:$1000,MATCH(W$1,'Dados-Status-Invest'!$2:$2,0),FALSE())/100,"")</f>
        <v/>
      </c>
      <c r="X873" s="10" t="str">
        <f aca="false">IFERROR(VLOOKUP(A873,'Dados-Status-Invest'!$1:$1000,MATCH(X$1,'Dados-Status-Invest'!$2:$2,0),FALSE())/100,"")</f>
        <v/>
      </c>
    </row>
    <row r="874" customFormat="false" ht="15.75" hidden="false" customHeight="false" outlineLevel="0" collapsed="false">
      <c r="B874" s="7" t="str">
        <f aca="false">IFERROR(VLOOKUP(LEFT(A874,4),Setor!A:D,2,FALSE()),"")</f>
        <v/>
      </c>
      <c r="C874" s="8" t="str">
        <f aca="false">IFERROR(__xludf.dummyfunction("IFERROR(IFERROR(GOOGLEFINANCE(A880,""price""),VLOOKUP(A880,'Dados-Status-Invest'!A:B,2,FALSE)),"""")"),"")</f>
        <v/>
      </c>
      <c r="D874" s="8" t="str">
        <f aca="false">IFERROR(VLOOKUP(A874,'Dados-Status-Invest'!$1:$1000,MATCH(D$1,'Dados-Status-Invest'!$2:$2,0),FALSE()),"")</f>
        <v/>
      </c>
      <c r="E874" s="8" t="e">
        <f aca="false">IF(D874+H874&gt;0,D874+H874,"")</f>
        <v>#VALUE!</v>
      </c>
      <c r="F874" s="8" t="str">
        <f aca="false">IFERROR(D874/VLOOKUP(A874,'Dados-Status-Invest'!$1:$1000,5,FALSE()),"")</f>
        <v/>
      </c>
      <c r="G874" s="8" t="str">
        <f aca="false">IFERROR(D874/VLOOKUP(A874,'Dados-Status-Invest'!$1:$1000,6,FALSE()),"")</f>
        <v/>
      </c>
      <c r="H874" s="8" t="str">
        <f aca="false">IFERROR(VLOOKUP(A874,'Dados-Status-Invest'!$1:$1000,12,FALSE())*J874,"")</f>
        <v/>
      </c>
      <c r="I874" s="8" t="str">
        <f aca="false">IFERROR(D874/VLOOKUP(A874,'Dados-Status-Invest'!$1:$1000,14,FALSE()),"")</f>
        <v/>
      </c>
      <c r="J874" s="9" t="str">
        <f aca="false">IFERROR(D874/VLOOKUP(A874,'Dados-Status-Invest'!$1:$1000,10,FALSE()),"")</f>
        <v/>
      </c>
      <c r="K874" s="10" t="str">
        <f aca="false">IFERROR(VLOOKUP(A874,'Dados-Status-Invest'!$1:$1000,3,FALSE())/100,"")</f>
        <v/>
      </c>
      <c r="L874" s="11" t="str">
        <f aca="false">IFERROR(VLOOKUP(A874,'Dados-Status-Invest'!$1:$1000,MATCH(L$1,'Dados-Status-Invest'!$2:$2,0),FALSE())/100,"")</f>
        <v/>
      </c>
      <c r="M874" s="10" t="str">
        <f aca="false">IFERROR(VLOOKUP(A874,'Dados-Status-Invest'!$1:$1000,MATCH(M$1,'Dados-Status-Invest'!$2:$2,0),FALSE())/100,"")</f>
        <v/>
      </c>
      <c r="N874" s="10" t="str">
        <f aca="false">IFERROR(VLOOKUP(A874,'Dados-Status-Invest'!$1:$1000,MATCH(N$1,'Dados-Status-Invest'!$2:$2,0),FALSE())/100,"")</f>
        <v/>
      </c>
      <c r="O874" s="10" t="str">
        <f aca="false">IFERROR(VLOOKUP(A874,'Dados-Status-Invest'!$1:$1000,MATCH(O$1,'Dados-Status-Invest'!$2:$2,0),FALSE())/100,"")</f>
        <v/>
      </c>
      <c r="P874" s="10" t="str">
        <f aca="false">IFERROR(VLOOKUP(A874,'Dados-Status-Invest'!$1:$1000,MATCH(P$1,'Dados-Status-Invest'!$2:$2,0),FALSE())/100,"")</f>
        <v/>
      </c>
      <c r="Q874" s="10" t="str">
        <f aca="false">IFERROR(VLOOKUP(A874,'Dados-Status-Invest'!$1:$1000,MATCH(Q$1,'Dados-Status-Invest'!$2:$2,0),FALSE())/100,"")</f>
        <v/>
      </c>
      <c r="R874" s="12" t="str">
        <f aca="false">IFERROR(VLOOKUP(A874,'Dados-Status-Invest'!$1:$1000,MATCH(R$1,'Dados-Status-Invest'!$2:$2,0),FALSE()),"")</f>
        <v/>
      </c>
      <c r="S874" s="12" t="str">
        <f aca="false">IFERROR(VLOOKUP(A874,'Dados-Status-Invest'!$1:$1000,MATCH(S$1,'Dados-Status-Invest'!$2:$2,0),FALSE()),"")</f>
        <v/>
      </c>
      <c r="T874" s="12" t="str">
        <f aca="false">IFERROR(VLOOKUP(A874,'Dados-Status-Invest'!$1:$1000,MATCH(T$1,'Dados-Status-Invest'!$2:$2,0),FALSE()),"")</f>
        <v/>
      </c>
      <c r="U874" s="12" t="str">
        <f aca="false">IFERROR(VLOOKUP(A874,'Dados-Status-Invest'!$1:$1000,MATCH(U$1,'Dados-Status-Invest'!$2:$2,0),FALSE()),"")</f>
        <v/>
      </c>
      <c r="V874" s="12" t="str">
        <f aca="false">IFERROR(VLOOKUP(A874,'Dados-Status-Invest'!$1:$1000,MATCH(V$1,'Dados-Status-Invest'!$2:$2,0),FALSE()),"")</f>
        <v/>
      </c>
      <c r="W874" s="10" t="str">
        <f aca="false">IFERROR(VLOOKUP(A874,'Dados-Status-Invest'!$1:$1000,MATCH(W$1,'Dados-Status-Invest'!$2:$2,0),FALSE())/100,"")</f>
        <v/>
      </c>
      <c r="X874" s="10" t="str">
        <f aca="false">IFERROR(VLOOKUP(A874,'Dados-Status-Invest'!$1:$1000,MATCH(X$1,'Dados-Status-Invest'!$2:$2,0),FALSE())/100,"")</f>
        <v/>
      </c>
    </row>
    <row r="875" customFormat="false" ht="15.75" hidden="false" customHeight="false" outlineLevel="0" collapsed="false">
      <c r="B875" s="7" t="str">
        <f aca="false">IFERROR(VLOOKUP(LEFT(A875,4),Setor!A:D,2,FALSE()),"")</f>
        <v/>
      </c>
      <c r="C875" s="8" t="str">
        <f aca="false">IFERROR(__xludf.dummyfunction("IFERROR(IFERROR(GOOGLEFINANCE(A881,""price""),VLOOKUP(A881,'Dados-Status-Invest'!A:B,2,FALSE)),"""")"),"")</f>
        <v/>
      </c>
      <c r="D875" s="8" t="str">
        <f aca="false">IFERROR(VLOOKUP(A875,'Dados-Status-Invest'!$1:$1000,MATCH(D$1,'Dados-Status-Invest'!$2:$2,0),FALSE()),"")</f>
        <v/>
      </c>
      <c r="E875" s="8" t="e">
        <f aca="false">IF(D875+H875&gt;0,D875+H875,"")</f>
        <v>#VALUE!</v>
      </c>
      <c r="F875" s="8" t="str">
        <f aca="false">IFERROR(D875/VLOOKUP(A875,'Dados-Status-Invest'!$1:$1000,5,FALSE()),"")</f>
        <v/>
      </c>
      <c r="G875" s="8" t="str">
        <f aca="false">IFERROR(D875/VLOOKUP(A875,'Dados-Status-Invest'!$1:$1000,6,FALSE()),"")</f>
        <v/>
      </c>
      <c r="H875" s="8" t="str">
        <f aca="false">IFERROR(VLOOKUP(A875,'Dados-Status-Invest'!$1:$1000,12,FALSE())*J875,"")</f>
        <v/>
      </c>
      <c r="I875" s="8" t="str">
        <f aca="false">IFERROR(D875/VLOOKUP(A875,'Dados-Status-Invest'!$1:$1000,14,FALSE()),"")</f>
        <v/>
      </c>
      <c r="J875" s="9" t="str">
        <f aca="false">IFERROR(D875/VLOOKUP(A875,'Dados-Status-Invest'!$1:$1000,10,FALSE()),"")</f>
        <v/>
      </c>
      <c r="K875" s="10" t="str">
        <f aca="false">IFERROR(VLOOKUP(A875,'Dados-Status-Invest'!$1:$1000,3,FALSE())/100,"")</f>
        <v/>
      </c>
      <c r="L875" s="11" t="str">
        <f aca="false">IFERROR(VLOOKUP(A875,'Dados-Status-Invest'!$1:$1000,MATCH(L$1,'Dados-Status-Invest'!$2:$2,0),FALSE())/100,"")</f>
        <v/>
      </c>
      <c r="M875" s="10" t="str">
        <f aca="false">IFERROR(VLOOKUP(A875,'Dados-Status-Invest'!$1:$1000,MATCH(M$1,'Dados-Status-Invest'!$2:$2,0),FALSE())/100,"")</f>
        <v/>
      </c>
      <c r="N875" s="10" t="str">
        <f aca="false">IFERROR(VLOOKUP(A875,'Dados-Status-Invest'!$1:$1000,MATCH(N$1,'Dados-Status-Invest'!$2:$2,0),FALSE())/100,"")</f>
        <v/>
      </c>
      <c r="O875" s="10" t="str">
        <f aca="false">IFERROR(VLOOKUP(A875,'Dados-Status-Invest'!$1:$1000,MATCH(O$1,'Dados-Status-Invest'!$2:$2,0),FALSE())/100,"")</f>
        <v/>
      </c>
      <c r="P875" s="10" t="str">
        <f aca="false">IFERROR(VLOOKUP(A875,'Dados-Status-Invest'!$1:$1000,MATCH(P$1,'Dados-Status-Invest'!$2:$2,0),FALSE())/100,"")</f>
        <v/>
      </c>
      <c r="Q875" s="10" t="str">
        <f aca="false">IFERROR(VLOOKUP(A875,'Dados-Status-Invest'!$1:$1000,MATCH(Q$1,'Dados-Status-Invest'!$2:$2,0),FALSE())/100,"")</f>
        <v/>
      </c>
      <c r="R875" s="12" t="str">
        <f aca="false">IFERROR(VLOOKUP(A875,'Dados-Status-Invest'!$1:$1000,MATCH(R$1,'Dados-Status-Invest'!$2:$2,0),FALSE()),"")</f>
        <v/>
      </c>
      <c r="S875" s="12" t="str">
        <f aca="false">IFERROR(VLOOKUP(A875,'Dados-Status-Invest'!$1:$1000,MATCH(S$1,'Dados-Status-Invest'!$2:$2,0),FALSE()),"")</f>
        <v/>
      </c>
      <c r="T875" s="12" t="str">
        <f aca="false">IFERROR(VLOOKUP(A875,'Dados-Status-Invest'!$1:$1000,MATCH(T$1,'Dados-Status-Invest'!$2:$2,0),FALSE()),"")</f>
        <v/>
      </c>
      <c r="U875" s="12" t="str">
        <f aca="false">IFERROR(VLOOKUP(A875,'Dados-Status-Invest'!$1:$1000,MATCH(U$1,'Dados-Status-Invest'!$2:$2,0),FALSE()),"")</f>
        <v/>
      </c>
      <c r="V875" s="12" t="str">
        <f aca="false">IFERROR(VLOOKUP(A875,'Dados-Status-Invest'!$1:$1000,MATCH(V$1,'Dados-Status-Invest'!$2:$2,0),FALSE()),"")</f>
        <v/>
      </c>
      <c r="W875" s="10" t="str">
        <f aca="false">IFERROR(VLOOKUP(A875,'Dados-Status-Invest'!$1:$1000,MATCH(W$1,'Dados-Status-Invest'!$2:$2,0),FALSE())/100,"")</f>
        <v/>
      </c>
      <c r="X875" s="10" t="str">
        <f aca="false">IFERROR(VLOOKUP(A875,'Dados-Status-Invest'!$1:$1000,MATCH(X$1,'Dados-Status-Invest'!$2:$2,0),FALSE())/100,"")</f>
        <v/>
      </c>
    </row>
    <row r="876" customFormat="false" ht="15.75" hidden="false" customHeight="false" outlineLevel="0" collapsed="false">
      <c r="B876" s="7" t="str">
        <f aca="false">IFERROR(VLOOKUP(LEFT(A876,4),Setor!A:D,2,FALSE()),"")</f>
        <v/>
      </c>
      <c r="C876" s="8" t="str">
        <f aca="false">IFERROR(__xludf.dummyfunction("IFERROR(IFERROR(GOOGLEFINANCE(A882,""price""),VLOOKUP(A882,'Dados-Status-Invest'!A:B,2,FALSE)),"""")"),"")</f>
        <v/>
      </c>
      <c r="D876" s="8" t="str">
        <f aca="false">IFERROR(VLOOKUP(A876,'Dados-Status-Invest'!$1:$1000,MATCH(D$1,'Dados-Status-Invest'!$2:$2,0),FALSE()),"")</f>
        <v/>
      </c>
      <c r="E876" s="8" t="e">
        <f aca="false">IF(D876+H876&gt;0,D876+H876,"")</f>
        <v>#VALUE!</v>
      </c>
      <c r="F876" s="8" t="str">
        <f aca="false">IFERROR(D876/VLOOKUP(A876,'Dados-Status-Invest'!$1:$1000,5,FALSE()),"")</f>
        <v/>
      </c>
      <c r="G876" s="8" t="str">
        <f aca="false">IFERROR(D876/VLOOKUP(A876,'Dados-Status-Invest'!$1:$1000,6,FALSE()),"")</f>
        <v/>
      </c>
      <c r="H876" s="8" t="str">
        <f aca="false">IFERROR(VLOOKUP(A876,'Dados-Status-Invest'!$1:$1000,12,FALSE())*J876,"")</f>
        <v/>
      </c>
      <c r="I876" s="8" t="str">
        <f aca="false">IFERROR(D876/VLOOKUP(A876,'Dados-Status-Invest'!$1:$1000,14,FALSE()),"")</f>
        <v/>
      </c>
      <c r="J876" s="9" t="str">
        <f aca="false">IFERROR(D876/VLOOKUP(A876,'Dados-Status-Invest'!$1:$1000,10,FALSE()),"")</f>
        <v/>
      </c>
      <c r="K876" s="10" t="str">
        <f aca="false">IFERROR(VLOOKUP(A876,'Dados-Status-Invest'!$1:$1000,3,FALSE())/100,"")</f>
        <v/>
      </c>
      <c r="L876" s="11" t="str">
        <f aca="false">IFERROR(VLOOKUP(A876,'Dados-Status-Invest'!$1:$1000,MATCH(L$1,'Dados-Status-Invest'!$2:$2,0),FALSE())/100,"")</f>
        <v/>
      </c>
      <c r="M876" s="10" t="str">
        <f aca="false">IFERROR(VLOOKUP(A876,'Dados-Status-Invest'!$1:$1000,MATCH(M$1,'Dados-Status-Invest'!$2:$2,0),FALSE())/100,"")</f>
        <v/>
      </c>
      <c r="N876" s="10" t="str">
        <f aca="false">IFERROR(VLOOKUP(A876,'Dados-Status-Invest'!$1:$1000,MATCH(N$1,'Dados-Status-Invest'!$2:$2,0),FALSE())/100,"")</f>
        <v/>
      </c>
      <c r="O876" s="10" t="str">
        <f aca="false">IFERROR(VLOOKUP(A876,'Dados-Status-Invest'!$1:$1000,MATCH(O$1,'Dados-Status-Invest'!$2:$2,0),FALSE())/100,"")</f>
        <v/>
      </c>
      <c r="P876" s="10" t="str">
        <f aca="false">IFERROR(VLOOKUP(A876,'Dados-Status-Invest'!$1:$1000,MATCH(P$1,'Dados-Status-Invest'!$2:$2,0),FALSE())/100,"")</f>
        <v/>
      </c>
      <c r="Q876" s="10" t="str">
        <f aca="false">IFERROR(VLOOKUP(A876,'Dados-Status-Invest'!$1:$1000,MATCH(Q$1,'Dados-Status-Invest'!$2:$2,0),FALSE())/100,"")</f>
        <v/>
      </c>
      <c r="R876" s="12" t="str">
        <f aca="false">IFERROR(VLOOKUP(A876,'Dados-Status-Invest'!$1:$1000,MATCH(R$1,'Dados-Status-Invest'!$2:$2,0),FALSE()),"")</f>
        <v/>
      </c>
      <c r="S876" s="12" t="str">
        <f aca="false">IFERROR(VLOOKUP(A876,'Dados-Status-Invest'!$1:$1000,MATCH(S$1,'Dados-Status-Invest'!$2:$2,0),FALSE()),"")</f>
        <v/>
      </c>
      <c r="T876" s="12" t="str">
        <f aca="false">IFERROR(VLOOKUP(A876,'Dados-Status-Invest'!$1:$1000,MATCH(T$1,'Dados-Status-Invest'!$2:$2,0),FALSE()),"")</f>
        <v/>
      </c>
      <c r="U876" s="12" t="str">
        <f aca="false">IFERROR(VLOOKUP(A876,'Dados-Status-Invest'!$1:$1000,MATCH(U$1,'Dados-Status-Invest'!$2:$2,0),FALSE()),"")</f>
        <v/>
      </c>
      <c r="V876" s="12" t="str">
        <f aca="false">IFERROR(VLOOKUP(A876,'Dados-Status-Invest'!$1:$1000,MATCH(V$1,'Dados-Status-Invest'!$2:$2,0),FALSE()),"")</f>
        <v/>
      </c>
      <c r="W876" s="10" t="str">
        <f aca="false">IFERROR(VLOOKUP(A876,'Dados-Status-Invest'!$1:$1000,MATCH(W$1,'Dados-Status-Invest'!$2:$2,0),FALSE())/100,"")</f>
        <v/>
      </c>
      <c r="X876" s="10" t="str">
        <f aca="false">IFERROR(VLOOKUP(A876,'Dados-Status-Invest'!$1:$1000,MATCH(X$1,'Dados-Status-Invest'!$2:$2,0),FALSE())/100,"")</f>
        <v/>
      </c>
    </row>
    <row r="877" customFormat="false" ht="15.75" hidden="false" customHeight="false" outlineLevel="0" collapsed="false">
      <c r="B877" s="7" t="str">
        <f aca="false">IFERROR(VLOOKUP(LEFT(A877,4),Setor!A:D,2,FALSE()),"")</f>
        <v/>
      </c>
      <c r="C877" s="8" t="str">
        <f aca="false">IFERROR(__xludf.dummyfunction("IFERROR(IFERROR(GOOGLEFINANCE(A883,""price""),VLOOKUP(A883,'Dados-Status-Invest'!A:B,2,FALSE)),"""")"),"")</f>
        <v/>
      </c>
      <c r="D877" s="8" t="str">
        <f aca="false">IFERROR(VLOOKUP(A877,'Dados-Status-Invest'!$1:$1000,MATCH(D$1,'Dados-Status-Invest'!$2:$2,0),FALSE()),"")</f>
        <v/>
      </c>
      <c r="E877" s="8" t="e">
        <f aca="false">IF(D877+H877&gt;0,D877+H877,"")</f>
        <v>#VALUE!</v>
      </c>
      <c r="F877" s="8" t="str">
        <f aca="false">IFERROR(D877/VLOOKUP(A877,'Dados-Status-Invest'!$1:$1000,5,FALSE()),"")</f>
        <v/>
      </c>
      <c r="G877" s="8" t="str">
        <f aca="false">IFERROR(D877/VLOOKUP(A877,'Dados-Status-Invest'!$1:$1000,6,FALSE()),"")</f>
        <v/>
      </c>
      <c r="H877" s="8" t="str">
        <f aca="false">IFERROR(VLOOKUP(A877,'Dados-Status-Invest'!$1:$1000,12,FALSE())*J877,"")</f>
        <v/>
      </c>
      <c r="I877" s="8" t="str">
        <f aca="false">IFERROR(D877/VLOOKUP(A877,'Dados-Status-Invest'!$1:$1000,14,FALSE()),"")</f>
        <v/>
      </c>
      <c r="J877" s="9" t="str">
        <f aca="false">IFERROR(D877/VLOOKUP(A877,'Dados-Status-Invest'!$1:$1000,10,FALSE()),"")</f>
        <v/>
      </c>
      <c r="K877" s="10" t="str">
        <f aca="false">IFERROR(VLOOKUP(A877,'Dados-Status-Invest'!$1:$1000,3,FALSE())/100,"")</f>
        <v/>
      </c>
      <c r="L877" s="11" t="str">
        <f aca="false">IFERROR(VLOOKUP(A877,'Dados-Status-Invest'!$1:$1000,MATCH(L$1,'Dados-Status-Invest'!$2:$2,0),FALSE())/100,"")</f>
        <v/>
      </c>
      <c r="M877" s="10" t="str">
        <f aca="false">IFERROR(VLOOKUP(A877,'Dados-Status-Invest'!$1:$1000,MATCH(M$1,'Dados-Status-Invest'!$2:$2,0),FALSE())/100,"")</f>
        <v/>
      </c>
      <c r="N877" s="10" t="str">
        <f aca="false">IFERROR(VLOOKUP(A877,'Dados-Status-Invest'!$1:$1000,MATCH(N$1,'Dados-Status-Invest'!$2:$2,0),FALSE())/100,"")</f>
        <v/>
      </c>
      <c r="O877" s="10" t="str">
        <f aca="false">IFERROR(VLOOKUP(A877,'Dados-Status-Invest'!$1:$1000,MATCH(O$1,'Dados-Status-Invest'!$2:$2,0),FALSE())/100,"")</f>
        <v/>
      </c>
      <c r="P877" s="10" t="str">
        <f aca="false">IFERROR(VLOOKUP(A877,'Dados-Status-Invest'!$1:$1000,MATCH(P$1,'Dados-Status-Invest'!$2:$2,0),FALSE())/100,"")</f>
        <v/>
      </c>
      <c r="Q877" s="10" t="str">
        <f aca="false">IFERROR(VLOOKUP(A877,'Dados-Status-Invest'!$1:$1000,MATCH(Q$1,'Dados-Status-Invest'!$2:$2,0),FALSE())/100,"")</f>
        <v/>
      </c>
      <c r="R877" s="12" t="str">
        <f aca="false">IFERROR(VLOOKUP(A877,'Dados-Status-Invest'!$1:$1000,MATCH(R$1,'Dados-Status-Invest'!$2:$2,0),FALSE()),"")</f>
        <v/>
      </c>
      <c r="S877" s="12" t="str">
        <f aca="false">IFERROR(VLOOKUP(A877,'Dados-Status-Invest'!$1:$1000,MATCH(S$1,'Dados-Status-Invest'!$2:$2,0),FALSE()),"")</f>
        <v/>
      </c>
      <c r="T877" s="12" t="str">
        <f aca="false">IFERROR(VLOOKUP(A877,'Dados-Status-Invest'!$1:$1000,MATCH(T$1,'Dados-Status-Invest'!$2:$2,0),FALSE()),"")</f>
        <v/>
      </c>
      <c r="U877" s="12" t="str">
        <f aca="false">IFERROR(VLOOKUP(A877,'Dados-Status-Invest'!$1:$1000,MATCH(U$1,'Dados-Status-Invest'!$2:$2,0),FALSE()),"")</f>
        <v/>
      </c>
      <c r="V877" s="12" t="str">
        <f aca="false">IFERROR(VLOOKUP(A877,'Dados-Status-Invest'!$1:$1000,MATCH(V$1,'Dados-Status-Invest'!$2:$2,0),FALSE()),"")</f>
        <v/>
      </c>
      <c r="W877" s="10" t="str">
        <f aca="false">IFERROR(VLOOKUP(A877,'Dados-Status-Invest'!$1:$1000,MATCH(W$1,'Dados-Status-Invest'!$2:$2,0),FALSE())/100,"")</f>
        <v/>
      </c>
      <c r="X877" s="10" t="str">
        <f aca="false">IFERROR(VLOOKUP(A877,'Dados-Status-Invest'!$1:$1000,MATCH(X$1,'Dados-Status-Invest'!$2:$2,0),FALSE())/100,"")</f>
        <v/>
      </c>
    </row>
    <row r="878" customFormat="false" ht="15.75" hidden="false" customHeight="false" outlineLevel="0" collapsed="false">
      <c r="B878" s="7" t="str">
        <f aca="false">IFERROR(VLOOKUP(LEFT(A878,4),Setor!A:D,2,FALSE()),"")</f>
        <v/>
      </c>
      <c r="C878" s="8" t="str">
        <f aca="false">IFERROR(__xludf.dummyfunction("IFERROR(IFERROR(GOOGLEFINANCE(A884,""price""),VLOOKUP(A884,'Dados-Status-Invest'!A:B,2,FALSE)),"""")"),"")</f>
        <v/>
      </c>
      <c r="D878" s="8" t="str">
        <f aca="false">IFERROR(VLOOKUP(A878,'Dados-Status-Invest'!$1:$1000,MATCH(D$1,'Dados-Status-Invest'!$2:$2,0),FALSE()),"")</f>
        <v/>
      </c>
      <c r="E878" s="8" t="e">
        <f aca="false">IF(D878+H878&gt;0,D878+H878,"")</f>
        <v>#VALUE!</v>
      </c>
      <c r="F878" s="8" t="str">
        <f aca="false">IFERROR(D878/VLOOKUP(A878,'Dados-Status-Invest'!$1:$1000,5,FALSE()),"")</f>
        <v/>
      </c>
      <c r="G878" s="8" t="str">
        <f aca="false">IFERROR(D878/VLOOKUP(A878,'Dados-Status-Invest'!$1:$1000,6,FALSE()),"")</f>
        <v/>
      </c>
      <c r="H878" s="8" t="str">
        <f aca="false">IFERROR(VLOOKUP(A878,'Dados-Status-Invest'!$1:$1000,12,FALSE())*J878,"")</f>
        <v/>
      </c>
      <c r="I878" s="8" t="str">
        <f aca="false">IFERROR(D878/VLOOKUP(A878,'Dados-Status-Invest'!$1:$1000,14,FALSE()),"")</f>
        <v/>
      </c>
      <c r="J878" s="9" t="str">
        <f aca="false">IFERROR(D878/VLOOKUP(A878,'Dados-Status-Invest'!$1:$1000,10,FALSE()),"")</f>
        <v/>
      </c>
      <c r="K878" s="10" t="str">
        <f aca="false">IFERROR(VLOOKUP(A878,'Dados-Status-Invest'!$1:$1000,3,FALSE())/100,"")</f>
        <v/>
      </c>
      <c r="L878" s="11" t="str">
        <f aca="false">IFERROR(VLOOKUP(A878,'Dados-Status-Invest'!$1:$1000,MATCH(L$1,'Dados-Status-Invest'!$2:$2,0),FALSE())/100,"")</f>
        <v/>
      </c>
      <c r="M878" s="10" t="str">
        <f aca="false">IFERROR(VLOOKUP(A878,'Dados-Status-Invest'!$1:$1000,MATCH(M$1,'Dados-Status-Invest'!$2:$2,0),FALSE())/100,"")</f>
        <v/>
      </c>
      <c r="N878" s="10" t="str">
        <f aca="false">IFERROR(VLOOKUP(A878,'Dados-Status-Invest'!$1:$1000,MATCH(N$1,'Dados-Status-Invest'!$2:$2,0),FALSE())/100,"")</f>
        <v/>
      </c>
      <c r="O878" s="10" t="str">
        <f aca="false">IFERROR(VLOOKUP(A878,'Dados-Status-Invest'!$1:$1000,MATCH(O$1,'Dados-Status-Invest'!$2:$2,0),FALSE())/100,"")</f>
        <v/>
      </c>
      <c r="P878" s="10" t="str">
        <f aca="false">IFERROR(VLOOKUP(A878,'Dados-Status-Invest'!$1:$1000,MATCH(P$1,'Dados-Status-Invest'!$2:$2,0),FALSE())/100,"")</f>
        <v/>
      </c>
      <c r="Q878" s="10" t="str">
        <f aca="false">IFERROR(VLOOKUP(A878,'Dados-Status-Invest'!$1:$1000,MATCH(Q$1,'Dados-Status-Invest'!$2:$2,0),FALSE())/100,"")</f>
        <v/>
      </c>
      <c r="R878" s="12" t="str">
        <f aca="false">IFERROR(VLOOKUP(A878,'Dados-Status-Invest'!$1:$1000,MATCH(R$1,'Dados-Status-Invest'!$2:$2,0),FALSE()),"")</f>
        <v/>
      </c>
      <c r="S878" s="12" t="str">
        <f aca="false">IFERROR(VLOOKUP(A878,'Dados-Status-Invest'!$1:$1000,MATCH(S$1,'Dados-Status-Invest'!$2:$2,0),FALSE()),"")</f>
        <v/>
      </c>
      <c r="T878" s="12" t="str">
        <f aca="false">IFERROR(VLOOKUP(A878,'Dados-Status-Invest'!$1:$1000,MATCH(T$1,'Dados-Status-Invest'!$2:$2,0),FALSE()),"")</f>
        <v/>
      </c>
      <c r="U878" s="12" t="str">
        <f aca="false">IFERROR(VLOOKUP(A878,'Dados-Status-Invest'!$1:$1000,MATCH(U$1,'Dados-Status-Invest'!$2:$2,0),FALSE()),"")</f>
        <v/>
      </c>
      <c r="V878" s="12" t="str">
        <f aca="false">IFERROR(VLOOKUP(A878,'Dados-Status-Invest'!$1:$1000,MATCH(V$1,'Dados-Status-Invest'!$2:$2,0),FALSE()),"")</f>
        <v/>
      </c>
      <c r="W878" s="10" t="str">
        <f aca="false">IFERROR(VLOOKUP(A878,'Dados-Status-Invest'!$1:$1000,MATCH(W$1,'Dados-Status-Invest'!$2:$2,0),FALSE())/100,"")</f>
        <v/>
      </c>
      <c r="X878" s="10" t="str">
        <f aca="false">IFERROR(VLOOKUP(A878,'Dados-Status-Invest'!$1:$1000,MATCH(X$1,'Dados-Status-Invest'!$2:$2,0),FALSE())/100,"")</f>
        <v/>
      </c>
    </row>
    <row r="879" customFormat="false" ht="15.75" hidden="false" customHeight="false" outlineLevel="0" collapsed="false">
      <c r="B879" s="7" t="str">
        <f aca="false">IFERROR(VLOOKUP(LEFT(A879,4),Setor!A:D,2,FALSE()),"")</f>
        <v/>
      </c>
      <c r="C879" s="8" t="str">
        <f aca="false">IFERROR(__xludf.dummyfunction("IFERROR(IFERROR(GOOGLEFINANCE(A885,""price""),VLOOKUP(A885,'Dados-Status-Invest'!A:B,2,FALSE)),"""")"),"")</f>
        <v/>
      </c>
      <c r="D879" s="8" t="str">
        <f aca="false">IFERROR(VLOOKUP(A879,'Dados-Status-Invest'!$1:$1000,MATCH(D$1,'Dados-Status-Invest'!$2:$2,0),FALSE()),"")</f>
        <v/>
      </c>
      <c r="E879" s="8" t="e">
        <f aca="false">IF(D879+H879&gt;0,D879+H879,"")</f>
        <v>#VALUE!</v>
      </c>
      <c r="F879" s="8" t="str">
        <f aca="false">IFERROR(D879/VLOOKUP(A879,'Dados-Status-Invest'!$1:$1000,5,FALSE()),"")</f>
        <v/>
      </c>
      <c r="G879" s="8" t="str">
        <f aca="false">IFERROR(D879/VLOOKUP(A879,'Dados-Status-Invest'!$1:$1000,6,FALSE()),"")</f>
        <v/>
      </c>
      <c r="H879" s="8" t="str">
        <f aca="false">IFERROR(VLOOKUP(A879,'Dados-Status-Invest'!$1:$1000,12,FALSE())*J879,"")</f>
        <v/>
      </c>
      <c r="I879" s="8" t="str">
        <f aca="false">IFERROR(D879/VLOOKUP(A879,'Dados-Status-Invest'!$1:$1000,14,FALSE()),"")</f>
        <v/>
      </c>
      <c r="J879" s="9" t="str">
        <f aca="false">IFERROR(D879/VLOOKUP(A879,'Dados-Status-Invest'!$1:$1000,10,FALSE()),"")</f>
        <v/>
      </c>
      <c r="K879" s="10" t="str">
        <f aca="false">IFERROR(VLOOKUP(A879,'Dados-Status-Invest'!$1:$1000,3,FALSE())/100,"")</f>
        <v/>
      </c>
      <c r="L879" s="11" t="str">
        <f aca="false">IFERROR(VLOOKUP(A879,'Dados-Status-Invest'!$1:$1000,MATCH(L$1,'Dados-Status-Invest'!$2:$2,0),FALSE())/100,"")</f>
        <v/>
      </c>
      <c r="M879" s="10" t="str">
        <f aca="false">IFERROR(VLOOKUP(A879,'Dados-Status-Invest'!$1:$1000,MATCH(M$1,'Dados-Status-Invest'!$2:$2,0),FALSE())/100,"")</f>
        <v/>
      </c>
      <c r="N879" s="10" t="str">
        <f aca="false">IFERROR(VLOOKUP(A879,'Dados-Status-Invest'!$1:$1000,MATCH(N$1,'Dados-Status-Invest'!$2:$2,0),FALSE())/100,"")</f>
        <v/>
      </c>
      <c r="O879" s="10" t="str">
        <f aca="false">IFERROR(VLOOKUP(A879,'Dados-Status-Invest'!$1:$1000,MATCH(O$1,'Dados-Status-Invest'!$2:$2,0),FALSE())/100,"")</f>
        <v/>
      </c>
      <c r="P879" s="10" t="str">
        <f aca="false">IFERROR(VLOOKUP(A879,'Dados-Status-Invest'!$1:$1000,MATCH(P$1,'Dados-Status-Invest'!$2:$2,0),FALSE())/100,"")</f>
        <v/>
      </c>
      <c r="Q879" s="10" t="str">
        <f aca="false">IFERROR(VLOOKUP(A879,'Dados-Status-Invest'!$1:$1000,MATCH(Q$1,'Dados-Status-Invest'!$2:$2,0),FALSE())/100,"")</f>
        <v/>
      </c>
      <c r="R879" s="12" t="str">
        <f aca="false">IFERROR(VLOOKUP(A879,'Dados-Status-Invest'!$1:$1000,MATCH(R$1,'Dados-Status-Invest'!$2:$2,0),FALSE()),"")</f>
        <v/>
      </c>
      <c r="S879" s="12" t="str">
        <f aca="false">IFERROR(VLOOKUP(A879,'Dados-Status-Invest'!$1:$1000,MATCH(S$1,'Dados-Status-Invest'!$2:$2,0),FALSE()),"")</f>
        <v/>
      </c>
      <c r="T879" s="12" t="str">
        <f aca="false">IFERROR(VLOOKUP(A879,'Dados-Status-Invest'!$1:$1000,MATCH(T$1,'Dados-Status-Invest'!$2:$2,0),FALSE()),"")</f>
        <v/>
      </c>
      <c r="U879" s="12" t="str">
        <f aca="false">IFERROR(VLOOKUP(A879,'Dados-Status-Invest'!$1:$1000,MATCH(U$1,'Dados-Status-Invest'!$2:$2,0),FALSE()),"")</f>
        <v/>
      </c>
      <c r="V879" s="12" t="str">
        <f aca="false">IFERROR(VLOOKUP(A879,'Dados-Status-Invest'!$1:$1000,MATCH(V$1,'Dados-Status-Invest'!$2:$2,0),FALSE()),"")</f>
        <v/>
      </c>
      <c r="W879" s="10" t="str">
        <f aca="false">IFERROR(VLOOKUP(A879,'Dados-Status-Invest'!$1:$1000,MATCH(W$1,'Dados-Status-Invest'!$2:$2,0),FALSE())/100,"")</f>
        <v/>
      </c>
      <c r="X879" s="10" t="str">
        <f aca="false">IFERROR(VLOOKUP(A879,'Dados-Status-Invest'!$1:$1000,MATCH(X$1,'Dados-Status-Invest'!$2:$2,0),FALSE())/100,"")</f>
        <v/>
      </c>
    </row>
    <row r="880" customFormat="false" ht="15.75" hidden="false" customHeight="false" outlineLevel="0" collapsed="false">
      <c r="B880" s="7" t="str">
        <f aca="false">IFERROR(VLOOKUP(LEFT(A880,4),Setor!A:D,2,FALSE()),"")</f>
        <v/>
      </c>
      <c r="C880" s="8" t="str">
        <f aca="false">IFERROR(__xludf.dummyfunction("IFERROR(IFERROR(GOOGLEFINANCE(A886,""price""),VLOOKUP(A886,'Dados-Status-Invest'!A:B,2,FALSE)),"""")"),"")</f>
        <v/>
      </c>
      <c r="D880" s="8" t="str">
        <f aca="false">IFERROR(VLOOKUP(A880,'Dados-Status-Invest'!$1:$1000,MATCH(D$1,'Dados-Status-Invest'!$2:$2,0),FALSE()),"")</f>
        <v/>
      </c>
      <c r="E880" s="8" t="e">
        <f aca="false">IF(D880+H880&gt;0,D880+H880,"")</f>
        <v>#VALUE!</v>
      </c>
      <c r="F880" s="8" t="str">
        <f aca="false">IFERROR(D880/VLOOKUP(A880,'Dados-Status-Invest'!$1:$1000,5,FALSE()),"")</f>
        <v/>
      </c>
      <c r="G880" s="8" t="str">
        <f aca="false">IFERROR(D880/VLOOKUP(A880,'Dados-Status-Invest'!$1:$1000,6,FALSE()),"")</f>
        <v/>
      </c>
      <c r="H880" s="8" t="str">
        <f aca="false">IFERROR(VLOOKUP(A880,'Dados-Status-Invest'!$1:$1000,12,FALSE())*J880,"")</f>
        <v/>
      </c>
      <c r="I880" s="8" t="str">
        <f aca="false">IFERROR(D880/VLOOKUP(A880,'Dados-Status-Invest'!$1:$1000,14,FALSE()),"")</f>
        <v/>
      </c>
      <c r="J880" s="9" t="str">
        <f aca="false">IFERROR(D880/VLOOKUP(A880,'Dados-Status-Invest'!$1:$1000,10,FALSE()),"")</f>
        <v/>
      </c>
      <c r="K880" s="10" t="str">
        <f aca="false">IFERROR(VLOOKUP(A880,'Dados-Status-Invest'!$1:$1000,3,FALSE())/100,"")</f>
        <v/>
      </c>
      <c r="L880" s="11" t="str">
        <f aca="false">IFERROR(VLOOKUP(A880,'Dados-Status-Invest'!$1:$1000,MATCH(L$1,'Dados-Status-Invest'!$2:$2,0),FALSE())/100,"")</f>
        <v/>
      </c>
      <c r="M880" s="10" t="str">
        <f aca="false">IFERROR(VLOOKUP(A880,'Dados-Status-Invest'!$1:$1000,MATCH(M$1,'Dados-Status-Invest'!$2:$2,0),FALSE())/100,"")</f>
        <v/>
      </c>
      <c r="N880" s="10" t="str">
        <f aca="false">IFERROR(VLOOKUP(A880,'Dados-Status-Invest'!$1:$1000,MATCH(N$1,'Dados-Status-Invest'!$2:$2,0),FALSE())/100,"")</f>
        <v/>
      </c>
      <c r="O880" s="10" t="str">
        <f aca="false">IFERROR(VLOOKUP(A880,'Dados-Status-Invest'!$1:$1000,MATCH(O$1,'Dados-Status-Invest'!$2:$2,0),FALSE())/100,"")</f>
        <v/>
      </c>
      <c r="P880" s="10" t="str">
        <f aca="false">IFERROR(VLOOKUP(A880,'Dados-Status-Invest'!$1:$1000,MATCH(P$1,'Dados-Status-Invest'!$2:$2,0),FALSE())/100,"")</f>
        <v/>
      </c>
      <c r="Q880" s="10" t="str">
        <f aca="false">IFERROR(VLOOKUP(A880,'Dados-Status-Invest'!$1:$1000,MATCH(Q$1,'Dados-Status-Invest'!$2:$2,0),FALSE())/100,"")</f>
        <v/>
      </c>
      <c r="R880" s="12" t="str">
        <f aca="false">IFERROR(VLOOKUP(A880,'Dados-Status-Invest'!$1:$1000,MATCH(R$1,'Dados-Status-Invest'!$2:$2,0),FALSE()),"")</f>
        <v/>
      </c>
      <c r="S880" s="12" t="str">
        <f aca="false">IFERROR(VLOOKUP(A880,'Dados-Status-Invest'!$1:$1000,MATCH(S$1,'Dados-Status-Invest'!$2:$2,0),FALSE()),"")</f>
        <v/>
      </c>
      <c r="T880" s="12" t="str">
        <f aca="false">IFERROR(VLOOKUP(A880,'Dados-Status-Invest'!$1:$1000,MATCH(T$1,'Dados-Status-Invest'!$2:$2,0),FALSE()),"")</f>
        <v/>
      </c>
      <c r="U880" s="12" t="str">
        <f aca="false">IFERROR(VLOOKUP(A880,'Dados-Status-Invest'!$1:$1000,MATCH(U$1,'Dados-Status-Invest'!$2:$2,0),FALSE()),"")</f>
        <v/>
      </c>
      <c r="V880" s="12" t="str">
        <f aca="false">IFERROR(VLOOKUP(A880,'Dados-Status-Invest'!$1:$1000,MATCH(V$1,'Dados-Status-Invest'!$2:$2,0),FALSE()),"")</f>
        <v/>
      </c>
      <c r="W880" s="10" t="str">
        <f aca="false">IFERROR(VLOOKUP(A880,'Dados-Status-Invest'!$1:$1000,MATCH(W$1,'Dados-Status-Invest'!$2:$2,0),FALSE())/100,"")</f>
        <v/>
      </c>
      <c r="X880" s="10" t="str">
        <f aca="false">IFERROR(VLOOKUP(A880,'Dados-Status-Invest'!$1:$1000,MATCH(X$1,'Dados-Status-Invest'!$2:$2,0),FALSE())/100,"")</f>
        <v/>
      </c>
    </row>
    <row r="881" customFormat="false" ht="15.75" hidden="false" customHeight="false" outlineLevel="0" collapsed="false">
      <c r="B881" s="7" t="str">
        <f aca="false">IFERROR(VLOOKUP(LEFT(A881,4),Setor!A:D,2,FALSE()),"")</f>
        <v/>
      </c>
      <c r="C881" s="8" t="str">
        <f aca="false">IFERROR(__xludf.dummyfunction("IFERROR(IFERROR(GOOGLEFINANCE(A887,""price""),VLOOKUP(A887,'Dados-Status-Invest'!A:B,2,FALSE)),"""")"),"")</f>
        <v/>
      </c>
      <c r="D881" s="8" t="str">
        <f aca="false">IFERROR(VLOOKUP(A881,'Dados-Status-Invest'!$1:$1000,MATCH(D$1,'Dados-Status-Invest'!$2:$2,0),FALSE()),"")</f>
        <v/>
      </c>
      <c r="E881" s="8" t="e">
        <f aca="false">IF(D881+H881&gt;0,D881+H881,"")</f>
        <v>#VALUE!</v>
      </c>
      <c r="F881" s="8" t="str">
        <f aca="false">IFERROR(D881/VLOOKUP(A881,'Dados-Status-Invest'!$1:$1000,5,FALSE()),"")</f>
        <v/>
      </c>
      <c r="G881" s="8" t="str">
        <f aca="false">IFERROR(D881/VLOOKUP(A881,'Dados-Status-Invest'!$1:$1000,6,FALSE()),"")</f>
        <v/>
      </c>
      <c r="H881" s="8" t="str">
        <f aca="false">IFERROR(VLOOKUP(A881,'Dados-Status-Invest'!$1:$1000,12,FALSE())*J881,"")</f>
        <v/>
      </c>
      <c r="I881" s="8" t="str">
        <f aca="false">IFERROR(D881/VLOOKUP(A881,'Dados-Status-Invest'!$1:$1000,14,FALSE()),"")</f>
        <v/>
      </c>
      <c r="J881" s="9" t="str">
        <f aca="false">IFERROR(D881/VLOOKUP(A881,'Dados-Status-Invest'!$1:$1000,10,FALSE()),"")</f>
        <v/>
      </c>
      <c r="K881" s="10" t="str">
        <f aca="false">IFERROR(VLOOKUP(A881,'Dados-Status-Invest'!$1:$1000,3,FALSE())/100,"")</f>
        <v/>
      </c>
      <c r="L881" s="11" t="str">
        <f aca="false">IFERROR(VLOOKUP(A881,'Dados-Status-Invest'!$1:$1000,MATCH(L$1,'Dados-Status-Invest'!$2:$2,0),FALSE())/100,"")</f>
        <v/>
      </c>
      <c r="M881" s="10" t="str">
        <f aca="false">IFERROR(VLOOKUP(A881,'Dados-Status-Invest'!$1:$1000,MATCH(M$1,'Dados-Status-Invest'!$2:$2,0),FALSE())/100,"")</f>
        <v/>
      </c>
      <c r="N881" s="10" t="str">
        <f aca="false">IFERROR(VLOOKUP(A881,'Dados-Status-Invest'!$1:$1000,MATCH(N$1,'Dados-Status-Invest'!$2:$2,0),FALSE())/100,"")</f>
        <v/>
      </c>
      <c r="O881" s="10" t="str">
        <f aca="false">IFERROR(VLOOKUP(A881,'Dados-Status-Invest'!$1:$1000,MATCH(O$1,'Dados-Status-Invest'!$2:$2,0),FALSE())/100,"")</f>
        <v/>
      </c>
      <c r="P881" s="10" t="str">
        <f aca="false">IFERROR(VLOOKUP(A881,'Dados-Status-Invest'!$1:$1000,MATCH(P$1,'Dados-Status-Invest'!$2:$2,0),FALSE())/100,"")</f>
        <v/>
      </c>
      <c r="Q881" s="10" t="str">
        <f aca="false">IFERROR(VLOOKUP(A881,'Dados-Status-Invest'!$1:$1000,MATCH(Q$1,'Dados-Status-Invest'!$2:$2,0),FALSE())/100,"")</f>
        <v/>
      </c>
      <c r="R881" s="12" t="str">
        <f aca="false">IFERROR(VLOOKUP(A881,'Dados-Status-Invest'!$1:$1000,MATCH(R$1,'Dados-Status-Invest'!$2:$2,0),FALSE()),"")</f>
        <v/>
      </c>
      <c r="S881" s="12" t="str">
        <f aca="false">IFERROR(VLOOKUP(A881,'Dados-Status-Invest'!$1:$1000,MATCH(S$1,'Dados-Status-Invest'!$2:$2,0),FALSE()),"")</f>
        <v/>
      </c>
      <c r="T881" s="12" t="str">
        <f aca="false">IFERROR(VLOOKUP(A881,'Dados-Status-Invest'!$1:$1000,MATCH(T$1,'Dados-Status-Invest'!$2:$2,0),FALSE()),"")</f>
        <v/>
      </c>
      <c r="U881" s="12" t="str">
        <f aca="false">IFERROR(VLOOKUP(A881,'Dados-Status-Invest'!$1:$1000,MATCH(U$1,'Dados-Status-Invest'!$2:$2,0),FALSE()),"")</f>
        <v/>
      </c>
      <c r="V881" s="12" t="str">
        <f aca="false">IFERROR(VLOOKUP(A881,'Dados-Status-Invest'!$1:$1000,MATCH(V$1,'Dados-Status-Invest'!$2:$2,0),FALSE()),"")</f>
        <v/>
      </c>
      <c r="W881" s="10" t="str">
        <f aca="false">IFERROR(VLOOKUP(A881,'Dados-Status-Invest'!$1:$1000,MATCH(W$1,'Dados-Status-Invest'!$2:$2,0),FALSE())/100,"")</f>
        <v/>
      </c>
      <c r="X881" s="10" t="str">
        <f aca="false">IFERROR(VLOOKUP(A881,'Dados-Status-Invest'!$1:$1000,MATCH(X$1,'Dados-Status-Invest'!$2:$2,0),FALSE())/100,"")</f>
        <v/>
      </c>
    </row>
    <row r="882" customFormat="false" ht="15.75" hidden="false" customHeight="false" outlineLevel="0" collapsed="false">
      <c r="B882" s="7" t="str">
        <f aca="false">IFERROR(VLOOKUP(LEFT(A882,4),Setor!A:D,2,FALSE()),"")</f>
        <v/>
      </c>
      <c r="C882" s="8" t="str">
        <f aca="false">IFERROR(__xludf.dummyfunction("IFERROR(IFERROR(GOOGLEFINANCE(A888,""price""),VLOOKUP(A888,'Dados-Status-Invest'!A:B,2,FALSE)),"""")"),"")</f>
        <v/>
      </c>
      <c r="D882" s="8" t="str">
        <f aca="false">IFERROR(VLOOKUP(A882,'Dados-Status-Invest'!$1:$1000,MATCH(D$1,'Dados-Status-Invest'!$2:$2,0),FALSE()),"")</f>
        <v/>
      </c>
      <c r="E882" s="8" t="e">
        <f aca="false">IF(D882+H882&gt;0,D882+H882,"")</f>
        <v>#VALUE!</v>
      </c>
      <c r="F882" s="8" t="str">
        <f aca="false">IFERROR(D882/VLOOKUP(A882,'Dados-Status-Invest'!$1:$1000,5,FALSE()),"")</f>
        <v/>
      </c>
      <c r="G882" s="8" t="str">
        <f aca="false">IFERROR(D882/VLOOKUP(A882,'Dados-Status-Invest'!$1:$1000,6,FALSE()),"")</f>
        <v/>
      </c>
      <c r="H882" s="8" t="str">
        <f aca="false">IFERROR(VLOOKUP(A882,'Dados-Status-Invest'!$1:$1000,12,FALSE())*J882,"")</f>
        <v/>
      </c>
      <c r="I882" s="8" t="str">
        <f aca="false">IFERROR(D882/VLOOKUP(A882,'Dados-Status-Invest'!$1:$1000,14,FALSE()),"")</f>
        <v/>
      </c>
      <c r="J882" s="9" t="str">
        <f aca="false">IFERROR(D882/VLOOKUP(A882,'Dados-Status-Invest'!$1:$1000,10,FALSE()),"")</f>
        <v/>
      </c>
      <c r="K882" s="10" t="str">
        <f aca="false">IFERROR(VLOOKUP(A882,'Dados-Status-Invest'!$1:$1000,3,FALSE())/100,"")</f>
        <v/>
      </c>
      <c r="L882" s="11" t="str">
        <f aca="false">IFERROR(VLOOKUP(A882,'Dados-Status-Invest'!$1:$1000,MATCH(L$1,'Dados-Status-Invest'!$2:$2,0),FALSE())/100,"")</f>
        <v/>
      </c>
      <c r="M882" s="10" t="str">
        <f aca="false">IFERROR(VLOOKUP(A882,'Dados-Status-Invest'!$1:$1000,MATCH(M$1,'Dados-Status-Invest'!$2:$2,0),FALSE())/100,"")</f>
        <v/>
      </c>
      <c r="N882" s="10" t="str">
        <f aca="false">IFERROR(VLOOKUP(A882,'Dados-Status-Invest'!$1:$1000,MATCH(N$1,'Dados-Status-Invest'!$2:$2,0),FALSE())/100,"")</f>
        <v/>
      </c>
      <c r="O882" s="10" t="str">
        <f aca="false">IFERROR(VLOOKUP(A882,'Dados-Status-Invest'!$1:$1000,MATCH(O$1,'Dados-Status-Invest'!$2:$2,0),FALSE())/100,"")</f>
        <v/>
      </c>
      <c r="P882" s="10" t="str">
        <f aca="false">IFERROR(VLOOKUP(A882,'Dados-Status-Invest'!$1:$1000,MATCH(P$1,'Dados-Status-Invest'!$2:$2,0),FALSE())/100,"")</f>
        <v/>
      </c>
      <c r="Q882" s="10" t="str">
        <f aca="false">IFERROR(VLOOKUP(A882,'Dados-Status-Invest'!$1:$1000,MATCH(Q$1,'Dados-Status-Invest'!$2:$2,0),FALSE())/100,"")</f>
        <v/>
      </c>
      <c r="R882" s="12" t="str">
        <f aca="false">IFERROR(VLOOKUP(A882,'Dados-Status-Invest'!$1:$1000,MATCH(R$1,'Dados-Status-Invest'!$2:$2,0),FALSE()),"")</f>
        <v/>
      </c>
      <c r="S882" s="12" t="str">
        <f aca="false">IFERROR(VLOOKUP(A882,'Dados-Status-Invest'!$1:$1000,MATCH(S$1,'Dados-Status-Invest'!$2:$2,0),FALSE()),"")</f>
        <v/>
      </c>
      <c r="T882" s="12" t="str">
        <f aca="false">IFERROR(VLOOKUP(A882,'Dados-Status-Invest'!$1:$1000,MATCH(T$1,'Dados-Status-Invest'!$2:$2,0),FALSE()),"")</f>
        <v/>
      </c>
      <c r="U882" s="12" t="str">
        <f aca="false">IFERROR(VLOOKUP(A882,'Dados-Status-Invest'!$1:$1000,MATCH(U$1,'Dados-Status-Invest'!$2:$2,0),FALSE()),"")</f>
        <v/>
      </c>
      <c r="V882" s="12" t="str">
        <f aca="false">IFERROR(VLOOKUP(A882,'Dados-Status-Invest'!$1:$1000,MATCH(V$1,'Dados-Status-Invest'!$2:$2,0),FALSE()),"")</f>
        <v/>
      </c>
      <c r="W882" s="10" t="str">
        <f aca="false">IFERROR(VLOOKUP(A882,'Dados-Status-Invest'!$1:$1000,MATCH(W$1,'Dados-Status-Invest'!$2:$2,0),FALSE())/100,"")</f>
        <v/>
      </c>
      <c r="X882" s="10" t="str">
        <f aca="false">IFERROR(VLOOKUP(A882,'Dados-Status-Invest'!$1:$1000,MATCH(X$1,'Dados-Status-Invest'!$2:$2,0),FALSE())/100,"")</f>
        <v/>
      </c>
    </row>
    <row r="883" customFormat="false" ht="15.75" hidden="false" customHeight="false" outlineLevel="0" collapsed="false">
      <c r="B883" s="7" t="str">
        <f aca="false">IFERROR(VLOOKUP(LEFT(A883,4),Setor!A:D,2,FALSE()),"")</f>
        <v/>
      </c>
      <c r="C883" s="8" t="str">
        <f aca="false">IFERROR(__xludf.dummyfunction("IFERROR(IFERROR(GOOGLEFINANCE(A889,""price""),VLOOKUP(A889,'Dados-Status-Invest'!A:B,2,FALSE)),"""")"),"")</f>
        <v/>
      </c>
      <c r="D883" s="8" t="str">
        <f aca="false">IFERROR(VLOOKUP(A883,'Dados-Status-Invest'!$1:$1000,MATCH(D$1,'Dados-Status-Invest'!$2:$2,0),FALSE()),"")</f>
        <v/>
      </c>
      <c r="E883" s="8" t="e">
        <f aca="false">IF(D883+H883&gt;0,D883+H883,"")</f>
        <v>#VALUE!</v>
      </c>
      <c r="F883" s="8" t="str">
        <f aca="false">IFERROR(D883/VLOOKUP(A883,'Dados-Status-Invest'!$1:$1000,5,FALSE()),"")</f>
        <v/>
      </c>
      <c r="G883" s="8" t="str">
        <f aca="false">IFERROR(D883/VLOOKUP(A883,'Dados-Status-Invest'!$1:$1000,6,FALSE()),"")</f>
        <v/>
      </c>
      <c r="H883" s="8" t="str">
        <f aca="false">IFERROR(VLOOKUP(A883,'Dados-Status-Invest'!$1:$1000,12,FALSE())*J883,"")</f>
        <v/>
      </c>
      <c r="I883" s="8" t="str">
        <f aca="false">IFERROR(D883/VLOOKUP(A883,'Dados-Status-Invest'!$1:$1000,14,FALSE()),"")</f>
        <v/>
      </c>
      <c r="J883" s="9" t="str">
        <f aca="false">IFERROR(D883/VLOOKUP(A883,'Dados-Status-Invest'!$1:$1000,10,FALSE()),"")</f>
        <v/>
      </c>
      <c r="K883" s="10" t="str">
        <f aca="false">IFERROR(VLOOKUP(A883,'Dados-Status-Invest'!$1:$1000,3,FALSE())/100,"")</f>
        <v/>
      </c>
      <c r="L883" s="11" t="str">
        <f aca="false">IFERROR(VLOOKUP(A883,'Dados-Status-Invest'!$1:$1000,MATCH(L$1,'Dados-Status-Invest'!$2:$2,0),FALSE())/100,"")</f>
        <v/>
      </c>
      <c r="M883" s="10" t="str">
        <f aca="false">IFERROR(VLOOKUP(A883,'Dados-Status-Invest'!$1:$1000,MATCH(M$1,'Dados-Status-Invest'!$2:$2,0),FALSE())/100,"")</f>
        <v/>
      </c>
      <c r="N883" s="10" t="str">
        <f aca="false">IFERROR(VLOOKUP(A883,'Dados-Status-Invest'!$1:$1000,MATCH(N$1,'Dados-Status-Invest'!$2:$2,0),FALSE())/100,"")</f>
        <v/>
      </c>
      <c r="O883" s="10" t="str">
        <f aca="false">IFERROR(VLOOKUP(A883,'Dados-Status-Invest'!$1:$1000,MATCH(O$1,'Dados-Status-Invest'!$2:$2,0),FALSE())/100,"")</f>
        <v/>
      </c>
      <c r="P883" s="10" t="str">
        <f aca="false">IFERROR(VLOOKUP(A883,'Dados-Status-Invest'!$1:$1000,MATCH(P$1,'Dados-Status-Invest'!$2:$2,0),FALSE())/100,"")</f>
        <v/>
      </c>
      <c r="Q883" s="10" t="str">
        <f aca="false">IFERROR(VLOOKUP(A883,'Dados-Status-Invest'!$1:$1000,MATCH(Q$1,'Dados-Status-Invest'!$2:$2,0),FALSE())/100,"")</f>
        <v/>
      </c>
      <c r="R883" s="12" t="str">
        <f aca="false">IFERROR(VLOOKUP(A883,'Dados-Status-Invest'!$1:$1000,MATCH(R$1,'Dados-Status-Invest'!$2:$2,0),FALSE()),"")</f>
        <v/>
      </c>
      <c r="S883" s="12" t="str">
        <f aca="false">IFERROR(VLOOKUP(A883,'Dados-Status-Invest'!$1:$1000,MATCH(S$1,'Dados-Status-Invest'!$2:$2,0),FALSE()),"")</f>
        <v/>
      </c>
      <c r="T883" s="12" t="str">
        <f aca="false">IFERROR(VLOOKUP(A883,'Dados-Status-Invest'!$1:$1000,MATCH(T$1,'Dados-Status-Invest'!$2:$2,0),FALSE()),"")</f>
        <v/>
      </c>
      <c r="U883" s="12" t="str">
        <f aca="false">IFERROR(VLOOKUP(A883,'Dados-Status-Invest'!$1:$1000,MATCH(U$1,'Dados-Status-Invest'!$2:$2,0),FALSE()),"")</f>
        <v/>
      </c>
      <c r="V883" s="12" t="str">
        <f aca="false">IFERROR(VLOOKUP(A883,'Dados-Status-Invest'!$1:$1000,MATCH(V$1,'Dados-Status-Invest'!$2:$2,0),FALSE()),"")</f>
        <v/>
      </c>
      <c r="W883" s="10" t="str">
        <f aca="false">IFERROR(VLOOKUP(A883,'Dados-Status-Invest'!$1:$1000,MATCH(W$1,'Dados-Status-Invest'!$2:$2,0),FALSE())/100,"")</f>
        <v/>
      </c>
      <c r="X883" s="10" t="str">
        <f aca="false">IFERROR(VLOOKUP(A883,'Dados-Status-Invest'!$1:$1000,MATCH(X$1,'Dados-Status-Invest'!$2:$2,0),FALSE())/100,"")</f>
        <v/>
      </c>
    </row>
    <row r="884" customFormat="false" ht="15.75" hidden="false" customHeight="false" outlineLevel="0" collapsed="false">
      <c r="B884" s="7" t="str">
        <f aca="false">IFERROR(VLOOKUP(LEFT(A884,4),Setor!A:D,2,FALSE()),"")</f>
        <v/>
      </c>
      <c r="C884" s="8" t="str">
        <f aca="false">IFERROR(__xludf.dummyfunction("IFERROR(IFERROR(GOOGLEFINANCE(A890,""price""),VLOOKUP(A890,'Dados-Status-Invest'!A:B,2,FALSE)),"""")"),"")</f>
        <v/>
      </c>
      <c r="D884" s="8" t="str">
        <f aca="false">IFERROR(VLOOKUP(A884,'Dados-Status-Invest'!$1:$1000,MATCH(D$1,'Dados-Status-Invest'!$2:$2,0),FALSE()),"")</f>
        <v/>
      </c>
      <c r="E884" s="8" t="e">
        <f aca="false">IF(D884+H884&gt;0,D884+H884,"")</f>
        <v>#VALUE!</v>
      </c>
      <c r="F884" s="8" t="str">
        <f aca="false">IFERROR(D884/VLOOKUP(A884,'Dados-Status-Invest'!$1:$1000,5,FALSE()),"")</f>
        <v/>
      </c>
      <c r="G884" s="8" t="str">
        <f aca="false">IFERROR(D884/VLOOKUP(A884,'Dados-Status-Invest'!$1:$1000,6,FALSE()),"")</f>
        <v/>
      </c>
      <c r="H884" s="8" t="str">
        <f aca="false">IFERROR(VLOOKUP(A884,'Dados-Status-Invest'!$1:$1000,12,FALSE())*J884,"")</f>
        <v/>
      </c>
      <c r="I884" s="8" t="str">
        <f aca="false">IFERROR(D884/VLOOKUP(A884,'Dados-Status-Invest'!$1:$1000,14,FALSE()),"")</f>
        <v/>
      </c>
      <c r="J884" s="9" t="str">
        <f aca="false">IFERROR(D884/VLOOKUP(A884,'Dados-Status-Invest'!$1:$1000,10,FALSE()),"")</f>
        <v/>
      </c>
      <c r="K884" s="10" t="str">
        <f aca="false">IFERROR(VLOOKUP(A884,'Dados-Status-Invest'!$1:$1000,3,FALSE())/100,"")</f>
        <v/>
      </c>
      <c r="L884" s="11" t="str">
        <f aca="false">IFERROR(VLOOKUP(A884,'Dados-Status-Invest'!$1:$1000,MATCH(L$1,'Dados-Status-Invest'!$2:$2,0),FALSE())/100,"")</f>
        <v/>
      </c>
      <c r="M884" s="10" t="str">
        <f aca="false">IFERROR(VLOOKUP(A884,'Dados-Status-Invest'!$1:$1000,MATCH(M$1,'Dados-Status-Invest'!$2:$2,0),FALSE())/100,"")</f>
        <v/>
      </c>
      <c r="N884" s="10" t="str">
        <f aca="false">IFERROR(VLOOKUP(A884,'Dados-Status-Invest'!$1:$1000,MATCH(N$1,'Dados-Status-Invest'!$2:$2,0),FALSE())/100,"")</f>
        <v/>
      </c>
      <c r="O884" s="10" t="str">
        <f aca="false">IFERROR(VLOOKUP(A884,'Dados-Status-Invest'!$1:$1000,MATCH(O$1,'Dados-Status-Invest'!$2:$2,0),FALSE())/100,"")</f>
        <v/>
      </c>
      <c r="P884" s="10" t="str">
        <f aca="false">IFERROR(VLOOKUP(A884,'Dados-Status-Invest'!$1:$1000,MATCH(P$1,'Dados-Status-Invest'!$2:$2,0),FALSE())/100,"")</f>
        <v/>
      </c>
      <c r="Q884" s="10" t="str">
        <f aca="false">IFERROR(VLOOKUP(A884,'Dados-Status-Invest'!$1:$1000,MATCH(Q$1,'Dados-Status-Invest'!$2:$2,0),FALSE())/100,"")</f>
        <v/>
      </c>
      <c r="R884" s="12" t="str">
        <f aca="false">IFERROR(VLOOKUP(A884,'Dados-Status-Invest'!$1:$1000,MATCH(R$1,'Dados-Status-Invest'!$2:$2,0),FALSE()),"")</f>
        <v/>
      </c>
      <c r="S884" s="12" t="str">
        <f aca="false">IFERROR(VLOOKUP(A884,'Dados-Status-Invest'!$1:$1000,MATCH(S$1,'Dados-Status-Invest'!$2:$2,0),FALSE()),"")</f>
        <v/>
      </c>
      <c r="T884" s="12" t="str">
        <f aca="false">IFERROR(VLOOKUP(A884,'Dados-Status-Invest'!$1:$1000,MATCH(T$1,'Dados-Status-Invest'!$2:$2,0),FALSE()),"")</f>
        <v/>
      </c>
      <c r="U884" s="12" t="str">
        <f aca="false">IFERROR(VLOOKUP(A884,'Dados-Status-Invest'!$1:$1000,MATCH(U$1,'Dados-Status-Invest'!$2:$2,0),FALSE()),"")</f>
        <v/>
      </c>
      <c r="V884" s="12" t="str">
        <f aca="false">IFERROR(VLOOKUP(A884,'Dados-Status-Invest'!$1:$1000,MATCH(V$1,'Dados-Status-Invest'!$2:$2,0),FALSE()),"")</f>
        <v/>
      </c>
      <c r="W884" s="10" t="str">
        <f aca="false">IFERROR(VLOOKUP(A884,'Dados-Status-Invest'!$1:$1000,MATCH(W$1,'Dados-Status-Invest'!$2:$2,0),FALSE())/100,"")</f>
        <v/>
      </c>
      <c r="X884" s="10" t="str">
        <f aca="false">IFERROR(VLOOKUP(A884,'Dados-Status-Invest'!$1:$1000,MATCH(X$1,'Dados-Status-Invest'!$2:$2,0),FALSE())/100,"")</f>
        <v/>
      </c>
    </row>
    <row r="885" customFormat="false" ht="15.75" hidden="false" customHeight="false" outlineLevel="0" collapsed="false">
      <c r="B885" s="7" t="str">
        <f aca="false">IFERROR(VLOOKUP(LEFT(A885,4),Setor!A:D,2,FALSE()),"")</f>
        <v/>
      </c>
      <c r="C885" s="8" t="str">
        <f aca="false">IFERROR(__xludf.dummyfunction("IFERROR(IFERROR(GOOGLEFINANCE(A891,""price""),VLOOKUP(A891,'Dados-Status-Invest'!A:B,2,FALSE)),"""")"),"")</f>
        <v/>
      </c>
      <c r="D885" s="8" t="str">
        <f aca="false">IFERROR(VLOOKUP(A885,'Dados-Status-Invest'!$1:$1000,MATCH(D$1,'Dados-Status-Invest'!$2:$2,0),FALSE()),"")</f>
        <v/>
      </c>
      <c r="E885" s="8" t="e">
        <f aca="false">IF(D885+H885&gt;0,D885+H885,"")</f>
        <v>#VALUE!</v>
      </c>
      <c r="F885" s="8" t="str">
        <f aca="false">IFERROR(D885/VLOOKUP(A885,'Dados-Status-Invest'!$1:$1000,5,FALSE()),"")</f>
        <v/>
      </c>
      <c r="G885" s="8" t="str">
        <f aca="false">IFERROR(D885/VLOOKUP(A885,'Dados-Status-Invest'!$1:$1000,6,FALSE()),"")</f>
        <v/>
      </c>
      <c r="H885" s="8" t="str">
        <f aca="false">IFERROR(VLOOKUP(A885,'Dados-Status-Invest'!$1:$1000,12,FALSE())*J885,"")</f>
        <v/>
      </c>
      <c r="I885" s="8" t="str">
        <f aca="false">IFERROR(D885/VLOOKUP(A885,'Dados-Status-Invest'!$1:$1000,14,FALSE()),"")</f>
        <v/>
      </c>
      <c r="J885" s="9" t="str">
        <f aca="false">IFERROR(D885/VLOOKUP(A885,'Dados-Status-Invest'!$1:$1000,10,FALSE()),"")</f>
        <v/>
      </c>
      <c r="K885" s="10" t="str">
        <f aca="false">IFERROR(VLOOKUP(A885,'Dados-Status-Invest'!$1:$1000,3,FALSE())/100,"")</f>
        <v/>
      </c>
      <c r="L885" s="11" t="str">
        <f aca="false">IFERROR(VLOOKUP(A885,'Dados-Status-Invest'!$1:$1000,MATCH(L$1,'Dados-Status-Invest'!$2:$2,0),FALSE())/100,"")</f>
        <v/>
      </c>
      <c r="M885" s="10" t="str">
        <f aca="false">IFERROR(VLOOKUP(A885,'Dados-Status-Invest'!$1:$1000,MATCH(M$1,'Dados-Status-Invest'!$2:$2,0),FALSE())/100,"")</f>
        <v/>
      </c>
      <c r="N885" s="10" t="str">
        <f aca="false">IFERROR(VLOOKUP(A885,'Dados-Status-Invest'!$1:$1000,MATCH(N$1,'Dados-Status-Invest'!$2:$2,0),FALSE())/100,"")</f>
        <v/>
      </c>
      <c r="O885" s="10" t="str">
        <f aca="false">IFERROR(VLOOKUP(A885,'Dados-Status-Invest'!$1:$1000,MATCH(O$1,'Dados-Status-Invest'!$2:$2,0),FALSE())/100,"")</f>
        <v/>
      </c>
      <c r="P885" s="10" t="str">
        <f aca="false">IFERROR(VLOOKUP(A885,'Dados-Status-Invest'!$1:$1000,MATCH(P$1,'Dados-Status-Invest'!$2:$2,0),FALSE())/100,"")</f>
        <v/>
      </c>
      <c r="Q885" s="10" t="str">
        <f aca="false">IFERROR(VLOOKUP(A885,'Dados-Status-Invest'!$1:$1000,MATCH(Q$1,'Dados-Status-Invest'!$2:$2,0),FALSE())/100,"")</f>
        <v/>
      </c>
      <c r="R885" s="12" t="str">
        <f aca="false">IFERROR(VLOOKUP(A885,'Dados-Status-Invest'!$1:$1000,MATCH(R$1,'Dados-Status-Invest'!$2:$2,0),FALSE()),"")</f>
        <v/>
      </c>
      <c r="S885" s="12" t="str">
        <f aca="false">IFERROR(VLOOKUP(A885,'Dados-Status-Invest'!$1:$1000,MATCH(S$1,'Dados-Status-Invest'!$2:$2,0),FALSE()),"")</f>
        <v/>
      </c>
      <c r="T885" s="12" t="str">
        <f aca="false">IFERROR(VLOOKUP(A885,'Dados-Status-Invest'!$1:$1000,MATCH(T$1,'Dados-Status-Invest'!$2:$2,0),FALSE()),"")</f>
        <v/>
      </c>
      <c r="U885" s="12" t="str">
        <f aca="false">IFERROR(VLOOKUP(A885,'Dados-Status-Invest'!$1:$1000,MATCH(U$1,'Dados-Status-Invest'!$2:$2,0),FALSE()),"")</f>
        <v/>
      </c>
      <c r="V885" s="12" t="str">
        <f aca="false">IFERROR(VLOOKUP(A885,'Dados-Status-Invest'!$1:$1000,MATCH(V$1,'Dados-Status-Invest'!$2:$2,0),FALSE()),"")</f>
        <v/>
      </c>
      <c r="W885" s="10" t="str">
        <f aca="false">IFERROR(VLOOKUP(A885,'Dados-Status-Invest'!$1:$1000,MATCH(W$1,'Dados-Status-Invest'!$2:$2,0),FALSE())/100,"")</f>
        <v/>
      </c>
      <c r="X885" s="10" t="str">
        <f aca="false">IFERROR(VLOOKUP(A885,'Dados-Status-Invest'!$1:$1000,MATCH(X$1,'Dados-Status-Invest'!$2:$2,0),FALSE())/100,"")</f>
        <v/>
      </c>
    </row>
    <row r="886" customFormat="false" ht="15.75" hidden="false" customHeight="false" outlineLevel="0" collapsed="false">
      <c r="B886" s="7" t="str">
        <f aca="false">IFERROR(VLOOKUP(LEFT(A886,4),Setor!A:D,2,FALSE()),"")</f>
        <v/>
      </c>
      <c r="C886" s="8" t="str">
        <f aca="false">IFERROR(__xludf.dummyfunction("IFERROR(IFERROR(GOOGLEFINANCE(A892,""price""),VLOOKUP(A892,'Dados-Status-Invest'!A:B,2,FALSE)),"""")"),"")</f>
        <v/>
      </c>
      <c r="D886" s="8" t="str">
        <f aca="false">IFERROR(VLOOKUP(A886,'Dados-Status-Invest'!$1:$1000,MATCH(D$1,'Dados-Status-Invest'!$2:$2,0),FALSE()),"")</f>
        <v/>
      </c>
      <c r="E886" s="8" t="e">
        <f aca="false">IF(D886+H886&gt;0,D886+H886,"")</f>
        <v>#VALUE!</v>
      </c>
      <c r="F886" s="8" t="str">
        <f aca="false">IFERROR(D886/VLOOKUP(A886,'Dados-Status-Invest'!$1:$1000,5,FALSE()),"")</f>
        <v/>
      </c>
      <c r="G886" s="8" t="str">
        <f aca="false">IFERROR(D886/VLOOKUP(A886,'Dados-Status-Invest'!$1:$1000,6,FALSE()),"")</f>
        <v/>
      </c>
      <c r="H886" s="8" t="str">
        <f aca="false">IFERROR(VLOOKUP(A886,'Dados-Status-Invest'!$1:$1000,12,FALSE())*J886,"")</f>
        <v/>
      </c>
      <c r="I886" s="8" t="str">
        <f aca="false">IFERROR(D886/VLOOKUP(A886,'Dados-Status-Invest'!$1:$1000,14,FALSE()),"")</f>
        <v/>
      </c>
      <c r="J886" s="9" t="str">
        <f aca="false">IFERROR(D886/VLOOKUP(A886,'Dados-Status-Invest'!$1:$1000,10,FALSE()),"")</f>
        <v/>
      </c>
      <c r="K886" s="10" t="str">
        <f aca="false">IFERROR(VLOOKUP(A886,'Dados-Status-Invest'!$1:$1000,3,FALSE())/100,"")</f>
        <v/>
      </c>
      <c r="L886" s="11" t="str">
        <f aca="false">IFERROR(VLOOKUP(A886,'Dados-Status-Invest'!$1:$1000,MATCH(L$1,'Dados-Status-Invest'!$2:$2,0),FALSE())/100,"")</f>
        <v/>
      </c>
      <c r="M886" s="10" t="str">
        <f aca="false">IFERROR(VLOOKUP(A886,'Dados-Status-Invest'!$1:$1000,MATCH(M$1,'Dados-Status-Invest'!$2:$2,0),FALSE())/100,"")</f>
        <v/>
      </c>
      <c r="N886" s="10" t="str">
        <f aca="false">IFERROR(VLOOKUP(A886,'Dados-Status-Invest'!$1:$1000,MATCH(N$1,'Dados-Status-Invest'!$2:$2,0),FALSE())/100,"")</f>
        <v/>
      </c>
      <c r="O886" s="10" t="str">
        <f aca="false">IFERROR(VLOOKUP(A886,'Dados-Status-Invest'!$1:$1000,MATCH(O$1,'Dados-Status-Invest'!$2:$2,0),FALSE())/100,"")</f>
        <v/>
      </c>
      <c r="P886" s="10" t="str">
        <f aca="false">IFERROR(VLOOKUP(A886,'Dados-Status-Invest'!$1:$1000,MATCH(P$1,'Dados-Status-Invest'!$2:$2,0),FALSE())/100,"")</f>
        <v/>
      </c>
      <c r="Q886" s="10" t="str">
        <f aca="false">IFERROR(VLOOKUP(A886,'Dados-Status-Invest'!$1:$1000,MATCH(Q$1,'Dados-Status-Invest'!$2:$2,0),FALSE())/100,"")</f>
        <v/>
      </c>
      <c r="R886" s="12" t="str">
        <f aca="false">IFERROR(VLOOKUP(A886,'Dados-Status-Invest'!$1:$1000,MATCH(R$1,'Dados-Status-Invest'!$2:$2,0),FALSE()),"")</f>
        <v/>
      </c>
      <c r="S886" s="12" t="str">
        <f aca="false">IFERROR(VLOOKUP(A886,'Dados-Status-Invest'!$1:$1000,MATCH(S$1,'Dados-Status-Invest'!$2:$2,0),FALSE()),"")</f>
        <v/>
      </c>
      <c r="T886" s="12" t="str">
        <f aca="false">IFERROR(VLOOKUP(A886,'Dados-Status-Invest'!$1:$1000,MATCH(T$1,'Dados-Status-Invest'!$2:$2,0),FALSE()),"")</f>
        <v/>
      </c>
      <c r="U886" s="12" t="str">
        <f aca="false">IFERROR(VLOOKUP(A886,'Dados-Status-Invest'!$1:$1000,MATCH(U$1,'Dados-Status-Invest'!$2:$2,0),FALSE()),"")</f>
        <v/>
      </c>
      <c r="V886" s="12" t="str">
        <f aca="false">IFERROR(VLOOKUP(A886,'Dados-Status-Invest'!$1:$1000,MATCH(V$1,'Dados-Status-Invest'!$2:$2,0),FALSE()),"")</f>
        <v/>
      </c>
      <c r="W886" s="10" t="str">
        <f aca="false">IFERROR(VLOOKUP(A886,'Dados-Status-Invest'!$1:$1000,MATCH(W$1,'Dados-Status-Invest'!$2:$2,0),FALSE())/100,"")</f>
        <v/>
      </c>
      <c r="X886" s="10" t="str">
        <f aca="false">IFERROR(VLOOKUP(A886,'Dados-Status-Invest'!$1:$1000,MATCH(X$1,'Dados-Status-Invest'!$2:$2,0),FALSE())/100,"")</f>
        <v/>
      </c>
    </row>
    <row r="887" customFormat="false" ht="15.75" hidden="false" customHeight="false" outlineLevel="0" collapsed="false">
      <c r="B887" s="7" t="str">
        <f aca="false">IFERROR(VLOOKUP(LEFT(A887,4),Setor!A:D,2,FALSE()),"")</f>
        <v/>
      </c>
      <c r="C887" s="8" t="str">
        <f aca="false">IFERROR(__xludf.dummyfunction("IFERROR(IFERROR(GOOGLEFINANCE(A893,""price""),VLOOKUP(A893,'Dados-Status-Invest'!A:B,2,FALSE)),"""")"),"")</f>
        <v/>
      </c>
      <c r="D887" s="8" t="str">
        <f aca="false">IFERROR(VLOOKUP(A887,'Dados-Status-Invest'!$1:$1000,MATCH(D$1,'Dados-Status-Invest'!$2:$2,0),FALSE()),"")</f>
        <v/>
      </c>
      <c r="E887" s="8" t="e">
        <f aca="false">IF(D887+H887&gt;0,D887+H887,"")</f>
        <v>#VALUE!</v>
      </c>
      <c r="F887" s="8" t="str">
        <f aca="false">IFERROR(D887/VLOOKUP(A887,'Dados-Status-Invest'!$1:$1000,5,FALSE()),"")</f>
        <v/>
      </c>
      <c r="G887" s="8" t="str">
        <f aca="false">IFERROR(D887/VLOOKUP(A887,'Dados-Status-Invest'!$1:$1000,6,FALSE()),"")</f>
        <v/>
      </c>
      <c r="H887" s="8" t="str">
        <f aca="false">IFERROR(VLOOKUP(A887,'Dados-Status-Invest'!$1:$1000,12,FALSE())*J887,"")</f>
        <v/>
      </c>
      <c r="I887" s="8" t="str">
        <f aca="false">IFERROR(D887/VLOOKUP(A887,'Dados-Status-Invest'!$1:$1000,14,FALSE()),"")</f>
        <v/>
      </c>
      <c r="J887" s="9" t="str">
        <f aca="false">IFERROR(D887/VLOOKUP(A887,'Dados-Status-Invest'!$1:$1000,10,FALSE()),"")</f>
        <v/>
      </c>
      <c r="K887" s="10" t="str">
        <f aca="false">IFERROR(VLOOKUP(A887,'Dados-Status-Invest'!$1:$1000,3,FALSE())/100,"")</f>
        <v/>
      </c>
      <c r="L887" s="11" t="str">
        <f aca="false">IFERROR(VLOOKUP(A887,'Dados-Status-Invest'!$1:$1000,MATCH(L$1,'Dados-Status-Invest'!$2:$2,0),FALSE())/100,"")</f>
        <v/>
      </c>
      <c r="M887" s="10" t="str">
        <f aca="false">IFERROR(VLOOKUP(A887,'Dados-Status-Invest'!$1:$1000,MATCH(M$1,'Dados-Status-Invest'!$2:$2,0),FALSE())/100,"")</f>
        <v/>
      </c>
      <c r="N887" s="10" t="str">
        <f aca="false">IFERROR(VLOOKUP(A887,'Dados-Status-Invest'!$1:$1000,MATCH(N$1,'Dados-Status-Invest'!$2:$2,0),FALSE())/100,"")</f>
        <v/>
      </c>
      <c r="O887" s="10" t="str">
        <f aca="false">IFERROR(VLOOKUP(A887,'Dados-Status-Invest'!$1:$1000,MATCH(O$1,'Dados-Status-Invest'!$2:$2,0),FALSE())/100,"")</f>
        <v/>
      </c>
      <c r="P887" s="10" t="str">
        <f aca="false">IFERROR(VLOOKUP(A887,'Dados-Status-Invest'!$1:$1000,MATCH(P$1,'Dados-Status-Invest'!$2:$2,0),FALSE())/100,"")</f>
        <v/>
      </c>
      <c r="Q887" s="10" t="str">
        <f aca="false">IFERROR(VLOOKUP(A887,'Dados-Status-Invest'!$1:$1000,MATCH(Q$1,'Dados-Status-Invest'!$2:$2,0),FALSE())/100,"")</f>
        <v/>
      </c>
      <c r="R887" s="12" t="str">
        <f aca="false">IFERROR(VLOOKUP(A887,'Dados-Status-Invest'!$1:$1000,MATCH(R$1,'Dados-Status-Invest'!$2:$2,0),FALSE()),"")</f>
        <v/>
      </c>
      <c r="S887" s="12" t="str">
        <f aca="false">IFERROR(VLOOKUP(A887,'Dados-Status-Invest'!$1:$1000,MATCH(S$1,'Dados-Status-Invest'!$2:$2,0),FALSE()),"")</f>
        <v/>
      </c>
      <c r="T887" s="12" t="str">
        <f aca="false">IFERROR(VLOOKUP(A887,'Dados-Status-Invest'!$1:$1000,MATCH(T$1,'Dados-Status-Invest'!$2:$2,0),FALSE()),"")</f>
        <v/>
      </c>
      <c r="U887" s="12" t="str">
        <f aca="false">IFERROR(VLOOKUP(A887,'Dados-Status-Invest'!$1:$1000,MATCH(U$1,'Dados-Status-Invest'!$2:$2,0),FALSE()),"")</f>
        <v/>
      </c>
      <c r="V887" s="12" t="str">
        <f aca="false">IFERROR(VLOOKUP(A887,'Dados-Status-Invest'!$1:$1000,MATCH(V$1,'Dados-Status-Invest'!$2:$2,0),FALSE()),"")</f>
        <v/>
      </c>
      <c r="W887" s="10" t="str">
        <f aca="false">IFERROR(VLOOKUP(A887,'Dados-Status-Invest'!$1:$1000,MATCH(W$1,'Dados-Status-Invest'!$2:$2,0),FALSE())/100,"")</f>
        <v/>
      </c>
      <c r="X887" s="10" t="str">
        <f aca="false">IFERROR(VLOOKUP(A887,'Dados-Status-Invest'!$1:$1000,MATCH(X$1,'Dados-Status-Invest'!$2:$2,0),FALSE())/100,"")</f>
        <v/>
      </c>
    </row>
    <row r="888" customFormat="false" ht="15.75" hidden="false" customHeight="false" outlineLevel="0" collapsed="false">
      <c r="B888" s="7" t="str">
        <f aca="false">IFERROR(VLOOKUP(LEFT(A888,4),Setor!A:D,2,FALSE()),"")</f>
        <v/>
      </c>
      <c r="C888" s="8" t="str">
        <f aca="false">IFERROR(__xludf.dummyfunction("IFERROR(IFERROR(GOOGLEFINANCE(A894,""price""),VLOOKUP(A894,'Dados-Status-Invest'!A:B,2,FALSE)),"""")"),"")</f>
        <v/>
      </c>
      <c r="D888" s="8" t="str">
        <f aca="false">IFERROR(VLOOKUP(A888,'Dados-Status-Invest'!$1:$1000,MATCH(D$1,'Dados-Status-Invest'!$2:$2,0),FALSE()),"")</f>
        <v/>
      </c>
      <c r="E888" s="8" t="e">
        <f aca="false">IF(D888+H888&gt;0,D888+H888,"")</f>
        <v>#VALUE!</v>
      </c>
      <c r="F888" s="8" t="str">
        <f aca="false">IFERROR(D888/VLOOKUP(A888,'Dados-Status-Invest'!$1:$1000,5,FALSE()),"")</f>
        <v/>
      </c>
      <c r="G888" s="8" t="str">
        <f aca="false">IFERROR(D888/VLOOKUP(A888,'Dados-Status-Invest'!$1:$1000,6,FALSE()),"")</f>
        <v/>
      </c>
      <c r="H888" s="8" t="str">
        <f aca="false">IFERROR(VLOOKUP(A888,'Dados-Status-Invest'!$1:$1000,12,FALSE())*J888,"")</f>
        <v/>
      </c>
      <c r="I888" s="8" t="str">
        <f aca="false">IFERROR(D888/VLOOKUP(A888,'Dados-Status-Invest'!$1:$1000,14,FALSE()),"")</f>
        <v/>
      </c>
      <c r="J888" s="9" t="str">
        <f aca="false">IFERROR(D888/VLOOKUP(A888,'Dados-Status-Invest'!$1:$1000,10,FALSE()),"")</f>
        <v/>
      </c>
      <c r="K888" s="10" t="str">
        <f aca="false">IFERROR(VLOOKUP(A888,'Dados-Status-Invest'!$1:$1000,3,FALSE())/100,"")</f>
        <v/>
      </c>
      <c r="L888" s="11" t="str">
        <f aca="false">IFERROR(VLOOKUP(A888,'Dados-Status-Invest'!$1:$1000,MATCH(L$1,'Dados-Status-Invest'!$2:$2,0),FALSE())/100,"")</f>
        <v/>
      </c>
      <c r="M888" s="10" t="str">
        <f aca="false">IFERROR(VLOOKUP(A888,'Dados-Status-Invest'!$1:$1000,MATCH(M$1,'Dados-Status-Invest'!$2:$2,0),FALSE())/100,"")</f>
        <v/>
      </c>
      <c r="N888" s="10" t="str">
        <f aca="false">IFERROR(VLOOKUP(A888,'Dados-Status-Invest'!$1:$1000,MATCH(N$1,'Dados-Status-Invest'!$2:$2,0),FALSE())/100,"")</f>
        <v/>
      </c>
      <c r="O888" s="10" t="str">
        <f aca="false">IFERROR(VLOOKUP(A888,'Dados-Status-Invest'!$1:$1000,MATCH(O$1,'Dados-Status-Invest'!$2:$2,0),FALSE())/100,"")</f>
        <v/>
      </c>
      <c r="P888" s="10" t="str">
        <f aca="false">IFERROR(VLOOKUP(A888,'Dados-Status-Invest'!$1:$1000,MATCH(P$1,'Dados-Status-Invest'!$2:$2,0),FALSE())/100,"")</f>
        <v/>
      </c>
      <c r="Q888" s="10" t="str">
        <f aca="false">IFERROR(VLOOKUP(A888,'Dados-Status-Invest'!$1:$1000,MATCH(Q$1,'Dados-Status-Invest'!$2:$2,0),FALSE())/100,"")</f>
        <v/>
      </c>
      <c r="R888" s="12" t="str">
        <f aca="false">IFERROR(VLOOKUP(A888,'Dados-Status-Invest'!$1:$1000,MATCH(R$1,'Dados-Status-Invest'!$2:$2,0),FALSE()),"")</f>
        <v/>
      </c>
      <c r="S888" s="12" t="str">
        <f aca="false">IFERROR(VLOOKUP(A888,'Dados-Status-Invest'!$1:$1000,MATCH(S$1,'Dados-Status-Invest'!$2:$2,0),FALSE()),"")</f>
        <v/>
      </c>
      <c r="T888" s="12" t="str">
        <f aca="false">IFERROR(VLOOKUP(A888,'Dados-Status-Invest'!$1:$1000,MATCH(T$1,'Dados-Status-Invest'!$2:$2,0),FALSE()),"")</f>
        <v/>
      </c>
      <c r="U888" s="12" t="str">
        <f aca="false">IFERROR(VLOOKUP(A888,'Dados-Status-Invest'!$1:$1000,MATCH(U$1,'Dados-Status-Invest'!$2:$2,0),FALSE()),"")</f>
        <v/>
      </c>
      <c r="V888" s="12" t="str">
        <f aca="false">IFERROR(VLOOKUP(A888,'Dados-Status-Invest'!$1:$1000,MATCH(V$1,'Dados-Status-Invest'!$2:$2,0),FALSE()),"")</f>
        <v/>
      </c>
      <c r="W888" s="10" t="str">
        <f aca="false">IFERROR(VLOOKUP(A888,'Dados-Status-Invest'!$1:$1000,MATCH(W$1,'Dados-Status-Invest'!$2:$2,0),FALSE())/100,"")</f>
        <v/>
      </c>
      <c r="X888" s="10" t="str">
        <f aca="false">IFERROR(VLOOKUP(A888,'Dados-Status-Invest'!$1:$1000,MATCH(X$1,'Dados-Status-Invest'!$2:$2,0),FALSE())/100,"")</f>
        <v/>
      </c>
    </row>
    <row r="889" customFormat="false" ht="15.75" hidden="false" customHeight="false" outlineLevel="0" collapsed="false">
      <c r="B889" s="7" t="str">
        <f aca="false">IFERROR(VLOOKUP(LEFT(A889,4),Setor!A:D,2,FALSE()),"")</f>
        <v/>
      </c>
      <c r="C889" s="8" t="str">
        <f aca="false">IFERROR(__xludf.dummyfunction("IFERROR(IFERROR(GOOGLEFINANCE(A895,""price""),VLOOKUP(A895,'Dados-Status-Invest'!A:B,2,FALSE)),"""")"),"")</f>
        <v/>
      </c>
      <c r="D889" s="8" t="str">
        <f aca="false">IFERROR(VLOOKUP(A889,'Dados-Status-Invest'!$1:$1000,MATCH(D$1,'Dados-Status-Invest'!$2:$2,0),FALSE()),"")</f>
        <v/>
      </c>
      <c r="E889" s="8" t="e">
        <f aca="false">IF(D889+H889&gt;0,D889+H889,"")</f>
        <v>#VALUE!</v>
      </c>
      <c r="F889" s="8" t="str">
        <f aca="false">IFERROR(D889/VLOOKUP(A889,'Dados-Status-Invest'!$1:$1000,5,FALSE()),"")</f>
        <v/>
      </c>
      <c r="G889" s="8" t="str">
        <f aca="false">IFERROR(D889/VLOOKUP(A889,'Dados-Status-Invest'!$1:$1000,6,FALSE()),"")</f>
        <v/>
      </c>
      <c r="H889" s="8" t="str">
        <f aca="false">IFERROR(VLOOKUP(A889,'Dados-Status-Invest'!$1:$1000,12,FALSE())*J889,"")</f>
        <v/>
      </c>
      <c r="I889" s="8" t="str">
        <f aca="false">IFERROR(D889/VLOOKUP(A889,'Dados-Status-Invest'!$1:$1000,14,FALSE()),"")</f>
        <v/>
      </c>
      <c r="J889" s="9" t="str">
        <f aca="false">IFERROR(D889/VLOOKUP(A889,'Dados-Status-Invest'!$1:$1000,10,FALSE()),"")</f>
        <v/>
      </c>
      <c r="K889" s="10" t="str">
        <f aca="false">IFERROR(VLOOKUP(A889,'Dados-Status-Invest'!$1:$1000,3,FALSE())/100,"")</f>
        <v/>
      </c>
      <c r="L889" s="11" t="str">
        <f aca="false">IFERROR(VLOOKUP(A889,'Dados-Status-Invest'!$1:$1000,MATCH(L$1,'Dados-Status-Invest'!$2:$2,0),FALSE())/100,"")</f>
        <v/>
      </c>
      <c r="M889" s="10" t="str">
        <f aca="false">IFERROR(VLOOKUP(A889,'Dados-Status-Invest'!$1:$1000,MATCH(M$1,'Dados-Status-Invest'!$2:$2,0),FALSE())/100,"")</f>
        <v/>
      </c>
      <c r="N889" s="10" t="str">
        <f aca="false">IFERROR(VLOOKUP(A889,'Dados-Status-Invest'!$1:$1000,MATCH(N$1,'Dados-Status-Invest'!$2:$2,0),FALSE())/100,"")</f>
        <v/>
      </c>
      <c r="O889" s="10" t="str">
        <f aca="false">IFERROR(VLOOKUP(A889,'Dados-Status-Invest'!$1:$1000,MATCH(O$1,'Dados-Status-Invest'!$2:$2,0),FALSE())/100,"")</f>
        <v/>
      </c>
      <c r="P889" s="10" t="str">
        <f aca="false">IFERROR(VLOOKUP(A889,'Dados-Status-Invest'!$1:$1000,MATCH(P$1,'Dados-Status-Invest'!$2:$2,0),FALSE())/100,"")</f>
        <v/>
      </c>
      <c r="Q889" s="10" t="str">
        <f aca="false">IFERROR(VLOOKUP(A889,'Dados-Status-Invest'!$1:$1000,MATCH(Q$1,'Dados-Status-Invest'!$2:$2,0),FALSE())/100,"")</f>
        <v/>
      </c>
      <c r="R889" s="12" t="str">
        <f aca="false">IFERROR(VLOOKUP(A889,'Dados-Status-Invest'!$1:$1000,MATCH(R$1,'Dados-Status-Invest'!$2:$2,0),FALSE()),"")</f>
        <v/>
      </c>
      <c r="S889" s="12" t="str">
        <f aca="false">IFERROR(VLOOKUP(A889,'Dados-Status-Invest'!$1:$1000,MATCH(S$1,'Dados-Status-Invest'!$2:$2,0),FALSE()),"")</f>
        <v/>
      </c>
      <c r="T889" s="12" t="str">
        <f aca="false">IFERROR(VLOOKUP(A889,'Dados-Status-Invest'!$1:$1000,MATCH(T$1,'Dados-Status-Invest'!$2:$2,0),FALSE()),"")</f>
        <v/>
      </c>
      <c r="U889" s="12" t="str">
        <f aca="false">IFERROR(VLOOKUP(A889,'Dados-Status-Invest'!$1:$1000,MATCH(U$1,'Dados-Status-Invest'!$2:$2,0),FALSE()),"")</f>
        <v/>
      </c>
      <c r="V889" s="12" t="str">
        <f aca="false">IFERROR(VLOOKUP(A889,'Dados-Status-Invest'!$1:$1000,MATCH(V$1,'Dados-Status-Invest'!$2:$2,0),FALSE()),"")</f>
        <v/>
      </c>
      <c r="W889" s="10" t="str">
        <f aca="false">IFERROR(VLOOKUP(A889,'Dados-Status-Invest'!$1:$1000,MATCH(W$1,'Dados-Status-Invest'!$2:$2,0),FALSE())/100,"")</f>
        <v/>
      </c>
      <c r="X889" s="10" t="str">
        <f aca="false">IFERROR(VLOOKUP(A889,'Dados-Status-Invest'!$1:$1000,MATCH(X$1,'Dados-Status-Invest'!$2:$2,0),FALSE())/100,"")</f>
        <v/>
      </c>
    </row>
    <row r="890" customFormat="false" ht="15.75" hidden="false" customHeight="false" outlineLevel="0" collapsed="false">
      <c r="B890" s="7" t="str">
        <f aca="false">IFERROR(VLOOKUP(LEFT(A890,4),Setor!A:D,2,FALSE()),"")</f>
        <v/>
      </c>
      <c r="C890" s="8" t="str">
        <f aca="false">IFERROR(__xludf.dummyfunction("IFERROR(IFERROR(GOOGLEFINANCE(A896,""price""),VLOOKUP(A896,'Dados-Status-Invest'!A:B,2,FALSE)),"""")"),"")</f>
        <v/>
      </c>
      <c r="D890" s="8" t="str">
        <f aca="false">IFERROR(VLOOKUP(A890,'Dados-Status-Invest'!$1:$1000,MATCH(D$1,'Dados-Status-Invest'!$2:$2,0),FALSE()),"")</f>
        <v/>
      </c>
      <c r="E890" s="8" t="e">
        <f aca="false">IF(D890+H890&gt;0,D890+H890,"")</f>
        <v>#VALUE!</v>
      </c>
      <c r="F890" s="8" t="str">
        <f aca="false">IFERROR(D890/VLOOKUP(A890,'Dados-Status-Invest'!$1:$1000,5,FALSE()),"")</f>
        <v/>
      </c>
      <c r="G890" s="8" t="str">
        <f aca="false">IFERROR(D890/VLOOKUP(A890,'Dados-Status-Invest'!$1:$1000,6,FALSE()),"")</f>
        <v/>
      </c>
      <c r="H890" s="8" t="str">
        <f aca="false">IFERROR(VLOOKUP(A890,'Dados-Status-Invest'!$1:$1000,12,FALSE())*J890,"")</f>
        <v/>
      </c>
      <c r="I890" s="8" t="str">
        <f aca="false">IFERROR(D890/VLOOKUP(A890,'Dados-Status-Invest'!$1:$1000,14,FALSE()),"")</f>
        <v/>
      </c>
      <c r="J890" s="9" t="str">
        <f aca="false">IFERROR(D890/VLOOKUP(A890,'Dados-Status-Invest'!$1:$1000,10,FALSE()),"")</f>
        <v/>
      </c>
      <c r="K890" s="10" t="str">
        <f aca="false">IFERROR(VLOOKUP(A890,'Dados-Status-Invest'!$1:$1000,3,FALSE())/100,"")</f>
        <v/>
      </c>
      <c r="L890" s="11" t="str">
        <f aca="false">IFERROR(VLOOKUP(A890,'Dados-Status-Invest'!$1:$1000,MATCH(L$1,'Dados-Status-Invest'!$2:$2,0),FALSE())/100,"")</f>
        <v/>
      </c>
      <c r="M890" s="10" t="str">
        <f aca="false">IFERROR(VLOOKUP(A890,'Dados-Status-Invest'!$1:$1000,MATCH(M$1,'Dados-Status-Invest'!$2:$2,0),FALSE())/100,"")</f>
        <v/>
      </c>
      <c r="N890" s="10" t="str">
        <f aca="false">IFERROR(VLOOKUP(A890,'Dados-Status-Invest'!$1:$1000,MATCH(N$1,'Dados-Status-Invest'!$2:$2,0),FALSE())/100,"")</f>
        <v/>
      </c>
      <c r="O890" s="10" t="str">
        <f aca="false">IFERROR(VLOOKUP(A890,'Dados-Status-Invest'!$1:$1000,MATCH(O$1,'Dados-Status-Invest'!$2:$2,0),FALSE())/100,"")</f>
        <v/>
      </c>
      <c r="P890" s="10" t="str">
        <f aca="false">IFERROR(VLOOKUP(A890,'Dados-Status-Invest'!$1:$1000,MATCH(P$1,'Dados-Status-Invest'!$2:$2,0),FALSE())/100,"")</f>
        <v/>
      </c>
      <c r="Q890" s="10" t="str">
        <f aca="false">IFERROR(VLOOKUP(A890,'Dados-Status-Invest'!$1:$1000,MATCH(Q$1,'Dados-Status-Invest'!$2:$2,0),FALSE())/100,"")</f>
        <v/>
      </c>
      <c r="R890" s="12" t="str">
        <f aca="false">IFERROR(VLOOKUP(A890,'Dados-Status-Invest'!$1:$1000,MATCH(R$1,'Dados-Status-Invest'!$2:$2,0),FALSE()),"")</f>
        <v/>
      </c>
      <c r="S890" s="12" t="str">
        <f aca="false">IFERROR(VLOOKUP(A890,'Dados-Status-Invest'!$1:$1000,MATCH(S$1,'Dados-Status-Invest'!$2:$2,0),FALSE()),"")</f>
        <v/>
      </c>
      <c r="T890" s="12" t="str">
        <f aca="false">IFERROR(VLOOKUP(A890,'Dados-Status-Invest'!$1:$1000,MATCH(T$1,'Dados-Status-Invest'!$2:$2,0),FALSE()),"")</f>
        <v/>
      </c>
      <c r="U890" s="12" t="str">
        <f aca="false">IFERROR(VLOOKUP(A890,'Dados-Status-Invest'!$1:$1000,MATCH(U$1,'Dados-Status-Invest'!$2:$2,0),FALSE()),"")</f>
        <v/>
      </c>
      <c r="V890" s="12" t="str">
        <f aca="false">IFERROR(VLOOKUP(A890,'Dados-Status-Invest'!$1:$1000,MATCH(V$1,'Dados-Status-Invest'!$2:$2,0),FALSE()),"")</f>
        <v/>
      </c>
      <c r="W890" s="10" t="str">
        <f aca="false">IFERROR(VLOOKUP(A890,'Dados-Status-Invest'!$1:$1000,MATCH(W$1,'Dados-Status-Invest'!$2:$2,0),FALSE())/100,"")</f>
        <v/>
      </c>
      <c r="X890" s="10" t="str">
        <f aca="false">IFERROR(VLOOKUP(A890,'Dados-Status-Invest'!$1:$1000,MATCH(X$1,'Dados-Status-Invest'!$2:$2,0),FALSE())/100,"")</f>
        <v/>
      </c>
    </row>
    <row r="891" customFormat="false" ht="15.75" hidden="false" customHeight="false" outlineLevel="0" collapsed="false">
      <c r="B891" s="7" t="str">
        <f aca="false">IFERROR(VLOOKUP(LEFT(A891,4),Setor!A:D,2,FALSE()),"")</f>
        <v/>
      </c>
      <c r="C891" s="8" t="str">
        <f aca="false">IFERROR(__xludf.dummyfunction("IFERROR(IFERROR(GOOGLEFINANCE(A897,""price""),VLOOKUP(A897,'Dados-Status-Invest'!A:B,2,FALSE)),"""")"),"")</f>
        <v/>
      </c>
      <c r="D891" s="8" t="str">
        <f aca="false">IFERROR(VLOOKUP(A891,'Dados-Status-Invest'!$1:$1000,MATCH(D$1,'Dados-Status-Invest'!$2:$2,0),FALSE()),"")</f>
        <v/>
      </c>
      <c r="E891" s="8" t="e">
        <f aca="false">IF(D891+H891&gt;0,D891+H891,"")</f>
        <v>#VALUE!</v>
      </c>
      <c r="F891" s="8" t="str">
        <f aca="false">IFERROR(D891/VLOOKUP(A891,'Dados-Status-Invest'!$1:$1000,5,FALSE()),"")</f>
        <v/>
      </c>
      <c r="G891" s="8" t="str">
        <f aca="false">IFERROR(D891/VLOOKUP(A891,'Dados-Status-Invest'!$1:$1000,6,FALSE()),"")</f>
        <v/>
      </c>
      <c r="H891" s="8" t="str">
        <f aca="false">IFERROR(VLOOKUP(A891,'Dados-Status-Invest'!$1:$1000,12,FALSE())*J891,"")</f>
        <v/>
      </c>
      <c r="I891" s="8" t="str">
        <f aca="false">IFERROR(D891/VLOOKUP(A891,'Dados-Status-Invest'!$1:$1000,14,FALSE()),"")</f>
        <v/>
      </c>
      <c r="J891" s="9" t="str">
        <f aca="false">IFERROR(D891/VLOOKUP(A891,'Dados-Status-Invest'!$1:$1000,10,FALSE()),"")</f>
        <v/>
      </c>
      <c r="K891" s="10" t="str">
        <f aca="false">IFERROR(VLOOKUP(A891,'Dados-Status-Invest'!$1:$1000,3,FALSE())/100,"")</f>
        <v/>
      </c>
      <c r="L891" s="11" t="str">
        <f aca="false">IFERROR(VLOOKUP(A891,'Dados-Status-Invest'!$1:$1000,MATCH(L$1,'Dados-Status-Invest'!$2:$2,0),FALSE())/100,"")</f>
        <v/>
      </c>
      <c r="M891" s="10" t="str">
        <f aca="false">IFERROR(VLOOKUP(A891,'Dados-Status-Invest'!$1:$1000,MATCH(M$1,'Dados-Status-Invest'!$2:$2,0),FALSE())/100,"")</f>
        <v/>
      </c>
      <c r="N891" s="10" t="str">
        <f aca="false">IFERROR(VLOOKUP(A891,'Dados-Status-Invest'!$1:$1000,MATCH(N$1,'Dados-Status-Invest'!$2:$2,0),FALSE())/100,"")</f>
        <v/>
      </c>
      <c r="O891" s="10" t="str">
        <f aca="false">IFERROR(VLOOKUP(A891,'Dados-Status-Invest'!$1:$1000,MATCH(O$1,'Dados-Status-Invest'!$2:$2,0),FALSE())/100,"")</f>
        <v/>
      </c>
      <c r="P891" s="10" t="str">
        <f aca="false">IFERROR(VLOOKUP(A891,'Dados-Status-Invest'!$1:$1000,MATCH(P$1,'Dados-Status-Invest'!$2:$2,0),FALSE())/100,"")</f>
        <v/>
      </c>
      <c r="Q891" s="10" t="str">
        <f aca="false">IFERROR(VLOOKUP(A891,'Dados-Status-Invest'!$1:$1000,MATCH(Q$1,'Dados-Status-Invest'!$2:$2,0),FALSE())/100,"")</f>
        <v/>
      </c>
      <c r="R891" s="12" t="str">
        <f aca="false">IFERROR(VLOOKUP(A891,'Dados-Status-Invest'!$1:$1000,MATCH(R$1,'Dados-Status-Invest'!$2:$2,0),FALSE()),"")</f>
        <v/>
      </c>
      <c r="S891" s="12" t="str">
        <f aca="false">IFERROR(VLOOKUP(A891,'Dados-Status-Invest'!$1:$1000,MATCH(S$1,'Dados-Status-Invest'!$2:$2,0),FALSE()),"")</f>
        <v/>
      </c>
      <c r="T891" s="12" t="str">
        <f aca="false">IFERROR(VLOOKUP(A891,'Dados-Status-Invest'!$1:$1000,MATCH(T$1,'Dados-Status-Invest'!$2:$2,0),FALSE()),"")</f>
        <v/>
      </c>
      <c r="U891" s="12" t="str">
        <f aca="false">IFERROR(VLOOKUP(A891,'Dados-Status-Invest'!$1:$1000,MATCH(U$1,'Dados-Status-Invest'!$2:$2,0),FALSE()),"")</f>
        <v/>
      </c>
      <c r="V891" s="12" t="str">
        <f aca="false">IFERROR(VLOOKUP(A891,'Dados-Status-Invest'!$1:$1000,MATCH(V$1,'Dados-Status-Invest'!$2:$2,0),FALSE()),"")</f>
        <v/>
      </c>
      <c r="W891" s="10" t="str">
        <f aca="false">IFERROR(VLOOKUP(A891,'Dados-Status-Invest'!$1:$1000,MATCH(W$1,'Dados-Status-Invest'!$2:$2,0),FALSE())/100,"")</f>
        <v/>
      </c>
      <c r="X891" s="10" t="str">
        <f aca="false">IFERROR(VLOOKUP(A891,'Dados-Status-Invest'!$1:$1000,MATCH(X$1,'Dados-Status-Invest'!$2:$2,0),FALSE())/100,"")</f>
        <v/>
      </c>
    </row>
    <row r="892" customFormat="false" ht="15.75" hidden="false" customHeight="false" outlineLevel="0" collapsed="false">
      <c r="B892" s="7" t="str">
        <f aca="false">IFERROR(VLOOKUP(LEFT(A892,4),Setor!A:D,2,FALSE()),"")</f>
        <v/>
      </c>
      <c r="C892" s="8" t="str">
        <f aca="false">IFERROR(__xludf.dummyfunction("IFERROR(IFERROR(GOOGLEFINANCE(A898,""price""),VLOOKUP(A898,'Dados-Status-Invest'!A:B,2,FALSE)),"""")"),"")</f>
        <v/>
      </c>
      <c r="D892" s="8" t="str">
        <f aca="false">IFERROR(VLOOKUP(A892,'Dados-Status-Invest'!$1:$1000,MATCH(D$1,'Dados-Status-Invest'!$2:$2,0),FALSE()),"")</f>
        <v/>
      </c>
      <c r="E892" s="8" t="e">
        <f aca="false">IF(D892+H892&gt;0,D892+H892,"")</f>
        <v>#VALUE!</v>
      </c>
      <c r="F892" s="8" t="str">
        <f aca="false">IFERROR(D892/VLOOKUP(A892,'Dados-Status-Invest'!$1:$1000,5,FALSE()),"")</f>
        <v/>
      </c>
      <c r="G892" s="8" t="str">
        <f aca="false">IFERROR(D892/VLOOKUP(A892,'Dados-Status-Invest'!$1:$1000,6,FALSE()),"")</f>
        <v/>
      </c>
      <c r="H892" s="8" t="str">
        <f aca="false">IFERROR(VLOOKUP(A892,'Dados-Status-Invest'!$1:$1000,12,FALSE())*J892,"")</f>
        <v/>
      </c>
      <c r="I892" s="8" t="str">
        <f aca="false">IFERROR(D892/VLOOKUP(A892,'Dados-Status-Invest'!$1:$1000,14,FALSE()),"")</f>
        <v/>
      </c>
      <c r="J892" s="9" t="str">
        <f aca="false">IFERROR(D892/VLOOKUP(A892,'Dados-Status-Invest'!$1:$1000,10,FALSE()),"")</f>
        <v/>
      </c>
      <c r="K892" s="10" t="str">
        <f aca="false">IFERROR(VLOOKUP(A892,'Dados-Status-Invest'!$1:$1000,3,FALSE())/100,"")</f>
        <v/>
      </c>
      <c r="L892" s="11" t="str">
        <f aca="false">IFERROR(VLOOKUP(A892,'Dados-Status-Invest'!$1:$1000,MATCH(L$1,'Dados-Status-Invest'!$2:$2,0),FALSE())/100,"")</f>
        <v/>
      </c>
      <c r="M892" s="10" t="str">
        <f aca="false">IFERROR(VLOOKUP(A892,'Dados-Status-Invest'!$1:$1000,MATCH(M$1,'Dados-Status-Invest'!$2:$2,0),FALSE())/100,"")</f>
        <v/>
      </c>
      <c r="N892" s="10" t="str">
        <f aca="false">IFERROR(VLOOKUP(A892,'Dados-Status-Invest'!$1:$1000,MATCH(N$1,'Dados-Status-Invest'!$2:$2,0),FALSE())/100,"")</f>
        <v/>
      </c>
      <c r="O892" s="10" t="str">
        <f aca="false">IFERROR(VLOOKUP(A892,'Dados-Status-Invest'!$1:$1000,MATCH(O$1,'Dados-Status-Invest'!$2:$2,0),FALSE())/100,"")</f>
        <v/>
      </c>
      <c r="P892" s="10" t="str">
        <f aca="false">IFERROR(VLOOKUP(A892,'Dados-Status-Invest'!$1:$1000,MATCH(P$1,'Dados-Status-Invest'!$2:$2,0),FALSE())/100,"")</f>
        <v/>
      </c>
      <c r="Q892" s="10" t="str">
        <f aca="false">IFERROR(VLOOKUP(A892,'Dados-Status-Invest'!$1:$1000,MATCH(Q$1,'Dados-Status-Invest'!$2:$2,0),FALSE())/100,"")</f>
        <v/>
      </c>
      <c r="R892" s="12" t="str">
        <f aca="false">IFERROR(VLOOKUP(A892,'Dados-Status-Invest'!$1:$1000,MATCH(R$1,'Dados-Status-Invest'!$2:$2,0),FALSE()),"")</f>
        <v/>
      </c>
      <c r="S892" s="12" t="str">
        <f aca="false">IFERROR(VLOOKUP(A892,'Dados-Status-Invest'!$1:$1000,MATCH(S$1,'Dados-Status-Invest'!$2:$2,0),FALSE()),"")</f>
        <v/>
      </c>
      <c r="T892" s="12" t="str">
        <f aca="false">IFERROR(VLOOKUP(A892,'Dados-Status-Invest'!$1:$1000,MATCH(T$1,'Dados-Status-Invest'!$2:$2,0),FALSE()),"")</f>
        <v/>
      </c>
      <c r="U892" s="12" t="str">
        <f aca="false">IFERROR(VLOOKUP(A892,'Dados-Status-Invest'!$1:$1000,MATCH(U$1,'Dados-Status-Invest'!$2:$2,0),FALSE()),"")</f>
        <v/>
      </c>
      <c r="V892" s="12" t="str">
        <f aca="false">IFERROR(VLOOKUP(A892,'Dados-Status-Invest'!$1:$1000,MATCH(V$1,'Dados-Status-Invest'!$2:$2,0),FALSE()),"")</f>
        <v/>
      </c>
      <c r="W892" s="10" t="str">
        <f aca="false">IFERROR(VLOOKUP(A892,'Dados-Status-Invest'!$1:$1000,MATCH(W$1,'Dados-Status-Invest'!$2:$2,0),FALSE())/100,"")</f>
        <v/>
      </c>
      <c r="X892" s="10" t="str">
        <f aca="false">IFERROR(VLOOKUP(A892,'Dados-Status-Invest'!$1:$1000,MATCH(X$1,'Dados-Status-Invest'!$2:$2,0),FALSE())/100,"")</f>
        <v/>
      </c>
    </row>
    <row r="893" customFormat="false" ht="15.75" hidden="false" customHeight="false" outlineLevel="0" collapsed="false">
      <c r="B893" s="7" t="str">
        <f aca="false">IFERROR(VLOOKUP(LEFT(A893,4),Setor!A:D,2,FALSE()),"")</f>
        <v/>
      </c>
      <c r="C893" s="8" t="str">
        <f aca="false">IFERROR(__xludf.dummyfunction("IFERROR(IFERROR(GOOGLEFINANCE(A899,""price""),VLOOKUP(A899,'Dados-Status-Invest'!A:B,2,FALSE)),"""")"),"")</f>
        <v/>
      </c>
      <c r="D893" s="8" t="str">
        <f aca="false">IFERROR(VLOOKUP(A893,'Dados-Status-Invest'!$1:$1000,MATCH(D$1,'Dados-Status-Invest'!$2:$2,0),FALSE()),"")</f>
        <v/>
      </c>
      <c r="E893" s="8" t="e">
        <f aca="false">IF(D893+H893&gt;0,D893+H893,"")</f>
        <v>#VALUE!</v>
      </c>
      <c r="F893" s="8" t="str">
        <f aca="false">IFERROR(D893/VLOOKUP(A893,'Dados-Status-Invest'!$1:$1000,5,FALSE()),"")</f>
        <v/>
      </c>
      <c r="G893" s="8" t="str">
        <f aca="false">IFERROR(D893/VLOOKUP(A893,'Dados-Status-Invest'!$1:$1000,6,FALSE()),"")</f>
        <v/>
      </c>
      <c r="H893" s="8" t="str">
        <f aca="false">IFERROR(VLOOKUP(A893,'Dados-Status-Invest'!$1:$1000,12,FALSE())*J893,"")</f>
        <v/>
      </c>
      <c r="I893" s="8" t="str">
        <f aca="false">IFERROR(D893/VLOOKUP(A893,'Dados-Status-Invest'!$1:$1000,14,FALSE()),"")</f>
        <v/>
      </c>
      <c r="J893" s="9" t="str">
        <f aca="false">IFERROR(D893/VLOOKUP(A893,'Dados-Status-Invest'!$1:$1000,10,FALSE()),"")</f>
        <v/>
      </c>
      <c r="K893" s="10" t="str">
        <f aca="false">IFERROR(VLOOKUP(A893,'Dados-Status-Invest'!$1:$1000,3,FALSE())/100,"")</f>
        <v/>
      </c>
      <c r="L893" s="11" t="str">
        <f aca="false">IFERROR(VLOOKUP(A893,'Dados-Status-Invest'!$1:$1000,MATCH(L$1,'Dados-Status-Invest'!$2:$2,0),FALSE())/100,"")</f>
        <v/>
      </c>
      <c r="M893" s="10" t="str">
        <f aca="false">IFERROR(VLOOKUP(A893,'Dados-Status-Invest'!$1:$1000,MATCH(M$1,'Dados-Status-Invest'!$2:$2,0),FALSE())/100,"")</f>
        <v/>
      </c>
      <c r="N893" s="10" t="str">
        <f aca="false">IFERROR(VLOOKUP(A893,'Dados-Status-Invest'!$1:$1000,MATCH(N$1,'Dados-Status-Invest'!$2:$2,0),FALSE())/100,"")</f>
        <v/>
      </c>
      <c r="O893" s="10" t="str">
        <f aca="false">IFERROR(VLOOKUP(A893,'Dados-Status-Invest'!$1:$1000,MATCH(O$1,'Dados-Status-Invest'!$2:$2,0),FALSE())/100,"")</f>
        <v/>
      </c>
      <c r="P893" s="10" t="str">
        <f aca="false">IFERROR(VLOOKUP(A893,'Dados-Status-Invest'!$1:$1000,MATCH(P$1,'Dados-Status-Invest'!$2:$2,0),FALSE())/100,"")</f>
        <v/>
      </c>
      <c r="Q893" s="10" t="str">
        <f aca="false">IFERROR(VLOOKUP(A893,'Dados-Status-Invest'!$1:$1000,MATCH(Q$1,'Dados-Status-Invest'!$2:$2,0),FALSE())/100,"")</f>
        <v/>
      </c>
      <c r="R893" s="12" t="str">
        <f aca="false">IFERROR(VLOOKUP(A893,'Dados-Status-Invest'!$1:$1000,MATCH(R$1,'Dados-Status-Invest'!$2:$2,0),FALSE()),"")</f>
        <v/>
      </c>
      <c r="S893" s="12" t="str">
        <f aca="false">IFERROR(VLOOKUP(A893,'Dados-Status-Invest'!$1:$1000,MATCH(S$1,'Dados-Status-Invest'!$2:$2,0),FALSE()),"")</f>
        <v/>
      </c>
      <c r="T893" s="12" t="str">
        <f aca="false">IFERROR(VLOOKUP(A893,'Dados-Status-Invest'!$1:$1000,MATCH(T$1,'Dados-Status-Invest'!$2:$2,0),FALSE()),"")</f>
        <v/>
      </c>
      <c r="U893" s="12" t="str">
        <f aca="false">IFERROR(VLOOKUP(A893,'Dados-Status-Invest'!$1:$1000,MATCH(U$1,'Dados-Status-Invest'!$2:$2,0),FALSE()),"")</f>
        <v/>
      </c>
      <c r="V893" s="12" t="str">
        <f aca="false">IFERROR(VLOOKUP(A893,'Dados-Status-Invest'!$1:$1000,MATCH(V$1,'Dados-Status-Invest'!$2:$2,0),FALSE()),"")</f>
        <v/>
      </c>
      <c r="W893" s="10" t="str">
        <f aca="false">IFERROR(VLOOKUP(A893,'Dados-Status-Invest'!$1:$1000,MATCH(W$1,'Dados-Status-Invest'!$2:$2,0),FALSE())/100,"")</f>
        <v/>
      </c>
      <c r="X893" s="10" t="str">
        <f aca="false">IFERROR(VLOOKUP(A893,'Dados-Status-Invest'!$1:$1000,MATCH(X$1,'Dados-Status-Invest'!$2:$2,0),FALSE())/100,"")</f>
        <v/>
      </c>
    </row>
    <row r="894" customFormat="false" ht="15.75" hidden="false" customHeight="false" outlineLevel="0" collapsed="false">
      <c r="B894" s="7" t="str">
        <f aca="false">IFERROR(VLOOKUP(LEFT(A894,4),Setor!A:D,2,FALSE()),"")</f>
        <v/>
      </c>
      <c r="C894" s="8" t="str">
        <f aca="false">IFERROR(__xludf.dummyfunction("IFERROR(IFERROR(GOOGLEFINANCE(A900,""price""),VLOOKUP(A900,'Dados-Status-Invest'!A:B,2,FALSE)),"""")"),"")</f>
        <v/>
      </c>
      <c r="D894" s="8" t="str">
        <f aca="false">IFERROR(VLOOKUP(A894,'Dados-Status-Invest'!$1:$1000,MATCH(D$1,'Dados-Status-Invest'!$2:$2,0),FALSE()),"")</f>
        <v/>
      </c>
      <c r="E894" s="8" t="e">
        <f aca="false">IF(D894+H894&gt;0,D894+H894,"")</f>
        <v>#VALUE!</v>
      </c>
      <c r="F894" s="8" t="str">
        <f aca="false">IFERROR(D894/VLOOKUP(A894,'Dados-Status-Invest'!$1:$1000,5,FALSE()),"")</f>
        <v/>
      </c>
      <c r="G894" s="8" t="str">
        <f aca="false">IFERROR(D894/VLOOKUP(A894,'Dados-Status-Invest'!$1:$1000,6,FALSE()),"")</f>
        <v/>
      </c>
      <c r="H894" s="8" t="str">
        <f aca="false">IFERROR(VLOOKUP(A894,'Dados-Status-Invest'!$1:$1000,12,FALSE())*J894,"")</f>
        <v/>
      </c>
      <c r="I894" s="8" t="str">
        <f aca="false">IFERROR(D894/VLOOKUP(A894,'Dados-Status-Invest'!$1:$1000,14,FALSE()),"")</f>
        <v/>
      </c>
      <c r="J894" s="9" t="str">
        <f aca="false">IFERROR(D894/VLOOKUP(A894,'Dados-Status-Invest'!$1:$1000,10,FALSE()),"")</f>
        <v/>
      </c>
      <c r="K894" s="10" t="str">
        <f aca="false">IFERROR(VLOOKUP(A894,'Dados-Status-Invest'!$1:$1000,3,FALSE())/100,"")</f>
        <v/>
      </c>
      <c r="L894" s="11" t="str">
        <f aca="false">IFERROR(VLOOKUP(A894,'Dados-Status-Invest'!$1:$1000,MATCH(L$1,'Dados-Status-Invest'!$2:$2,0),FALSE())/100,"")</f>
        <v/>
      </c>
      <c r="M894" s="10" t="str">
        <f aca="false">IFERROR(VLOOKUP(A894,'Dados-Status-Invest'!$1:$1000,MATCH(M$1,'Dados-Status-Invest'!$2:$2,0),FALSE())/100,"")</f>
        <v/>
      </c>
      <c r="N894" s="10" t="str">
        <f aca="false">IFERROR(VLOOKUP(A894,'Dados-Status-Invest'!$1:$1000,MATCH(N$1,'Dados-Status-Invest'!$2:$2,0),FALSE())/100,"")</f>
        <v/>
      </c>
      <c r="O894" s="10" t="str">
        <f aca="false">IFERROR(VLOOKUP(A894,'Dados-Status-Invest'!$1:$1000,MATCH(O$1,'Dados-Status-Invest'!$2:$2,0),FALSE())/100,"")</f>
        <v/>
      </c>
      <c r="P894" s="10" t="str">
        <f aca="false">IFERROR(VLOOKUP(A894,'Dados-Status-Invest'!$1:$1000,MATCH(P$1,'Dados-Status-Invest'!$2:$2,0),FALSE())/100,"")</f>
        <v/>
      </c>
      <c r="Q894" s="10" t="str">
        <f aca="false">IFERROR(VLOOKUP(A894,'Dados-Status-Invest'!$1:$1000,MATCH(Q$1,'Dados-Status-Invest'!$2:$2,0),FALSE())/100,"")</f>
        <v/>
      </c>
      <c r="R894" s="12" t="str">
        <f aca="false">IFERROR(VLOOKUP(A894,'Dados-Status-Invest'!$1:$1000,MATCH(R$1,'Dados-Status-Invest'!$2:$2,0),FALSE()),"")</f>
        <v/>
      </c>
      <c r="S894" s="12" t="str">
        <f aca="false">IFERROR(VLOOKUP(A894,'Dados-Status-Invest'!$1:$1000,MATCH(S$1,'Dados-Status-Invest'!$2:$2,0),FALSE()),"")</f>
        <v/>
      </c>
      <c r="T894" s="12" t="str">
        <f aca="false">IFERROR(VLOOKUP(A894,'Dados-Status-Invest'!$1:$1000,MATCH(T$1,'Dados-Status-Invest'!$2:$2,0),FALSE()),"")</f>
        <v/>
      </c>
      <c r="U894" s="12" t="str">
        <f aca="false">IFERROR(VLOOKUP(A894,'Dados-Status-Invest'!$1:$1000,MATCH(U$1,'Dados-Status-Invest'!$2:$2,0),FALSE()),"")</f>
        <v/>
      </c>
      <c r="V894" s="12" t="str">
        <f aca="false">IFERROR(VLOOKUP(A894,'Dados-Status-Invest'!$1:$1000,MATCH(V$1,'Dados-Status-Invest'!$2:$2,0),FALSE()),"")</f>
        <v/>
      </c>
      <c r="W894" s="10" t="str">
        <f aca="false">IFERROR(VLOOKUP(A894,'Dados-Status-Invest'!$1:$1000,MATCH(W$1,'Dados-Status-Invest'!$2:$2,0),FALSE())/100,"")</f>
        <v/>
      </c>
      <c r="X894" s="10" t="str">
        <f aca="false">IFERROR(VLOOKUP(A894,'Dados-Status-Invest'!$1:$1000,MATCH(X$1,'Dados-Status-Invest'!$2:$2,0),FALSE())/100,"")</f>
        <v/>
      </c>
    </row>
    <row r="895" customFormat="false" ht="15.75" hidden="false" customHeight="false" outlineLevel="0" collapsed="false">
      <c r="B895" s="7" t="str">
        <f aca="false">IFERROR(VLOOKUP(LEFT(A895,4),Setor!A:D,2,FALSE()),"")</f>
        <v/>
      </c>
      <c r="C895" s="8" t="str">
        <f aca="false">IFERROR(__xludf.dummyfunction("IFERROR(IFERROR(GOOGLEFINANCE(A901,""price""),VLOOKUP(A901,'Dados-Status-Invest'!A:B,2,FALSE)),"""")"),"")</f>
        <v/>
      </c>
      <c r="D895" s="8" t="str">
        <f aca="false">IFERROR(VLOOKUP(A895,'Dados-Status-Invest'!$1:$1000,MATCH(D$1,'Dados-Status-Invest'!$2:$2,0),FALSE()),"")</f>
        <v/>
      </c>
      <c r="E895" s="8" t="e">
        <f aca="false">IF(D895+H895&gt;0,D895+H895,"")</f>
        <v>#VALUE!</v>
      </c>
      <c r="F895" s="8" t="str">
        <f aca="false">IFERROR(D895/VLOOKUP(A895,'Dados-Status-Invest'!$1:$1000,5,FALSE()),"")</f>
        <v/>
      </c>
      <c r="G895" s="8" t="str">
        <f aca="false">IFERROR(D895/VLOOKUP(A895,'Dados-Status-Invest'!$1:$1000,6,FALSE()),"")</f>
        <v/>
      </c>
      <c r="H895" s="8" t="str">
        <f aca="false">IFERROR(VLOOKUP(A895,'Dados-Status-Invest'!$1:$1000,12,FALSE())*J895,"")</f>
        <v/>
      </c>
      <c r="I895" s="8" t="str">
        <f aca="false">IFERROR(D895/VLOOKUP(A895,'Dados-Status-Invest'!$1:$1000,14,FALSE()),"")</f>
        <v/>
      </c>
      <c r="J895" s="9" t="str">
        <f aca="false">IFERROR(D895/VLOOKUP(A895,'Dados-Status-Invest'!$1:$1000,10,FALSE()),"")</f>
        <v/>
      </c>
      <c r="K895" s="10" t="str">
        <f aca="false">IFERROR(VLOOKUP(A895,'Dados-Status-Invest'!$1:$1000,3,FALSE())/100,"")</f>
        <v/>
      </c>
      <c r="L895" s="11" t="str">
        <f aca="false">IFERROR(VLOOKUP(A895,'Dados-Status-Invest'!$1:$1000,MATCH(L$1,'Dados-Status-Invest'!$2:$2,0),FALSE())/100,"")</f>
        <v/>
      </c>
      <c r="M895" s="10" t="str">
        <f aca="false">IFERROR(VLOOKUP(A895,'Dados-Status-Invest'!$1:$1000,MATCH(M$1,'Dados-Status-Invest'!$2:$2,0),FALSE())/100,"")</f>
        <v/>
      </c>
      <c r="N895" s="10" t="str">
        <f aca="false">IFERROR(VLOOKUP(A895,'Dados-Status-Invest'!$1:$1000,MATCH(N$1,'Dados-Status-Invest'!$2:$2,0),FALSE())/100,"")</f>
        <v/>
      </c>
      <c r="O895" s="10" t="str">
        <f aca="false">IFERROR(VLOOKUP(A895,'Dados-Status-Invest'!$1:$1000,MATCH(O$1,'Dados-Status-Invest'!$2:$2,0),FALSE())/100,"")</f>
        <v/>
      </c>
      <c r="P895" s="10" t="str">
        <f aca="false">IFERROR(VLOOKUP(A895,'Dados-Status-Invest'!$1:$1000,MATCH(P$1,'Dados-Status-Invest'!$2:$2,0),FALSE())/100,"")</f>
        <v/>
      </c>
      <c r="Q895" s="10" t="str">
        <f aca="false">IFERROR(VLOOKUP(A895,'Dados-Status-Invest'!$1:$1000,MATCH(Q$1,'Dados-Status-Invest'!$2:$2,0),FALSE())/100,"")</f>
        <v/>
      </c>
      <c r="R895" s="12" t="str">
        <f aca="false">IFERROR(VLOOKUP(A895,'Dados-Status-Invest'!$1:$1000,MATCH(R$1,'Dados-Status-Invest'!$2:$2,0),FALSE()),"")</f>
        <v/>
      </c>
      <c r="S895" s="12" t="str">
        <f aca="false">IFERROR(VLOOKUP(A895,'Dados-Status-Invest'!$1:$1000,MATCH(S$1,'Dados-Status-Invest'!$2:$2,0),FALSE()),"")</f>
        <v/>
      </c>
      <c r="T895" s="12" t="str">
        <f aca="false">IFERROR(VLOOKUP(A895,'Dados-Status-Invest'!$1:$1000,MATCH(T$1,'Dados-Status-Invest'!$2:$2,0),FALSE()),"")</f>
        <v/>
      </c>
      <c r="U895" s="12" t="str">
        <f aca="false">IFERROR(VLOOKUP(A895,'Dados-Status-Invest'!$1:$1000,MATCH(U$1,'Dados-Status-Invest'!$2:$2,0),FALSE()),"")</f>
        <v/>
      </c>
      <c r="V895" s="12" t="str">
        <f aca="false">IFERROR(VLOOKUP(A895,'Dados-Status-Invest'!$1:$1000,MATCH(V$1,'Dados-Status-Invest'!$2:$2,0),FALSE()),"")</f>
        <v/>
      </c>
      <c r="W895" s="10" t="str">
        <f aca="false">IFERROR(VLOOKUP(A895,'Dados-Status-Invest'!$1:$1000,MATCH(W$1,'Dados-Status-Invest'!$2:$2,0),FALSE())/100,"")</f>
        <v/>
      </c>
      <c r="X895" s="10" t="str">
        <f aca="false">IFERROR(VLOOKUP(A895,'Dados-Status-Invest'!$1:$1000,MATCH(X$1,'Dados-Status-Invest'!$2:$2,0),FALSE())/100,"")</f>
        <v/>
      </c>
    </row>
    <row r="896" customFormat="false" ht="15.75" hidden="false" customHeight="false" outlineLevel="0" collapsed="false">
      <c r="B896" s="7" t="str">
        <f aca="false">IFERROR(VLOOKUP(LEFT(A896,4),Setor!A:D,2,FALSE()),"")</f>
        <v/>
      </c>
      <c r="C896" s="8" t="str">
        <f aca="false">IFERROR(__xludf.dummyfunction("IFERROR(IFERROR(GOOGLEFINANCE(A902,""price""),VLOOKUP(A902,'Dados-Status-Invest'!A:B,2,FALSE)),"""")"),"")</f>
        <v/>
      </c>
      <c r="D896" s="8" t="str">
        <f aca="false">IFERROR(VLOOKUP(A896,'Dados-Status-Invest'!$1:$1000,MATCH(D$1,'Dados-Status-Invest'!$2:$2,0),FALSE()),"")</f>
        <v/>
      </c>
      <c r="E896" s="8" t="e">
        <f aca="false">IF(D896+H896&gt;0,D896+H896,"")</f>
        <v>#VALUE!</v>
      </c>
      <c r="F896" s="8" t="str">
        <f aca="false">IFERROR(D896/VLOOKUP(A896,'Dados-Status-Invest'!$1:$1000,5,FALSE()),"")</f>
        <v/>
      </c>
      <c r="G896" s="8" t="str">
        <f aca="false">IFERROR(D896/VLOOKUP(A896,'Dados-Status-Invest'!$1:$1000,6,FALSE()),"")</f>
        <v/>
      </c>
      <c r="H896" s="8" t="str">
        <f aca="false">IFERROR(VLOOKUP(A896,'Dados-Status-Invest'!$1:$1000,12,FALSE())*J896,"")</f>
        <v/>
      </c>
      <c r="I896" s="8" t="str">
        <f aca="false">IFERROR(D896/VLOOKUP(A896,'Dados-Status-Invest'!$1:$1000,14,FALSE()),"")</f>
        <v/>
      </c>
      <c r="J896" s="9" t="str">
        <f aca="false">IFERROR(D896/VLOOKUP(A896,'Dados-Status-Invest'!$1:$1000,10,FALSE()),"")</f>
        <v/>
      </c>
      <c r="K896" s="10" t="str">
        <f aca="false">IFERROR(VLOOKUP(A896,'Dados-Status-Invest'!$1:$1000,3,FALSE())/100,"")</f>
        <v/>
      </c>
      <c r="L896" s="11" t="str">
        <f aca="false">IFERROR(VLOOKUP(A896,'Dados-Status-Invest'!$1:$1000,MATCH(L$1,'Dados-Status-Invest'!$2:$2,0),FALSE())/100,"")</f>
        <v/>
      </c>
      <c r="M896" s="10" t="str">
        <f aca="false">IFERROR(VLOOKUP(A896,'Dados-Status-Invest'!$1:$1000,MATCH(M$1,'Dados-Status-Invest'!$2:$2,0),FALSE())/100,"")</f>
        <v/>
      </c>
      <c r="N896" s="10" t="str">
        <f aca="false">IFERROR(VLOOKUP(A896,'Dados-Status-Invest'!$1:$1000,MATCH(N$1,'Dados-Status-Invest'!$2:$2,0),FALSE())/100,"")</f>
        <v/>
      </c>
      <c r="O896" s="10" t="str">
        <f aca="false">IFERROR(VLOOKUP(A896,'Dados-Status-Invest'!$1:$1000,MATCH(O$1,'Dados-Status-Invest'!$2:$2,0),FALSE())/100,"")</f>
        <v/>
      </c>
      <c r="P896" s="10" t="str">
        <f aca="false">IFERROR(VLOOKUP(A896,'Dados-Status-Invest'!$1:$1000,MATCH(P$1,'Dados-Status-Invest'!$2:$2,0),FALSE())/100,"")</f>
        <v/>
      </c>
      <c r="Q896" s="10" t="str">
        <f aca="false">IFERROR(VLOOKUP(A896,'Dados-Status-Invest'!$1:$1000,MATCH(Q$1,'Dados-Status-Invest'!$2:$2,0),FALSE())/100,"")</f>
        <v/>
      </c>
      <c r="R896" s="12" t="str">
        <f aca="false">IFERROR(VLOOKUP(A896,'Dados-Status-Invest'!$1:$1000,MATCH(R$1,'Dados-Status-Invest'!$2:$2,0),FALSE()),"")</f>
        <v/>
      </c>
      <c r="S896" s="12" t="str">
        <f aca="false">IFERROR(VLOOKUP(A896,'Dados-Status-Invest'!$1:$1000,MATCH(S$1,'Dados-Status-Invest'!$2:$2,0),FALSE()),"")</f>
        <v/>
      </c>
      <c r="T896" s="12" t="str">
        <f aca="false">IFERROR(VLOOKUP(A896,'Dados-Status-Invest'!$1:$1000,MATCH(T$1,'Dados-Status-Invest'!$2:$2,0),FALSE()),"")</f>
        <v/>
      </c>
      <c r="U896" s="12" t="str">
        <f aca="false">IFERROR(VLOOKUP(A896,'Dados-Status-Invest'!$1:$1000,MATCH(U$1,'Dados-Status-Invest'!$2:$2,0),FALSE()),"")</f>
        <v/>
      </c>
      <c r="V896" s="12" t="str">
        <f aca="false">IFERROR(VLOOKUP(A896,'Dados-Status-Invest'!$1:$1000,MATCH(V$1,'Dados-Status-Invest'!$2:$2,0),FALSE()),"")</f>
        <v/>
      </c>
      <c r="W896" s="10" t="str">
        <f aca="false">IFERROR(VLOOKUP(A896,'Dados-Status-Invest'!$1:$1000,MATCH(W$1,'Dados-Status-Invest'!$2:$2,0),FALSE())/100,"")</f>
        <v/>
      </c>
      <c r="X896" s="10" t="str">
        <f aca="false">IFERROR(VLOOKUP(A896,'Dados-Status-Invest'!$1:$1000,MATCH(X$1,'Dados-Status-Invest'!$2:$2,0),FALSE())/100,"")</f>
        <v/>
      </c>
    </row>
    <row r="897" customFormat="false" ht="15.75" hidden="false" customHeight="false" outlineLevel="0" collapsed="false">
      <c r="B897" s="7" t="str">
        <f aca="false">IFERROR(VLOOKUP(LEFT(A897,4),Setor!A:D,2,FALSE()),"")</f>
        <v/>
      </c>
      <c r="C897" s="8" t="str">
        <f aca="false">IFERROR(__xludf.dummyfunction("IFERROR(IFERROR(GOOGLEFINANCE(A903,""price""),VLOOKUP(A903,'Dados-Status-Invest'!A:B,2,FALSE)),"""")"),"")</f>
        <v/>
      </c>
      <c r="D897" s="8" t="str">
        <f aca="false">IFERROR(VLOOKUP(A897,'Dados-Status-Invest'!$1:$1000,MATCH(D$1,'Dados-Status-Invest'!$2:$2,0),FALSE()),"")</f>
        <v/>
      </c>
      <c r="E897" s="8" t="e">
        <f aca="false">IF(D897+H897&gt;0,D897+H897,"")</f>
        <v>#VALUE!</v>
      </c>
      <c r="F897" s="8" t="str">
        <f aca="false">IFERROR(D897/VLOOKUP(A897,'Dados-Status-Invest'!$1:$1000,5,FALSE()),"")</f>
        <v/>
      </c>
      <c r="G897" s="8" t="str">
        <f aca="false">IFERROR(D897/VLOOKUP(A897,'Dados-Status-Invest'!$1:$1000,6,FALSE()),"")</f>
        <v/>
      </c>
      <c r="H897" s="8" t="str">
        <f aca="false">IFERROR(VLOOKUP(A897,'Dados-Status-Invest'!$1:$1000,12,FALSE())*J897,"")</f>
        <v/>
      </c>
      <c r="I897" s="8" t="str">
        <f aca="false">IFERROR(D897/VLOOKUP(A897,'Dados-Status-Invest'!$1:$1000,14,FALSE()),"")</f>
        <v/>
      </c>
      <c r="J897" s="9" t="str">
        <f aca="false">IFERROR(D897/VLOOKUP(A897,'Dados-Status-Invest'!$1:$1000,10,FALSE()),"")</f>
        <v/>
      </c>
      <c r="K897" s="10" t="str">
        <f aca="false">IFERROR(VLOOKUP(A897,'Dados-Status-Invest'!$1:$1000,3,FALSE())/100,"")</f>
        <v/>
      </c>
      <c r="L897" s="11" t="str">
        <f aca="false">IFERROR(VLOOKUP(A897,'Dados-Status-Invest'!$1:$1000,MATCH(L$1,'Dados-Status-Invest'!$2:$2,0),FALSE())/100,"")</f>
        <v/>
      </c>
      <c r="M897" s="10" t="str">
        <f aca="false">IFERROR(VLOOKUP(A897,'Dados-Status-Invest'!$1:$1000,MATCH(M$1,'Dados-Status-Invest'!$2:$2,0),FALSE())/100,"")</f>
        <v/>
      </c>
      <c r="N897" s="10" t="str">
        <f aca="false">IFERROR(VLOOKUP(A897,'Dados-Status-Invest'!$1:$1000,MATCH(N$1,'Dados-Status-Invest'!$2:$2,0),FALSE())/100,"")</f>
        <v/>
      </c>
      <c r="O897" s="10" t="str">
        <f aca="false">IFERROR(VLOOKUP(A897,'Dados-Status-Invest'!$1:$1000,MATCH(O$1,'Dados-Status-Invest'!$2:$2,0),FALSE())/100,"")</f>
        <v/>
      </c>
      <c r="P897" s="10" t="str">
        <f aca="false">IFERROR(VLOOKUP(A897,'Dados-Status-Invest'!$1:$1000,MATCH(P$1,'Dados-Status-Invest'!$2:$2,0),FALSE())/100,"")</f>
        <v/>
      </c>
      <c r="Q897" s="10" t="str">
        <f aca="false">IFERROR(VLOOKUP(A897,'Dados-Status-Invest'!$1:$1000,MATCH(Q$1,'Dados-Status-Invest'!$2:$2,0),FALSE())/100,"")</f>
        <v/>
      </c>
      <c r="R897" s="12" t="str">
        <f aca="false">IFERROR(VLOOKUP(A897,'Dados-Status-Invest'!$1:$1000,MATCH(R$1,'Dados-Status-Invest'!$2:$2,0),FALSE()),"")</f>
        <v/>
      </c>
      <c r="S897" s="12" t="str">
        <f aca="false">IFERROR(VLOOKUP(A897,'Dados-Status-Invest'!$1:$1000,MATCH(S$1,'Dados-Status-Invest'!$2:$2,0),FALSE()),"")</f>
        <v/>
      </c>
      <c r="T897" s="12" t="str">
        <f aca="false">IFERROR(VLOOKUP(A897,'Dados-Status-Invest'!$1:$1000,MATCH(T$1,'Dados-Status-Invest'!$2:$2,0),FALSE()),"")</f>
        <v/>
      </c>
      <c r="U897" s="12" t="str">
        <f aca="false">IFERROR(VLOOKUP(A897,'Dados-Status-Invest'!$1:$1000,MATCH(U$1,'Dados-Status-Invest'!$2:$2,0),FALSE()),"")</f>
        <v/>
      </c>
      <c r="V897" s="12" t="str">
        <f aca="false">IFERROR(VLOOKUP(A897,'Dados-Status-Invest'!$1:$1000,MATCH(V$1,'Dados-Status-Invest'!$2:$2,0),FALSE()),"")</f>
        <v/>
      </c>
      <c r="W897" s="10" t="str">
        <f aca="false">IFERROR(VLOOKUP(A897,'Dados-Status-Invest'!$1:$1000,MATCH(W$1,'Dados-Status-Invest'!$2:$2,0),FALSE())/100,"")</f>
        <v/>
      </c>
      <c r="X897" s="10" t="str">
        <f aca="false">IFERROR(VLOOKUP(A897,'Dados-Status-Invest'!$1:$1000,MATCH(X$1,'Dados-Status-Invest'!$2:$2,0),FALSE())/100,"")</f>
        <v/>
      </c>
    </row>
    <row r="898" customFormat="false" ht="15.75" hidden="false" customHeight="false" outlineLevel="0" collapsed="false">
      <c r="B898" s="7" t="str">
        <f aca="false">IFERROR(VLOOKUP(LEFT(A898,4),Setor!A:D,2,FALSE()),"")</f>
        <v/>
      </c>
      <c r="C898" s="8" t="str">
        <f aca="false">IFERROR(__xludf.dummyfunction("IFERROR(IFERROR(GOOGLEFINANCE(A904,""price""),VLOOKUP(A904,'Dados-Status-Invest'!A:B,2,FALSE)),"""")"),"")</f>
        <v/>
      </c>
      <c r="D898" s="8" t="str">
        <f aca="false">IFERROR(VLOOKUP(A898,'Dados-Status-Invest'!$1:$1000,MATCH(D$1,'Dados-Status-Invest'!$2:$2,0),FALSE()),"")</f>
        <v/>
      </c>
      <c r="E898" s="8" t="e">
        <f aca="false">IF(D898+H898&gt;0,D898+H898,"")</f>
        <v>#VALUE!</v>
      </c>
      <c r="F898" s="8" t="str">
        <f aca="false">IFERROR(D898/VLOOKUP(A898,'Dados-Status-Invest'!$1:$1000,5,FALSE()),"")</f>
        <v/>
      </c>
      <c r="G898" s="8" t="str">
        <f aca="false">IFERROR(D898/VLOOKUP(A898,'Dados-Status-Invest'!$1:$1000,6,FALSE()),"")</f>
        <v/>
      </c>
      <c r="H898" s="8" t="str">
        <f aca="false">IFERROR(VLOOKUP(A898,'Dados-Status-Invest'!$1:$1000,12,FALSE())*J898,"")</f>
        <v/>
      </c>
      <c r="I898" s="8" t="str">
        <f aca="false">IFERROR(D898/VLOOKUP(A898,'Dados-Status-Invest'!$1:$1000,14,FALSE()),"")</f>
        <v/>
      </c>
      <c r="J898" s="9" t="str">
        <f aca="false">IFERROR(D898/VLOOKUP(A898,'Dados-Status-Invest'!$1:$1000,10,FALSE()),"")</f>
        <v/>
      </c>
      <c r="K898" s="10" t="str">
        <f aca="false">IFERROR(VLOOKUP(A898,'Dados-Status-Invest'!$1:$1000,3,FALSE())/100,"")</f>
        <v/>
      </c>
      <c r="L898" s="11" t="str">
        <f aca="false">IFERROR(VLOOKUP(A898,'Dados-Status-Invest'!$1:$1000,MATCH(L$1,'Dados-Status-Invest'!$2:$2,0),FALSE())/100,"")</f>
        <v/>
      </c>
      <c r="M898" s="10" t="str">
        <f aca="false">IFERROR(VLOOKUP(A898,'Dados-Status-Invest'!$1:$1000,MATCH(M$1,'Dados-Status-Invest'!$2:$2,0),FALSE())/100,"")</f>
        <v/>
      </c>
      <c r="N898" s="10" t="str">
        <f aca="false">IFERROR(VLOOKUP(A898,'Dados-Status-Invest'!$1:$1000,MATCH(N$1,'Dados-Status-Invest'!$2:$2,0),FALSE())/100,"")</f>
        <v/>
      </c>
      <c r="O898" s="10" t="str">
        <f aca="false">IFERROR(VLOOKUP(A898,'Dados-Status-Invest'!$1:$1000,MATCH(O$1,'Dados-Status-Invest'!$2:$2,0),FALSE())/100,"")</f>
        <v/>
      </c>
      <c r="P898" s="10" t="str">
        <f aca="false">IFERROR(VLOOKUP(A898,'Dados-Status-Invest'!$1:$1000,MATCH(P$1,'Dados-Status-Invest'!$2:$2,0),FALSE())/100,"")</f>
        <v/>
      </c>
      <c r="Q898" s="10" t="str">
        <f aca="false">IFERROR(VLOOKUP(A898,'Dados-Status-Invest'!$1:$1000,MATCH(Q$1,'Dados-Status-Invest'!$2:$2,0),FALSE())/100,"")</f>
        <v/>
      </c>
      <c r="R898" s="12" t="str">
        <f aca="false">IFERROR(VLOOKUP(A898,'Dados-Status-Invest'!$1:$1000,MATCH(R$1,'Dados-Status-Invest'!$2:$2,0),FALSE()),"")</f>
        <v/>
      </c>
      <c r="S898" s="12" t="str">
        <f aca="false">IFERROR(VLOOKUP(A898,'Dados-Status-Invest'!$1:$1000,MATCH(S$1,'Dados-Status-Invest'!$2:$2,0),FALSE()),"")</f>
        <v/>
      </c>
      <c r="T898" s="12" t="str">
        <f aca="false">IFERROR(VLOOKUP(A898,'Dados-Status-Invest'!$1:$1000,MATCH(T$1,'Dados-Status-Invest'!$2:$2,0),FALSE()),"")</f>
        <v/>
      </c>
      <c r="U898" s="12" t="str">
        <f aca="false">IFERROR(VLOOKUP(A898,'Dados-Status-Invest'!$1:$1000,MATCH(U$1,'Dados-Status-Invest'!$2:$2,0),FALSE()),"")</f>
        <v/>
      </c>
      <c r="V898" s="12" t="str">
        <f aca="false">IFERROR(VLOOKUP(A898,'Dados-Status-Invest'!$1:$1000,MATCH(V$1,'Dados-Status-Invest'!$2:$2,0),FALSE()),"")</f>
        <v/>
      </c>
      <c r="W898" s="10" t="str">
        <f aca="false">IFERROR(VLOOKUP(A898,'Dados-Status-Invest'!$1:$1000,MATCH(W$1,'Dados-Status-Invest'!$2:$2,0),FALSE())/100,"")</f>
        <v/>
      </c>
      <c r="X898" s="10" t="str">
        <f aca="false">IFERROR(VLOOKUP(A898,'Dados-Status-Invest'!$1:$1000,MATCH(X$1,'Dados-Status-Invest'!$2:$2,0),FALSE())/100,"")</f>
        <v/>
      </c>
    </row>
    <row r="899" customFormat="false" ht="15.75" hidden="false" customHeight="false" outlineLevel="0" collapsed="false">
      <c r="B899" s="7" t="str">
        <f aca="false">IFERROR(VLOOKUP(LEFT(A899,4),Setor!A:D,2,FALSE()),"")</f>
        <v/>
      </c>
      <c r="C899" s="8" t="str">
        <f aca="false">IFERROR(__xludf.dummyfunction("IFERROR(IFERROR(GOOGLEFINANCE(A905,""price""),VLOOKUP(A905,'Dados-Status-Invest'!A:B,2,FALSE)),"""")"),"")</f>
        <v/>
      </c>
      <c r="D899" s="8" t="str">
        <f aca="false">IFERROR(VLOOKUP(A899,'Dados-Status-Invest'!$1:$1000,MATCH(D$1,'Dados-Status-Invest'!$2:$2,0),FALSE()),"")</f>
        <v/>
      </c>
      <c r="E899" s="8" t="e">
        <f aca="false">IF(D899+H899&gt;0,D899+H899,"")</f>
        <v>#VALUE!</v>
      </c>
      <c r="F899" s="8" t="str">
        <f aca="false">IFERROR(D899/VLOOKUP(A899,'Dados-Status-Invest'!$1:$1000,5,FALSE()),"")</f>
        <v/>
      </c>
      <c r="G899" s="8" t="str">
        <f aca="false">IFERROR(D899/VLOOKUP(A899,'Dados-Status-Invest'!$1:$1000,6,FALSE()),"")</f>
        <v/>
      </c>
      <c r="H899" s="8" t="str">
        <f aca="false">IFERROR(VLOOKUP(A899,'Dados-Status-Invest'!$1:$1000,12,FALSE())*J899,"")</f>
        <v/>
      </c>
      <c r="I899" s="8" t="str">
        <f aca="false">IFERROR(D899/VLOOKUP(A899,'Dados-Status-Invest'!$1:$1000,14,FALSE()),"")</f>
        <v/>
      </c>
      <c r="J899" s="9" t="str">
        <f aca="false">IFERROR(D899/VLOOKUP(A899,'Dados-Status-Invest'!$1:$1000,10,FALSE()),"")</f>
        <v/>
      </c>
      <c r="K899" s="10" t="str">
        <f aca="false">IFERROR(VLOOKUP(A899,'Dados-Status-Invest'!$1:$1000,3,FALSE())/100,"")</f>
        <v/>
      </c>
      <c r="L899" s="11" t="str">
        <f aca="false">IFERROR(VLOOKUP(A899,'Dados-Status-Invest'!$1:$1000,MATCH(L$1,'Dados-Status-Invest'!$2:$2,0),FALSE())/100,"")</f>
        <v/>
      </c>
      <c r="M899" s="10" t="str">
        <f aca="false">IFERROR(VLOOKUP(A899,'Dados-Status-Invest'!$1:$1000,MATCH(M$1,'Dados-Status-Invest'!$2:$2,0),FALSE())/100,"")</f>
        <v/>
      </c>
      <c r="N899" s="10" t="str">
        <f aca="false">IFERROR(VLOOKUP(A899,'Dados-Status-Invest'!$1:$1000,MATCH(N$1,'Dados-Status-Invest'!$2:$2,0),FALSE())/100,"")</f>
        <v/>
      </c>
      <c r="O899" s="10" t="str">
        <f aca="false">IFERROR(VLOOKUP(A899,'Dados-Status-Invest'!$1:$1000,MATCH(O$1,'Dados-Status-Invest'!$2:$2,0),FALSE())/100,"")</f>
        <v/>
      </c>
      <c r="P899" s="10" t="str">
        <f aca="false">IFERROR(VLOOKUP(A899,'Dados-Status-Invest'!$1:$1000,MATCH(P$1,'Dados-Status-Invest'!$2:$2,0),FALSE())/100,"")</f>
        <v/>
      </c>
      <c r="Q899" s="10" t="str">
        <f aca="false">IFERROR(VLOOKUP(A899,'Dados-Status-Invest'!$1:$1000,MATCH(Q$1,'Dados-Status-Invest'!$2:$2,0),FALSE())/100,"")</f>
        <v/>
      </c>
      <c r="R899" s="12" t="str">
        <f aca="false">IFERROR(VLOOKUP(A899,'Dados-Status-Invest'!$1:$1000,MATCH(R$1,'Dados-Status-Invest'!$2:$2,0),FALSE()),"")</f>
        <v/>
      </c>
      <c r="S899" s="12" t="str">
        <f aca="false">IFERROR(VLOOKUP(A899,'Dados-Status-Invest'!$1:$1000,MATCH(S$1,'Dados-Status-Invest'!$2:$2,0),FALSE()),"")</f>
        <v/>
      </c>
      <c r="T899" s="12" t="str">
        <f aca="false">IFERROR(VLOOKUP(A899,'Dados-Status-Invest'!$1:$1000,MATCH(T$1,'Dados-Status-Invest'!$2:$2,0),FALSE()),"")</f>
        <v/>
      </c>
      <c r="U899" s="12" t="str">
        <f aca="false">IFERROR(VLOOKUP(A899,'Dados-Status-Invest'!$1:$1000,MATCH(U$1,'Dados-Status-Invest'!$2:$2,0),FALSE()),"")</f>
        <v/>
      </c>
      <c r="V899" s="12" t="str">
        <f aca="false">IFERROR(VLOOKUP(A899,'Dados-Status-Invest'!$1:$1000,MATCH(V$1,'Dados-Status-Invest'!$2:$2,0),FALSE()),"")</f>
        <v/>
      </c>
      <c r="W899" s="10" t="str">
        <f aca="false">IFERROR(VLOOKUP(A899,'Dados-Status-Invest'!$1:$1000,MATCH(W$1,'Dados-Status-Invest'!$2:$2,0),FALSE())/100,"")</f>
        <v/>
      </c>
      <c r="X899" s="10" t="str">
        <f aca="false">IFERROR(VLOOKUP(A899,'Dados-Status-Invest'!$1:$1000,MATCH(X$1,'Dados-Status-Invest'!$2:$2,0),FALSE())/100,"")</f>
        <v/>
      </c>
    </row>
    <row r="900" customFormat="false" ht="15.75" hidden="false" customHeight="false" outlineLevel="0" collapsed="false">
      <c r="B900" s="7" t="str">
        <f aca="false">IFERROR(VLOOKUP(LEFT(A900,4),Setor!A:D,2,FALSE()),"")</f>
        <v/>
      </c>
      <c r="C900" s="8" t="str">
        <f aca="false">IFERROR(__xludf.dummyfunction("IFERROR(IFERROR(GOOGLEFINANCE(A906,""price""),VLOOKUP(A906,'Dados-Status-Invest'!A:B,2,FALSE)),"""")"),"")</f>
        <v/>
      </c>
      <c r="D900" s="8" t="str">
        <f aca="false">IFERROR(VLOOKUP(A900,'Dados-Status-Invest'!$1:$1000,MATCH(D$1,'Dados-Status-Invest'!$2:$2,0),FALSE()),"")</f>
        <v/>
      </c>
      <c r="E900" s="8" t="e">
        <f aca="false">IF(D900+H900&gt;0,D900+H900,"")</f>
        <v>#VALUE!</v>
      </c>
      <c r="F900" s="8" t="str">
        <f aca="false">IFERROR(D900/VLOOKUP(A900,'Dados-Status-Invest'!$1:$1000,5,FALSE()),"")</f>
        <v/>
      </c>
      <c r="G900" s="8" t="str">
        <f aca="false">IFERROR(D900/VLOOKUP(A900,'Dados-Status-Invest'!$1:$1000,6,FALSE()),"")</f>
        <v/>
      </c>
      <c r="H900" s="8" t="str">
        <f aca="false">IFERROR(VLOOKUP(A900,'Dados-Status-Invest'!$1:$1000,12,FALSE())*J900,"")</f>
        <v/>
      </c>
      <c r="I900" s="8" t="str">
        <f aca="false">IFERROR(D900/VLOOKUP(A900,'Dados-Status-Invest'!$1:$1000,14,FALSE()),"")</f>
        <v/>
      </c>
      <c r="J900" s="9" t="str">
        <f aca="false">IFERROR(D900/VLOOKUP(A900,'Dados-Status-Invest'!$1:$1000,10,FALSE()),"")</f>
        <v/>
      </c>
      <c r="K900" s="10" t="str">
        <f aca="false">IFERROR(VLOOKUP(A900,'Dados-Status-Invest'!$1:$1000,3,FALSE())/100,"")</f>
        <v/>
      </c>
      <c r="L900" s="11" t="str">
        <f aca="false">IFERROR(VLOOKUP(A900,'Dados-Status-Invest'!$1:$1000,MATCH(L$1,'Dados-Status-Invest'!$2:$2,0),FALSE())/100,"")</f>
        <v/>
      </c>
      <c r="M900" s="10" t="str">
        <f aca="false">IFERROR(VLOOKUP(A900,'Dados-Status-Invest'!$1:$1000,MATCH(M$1,'Dados-Status-Invest'!$2:$2,0),FALSE())/100,"")</f>
        <v/>
      </c>
      <c r="N900" s="10" t="str">
        <f aca="false">IFERROR(VLOOKUP(A900,'Dados-Status-Invest'!$1:$1000,MATCH(N$1,'Dados-Status-Invest'!$2:$2,0),FALSE())/100,"")</f>
        <v/>
      </c>
      <c r="O900" s="10" t="str">
        <f aca="false">IFERROR(VLOOKUP(A900,'Dados-Status-Invest'!$1:$1000,MATCH(O$1,'Dados-Status-Invest'!$2:$2,0),FALSE())/100,"")</f>
        <v/>
      </c>
      <c r="P900" s="10" t="str">
        <f aca="false">IFERROR(VLOOKUP(A900,'Dados-Status-Invest'!$1:$1000,MATCH(P$1,'Dados-Status-Invest'!$2:$2,0),FALSE())/100,"")</f>
        <v/>
      </c>
      <c r="Q900" s="10" t="str">
        <f aca="false">IFERROR(VLOOKUP(A900,'Dados-Status-Invest'!$1:$1000,MATCH(Q$1,'Dados-Status-Invest'!$2:$2,0),FALSE())/100,"")</f>
        <v/>
      </c>
      <c r="R900" s="12" t="str">
        <f aca="false">IFERROR(VLOOKUP(A900,'Dados-Status-Invest'!$1:$1000,MATCH(R$1,'Dados-Status-Invest'!$2:$2,0),FALSE()),"")</f>
        <v/>
      </c>
      <c r="S900" s="12" t="str">
        <f aca="false">IFERROR(VLOOKUP(A900,'Dados-Status-Invest'!$1:$1000,MATCH(S$1,'Dados-Status-Invest'!$2:$2,0),FALSE()),"")</f>
        <v/>
      </c>
      <c r="T900" s="12" t="str">
        <f aca="false">IFERROR(VLOOKUP(A900,'Dados-Status-Invest'!$1:$1000,MATCH(T$1,'Dados-Status-Invest'!$2:$2,0),FALSE()),"")</f>
        <v/>
      </c>
      <c r="U900" s="12" t="str">
        <f aca="false">IFERROR(VLOOKUP(A900,'Dados-Status-Invest'!$1:$1000,MATCH(U$1,'Dados-Status-Invest'!$2:$2,0),FALSE()),"")</f>
        <v/>
      </c>
      <c r="V900" s="12" t="str">
        <f aca="false">IFERROR(VLOOKUP(A900,'Dados-Status-Invest'!$1:$1000,MATCH(V$1,'Dados-Status-Invest'!$2:$2,0),FALSE()),"")</f>
        <v/>
      </c>
      <c r="W900" s="10" t="str">
        <f aca="false">IFERROR(VLOOKUP(A900,'Dados-Status-Invest'!$1:$1000,MATCH(W$1,'Dados-Status-Invest'!$2:$2,0),FALSE())/100,"")</f>
        <v/>
      </c>
      <c r="X900" s="10" t="str">
        <f aca="false">IFERROR(VLOOKUP(A900,'Dados-Status-Invest'!$1:$1000,MATCH(X$1,'Dados-Status-Invest'!$2:$2,0),FALSE())/100,"")</f>
        <v/>
      </c>
    </row>
    <row r="901" customFormat="false" ht="15.75" hidden="false" customHeight="false" outlineLevel="0" collapsed="false">
      <c r="B901" s="7" t="str">
        <f aca="false">IFERROR(VLOOKUP(LEFT(A901,4),Setor!A:D,2,FALSE()),"")</f>
        <v/>
      </c>
      <c r="C901" s="8" t="str">
        <f aca="false">IFERROR(__xludf.dummyfunction("IFERROR(IFERROR(GOOGLEFINANCE(A907,""price""),VLOOKUP(A907,'Dados-Status-Invest'!A:B,2,FALSE)),"""")"),"")</f>
        <v/>
      </c>
      <c r="D901" s="8" t="str">
        <f aca="false">IFERROR(VLOOKUP(A901,'Dados-Status-Invest'!$1:$1000,MATCH(D$1,'Dados-Status-Invest'!$2:$2,0),FALSE()),"")</f>
        <v/>
      </c>
      <c r="E901" s="8" t="e">
        <f aca="false">IF(D901+H901&gt;0,D901+H901,"")</f>
        <v>#VALUE!</v>
      </c>
      <c r="F901" s="8" t="str">
        <f aca="false">IFERROR(D901/VLOOKUP(A901,'Dados-Status-Invest'!$1:$1000,5,FALSE()),"")</f>
        <v/>
      </c>
      <c r="G901" s="8" t="str">
        <f aca="false">IFERROR(D901/VLOOKUP(A901,'Dados-Status-Invest'!$1:$1000,6,FALSE()),"")</f>
        <v/>
      </c>
      <c r="H901" s="8" t="str">
        <f aca="false">IFERROR(VLOOKUP(A901,'Dados-Status-Invest'!$1:$1000,12,FALSE())*J901,"")</f>
        <v/>
      </c>
      <c r="I901" s="8" t="str">
        <f aca="false">IFERROR(D901/VLOOKUP(A901,'Dados-Status-Invest'!$1:$1000,14,FALSE()),"")</f>
        <v/>
      </c>
      <c r="J901" s="9" t="str">
        <f aca="false">IFERROR(D901/VLOOKUP(A901,'Dados-Status-Invest'!$1:$1000,10,FALSE()),"")</f>
        <v/>
      </c>
      <c r="K901" s="10" t="str">
        <f aca="false">IFERROR(VLOOKUP(A901,'Dados-Status-Invest'!$1:$1000,3,FALSE())/100,"")</f>
        <v/>
      </c>
      <c r="L901" s="11" t="str">
        <f aca="false">IFERROR(VLOOKUP(A901,'Dados-Status-Invest'!$1:$1000,MATCH(L$1,'Dados-Status-Invest'!$2:$2,0),FALSE())/100,"")</f>
        <v/>
      </c>
      <c r="M901" s="10" t="str">
        <f aca="false">IFERROR(VLOOKUP(A901,'Dados-Status-Invest'!$1:$1000,MATCH(M$1,'Dados-Status-Invest'!$2:$2,0),FALSE())/100,"")</f>
        <v/>
      </c>
      <c r="N901" s="10" t="str">
        <f aca="false">IFERROR(VLOOKUP(A901,'Dados-Status-Invest'!$1:$1000,MATCH(N$1,'Dados-Status-Invest'!$2:$2,0),FALSE())/100,"")</f>
        <v/>
      </c>
      <c r="O901" s="10" t="str">
        <f aca="false">IFERROR(VLOOKUP(A901,'Dados-Status-Invest'!$1:$1000,MATCH(O$1,'Dados-Status-Invest'!$2:$2,0),FALSE())/100,"")</f>
        <v/>
      </c>
      <c r="P901" s="10" t="str">
        <f aca="false">IFERROR(VLOOKUP(A901,'Dados-Status-Invest'!$1:$1000,MATCH(P$1,'Dados-Status-Invest'!$2:$2,0),FALSE())/100,"")</f>
        <v/>
      </c>
      <c r="Q901" s="10" t="str">
        <f aca="false">IFERROR(VLOOKUP(A901,'Dados-Status-Invest'!$1:$1000,MATCH(Q$1,'Dados-Status-Invest'!$2:$2,0),FALSE())/100,"")</f>
        <v/>
      </c>
      <c r="R901" s="12" t="str">
        <f aca="false">IFERROR(VLOOKUP(A901,'Dados-Status-Invest'!$1:$1000,MATCH(R$1,'Dados-Status-Invest'!$2:$2,0),FALSE()),"")</f>
        <v/>
      </c>
      <c r="S901" s="12" t="str">
        <f aca="false">IFERROR(VLOOKUP(A901,'Dados-Status-Invest'!$1:$1000,MATCH(S$1,'Dados-Status-Invest'!$2:$2,0),FALSE()),"")</f>
        <v/>
      </c>
      <c r="T901" s="12" t="str">
        <f aca="false">IFERROR(VLOOKUP(A901,'Dados-Status-Invest'!$1:$1000,MATCH(T$1,'Dados-Status-Invest'!$2:$2,0),FALSE()),"")</f>
        <v/>
      </c>
      <c r="U901" s="12" t="str">
        <f aca="false">IFERROR(VLOOKUP(A901,'Dados-Status-Invest'!$1:$1000,MATCH(U$1,'Dados-Status-Invest'!$2:$2,0),FALSE()),"")</f>
        <v/>
      </c>
      <c r="V901" s="12" t="str">
        <f aca="false">IFERROR(VLOOKUP(A901,'Dados-Status-Invest'!$1:$1000,MATCH(V$1,'Dados-Status-Invest'!$2:$2,0),FALSE()),"")</f>
        <v/>
      </c>
      <c r="W901" s="10" t="str">
        <f aca="false">IFERROR(VLOOKUP(A901,'Dados-Status-Invest'!$1:$1000,MATCH(W$1,'Dados-Status-Invest'!$2:$2,0),FALSE())/100,"")</f>
        <v/>
      </c>
      <c r="X901" s="10" t="str">
        <f aca="false">IFERROR(VLOOKUP(A901,'Dados-Status-Invest'!$1:$1000,MATCH(X$1,'Dados-Status-Invest'!$2:$2,0),FALSE())/100,"")</f>
        <v/>
      </c>
    </row>
    <row r="902" customFormat="false" ht="15.75" hidden="false" customHeight="false" outlineLevel="0" collapsed="false">
      <c r="B902" s="7" t="str">
        <f aca="false">IFERROR(VLOOKUP(LEFT(A902,4),Setor!A:D,2,FALSE()),"")</f>
        <v/>
      </c>
      <c r="C902" s="8" t="str">
        <f aca="false">IFERROR(__xludf.dummyfunction("IFERROR(IFERROR(GOOGLEFINANCE(A908,""price""),VLOOKUP(A908,'Dados-Status-Invest'!A:B,2,FALSE)),"""")"),"")</f>
        <v/>
      </c>
      <c r="D902" s="8" t="str">
        <f aca="false">IFERROR(VLOOKUP(A902,'Dados-Status-Invest'!$1:$1000,MATCH(D$1,'Dados-Status-Invest'!$2:$2,0),FALSE()),"")</f>
        <v/>
      </c>
      <c r="E902" s="8" t="e">
        <f aca="false">IF(D902+H902&gt;0,D902+H902,"")</f>
        <v>#VALUE!</v>
      </c>
      <c r="F902" s="8" t="str">
        <f aca="false">IFERROR(D902/VLOOKUP(A902,'Dados-Status-Invest'!$1:$1000,5,FALSE()),"")</f>
        <v/>
      </c>
      <c r="G902" s="8" t="str">
        <f aca="false">IFERROR(D902/VLOOKUP(A902,'Dados-Status-Invest'!$1:$1000,6,FALSE()),"")</f>
        <v/>
      </c>
      <c r="H902" s="8" t="str">
        <f aca="false">IFERROR(VLOOKUP(A902,'Dados-Status-Invest'!$1:$1000,12,FALSE())*J902,"")</f>
        <v/>
      </c>
      <c r="I902" s="8" t="str">
        <f aca="false">IFERROR(D902/VLOOKUP(A902,'Dados-Status-Invest'!$1:$1000,14,FALSE()),"")</f>
        <v/>
      </c>
      <c r="J902" s="9" t="str">
        <f aca="false">IFERROR(D902/VLOOKUP(A902,'Dados-Status-Invest'!$1:$1000,10,FALSE()),"")</f>
        <v/>
      </c>
      <c r="K902" s="10" t="str">
        <f aca="false">IFERROR(VLOOKUP(A902,'Dados-Status-Invest'!$1:$1000,3,FALSE())/100,"")</f>
        <v/>
      </c>
      <c r="L902" s="11" t="str">
        <f aca="false">IFERROR(VLOOKUP(A902,'Dados-Status-Invest'!$1:$1000,MATCH(L$1,'Dados-Status-Invest'!$2:$2,0),FALSE())/100,"")</f>
        <v/>
      </c>
      <c r="M902" s="10" t="str">
        <f aca="false">IFERROR(VLOOKUP(A902,'Dados-Status-Invest'!$1:$1000,MATCH(M$1,'Dados-Status-Invest'!$2:$2,0),FALSE())/100,"")</f>
        <v/>
      </c>
      <c r="N902" s="10" t="str">
        <f aca="false">IFERROR(VLOOKUP(A902,'Dados-Status-Invest'!$1:$1000,MATCH(N$1,'Dados-Status-Invest'!$2:$2,0),FALSE())/100,"")</f>
        <v/>
      </c>
      <c r="O902" s="10" t="str">
        <f aca="false">IFERROR(VLOOKUP(A902,'Dados-Status-Invest'!$1:$1000,MATCH(O$1,'Dados-Status-Invest'!$2:$2,0),FALSE())/100,"")</f>
        <v/>
      </c>
      <c r="P902" s="10" t="str">
        <f aca="false">IFERROR(VLOOKUP(A902,'Dados-Status-Invest'!$1:$1000,MATCH(P$1,'Dados-Status-Invest'!$2:$2,0),FALSE())/100,"")</f>
        <v/>
      </c>
      <c r="Q902" s="10" t="str">
        <f aca="false">IFERROR(VLOOKUP(A902,'Dados-Status-Invest'!$1:$1000,MATCH(Q$1,'Dados-Status-Invest'!$2:$2,0),FALSE())/100,"")</f>
        <v/>
      </c>
      <c r="R902" s="12" t="str">
        <f aca="false">IFERROR(VLOOKUP(A902,'Dados-Status-Invest'!$1:$1000,MATCH(R$1,'Dados-Status-Invest'!$2:$2,0),FALSE()),"")</f>
        <v/>
      </c>
      <c r="S902" s="12" t="str">
        <f aca="false">IFERROR(VLOOKUP(A902,'Dados-Status-Invest'!$1:$1000,MATCH(S$1,'Dados-Status-Invest'!$2:$2,0),FALSE()),"")</f>
        <v/>
      </c>
      <c r="T902" s="12" t="str">
        <f aca="false">IFERROR(VLOOKUP(A902,'Dados-Status-Invest'!$1:$1000,MATCH(T$1,'Dados-Status-Invest'!$2:$2,0),FALSE()),"")</f>
        <v/>
      </c>
      <c r="U902" s="12" t="str">
        <f aca="false">IFERROR(VLOOKUP(A902,'Dados-Status-Invest'!$1:$1000,MATCH(U$1,'Dados-Status-Invest'!$2:$2,0),FALSE()),"")</f>
        <v/>
      </c>
      <c r="V902" s="12" t="str">
        <f aca="false">IFERROR(VLOOKUP(A902,'Dados-Status-Invest'!$1:$1000,MATCH(V$1,'Dados-Status-Invest'!$2:$2,0),FALSE()),"")</f>
        <v/>
      </c>
      <c r="W902" s="10" t="str">
        <f aca="false">IFERROR(VLOOKUP(A902,'Dados-Status-Invest'!$1:$1000,MATCH(W$1,'Dados-Status-Invest'!$2:$2,0),FALSE())/100,"")</f>
        <v/>
      </c>
      <c r="X902" s="10" t="str">
        <f aca="false">IFERROR(VLOOKUP(A902,'Dados-Status-Invest'!$1:$1000,MATCH(X$1,'Dados-Status-Invest'!$2:$2,0),FALSE())/100,"")</f>
        <v/>
      </c>
    </row>
    <row r="903" customFormat="false" ht="15.75" hidden="false" customHeight="false" outlineLevel="0" collapsed="false">
      <c r="B903" s="7" t="str">
        <f aca="false">IFERROR(VLOOKUP(LEFT(A903,4),Setor!A:D,2,FALSE()),"")</f>
        <v/>
      </c>
      <c r="C903" s="8" t="str">
        <f aca="false">IFERROR(__xludf.dummyfunction("IFERROR(IFERROR(GOOGLEFINANCE(A909,""price""),VLOOKUP(A909,'Dados-Status-Invest'!A:B,2,FALSE)),"""")"),"")</f>
        <v/>
      </c>
      <c r="D903" s="8" t="str">
        <f aca="false">IFERROR(VLOOKUP(A903,'Dados-Status-Invest'!$1:$1000,MATCH(D$1,'Dados-Status-Invest'!$2:$2,0),FALSE()),"")</f>
        <v/>
      </c>
      <c r="E903" s="8" t="e">
        <f aca="false">IF(D903+H903&gt;0,D903+H903,"")</f>
        <v>#VALUE!</v>
      </c>
      <c r="F903" s="8" t="str">
        <f aca="false">IFERROR(D903/VLOOKUP(A903,'Dados-Status-Invest'!$1:$1000,5,FALSE()),"")</f>
        <v/>
      </c>
      <c r="G903" s="8" t="str">
        <f aca="false">IFERROR(D903/VLOOKUP(A903,'Dados-Status-Invest'!$1:$1000,6,FALSE()),"")</f>
        <v/>
      </c>
      <c r="H903" s="8" t="str">
        <f aca="false">IFERROR(VLOOKUP(A903,'Dados-Status-Invest'!$1:$1000,12,FALSE())*J903,"")</f>
        <v/>
      </c>
      <c r="I903" s="8" t="str">
        <f aca="false">IFERROR(D903/VLOOKUP(A903,'Dados-Status-Invest'!$1:$1000,14,FALSE()),"")</f>
        <v/>
      </c>
      <c r="J903" s="9" t="str">
        <f aca="false">IFERROR(D903/VLOOKUP(A903,'Dados-Status-Invest'!$1:$1000,10,FALSE()),"")</f>
        <v/>
      </c>
      <c r="K903" s="10" t="str">
        <f aca="false">IFERROR(VLOOKUP(A903,'Dados-Status-Invest'!$1:$1000,3,FALSE())/100,"")</f>
        <v/>
      </c>
      <c r="L903" s="11" t="str">
        <f aca="false">IFERROR(VLOOKUP(A903,'Dados-Status-Invest'!$1:$1000,MATCH(L$1,'Dados-Status-Invest'!$2:$2,0),FALSE())/100,"")</f>
        <v/>
      </c>
      <c r="M903" s="10" t="str">
        <f aca="false">IFERROR(VLOOKUP(A903,'Dados-Status-Invest'!$1:$1000,MATCH(M$1,'Dados-Status-Invest'!$2:$2,0),FALSE())/100,"")</f>
        <v/>
      </c>
      <c r="N903" s="10" t="str">
        <f aca="false">IFERROR(VLOOKUP(A903,'Dados-Status-Invest'!$1:$1000,MATCH(N$1,'Dados-Status-Invest'!$2:$2,0),FALSE())/100,"")</f>
        <v/>
      </c>
      <c r="O903" s="10" t="str">
        <f aca="false">IFERROR(VLOOKUP(A903,'Dados-Status-Invest'!$1:$1000,MATCH(O$1,'Dados-Status-Invest'!$2:$2,0),FALSE())/100,"")</f>
        <v/>
      </c>
      <c r="P903" s="10" t="str">
        <f aca="false">IFERROR(VLOOKUP(A903,'Dados-Status-Invest'!$1:$1000,MATCH(P$1,'Dados-Status-Invest'!$2:$2,0),FALSE())/100,"")</f>
        <v/>
      </c>
      <c r="Q903" s="10" t="str">
        <f aca="false">IFERROR(VLOOKUP(A903,'Dados-Status-Invest'!$1:$1000,MATCH(Q$1,'Dados-Status-Invest'!$2:$2,0),FALSE())/100,"")</f>
        <v/>
      </c>
      <c r="R903" s="12" t="str">
        <f aca="false">IFERROR(VLOOKUP(A903,'Dados-Status-Invest'!$1:$1000,MATCH(R$1,'Dados-Status-Invest'!$2:$2,0),FALSE()),"")</f>
        <v/>
      </c>
      <c r="S903" s="12" t="str">
        <f aca="false">IFERROR(VLOOKUP(A903,'Dados-Status-Invest'!$1:$1000,MATCH(S$1,'Dados-Status-Invest'!$2:$2,0),FALSE()),"")</f>
        <v/>
      </c>
      <c r="T903" s="12" t="str">
        <f aca="false">IFERROR(VLOOKUP(A903,'Dados-Status-Invest'!$1:$1000,MATCH(T$1,'Dados-Status-Invest'!$2:$2,0),FALSE()),"")</f>
        <v/>
      </c>
      <c r="U903" s="12" t="str">
        <f aca="false">IFERROR(VLOOKUP(A903,'Dados-Status-Invest'!$1:$1000,MATCH(U$1,'Dados-Status-Invest'!$2:$2,0),FALSE()),"")</f>
        <v/>
      </c>
      <c r="V903" s="12" t="str">
        <f aca="false">IFERROR(VLOOKUP(A903,'Dados-Status-Invest'!$1:$1000,MATCH(V$1,'Dados-Status-Invest'!$2:$2,0),FALSE()),"")</f>
        <v/>
      </c>
      <c r="W903" s="10" t="str">
        <f aca="false">IFERROR(VLOOKUP(A903,'Dados-Status-Invest'!$1:$1000,MATCH(W$1,'Dados-Status-Invest'!$2:$2,0),FALSE())/100,"")</f>
        <v/>
      </c>
      <c r="X903" s="10" t="str">
        <f aca="false">IFERROR(VLOOKUP(A903,'Dados-Status-Invest'!$1:$1000,MATCH(X$1,'Dados-Status-Invest'!$2:$2,0),FALSE())/100,"")</f>
        <v/>
      </c>
    </row>
    <row r="904" customFormat="false" ht="15.75" hidden="false" customHeight="false" outlineLevel="0" collapsed="false">
      <c r="B904" s="7" t="str">
        <f aca="false">IFERROR(VLOOKUP(LEFT(A904,4),Setor!A:D,2,FALSE()),"")</f>
        <v/>
      </c>
      <c r="C904" s="8" t="str">
        <f aca="false">IFERROR(__xludf.dummyfunction("IFERROR(IFERROR(GOOGLEFINANCE(A910,""price""),VLOOKUP(A910,'Dados-Status-Invest'!A:B,2,FALSE)),"""")"),"")</f>
        <v/>
      </c>
      <c r="D904" s="8" t="str">
        <f aca="false">IFERROR(VLOOKUP(A904,'Dados-Status-Invest'!$1:$1000,MATCH(D$1,'Dados-Status-Invest'!$2:$2,0),FALSE()),"")</f>
        <v/>
      </c>
      <c r="E904" s="8" t="e">
        <f aca="false">IF(D904+H904&gt;0,D904+H904,"")</f>
        <v>#VALUE!</v>
      </c>
      <c r="F904" s="8" t="str">
        <f aca="false">IFERROR(D904/VLOOKUP(A904,'Dados-Status-Invest'!$1:$1000,5,FALSE()),"")</f>
        <v/>
      </c>
      <c r="G904" s="8" t="str">
        <f aca="false">IFERROR(D904/VLOOKUP(A904,'Dados-Status-Invest'!$1:$1000,6,FALSE()),"")</f>
        <v/>
      </c>
      <c r="H904" s="8" t="str">
        <f aca="false">IFERROR(VLOOKUP(A904,'Dados-Status-Invest'!$1:$1000,12,FALSE())*J904,"")</f>
        <v/>
      </c>
      <c r="I904" s="8" t="str">
        <f aca="false">IFERROR(D904/VLOOKUP(A904,'Dados-Status-Invest'!$1:$1000,14,FALSE()),"")</f>
        <v/>
      </c>
      <c r="J904" s="9" t="str">
        <f aca="false">IFERROR(D904/VLOOKUP(A904,'Dados-Status-Invest'!$1:$1000,10,FALSE()),"")</f>
        <v/>
      </c>
      <c r="K904" s="10" t="str">
        <f aca="false">IFERROR(VLOOKUP(A904,'Dados-Status-Invest'!$1:$1000,3,FALSE())/100,"")</f>
        <v/>
      </c>
      <c r="L904" s="11" t="str">
        <f aca="false">IFERROR(VLOOKUP(A904,'Dados-Status-Invest'!$1:$1000,MATCH(L$1,'Dados-Status-Invest'!$2:$2,0),FALSE())/100,"")</f>
        <v/>
      </c>
      <c r="M904" s="10" t="str">
        <f aca="false">IFERROR(VLOOKUP(A904,'Dados-Status-Invest'!$1:$1000,MATCH(M$1,'Dados-Status-Invest'!$2:$2,0),FALSE())/100,"")</f>
        <v/>
      </c>
      <c r="N904" s="10" t="str">
        <f aca="false">IFERROR(VLOOKUP(A904,'Dados-Status-Invest'!$1:$1000,MATCH(N$1,'Dados-Status-Invest'!$2:$2,0),FALSE())/100,"")</f>
        <v/>
      </c>
      <c r="O904" s="10" t="str">
        <f aca="false">IFERROR(VLOOKUP(A904,'Dados-Status-Invest'!$1:$1000,MATCH(O$1,'Dados-Status-Invest'!$2:$2,0),FALSE())/100,"")</f>
        <v/>
      </c>
      <c r="P904" s="10" t="str">
        <f aca="false">IFERROR(VLOOKUP(A904,'Dados-Status-Invest'!$1:$1000,MATCH(P$1,'Dados-Status-Invest'!$2:$2,0),FALSE())/100,"")</f>
        <v/>
      </c>
      <c r="Q904" s="10" t="str">
        <f aca="false">IFERROR(VLOOKUP(A904,'Dados-Status-Invest'!$1:$1000,MATCH(Q$1,'Dados-Status-Invest'!$2:$2,0),FALSE())/100,"")</f>
        <v/>
      </c>
      <c r="R904" s="12" t="str">
        <f aca="false">IFERROR(VLOOKUP(A904,'Dados-Status-Invest'!$1:$1000,MATCH(R$1,'Dados-Status-Invest'!$2:$2,0),FALSE()),"")</f>
        <v/>
      </c>
      <c r="S904" s="12" t="str">
        <f aca="false">IFERROR(VLOOKUP(A904,'Dados-Status-Invest'!$1:$1000,MATCH(S$1,'Dados-Status-Invest'!$2:$2,0),FALSE()),"")</f>
        <v/>
      </c>
      <c r="T904" s="12" t="str">
        <f aca="false">IFERROR(VLOOKUP(A904,'Dados-Status-Invest'!$1:$1000,MATCH(T$1,'Dados-Status-Invest'!$2:$2,0),FALSE()),"")</f>
        <v/>
      </c>
      <c r="U904" s="12" t="str">
        <f aca="false">IFERROR(VLOOKUP(A904,'Dados-Status-Invest'!$1:$1000,MATCH(U$1,'Dados-Status-Invest'!$2:$2,0),FALSE()),"")</f>
        <v/>
      </c>
      <c r="V904" s="12" t="str">
        <f aca="false">IFERROR(VLOOKUP(A904,'Dados-Status-Invest'!$1:$1000,MATCH(V$1,'Dados-Status-Invest'!$2:$2,0),FALSE()),"")</f>
        <v/>
      </c>
      <c r="W904" s="10" t="str">
        <f aca="false">IFERROR(VLOOKUP(A904,'Dados-Status-Invest'!$1:$1000,MATCH(W$1,'Dados-Status-Invest'!$2:$2,0),FALSE())/100,"")</f>
        <v/>
      </c>
      <c r="X904" s="10" t="str">
        <f aca="false">IFERROR(VLOOKUP(A904,'Dados-Status-Invest'!$1:$1000,MATCH(X$1,'Dados-Status-Invest'!$2:$2,0),FALSE())/100,"")</f>
        <v/>
      </c>
    </row>
    <row r="905" customFormat="false" ht="15.75" hidden="false" customHeight="false" outlineLevel="0" collapsed="false">
      <c r="B905" s="7" t="str">
        <f aca="false">IFERROR(VLOOKUP(LEFT(A905,4),Setor!A:D,2,FALSE()),"")</f>
        <v/>
      </c>
      <c r="C905" s="8" t="str">
        <f aca="false">IFERROR(__xludf.dummyfunction("IFERROR(IFERROR(GOOGLEFINANCE(A911,""price""),VLOOKUP(A911,'Dados-Status-Invest'!A:B,2,FALSE)),"""")"),"")</f>
        <v/>
      </c>
      <c r="D905" s="8" t="str">
        <f aca="false">IFERROR(VLOOKUP(A905,'Dados-Status-Invest'!$1:$1000,MATCH(D$1,'Dados-Status-Invest'!$2:$2,0),FALSE()),"")</f>
        <v/>
      </c>
      <c r="E905" s="8" t="e">
        <f aca="false">IF(D905+H905&gt;0,D905+H905,"")</f>
        <v>#VALUE!</v>
      </c>
      <c r="F905" s="8" t="str">
        <f aca="false">IFERROR(D905/VLOOKUP(A905,'Dados-Status-Invest'!$1:$1000,5,FALSE()),"")</f>
        <v/>
      </c>
      <c r="G905" s="8" t="str">
        <f aca="false">IFERROR(D905/VLOOKUP(A905,'Dados-Status-Invest'!$1:$1000,6,FALSE()),"")</f>
        <v/>
      </c>
      <c r="H905" s="8" t="str">
        <f aca="false">IFERROR(VLOOKUP(A905,'Dados-Status-Invest'!$1:$1000,12,FALSE())*J905,"")</f>
        <v/>
      </c>
      <c r="I905" s="8" t="str">
        <f aca="false">IFERROR(D905/VLOOKUP(A905,'Dados-Status-Invest'!$1:$1000,14,FALSE()),"")</f>
        <v/>
      </c>
      <c r="J905" s="9" t="str">
        <f aca="false">IFERROR(D905/VLOOKUP(A905,'Dados-Status-Invest'!$1:$1000,10,FALSE()),"")</f>
        <v/>
      </c>
      <c r="K905" s="10" t="str">
        <f aca="false">IFERROR(VLOOKUP(A905,'Dados-Status-Invest'!$1:$1000,3,FALSE())/100,"")</f>
        <v/>
      </c>
      <c r="L905" s="11" t="str">
        <f aca="false">IFERROR(VLOOKUP(A905,'Dados-Status-Invest'!$1:$1000,MATCH(L$1,'Dados-Status-Invest'!$2:$2,0),FALSE())/100,"")</f>
        <v/>
      </c>
      <c r="M905" s="10" t="str">
        <f aca="false">IFERROR(VLOOKUP(A905,'Dados-Status-Invest'!$1:$1000,MATCH(M$1,'Dados-Status-Invest'!$2:$2,0),FALSE())/100,"")</f>
        <v/>
      </c>
      <c r="N905" s="10" t="str">
        <f aca="false">IFERROR(VLOOKUP(A905,'Dados-Status-Invest'!$1:$1000,MATCH(N$1,'Dados-Status-Invest'!$2:$2,0),FALSE())/100,"")</f>
        <v/>
      </c>
      <c r="O905" s="10" t="str">
        <f aca="false">IFERROR(VLOOKUP(A905,'Dados-Status-Invest'!$1:$1000,MATCH(O$1,'Dados-Status-Invest'!$2:$2,0),FALSE())/100,"")</f>
        <v/>
      </c>
      <c r="P905" s="10" t="str">
        <f aca="false">IFERROR(VLOOKUP(A905,'Dados-Status-Invest'!$1:$1000,MATCH(P$1,'Dados-Status-Invest'!$2:$2,0),FALSE())/100,"")</f>
        <v/>
      </c>
      <c r="Q905" s="10" t="str">
        <f aca="false">IFERROR(VLOOKUP(A905,'Dados-Status-Invest'!$1:$1000,MATCH(Q$1,'Dados-Status-Invest'!$2:$2,0),FALSE())/100,"")</f>
        <v/>
      </c>
      <c r="R905" s="12" t="str">
        <f aca="false">IFERROR(VLOOKUP(A905,'Dados-Status-Invest'!$1:$1000,MATCH(R$1,'Dados-Status-Invest'!$2:$2,0),FALSE()),"")</f>
        <v/>
      </c>
      <c r="S905" s="12" t="str">
        <f aca="false">IFERROR(VLOOKUP(A905,'Dados-Status-Invest'!$1:$1000,MATCH(S$1,'Dados-Status-Invest'!$2:$2,0),FALSE()),"")</f>
        <v/>
      </c>
      <c r="T905" s="12" t="str">
        <f aca="false">IFERROR(VLOOKUP(A905,'Dados-Status-Invest'!$1:$1000,MATCH(T$1,'Dados-Status-Invest'!$2:$2,0),FALSE()),"")</f>
        <v/>
      </c>
      <c r="U905" s="12" t="str">
        <f aca="false">IFERROR(VLOOKUP(A905,'Dados-Status-Invest'!$1:$1000,MATCH(U$1,'Dados-Status-Invest'!$2:$2,0),FALSE()),"")</f>
        <v/>
      </c>
      <c r="V905" s="12" t="str">
        <f aca="false">IFERROR(VLOOKUP(A905,'Dados-Status-Invest'!$1:$1000,MATCH(V$1,'Dados-Status-Invest'!$2:$2,0),FALSE()),"")</f>
        <v/>
      </c>
      <c r="W905" s="10" t="str">
        <f aca="false">IFERROR(VLOOKUP(A905,'Dados-Status-Invest'!$1:$1000,MATCH(W$1,'Dados-Status-Invest'!$2:$2,0),FALSE())/100,"")</f>
        <v/>
      </c>
      <c r="X905" s="10" t="str">
        <f aca="false">IFERROR(VLOOKUP(A905,'Dados-Status-Invest'!$1:$1000,MATCH(X$1,'Dados-Status-Invest'!$2:$2,0),FALSE())/100,"")</f>
        <v/>
      </c>
    </row>
    <row r="906" customFormat="false" ht="15.75" hidden="false" customHeight="false" outlineLevel="0" collapsed="false">
      <c r="B906" s="7" t="str">
        <f aca="false">IFERROR(VLOOKUP(LEFT(A906,4),Setor!A:D,2,FALSE()),"")</f>
        <v/>
      </c>
      <c r="C906" s="8" t="str">
        <f aca="false">IFERROR(__xludf.dummyfunction("IFERROR(IFERROR(GOOGLEFINANCE(A912,""price""),VLOOKUP(A912,'Dados-Status-Invest'!A:B,2,FALSE)),"""")"),"")</f>
        <v/>
      </c>
      <c r="D906" s="8" t="str">
        <f aca="false">IFERROR(VLOOKUP(A906,'Dados-Status-Invest'!$1:$1000,MATCH(D$1,'Dados-Status-Invest'!$2:$2,0),FALSE()),"")</f>
        <v/>
      </c>
      <c r="E906" s="8" t="e">
        <f aca="false">IF(D906+H906&gt;0,D906+H906,"")</f>
        <v>#VALUE!</v>
      </c>
      <c r="F906" s="8" t="str">
        <f aca="false">IFERROR(D906/VLOOKUP(A906,'Dados-Status-Invest'!$1:$1000,5,FALSE()),"")</f>
        <v/>
      </c>
      <c r="G906" s="8" t="str">
        <f aca="false">IFERROR(D906/VLOOKUP(A906,'Dados-Status-Invest'!$1:$1000,6,FALSE()),"")</f>
        <v/>
      </c>
      <c r="H906" s="8" t="str">
        <f aca="false">IFERROR(VLOOKUP(A906,'Dados-Status-Invest'!$1:$1000,12,FALSE())*J906,"")</f>
        <v/>
      </c>
      <c r="I906" s="8" t="str">
        <f aca="false">IFERROR(D906/VLOOKUP(A906,'Dados-Status-Invest'!$1:$1000,14,FALSE()),"")</f>
        <v/>
      </c>
      <c r="J906" s="9" t="str">
        <f aca="false">IFERROR(D906/VLOOKUP(A906,'Dados-Status-Invest'!$1:$1000,10,FALSE()),"")</f>
        <v/>
      </c>
      <c r="K906" s="10" t="str">
        <f aca="false">IFERROR(VLOOKUP(A906,'Dados-Status-Invest'!$1:$1000,3,FALSE())/100,"")</f>
        <v/>
      </c>
      <c r="L906" s="11" t="str">
        <f aca="false">IFERROR(VLOOKUP(A906,'Dados-Status-Invest'!$1:$1000,MATCH(L$1,'Dados-Status-Invest'!$2:$2,0),FALSE())/100,"")</f>
        <v/>
      </c>
      <c r="M906" s="10" t="str">
        <f aca="false">IFERROR(VLOOKUP(A906,'Dados-Status-Invest'!$1:$1000,MATCH(M$1,'Dados-Status-Invest'!$2:$2,0),FALSE())/100,"")</f>
        <v/>
      </c>
      <c r="N906" s="10" t="str">
        <f aca="false">IFERROR(VLOOKUP(A906,'Dados-Status-Invest'!$1:$1000,MATCH(N$1,'Dados-Status-Invest'!$2:$2,0),FALSE())/100,"")</f>
        <v/>
      </c>
      <c r="O906" s="10" t="str">
        <f aca="false">IFERROR(VLOOKUP(A906,'Dados-Status-Invest'!$1:$1000,MATCH(O$1,'Dados-Status-Invest'!$2:$2,0),FALSE())/100,"")</f>
        <v/>
      </c>
      <c r="P906" s="10" t="str">
        <f aca="false">IFERROR(VLOOKUP(A906,'Dados-Status-Invest'!$1:$1000,MATCH(P$1,'Dados-Status-Invest'!$2:$2,0),FALSE())/100,"")</f>
        <v/>
      </c>
      <c r="Q906" s="10" t="str">
        <f aca="false">IFERROR(VLOOKUP(A906,'Dados-Status-Invest'!$1:$1000,MATCH(Q$1,'Dados-Status-Invest'!$2:$2,0),FALSE())/100,"")</f>
        <v/>
      </c>
      <c r="R906" s="12" t="str">
        <f aca="false">IFERROR(VLOOKUP(A906,'Dados-Status-Invest'!$1:$1000,MATCH(R$1,'Dados-Status-Invest'!$2:$2,0),FALSE()),"")</f>
        <v/>
      </c>
      <c r="S906" s="12" t="str">
        <f aca="false">IFERROR(VLOOKUP(A906,'Dados-Status-Invest'!$1:$1000,MATCH(S$1,'Dados-Status-Invest'!$2:$2,0),FALSE()),"")</f>
        <v/>
      </c>
      <c r="T906" s="12" t="str">
        <f aca="false">IFERROR(VLOOKUP(A906,'Dados-Status-Invest'!$1:$1000,MATCH(T$1,'Dados-Status-Invest'!$2:$2,0),FALSE()),"")</f>
        <v/>
      </c>
      <c r="U906" s="12" t="str">
        <f aca="false">IFERROR(VLOOKUP(A906,'Dados-Status-Invest'!$1:$1000,MATCH(U$1,'Dados-Status-Invest'!$2:$2,0),FALSE()),"")</f>
        <v/>
      </c>
      <c r="V906" s="12" t="str">
        <f aca="false">IFERROR(VLOOKUP(A906,'Dados-Status-Invest'!$1:$1000,MATCH(V$1,'Dados-Status-Invest'!$2:$2,0),FALSE()),"")</f>
        <v/>
      </c>
      <c r="W906" s="10" t="str">
        <f aca="false">IFERROR(VLOOKUP(A906,'Dados-Status-Invest'!$1:$1000,MATCH(W$1,'Dados-Status-Invest'!$2:$2,0),FALSE())/100,"")</f>
        <v/>
      </c>
      <c r="X906" s="10" t="str">
        <f aca="false">IFERROR(VLOOKUP(A906,'Dados-Status-Invest'!$1:$1000,MATCH(X$1,'Dados-Status-Invest'!$2:$2,0),FALSE())/100,"")</f>
        <v/>
      </c>
    </row>
    <row r="907" customFormat="false" ht="15.75" hidden="false" customHeight="false" outlineLevel="0" collapsed="false">
      <c r="B907" s="7" t="str">
        <f aca="false">IFERROR(VLOOKUP(LEFT(A907,4),Setor!A:D,2,FALSE()),"")</f>
        <v/>
      </c>
      <c r="C907" s="8" t="str">
        <f aca="false">IFERROR(__xludf.dummyfunction("IFERROR(IFERROR(GOOGLEFINANCE(A913,""price""),VLOOKUP(A913,'Dados-Status-Invest'!A:B,2,FALSE)),"""")"),"")</f>
        <v/>
      </c>
      <c r="D907" s="8" t="str">
        <f aca="false">IFERROR(VLOOKUP(A907,'Dados-Status-Invest'!$1:$1000,MATCH(D$1,'Dados-Status-Invest'!$2:$2,0),FALSE()),"")</f>
        <v/>
      </c>
      <c r="E907" s="8" t="e">
        <f aca="false">IF(D907+H907&gt;0,D907+H907,"")</f>
        <v>#VALUE!</v>
      </c>
      <c r="F907" s="8" t="str">
        <f aca="false">IFERROR(D907/VLOOKUP(A907,'Dados-Status-Invest'!$1:$1000,5,FALSE()),"")</f>
        <v/>
      </c>
      <c r="G907" s="8" t="str">
        <f aca="false">IFERROR(D907/VLOOKUP(A907,'Dados-Status-Invest'!$1:$1000,6,FALSE()),"")</f>
        <v/>
      </c>
      <c r="H907" s="8" t="str">
        <f aca="false">IFERROR(VLOOKUP(A907,'Dados-Status-Invest'!$1:$1000,12,FALSE())*J907,"")</f>
        <v/>
      </c>
      <c r="I907" s="8" t="str">
        <f aca="false">IFERROR(D907/VLOOKUP(A907,'Dados-Status-Invest'!$1:$1000,14,FALSE()),"")</f>
        <v/>
      </c>
      <c r="J907" s="9" t="str">
        <f aca="false">IFERROR(D907/VLOOKUP(A907,'Dados-Status-Invest'!$1:$1000,10,FALSE()),"")</f>
        <v/>
      </c>
      <c r="K907" s="10" t="str">
        <f aca="false">IFERROR(VLOOKUP(A907,'Dados-Status-Invest'!$1:$1000,3,FALSE())/100,"")</f>
        <v/>
      </c>
      <c r="L907" s="11" t="str">
        <f aca="false">IFERROR(VLOOKUP(A907,'Dados-Status-Invest'!$1:$1000,MATCH(L$1,'Dados-Status-Invest'!$2:$2,0),FALSE())/100,"")</f>
        <v/>
      </c>
      <c r="M907" s="10" t="str">
        <f aca="false">IFERROR(VLOOKUP(A907,'Dados-Status-Invest'!$1:$1000,MATCH(M$1,'Dados-Status-Invest'!$2:$2,0),FALSE())/100,"")</f>
        <v/>
      </c>
      <c r="N907" s="10" t="str">
        <f aca="false">IFERROR(VLOOKUP(A907,'Dados-Status-Invest'!$1:$1000,MATCH(N$1,'Dados-Status-Invest'!$2:$2,0),FALSE())/100,"")</f>
        <v/>
      </c>
      <c r="O907" s="10" t="str">
        <f aca="false">IFERROR(VLOOKUP(A907,'Dados-Status-Invest'!$1:$1000,MATCH(O$1,'Dados-Status-Invest'!$2:$2,0),FALSE())/100,"")</f>
        <v/>
      </c>
      <c r="P907" s="10" t="str">
        <f aca="false">IFERROR(VLOOKUP(A907,'Dados-Status-Invest'!$1:$1000,MATCH(P$1,'Dados-Status-Invest'!$2:$2,0),FALSE())/100,"")</f>
        <v/>
      </c>
      <c r="Q907" s="10" t="str">
        <f aca="false">IFERROR(VLOOKUP(A907,'Dados-Status-Invest'!$1:$1000,MATCH(Q$1,'Dados-Status-Invest'!$2:$2,0),FALSE())/100,"")</f>
        <v/>
      </c>
      <c r="R907" s="12" t="str">
        <f aca="false">IFERROR(VLOOKUP(A907,'Dados-Status-Invest'!$1:$1000,MATCH(R$1,'Dados-Status-Invest'!$2:$2,0),FALSE()),"")</f>
        <v/>
      </c>
      <c r="S907" s="12" t="str">
        <f aca="false">IFERROR(VLOOKUP(A907,'Dados-Status-Invest'!$1:$1000,MATCH(S$1,'Dados-Status-Invest'!$2:$2,0),FALSE()),"")</f>
        <v/>
      </c>
      <c r="T907" s="12" t="str">
        <f aca="false">IFERROR(VLOOKUP(A907,'Dados-Status-Invest'!$1:$1000,MATCH(T$1,'Dados-Status-Invest'!$2:$2,0),FALSE()),"")</f>
        <v/>
      </c>
      <c r="U907" s="12" t="str">
        <f aca="false">IFERROR(VLOOKUP(A907,'Dados-Status-Invest'!$1:$1000,MATCH(U$1,'Dados-Status-Invest'!$2:$2,0),FALSE()),"")</f>
        <v/>
      </c>
      <c r="V907" s="12" t="str">
        <f aca="false">IFERROR(VLOOKUP(A907,'Dados-Status-Invest'!$1:$1000,MATCH(V$1,'Dados-Status-Invest'!$2:$2,0),FALSE()),"")</f>
        <v/>
      </c>
      <c r="W907" s="10" t="str">
        <f aca="false">IFERROR(VLOOKUP(A907,'Dados-Status-Invest'!$1:$1000,MATCH(W$1,'Dados-Status-Invest'!$2:$2,0),FALSE())/100,"")</f>
        <v/>
      </c>
      <c r="X907" s="10" t="str">
        <f aca="false">IFERROR(VLOOKUP(A907,'Dados-Status-Invest'!$1:$1000,MATCH(X$1,'Dados-Status-Invest'!$2:$2,0),FALSE())/100,"")</f>
        <v/>
      </c>
    </row>
    <row r="908" customFormat="false" ht="15.75" hidden="false" customHeight="false" outlineLevel="0" collapsed="false">
      <c r="B908" s="7" t="str">
        <f aca="false">IFERROR(VLOOKUP(LEFT(A908,4),Setor!A:D,2,FALSE()),"")</f>
        <v/>
      </c>
      <c r="C908" s="8" t="str">
        <f aca="false">IFERROR(__xludf.dummyfunction("IFERROR(IFERROR(GOOGLEFINANCE(A914,""price""),VLOOKUP(A914,'Dados-Status-Invest'!A:B,2,FALSE)),"""")"),"")</f>
        <v/>
      </c>
      <c r="D908" s="8" t="str">
        <f aca="false">IFERROR(VLOOKUP(A908,'Dados-Status-Invest'!$1:$1000,MATCH(D$1,'Dados-Status-Invest'!$2:$2,0),FALSE()),"")</f>
        <v/>
      </c>
      <c r="E908" s="8" t="e">
        <f aca="false">IF(D908+H908&gt;0,D908+H908,"")</f>
        <v>#VALUE!</v>
      </c>
      <c r="F908" s="8" t="str">
        <f aca="false">IFERROR(D908/VLOOKUP(A908,'Dados-Status-Invest'!$1:$1000,5,FALSE()),"")</f>
        <v/>
      </c>
      <c r="G908" s="8" t="str">
        <f aca="false">IFERROR(D908/VLOOKUP(A908,'Dados-Status-Invest'!$1:$1000,6,FALSE()),"")</f>
        <v/>
      </c>
      <c r="H908" s="8" t="str">
        <f aca="false">IFERROR(VLOOKUP(A908,'Dados-Status-Invest'!$1:$1000,12,FALSE())*J908,"")</f>
        <v/>
      </c>
      <c r="I908" s="8" t="str">
        <f aca="false">IFERROR(D908/VLOOKUP(A908,'Dados-Status-Invest'!$1:$1000,14,FALSE()),"")</f>
        <v/>
      </c>
      <c r="J908" s="9" t="str">
        <f aca="false">IFERROR(D908/VLOOKUP(A908,'Dados-Status-Invest'!$1:$1000,10,FALSE()),"")</f>
        <v/>
      </c>
      <c r="K908" s="10" t="str">
        <f aca="false">IFERROR(VLOOKUP(A908,'Dados-Status-Invest'!$1:$1000,3,FALSE())/100,"")</f>
        <v/>
      </c>
      <c r="L908" s="11" t="str">
        <f aca="false">IFERROR(VLOOKUP(A908,'Dados-Status-Invest'!$1:$1000,MATCH(L$1,'Dados-Status-Invest'!$2:$2,0),FALSE())/100,"")</f>
        <v/>
      </c>
      <c r="M908" s="10" t="str">
        <f aca="false">IFERROR(VLOOKUP(A908,'Dados-Status-Invest'!$1:$1000,MATCH(M$1,'Dados-Status-Invest'!$2:$2,0),FALSE())/100,"")</f>
        <v/>
      </c>
      <c r="N908" s="10" t="str">
        <f aca="false">IFERROR(VLOOKUP(A908,'Dados-Status-Invest'!$1:$1000,MATCH(N$1,'Dados-Status-Invest'!$2:$2,0),FALSE())/100,"")</f>
        <v/>
      </c>
      <c r="O908" s="10" t="str">
        <f aca="false">IFERROR(VLOOKUP(A908,'Dados-Status-Invest'!$1:$1000,MATCH(O$1,'Dados-Status-Invest'!$2:$2,0),FALSE())/100,"")</f>
        <v/>
      </c>
      <c r="P908" s="10" t="str">
        <f aca="false">IFERROR(VLOOKUP(A908,'Dados-Status-Invest'!$1:$1000,MATCH(P$1,'Dados-Status-Invest'!$2:$2,0),FALSE())/100,"")</f>
        <v/>
      </c>
      <c r="Q908" s="10" t="str">
        <f aca="false">IFERROR(VLOOKUP(A908,'Dados-Status-Invest'!$1:$1000,MATCH(Q$1,'Dados-Status-Invest'!$2:$2,0),FALSE())/100,"")</f>
        <v/>
      </c>
      <c r="R908" s="12" t="str">
        <f aca="false">IFERROR(VLOOKUP(A908,'Dados-Status-Invest'!$1:$1000,MATCH(R$1,'Dados-Status-Invest'!$2:$2,0),FALSE()),"")</f>
        <v/>
      </c>
      <c r="S908" s="12" t="str">
        <f aca="false">IFERROR(VLOOKUP(A908,'Dados-Status-Invest'!$1:$1000,MATCH(S$1,'Dados-Status-Invest'!$2:$2,0),FALSE()),"")</f>
        <v/>
      </c>
      <c r="T908" s="12" t="str">
        <f aca="false">IFERROR(VLOOKUP(A908,'Dados-Status-Invest'!$1:$1000,MATCH(T$1,'Dados-Status-Invest'!$2:$2,0),FALSE()),"")</f>
        <v/>
      </c>
      <c r="U908" s="12" t="str">
        <f aca="false">IFERROR(VLOOKUP(A908,'Dados-Status-Invest'!$1:$1000,MATCH(U$1,'Dados-Status-Invest'!$2:$2,0),FALSE()),"")</f>
        <v/>
      </c>
      <c r="V908" s="12" t="str">
        <f aca="false">IFERROR(VLOOKUP(A908,'Dados-Status-Invest'!$1:$1000,MATCH(V$1,'Dados-Status-Invest'!$2:$2,0),FALSE()),"")</f>
        <v/>
      </c>
      <c r="W908" s="10" t="str">
        <f aca="false">IFERROR(VLOOKUP(A908,'Dados-Status-Invest'!$1:$1000,MATCH(W$1,'Dados-Status-Invest'!$2:$2,0),FALSE())/100,"")</f>
        <v/>
      </c>
      <c r="X908" s="10" t="str">
        <f aca="false">IFERROR(VLOOKUP(A908,'Dados-Status-Invest'!$1:$1000,MATCH(X$1,'Dados-Status-Invest'!$2:$2,0),FALSE())/100,"")</f>
        <v/>
      </c>
    </row>
    <row r="909" customFormat="false" ht="15.75" hidden="false" customHeight="false" outlineLevel="0" collapsed="false">
      <c r="B909" s="7" t="str">
        <f aca="false">IFERROR(VLOOKUP(LEFT(A909,4),Setor!A:D,2,FALSE()),"")</f>
        <v/>
      </c>
      <c r="C909" s="8" t="str">
        <f aca="false">IFERROR(__xludf.dummyfunction("IFERROR(IFERROR(GOOGLEFINANCE(A915,""price""),VLOOKUP(A915,'Dados-Status-Invest'!A:B,2,FALSE)),"""")"),"")</f>
        <v/>
      </c>
      <c r="D909" s="8" t="str">
        <f aca="false">IFERROR(VLOOKUP(A909,'Dados-Status-Invest'!$1:$1000,MATCH(D$1,'Dados-Status-Invest'!$2:$2,0),FALSE()),"")</f>
        <v/>
      </c>
      <c r="E909" s="8" t="e">
        <f aca="false">IF(D909+H909&gt;0,D909+H909,"")</f>
        <v>#VALUE!</v>
      </c>
      <c r="F909" s="8" t="str">
        <f aca="false">IFERROR(D909/VLOOKUP(A909,'Dados-Status-Invest'!$1:$1000,5,FALSE()),"")</f>
        <v/>
      </c>
      <c r="G909" s="8" t="str">
        <f aca="false">IFERROR(D909/VLOOKUP(A909,'Dados-Status-Invest'!$1:$1000,6,FALSE()),"")</f>
        <v/>
      </c>
      <c r="H909" s="8" t="str">
        <f aca="false">IFERROR(VLOOKUP(A909,'Dados-Status-Invest'!$1:$1000,12,FALSE())*J909,"")</f>
        <v/>
      </c>
      <c r="I909" s="8" t="str">
        <f aca="false">IFERROR(D909/VLOOKUP(A909,'Dados-Status-Invest'!$1:$1000,14,FALSE()),"")</f>
        <v/>
      </c>
      <c r="J909" s="9" t="str">
        <f aca="false">IFERROR(D909/VLOOKUP(A909,'Dados-Status-Invest'!$1:$1000,10,FALSE()),"")</f>
        <v/>
      </c>
      <c r="K909" s="10" t="str">
        <f aca="false">IFERROR(VLOOKUP(A909,'Dados-Status-Invest'!$1:$1000,3,FALSE())/100,"")</f>
        <v/>
      </c>
      <c r="L909" s="11" t="str">
        <f aca="false">IFERROR(VLOOKUP(A909,'Dados-Status-Invest'!$1:$1000,MATCH(L$1,'Dados-Status-Invest'!$2:$2,0),FALSE())/100,"")</f>
        <v/>
      </c>
      <c r="M909" s="10" t="str">
        <f aca="false">IFERROR(VLOOKUP(A909,'Dados-Status-Invest'!$1:$1000,MATCH(M$1,'Dados-Status-Invest'!$2:$2,0),FALSE())/100,"")</f>
        <v/>
      </c>
      <c r="N909" s="10" t="str">
        <f aca="false">IFERROR(VLOOKUP(A909,'Dados-Status-Invest'!$1:$1000,MATCH(N$1,'Dados-Status-Invest'!$2:$2,0),FALSE())/100,"")</f>
        <v/>
      </c>
      <c r="O909" s="10" t="str">
        <f aca="false">IFERROR(VLOOKUP(A909,'Dados-Status-Invest'!$1:$1000,MATCH(O$1,'Dados-Status-Invest'!$2:$2,0),FALSE())/100,"")</f>
        <v/>
      </c>
      <c r="P909" s="10" t="str">
        <f aca="false">IFERROR(VLOOKUP(A909,'Dados-Status-Invest'!$1:$1000,MATCH(P$1,'Dados-Status-Invest'!$2:$2,0),FALSE())/100,"")</f>
        <v/>
      </c>
      <c r="Q909" s="10" t="str">
        <f aca="false">IFERROR(VLOOKUP(A909,'Dados-Status-Invest'!$1:$1000,MATCH(Q$1,'Dados-Status-Invest'!$2:$2,0),FALSE())/100,"")</f>
        <v/>
      </c>
      <c r="R909" s="12" t="str">
        <f aca="false">IFERROR(VLOOKUP(A909,'Dados-Status-Invest'!$1:$1000,MATCH(R$1,'Dados-Status-Invest'!$2:$2,0),FALSE()),"")</f>
        <v/>
      </c>
      <c r="S909" s="12" t="str">
        <f aca="false">IFERROR(VLOOKUP(A909,'Dados-Status-Invest'!$1:$1000,MATCH(S$1,'Dados-Status-Invest'!$2:$2,0),FALSE()),"")</f>
        <v/>
      </c>
      <c r="T909" s="12" t="str">
        <f aca="false">IFERROR(VLOOKUP(A909,'Dados-Status-Invest'!$1:$1000,MATCH(T$1,'Dados-Status-Invest'!$2:$2,0),FALSE()),"")</f>
        <v/>
      </c>
      <c r="U909" s="12" t="str">
        <f aca="false">IFERROR(VLOOKUP(A909,'Dados-Status-Invest'!$1:$1000,MATCH(U$1,'Dados-Status-Invest'!$2:$2,0),FALSE()),"")</f>
        <v/>
      </c>
      <c r="V909" s="12" t="str">
        <f aca="false">IFERROR(VLOOKUP(A909,'Dados-Status-Invest'!$1:$1000,MATCH(V$1,'Dados-Status-Invest'!$2:$2,0),FALSE()),"")</f>
        <v/>
      </c>
      <c r="W909" s="10" t="str">
        <f aca="false">IFERROR(VLOOKUP(A909,'Dados-Status-Invest'!$1:$1000,MATCH(W$1,'Dados-Status-Invest'!$2:$2,0),FALSE())/100,"")</f>
        <v/>
      </c>
      <c r="X909" s="10" t="str">
        <f aca="false">IFERROR(VLOOKUP(A909,'Dados-Status-Invest'!$1:$1000,MATCH(X$1,'Dados-Status-Invest'!$2:$2,0),FALSE())/100,"")</f>
        <v/>
      </c>
    </row>
    <row r="910" customFormat="false" ht="15.75" hidden="false" customHeight="false" outlineLevel="0" collapsed="false">
      <c r="B910" s="7" t="str">
        <f aca="false">IFERROR(VLOOKUP(LEFT(A910,4),Setor!A:D,2,FALSE()),"")</f>
        <v/>
      </c>
      <c r="C910" s="8" t="str">
        <f aca="false">IFERROR(__xludf.dummyfunction("IFERROR(IFERROR(GOOGLEFINANCE(A916,""price""),VLOOKUP(A916,'Dados-Status-Invest'!A:B,2,FALSE)),"""")"),"")</f>
        <v/>
      </c>
      <c r="D910" s="8" t="str">
        <f aca="false">IFERROR(VLOOKUP(A910,'Dados-Status-Invest'!$1:$1000,MATCH(D$1,'Dados-Status-Invest'!$2:$2,0),FALSE()),"")</f>
        <v/>
      </c>
      <c r="E910" s="8" t="e">
        <f aca="false">IF(D910+H910&gt;0,D910+H910,"")</f>
        <v>#VALUE!</v>
      </c>
      <c r="F910" s="8" t="str">
        <f aca="false">IFERROR(D910/VLOOKUP(A910,'Dados-Status-Invest'!$1:$1000,5,FALSE()),"")</f>
        <v/>
      </c>
      <c r="G910" s="8" t="str">
        <f aca="false">IFERROR(D910/VLOOKUP(A910,'Dados-Status-Invest'!$1:$1000,6,FALSE()),"")</f>
        <v/>
      </c>
      <c r="H910" s="8" t="str">
        <f aca="false">IFERROR(VLOOKUP(A910,'Dados-Status-Invest'!$1:$1000,12,FALSE())*J910,"")</f>
        <v/>
      </c>
      <c r="I910" s="8" t="str">
        <f aca="false">IFERROR(D910/VLOOKUP(A910,'Dados-Status-Invest'!$1:$1000,14,FALSE()),"")</f>
        <v/>
      </c>
      <c r="J910" s="9" t="str">
        <f aca="false">IFERROR(D910/VLOOKUP(A910,'Dados-Status-Invest'!$1:$1000,10,FALSE()),"")</f>
        <v/>
      </c>
      <c r="K910" s="10" t="str">
        <f aca="false">IFERROR(VLOOKUP(A910,'Dados-Status-Invest'!$1:$1000,3,FALSE())/100,"")</f>
        <v/>
      </c>
      <c r="L910" s="11" t="str">
        <f aca="false">IFERROR(VLOOKUP(A910,'Dados-Status-Invest'!$1:$1000,MATCH(L$1,'Dados-Status-Invest'!$2:$2,0),FALSE())/100,"")</f>
        <v/>
      </c>
      <c r="M910" s="10" t="str">
        <f aca="false">IFERROR(VLOOKUP(A910,'Dados-Status-Invest'!$1:$1000,MATCH(M$1,'Dados-Status-Invest'!$2:$2,0),FALSE())/100,"")</f>
        <v/>
      </c>
      <c r="N910" s="10" t="str">
        <f aca="false">IFERROR(VLOOKUP(A910,'Dados-Status-Invest'!$1:$1000,MATCH(N$1,'Dados-Status-Invest'!$2:$2,0),FALSE())/100,"")</f>
        <v/>
      </c>
      <c r="O910" s="10" t="str">
        <f aca="false">IFERROR(VLOOKUP(A910,'Dados-Status-Invest'!$1:$1000,MATCH(O$1,'Dados-Status-Invest'!$2:$2,0),FALSE())/100,"")</f>
        <v/>
      </c>
      <c r="P910" s="10" t="str">
        <f aca="false">IFERROR(VLOOKUP(A910,'Dados-Status-Invest'!$1:$1000,MATCH(P$1,'Dados-Status-Invest'!$2:$2,0),FALSE())/100,"")</f>
        <v/>
      </c>
      <c r="Q910" s="10" t="str">
        <f aca="false">IFERROR(VLOOKUP(A910,'Dados-Status-Invest'!$1:$1000,MATCH(Q$1,'Dados-Status-Invest'!$2:$2,0),FALSE())/100,"")</f>
        <v/>
      </c>
      <c r="R910" s="12" t="str">
        <f aca="false">IFERROR(VLOOKUP(A910,'Dados-Status-Invest'!$1:$1000,MATCH(R$1,'Dados-Status-Invest'!$2:$2,0),FALSE()),"")</f>
        <v/>
      </c>
      <c r="S910" s="12" t="str">
        <f aca="false">IFERROR(VLOOKUP(A910,'Dados-Status-Invest'!$1:$1000,MATCH(S$1,'Dados-Status-Invest'!$2:$2,0),FALSE()),"")</f>
        <v/>
      </c>
      <c r="T910" s="12" t="str">
        <f aca="false">IFERROR(VLOOKUP(A910,'Dados-Status-Invest'!$1:$1000,MATCH(T$1,'Dados-Status-Invest'!$2:$2,0),FALSE()),"")</f>
        <v/>
      </c>
      <c r="U910" s="12" t="str">
        <f aca="false">IFERROR(VLOOKUP(A910,'Dados-Status-Invest'!$1:$1000,MATCH(U$1,'Dados-Status-Invest'!$2:$2,0),FALSE()),"")</f>
        <v/>
      </c>
      <c r="V910" s="12" t="str">
        <f aca="false">IFERROR(VLOOKUP(A910,'Dados-Status-Invest'!$1:$1000,MATCH(V$1,'Dados-Status-Invest'!$2:$2,0),FALSE()),"")</f>
        <v/>
      </c>
      <c r="W910" s="10" t="str">
        <f aca="false">IFERROR(VLOOKUP(A910,'Dados-Status-Invest'!$1:$1000,MATCH(W$1,'Dados-Status-Invest'!$2:$2,0),FALSE())/100,"")</f>
        <v/>
      </c>
      <c r="X910" s="10" t="str">
        <f aca="false">IFERROR(VLOOKUP(A910,'Dados-Status-Invest'!$1:$1000,MATCH(X$1,'Dados-Status-Invest'!$2:$2,0),FALSE())/100,"")</f>
        <v/>
      </c>
    </row>
    <row r="911" customFormat="false" ht="15.75" hidden="false" customHeight="false" outlineLevel="0" collapsed="false">
      <c r="B911" s="7" t="str">
        <f aca="false">IFERROR(VLOOKUP(LEFT(A911,4),Setor!A:D,2,FALSE()),"")</f>
        <v/>
      </c>
      <c r="C911" s="8" t="str">
        <f aca="false">IFERROR(__xludf.dummyfunction("IFERROR(IFERROR(GOOGLEFINANCE(A917,""price""),VLOOKUP(A917,'Dados-Status-Invest'!A:B,2,FALSE)),"""")"),"")</f>
        <v/>
      </c>
      <c r="D911" s="8" t="str">
        <f aca="false">IFERROR(VLOOKUP(A911,'Dados-Status-Invest'!$1:$1000,MATCH(D$1,'Dados-Status-Invest'!$2:$2,0),FALSE()),"")</f>
        <v/>
      </c>
      <c r="E911" s="8" t="e">
        <f aca="false">IF(D911+H911&gt;0,D911+H911,"")</f>
        <v>#VALUE!</v>
      </c>
      <c r="F911" s="8" t="str">
        <f aca="false">IFERROR(D911/VLOOKUP(A911,'Dados-Status-Invest'!$1:$1000,5,FALSE()),"")</f>
        <v/>
      </c>
      <c r="G911" s="8" t="str">
        <f aca="false">IFERROR(D911/VLOOKUP(A911,'Dados-Status-Invest'!$1:$1000,6,FALSE()),"")</f>
        <v/>
      </c>
      <c r="H911" s="8" t="str">
        <f aca="false">IFERROR(VLOOKUP(A911,'Dados-Status-Invest'!$1:$1000,12,FALSE())*J911,"")</f>
        <v/>
      </c>
      <c r="I911" s="8" t="str">
        <f aca="false">IFERROR(D911/VLOOKUP(A911,'Dados-Status-Invest'!$1:$1000,14,FALSE()),"")</f>
        <v/>
      </c>
      <c r="J911" s="9" t="str">
        <f aca="false">IFERROR(D911/VLOOKUP(A911,'Dados-Status-Invest'!$1:$1000,10,FALSE()),"")</f>
        <v/>
      </c>
      <c r="K911" s="10" t="str">
        <f aca="false">IFERROR(VLOOKUP(A911,'Dados-Status-Invest'!$1:$1000,3,FALSE())/100,"")</f>
        <v/>
      </c>
      <c r="L911" s="11" t="str">
        <f aca="false">IFERROR(VLOOKUP(A911,'Dados-Status-Invest'!$1:$1000,MATCH(L$1,'Dados-Status-Invest'!$2:$2,0),FALSE())/100,"")</f>
        <v/>
      </c>
      <c r="M911" s="10" t="str">
        <f aca="false">IFERROR(VLOOKUP(A911,'Dados-Status-Invest'!$1:$1000,MATCH(M$1,'Dados-Status-Invest'!$2:$2,0),FALSE())/100,"")</f>
        <v/>
      </c>
      <c r="N911" s="10" t="str">
        <f aca="false">IFERROR(VLOOKUP(A911,'Dados-Status-Invest'!$1:$1000,MATCH(N$1,'Dados-Status-Invest'!$2:$2,0),FALSE())/100,"")</f>
        <v/>
      </c>
      <c r="O911" s="10" t="str">
        <f aca="false">IFERROR(VLOOKUP(A911,'Dados-Status-Invest'!$1:$1000,MATCH(O$1,'Dados-Status-Invest'!$2:$2,0),FALSE())/100,"")</f>
        <v/>
      </c>
      <c r="P911" s="10" t="str">
        <f aca="false">IFERROR(VLOOKUP(A911,'Dados-Status-Invest'!$1:$1000,MATCH(P$1,'Dados-Status-Invest'!$2:$2,0),FALSE())/100,"")</f>
        <v/>
      </c>
      <c r="Q911" s="10" t="str">
        <f aca="false">IFERROR(VLOOKUP(A911,'Dados-Status-Invest'!$1:$1000,MATCH(Q$1,'Dados-Status-Invest'!$2:$2,0),FALSE())/100,"")</f>
        <v/>
      </c>
      <c r="R911" s="12" t="str">
        <f aca="false">IFERROR(VLOOKUP(A911,'Dados-Status-Invest'!$1:$1000,MATCH(R$1,'Dados-Status-Invest'!$2:$2,0),FALSE()),"")</f>
        <v/>
      </c>
      <c r="S911" s="12" t="str">
        <f aca="false">IFERROR(VLOOKUP(A911,'Dados-Status-Invest'!$1:$1000,MATCH(S$1,'Dados-Status-Invest'!$2:$2,0),FALSE()),"")</f>
        <v/>
      </c>
      <c r="T911" s="12" t="str">
        <f aca="false">IFERROR(VLOOKUP(A911,'Dados-Status-Invest'!$1:$1000,MATCH(T$1,'Dados-Status-Invest'!$2:$2,0),FALSE()),"")</f>
        <v/>
      </c>
      <c r="U911" s="12" t="str">
        <f aca="false">IFERROR(VLOOKUP(A911,'Dados-Status-Invest'!$1:$1000,MATCH(U$1,'Dados-Status-Invest'!$2:$2,0),FALSE()),"")</f>
        <v/>
      </c>
      <c r="V911" s="12" t="str">
        <f aca="false">IFERROR(VLOOKUP(A911,'Dados-Status-Invest'!$1:$1000,MATCH(V$1,'Dados-Status-Invest'!$2:$2,0),FALSE()),"")</f>
        <v/>
      </c>
      <c r="W911" s="10" t="str">
        <f aca="false">IFERROR(VLOOKUP(A911,'Dados-Status-Invest'!$1:$1000,MATCH(W$1,'Dados-Status-Invest'!$2:$2,0),FALSE())/100,"")</f>
        <v/>
      </c>
      <c r="X911" s="10" t="str">
        <f aca="false">IFERROR(VLOOKUP(A911,'Dados-Status-Invest'!$1:$1000,MATCH(X$1,'Dados-Status-Invest'!$2:$2,0),FALSE())/100,"")</f>
        <v/>
      </c>
    </row>
    <row r="912" customFormat="false" ht="15.75" hidden="false" customHeight="false" outlineLevel="0" collapsed="false">
      <c r="B912" s="7" t="str">
        <f aca="false">IFERROR(VLOOKUP(LEFT(A912,4),Setor!A:D,2,FALSE()),"")</f>
        <v/>
      </c>
      <c r="C912" s="8" t="str">
        <f aca="false">IFERROR(__xludf.dummyfunction("IFERROR(IFERROR(GOOGLEFINANCE(A918,""price""),VLOOKUP(A918,'Dados-Status-Invest'!A:B,2,FALSE)),"""")"),"")</f>
        <v/>
      </c>
      <c r="D912" s="8" t="str">
        <f aca="false">IFERROR(VLOOKUP(A912,'Dados-Status-Invest'!$1:$1000,MATCH(D$1,'Dados-Status-Invest'!$2:$2,0),FALSE()),"")</f>
        <v/>
      </c>
      <c r="E912" s="8" t="e">
        <f aca="false">IF(D912+H912&gt;0,D912+H912,"")</f>
        <v>#VALUE!</v>
      </c>
      <c r="F912" s="8" t="str">
        <f aca="false">IFERROR(D912/VLOOKUP(A912,'Dados-Status-Invest'!$1:$1000,5,FALSE()),"")</f>
        <v/>
      </c>
      <c r="G912" s="8" t="str">
        <f aca="false">IFERROR(D912/VLOOKUP(A912,'Dados-Status-Invest'!$1:$1000,6,FALSE()),"")</f>
        <v/>
      </c>
      <c r="H912" s="8" t="str">
        <f aca="false">IFERROR(VLOOKUP(A912,'Dados-Status-Invest'!$1:$1000,12,FALSE())*J912,"")</f>
        <v/>
      </c>
      <c r="I912" s="8" t="str">
        <f aca="false">IFERROR(D912/VLOOKUP(A912,'Dados-Status-Invest'!$1:$1000,14,FALSE()),"")</f>
        <v/>
      </c>
      <c r="J912" s="9" t="str">
        <f aca="false">IFERROR(D912/VLOOKUP(A912,'Dados-Status-Invest'!$1:$1000,10,FALSE()),"")</f>
        <v/>
      </c>
      <c r="K912" s="10" t="str">
        <f aca="false">IFERROR(VLOOKUP(A912,'Dados-Status-Invest'!$1:$1000,3,FALSE())/100,"")</f>
        <v/>
      </c>
      <c r="L912" s="11" t="str">
        <f aca="false">IFERROR(VLOOKUP(A912,'Dados-Status-Invest'!$1:$1000,MATCH(L$1,'Dados-Status-Invest'!$2:$2,0),FALSE())/100,"")</f>
        <v/>
      </c>
      <c r="M912" s="10" t="str">
        <f aca="false">IFERROR(VLOOKUP(A912,'Dados-Status-Invest'!$1:$1000,MATCH(M$1,'Dados-Status-Invest'!$2:$2,0),FALSE())/100,"")</f>
        <v/>
      </c>
      <c r="N912" s="10" t="str">
        <f aca="false">IFERROR(VLOOKUP(A912,'Dados-Status-Invest'!$1:$1000,MATCH(N$1,'Dados-Status-Invest'!$2:$2,0),FALSE())/100,"")</f>
        <v/>
      </c>
      <c r="O912" s="10" t="str">
        <f aca="false">IFERROR(VLOOKUP(A912,'Dados-Status-Invest'!$1:$1000,MATCH(O$1,'Dados-Status-Invest'!$2:$2,0),FALSE())/100,"")</f>
        <v/>
      </c>
      <c r="P912" s="10" t="str">
        <f aca="false">IFERROR(VLOOKUP(A912,'Dados-Status-Invest'!$1:$1000,MATCH(P$1,'Dados-Status-Invest'!$2:$2,0),FALSE())/100,"")</f>
        <v/>
      </c>
      <c r="Q912" s="10" t="str">
        <f aca="false">IFERROR(VLOOKUP(A912,'Dados-Status-Invest'!$1:$1000,MATCH(Q$1,'Dados-Status-Invest'!$2:$2,0),FALSE())/100,"")</f>
        <v/>
      </c>
      <c r="R912" s="12" t="str">
        <f aca="false">IFERROR(VLOOKUP(A912,'Dados-Status-Invest'!$1:$1000,MATCH(R$1,'Dados-Status-Invest'!$2:$2,0),FALSE()),"")</f>
        <v/>
      </c>
      <c r="S912" s="12" t="str">
        <f aca="false">IFERROR(VLOOKUP(A912,'Dados-Status-Invest'!$1:$1000,MATCH(S$1,'Dados-Status-Invest'!$2:$2,0),FALSE()),"")</f>
        <v/>
      </c>
      <c r="T912" s="12" t="str">
        <f aca="false">IFERROR(VLOOKUP(A912,'Dados-Status-Invest'!$1:$1000,MATCH(T$1,'Dados-Status-Invest'!$2:$2,0),FALSE()),"")</f>
        <v/>
      </c>
      <c r="U912" s="12" t="str">
        <f aca="false">IFERROR(VLOOKUP(A912,'Dados-Status-Invest'!$1:$1000,MATCH(U$1,'Dados-Status-Invest'!$2:$2,0),FALSE()),"")</f>
        <v/>
      </c>
      <c r="V912" s="12" t="str">
        <f aca="false">IFERROR(VLOOKUP(A912,'Dados-Status-Invest'!$1:$1000,MATCH(V$1,'Dados-Status-Invest'!$2:$2,0),FALSE()),"")</f>
        <v/>
      </c>
      <c r="W912" s="10" t="str">
        <f aca="false">IFERROR(VLOOKUP(A912,'Dados-Status-Invest'!$1:$1000,MATCH(W$1,'Dados-Status-Invest'!$2:$2,0),FALSE())/100,"")</f>
        <v/>
      </c>
      <c r="X912" s="10" t="str">
        <f aca="false">IFERROR(VLOOKUP(A912,'Dados-Status-Invest'!$1:$1000,MATCH(X$1,'Dados-Status-Invest'!$2:$2,0),FALSE())/100,"")</f>
        <v/>
      </c>
    </row>
    <row r="913" customFormat="false" ht="15.75" hidden="false" customHeight="false" outlineLevel="0" collapsed="false">
      <c r="B913" s="7" t="str">
        <f aca="false">IFERROR(VLOOKUP(LEFT(A913,4),Setor!A:D,2,FALSE()),"")</f>
        <v/>
      </c>
      <c r="C913" s="8" t="str">
        <f aca="false">IFERROR(__xludf.dummyfunction("IFERROR(IFERROR(GOOGLEFINANCE(A919,""price""),VLOOKUP(A919,'Dados-Status-Invest'!A:B,2,FALSE)),"""")"),"")</f>
        <v/>
      </c>
      <c r="D913" s="8" t="str">
        <f aca="false">IFERROR(VLOOKUP(A913,'Dados-Status-Invest'!$1:$1000,MATCH(D$1,'Dados-Status-Invest'!$2:$2,0),FALSE()),"")</f>
        <v/>
      </c>
      <c r="E913" s="8" t="e">
        <f aca="false">IF(D913+H913&gt;0,D913+H913,"")</f>
        <v>#VALUE!</v>
      </c>
      <c r="F913" s="8" t="str">
        <f aca="false">IFERROR(D913/VLOOKUP(A913,'Dados-Status-Invest'!$1:$1000,5,FALSE()),"")</f>
        <v/>
      </c>
      <c r="G913" s="8" t="str">
        <f aca="false">IFERROR(D913/VLOOKUP(A913,'Dados-Status-Invest'!$1:$1000,6,FALSE()),"")</f>
        <v/>
      </c>
      <c r="H913" s="8" t="str">
        <f aca="false">IFERROR(VLOOKUP(A913,'Dados-Status-Invest'!$1:$1000,12,FALSE())*J913,"")</f>
        <v/>
      </c>
      <c r="I913" s="8" t="str">
        <f aca="false">IFERROR(D913/VLOOKUP(A913,'Dados-Status-Invest'!$1:$1000,14,FALSE()),"")</f>
        <v/>
      </c>
      <c r="J913" s="9" t="str">
        <f aca="false">IFERROR(D913/VLOOKUP(A913,'Dados-Status-Invest'!$1:$1000,10,FALSE()),"")</f>
        <v/>
      </c>
      <c r="K913" s="10" t="str">
        <f aca="false">IFERROR(VLOOKUP(A913,'Dados-Status-Invest'!$1:$1000,3,FALSE())/100,"")</f>
        <v/>
      </c>
      <c r="L913" s="11" t="str">
        <f aca="false">IFERROR(VLOOKUP(A913,'Dados-Status-Invest'!$1:$1000,MATCH(L$1,'Dados-Status-Invest'!$2:$2,0),FALSE())/100,"")</f>
        <v/>
      </c>
      <c r="M913" s="10" t="str">
        <f aca="false">IFERROR(VLOOKUP(A913,'Dados-Status-Invest'!$1:$1000,MATCH(M$1,'Dados-Status-Invest'!$2:$2,0),FALSE())/100,"")</f>
        <v/>
      </c>
      <c r="N913" s="10" t="str">
        <f aca="false">IFERROR(VLOOKUP(A913,'Dados-Status-Invest'!$1:$1000,MATCH(N$1,'Dados-Status-Invest'!$2:$2,0),FALSE())/100,"")</f>
        <v/>
      </c>
      <c r="O913" s="10" t="str">
        <f aca="false">IFERROR(VLOOKUP(A913,'Dados-Status-Invest'!$1:$1000,MATCH(O$1,'Dados-Status-Invest'!$2:$2,0),FALSE())/100,"")</f>
        <v/>
      </c>
      <c r="P913" s="10" t="str">
        <f aca="false">IFERROR(VLOOKUP(A913,'Dados-Status-Invest'!$1:$1000,MATCH(P$1,'Dados-Status-Invest'!$2:$2,0),FALSE())/100,"")</f>
        <v/>
      </c>
      <c r="Q913" s="10" t="str">
        <f aca="false">IFERROR(VLOOKUP(A913,'Dados-Status-Invest'!$1:$1000,MATCH(Q$1,'Dados-Status-Invest'!$2:$2,0),FALSE())/100,"")</f>
        <v/>
      </c>
      <c r="R913" s="12" t="str">
        <f aca="false">IFERROR(VLOOKUP(A913,'Dados-Status-Invest'!$1:$1000,MATCH(R$1,'Dados-Status-Invest'!$2:$2,0),FALSE()),"")</f>
        <v/>
      </c>
      <c r="S913" s="12" t="str">
        <f aca="false">IFERROR(VLOOKUP(A913,'Dados-Status-Invest'!$1:$1000,MATCH(S$1,'Dados-Status-Invest'!$2:$2,0),FALSE()),"")</f>
        <v/>
      </c>
      <c r="T913" s="12" t="str">
        <f aca="false">IFERROR(VLOOKUP(A913,'Dados-Status-Invest'!$1:$1000,MATCH(T$1,'Dados-Status-Invest'!$2:$2,0),FALSE()),"")</f>
        <v/>
      </c>
      <c r="U913" s="12" t="str">
        <f aca="false">IFERROR(VLOOKUP(A913,'Dados-Status-Invest'!$1:$1000,MATCH(U$1,'Dados-Status-Invest'!$2:$2,0),FALSE()),"")</f>
        <v/>
      </c>
      <c r="V913" s="12" t="str">
        <f aca="false">IFERROR(VLOOKUP(A913,'Dados-Status-Invest'!$1:$1000,MATCH(V$1,'Dados-Status-Invest'!$2:$2,0),FALSE()),"")</f>
        <v/>
      </c>
      <c r="W913" s="10" t="str">
        <f aca="false">IFERROR(VLOOKUP(A913,'Dados-Status-Invest'!$1:$1000,MATCH(W$1,'Dados-Status-Invest'!$2:$2,0),FALSE())/100,"")</f>
        <v/>
      </c>
      <c r="X913" s="10" t="str">
        <f aca="false">IFERROR(VLOOKUP(A913,'Dados-Status-Invest'!$1:$1000,MATCH(X$1,'Dados-Status-Invest'!$2:$2,0),FALSE())/100,"")</f>
        <v/>
      </c>
    </row>
    <row r="914" customFormat="false" ht="15.75" hidden="false" customHeight="false" outlineLevel="0" collapsed="false">
      <c r="B914" s="7" t="str">
        <f aca="false">IFERROR(VLOOKUP(LEFT(A914,4),Setor!A:D,2,FALSE()),"")</f>
        <v/>
      </c>
      <c r="C914" s="8" t="str">
        <f aca="false">IFERROR(__xludf.dummyfunction("IFERROR(IFERROR(GOOGLEFINANCE(A920,""price""),VLOOKUP(A920,'Dados-Status-Invest'!A:B,2,FALSE)),"""")"),"")</f>
        <v/>
      </c>
      <c r="D914" s="8" t="str">
        <f aca="false">IFERROR(VLOOKUP(A914,'Dados-Status-Invest'!$1:$1000,MATCH(D$1,'Dados-Status-Invest'!$2:$2,0),FALSE()),"")</f>
        <v/>
      </c>
      <c r="E914" s="8" t="e">
        <f aca="false">IF(D914+H914&gt;0,D914+H914,"")</f>
        <v>#VALUE!</v>
      </c>
      <c r="F914" s="8" t="str">
        <f aca="false">IFERROR(D914/VLOOKUP(A914,'Dados-Status-Invest'!$1:$1000,5,FALSE()),"")</f>
        <v/>
      </c>
      <c r="G914" s="8" t="str">
        <f aca="false">IFERROR(D914/VLOOKUP(A914,'Dados-Status-Invest'!$1:$1000,6,FALSE()),"")</f>
        <v/>
      </c>
      <c r="H914" s="8" t="str">
        <f aca="false">IFERROR(VLOOKUP(A914,'Dados-Status-Invest'!$1:$1000,12,FALSE())*J914,"")</f>
        <v/>
      </c>
      <c r="I914" s="8" t="str">
        <f aca="false">IFERROR(D914/VLOOKUP(A914,'Dados-Status-Invest'!$1:$1000,14,FALSE()),"")</f>
        <v/>
      </c>
      <c r="J914" s="9" t="str">
        <f aca="false">IFERROR(D914/VLOOKUP(A914,'Dados-Status-Invest'!$1:$1000,10,FALSE()),"")</f>
        <v/>
      </c>
      <c r="K914" s="10" t="str">
        <f aca="false">IFERROR(VLOOKUP(A914,'Dados-Status-Invest'!$1:$1000,3,FALSE())/100,"")</f>
        <v/>
      </c>
      <c r="L914" s="11" t="str">
        <f aca="false">IFERROR(VLOOKUP(A914,'Dados-Status-Invest'!$1:$1000,MATCH(L$1,'Dados-Status-Invest'!$2:$2,0),FALSE())/100,"")</f>
        <v/>
      </c>
      <c r="M914" s="10" t="str">
        <f aca="false">IFERROR(VLOOKUP(A914,'Dados-Status-Invest'!$1:$1000,MATCH(M$1,'Dados-Status-Invest'!$2:$2,0),FALSE())/100,"")</f>
        <v/>
      </c>
      <c r="N914" s="10" t="str">
        <f aca="false">IFERROR(VLOOKUP(A914,'Dados-Status-Invest'!$1:$1000,MATCH(N$1,'Dados-Status-Invest'!$2:$2,0),FALSE())/100,"")</f>
        <v/>
      </c>
      <c r="O914" s="10" t="str">
        <f aca="false">IFERROR(VLOOKUP(A914,'Dados-Status-Invest'!$1:$1000,MATCH(O$1,'Dados-Status-Invest'!$2:$2,0),FALSE())/100,"")</f>
        <v/>
      </c>
      <c r="P914" s="10" t="str">
        <f aca="false">IFERROR(VLOOKUP(A914,'Dados-Status-Invest'!$1:$1000,MATCH(P$1,'Dados-Status-Invest'!$2:$2,0),FALSE())/100,"")</f>
        <v/>
      </c>
      <c r="Q914" s="10" t="str">
        <f aca="false">IFERROR(VLOOKUP(A914,'Dados-Status-Invest'!$1:$1000,MATCH(Q$1,'Dados-Status-Invest'!$2:$2,0),FALSE())/100,"")</f>
        <v/>
      </c>
      <c r="R914" s="12" t="str">
        <f aca="false">IFERROR(VLOOKUP(A914,'Dados-Status-Invest'!$1:$1000,MATCH(R$1,'Dados-Status-Invest'!$2:$2,0),FALSE()),"")</f>
        <v/>
      </c>
      <c r="S914" s="12" t="str">
        <f aca="false">IFERROR(VLOOKUP(A914,'Dados-Status-Invest'!$1:$1000,MATCH(S$1,'Dados-Status-Invest'!$2:$2,0),FALSE()),"")</f>
        <v/>
      </c>
      <c r="T914" s="12" t="str">
        <f aca="false">IFERROR(VLOOKUP(A914,'Dados-Status-Invest'!$1:$1000,MATCH(T$1,'Dados-Status-Invest'!$2:$2,0),FALSE()),"")</f>
        <v/>
      </c>
      <c r="U914" s="12" t="str">
        <f aca="false">IFERROR(VLOOKUP(A914,'Dados-Status-Invest'!$1:$1000,MATCH(U$1,'Dados-Status-Invest'!$2:$2,0),FALSE()),"")</f>
        <v/>
      </c>
      <c r="V914" s="12" t="str">
        <f aca="false">IFERROR(VLOOKUP(A914,'Dados-Status-Invest'!$1:$1000,MATCH(V$1,'Dados-Status-Invest'!$2:$2,0),FALSE()),"")</f>
        <v/>
      </c>
      <c r="W914" s="10" t="str">
        <f aca="false">IFERROR(VLOOKUP(A914,'Dados-Status-Invest'!$1:$1000,MATCH(W$1,'Dados-Status-Invest'!$2:$2,0),FALSE())/100,"")</f>
        <v/>
      </c>
      <c r="X914" s="10" t="str">
        <f aca="false">IFERROR(VLOOKUP(A914,'Dados-Status-Invest'!$1:$1000,MATCH(X$1,'Dados-Status-Invest'!$2:$2,0),FALSE())/100,"")</f>
        <v/>
      </c>
    </row>
    <row r="915" customFormat="false" ht="15.75" hidden="false" customHeight="false" outlineLevel="0" collapsed="false">
      <c r="B915" s="7" t="str">
        <f aca="false">IFERROR(VLOOKUP(LEFT(A915,4),Setor!A:D,2,FALSE()),"")</f>
        <v/>
      </c>
      <c r="C915" s="8" t="str">
        <f aca="false">IFERROR(__xludf.dummyfunction("IFERROR(IFERROR(GOOGLEFINANCE(A921,""price""),VLOOKUP(A921,'Dados-Status-Invest'!A:B,2,FALSE)),"""")"),"")</f>
        <v/>
      </c>
      <c r="D915" s="8" t="str">
        <f aca="false">IFERROR(VLOOKUP(A915,'Dados-Status-Invest'!$1:$1000,MATCH(D$1,'Dados-Status-Invest'!$2:$2,0),FALSE()),"")</f>
        <v/>
      </c>
      <c r="E915" s="8" t="e">
        <f aca="false">IF(D915+H915&gt;0,D915+H915,"")</f>
        <v>#VALUE!</v>
      </c>
      <c r="F915" s="8" t="str">
        <f aca="false">IFERROR(D915/VLOOKUP(A915,'Dados-Status-Invest'!$1:$1000,5,FALSE()),"")</f>
        <v/>
      </c>
      <c r="G915" s="8" t="str">
        <f aca="false">IFERROR(D915/VLOOKUP(A915,'Dados-Status-Invest'!$1:$1000,6,FALSE()),"")</f>
        <v/>
      </c>
      <c r="H915" s="8" t="str">
        <f aca="false">IFERROR(VLOOKUP(A915,'Dados-Status-Invest'!$1:$1000,12,FALSE())*J915,"")</f>
        <v/>
      </c>
      <c r="I915" s="8" t="str">
        <f aca="false">IFERROR(D915/VLOOKUP(A915,'Dados-Status-Invest'!$1:$1000,14,FALSE()),"")</f>
        <v/>
      </c>
      <c r="J915" s="9" t="str">
        <f aca="false">IFERROR(D915/VLOOKUP(A915,'Dados-Status-Invest'!$1:$1000,10,FALSE()),"")</f>
        <v/>
      </c>
      <c r="K915" s="10" t="str">
        <f aca="false">IFERROR(VLOOKUP(A915,'Dados-Status-Invest'!$1:$1000,3,FALSE())/100,"")</f>
        <v/>
      </c>
      <c r="L915" s="11" t="str">
        <f aca="false">IFERROR(VLOOKUP(A915,'Dados-Status-Invest'!$1:$1000,MATCH(L$1,'Dados-Status-Invest'!$2:$2,0),FALSE())/100,"")</f>
        <v/>
      </c>
      <c r="M915" s="10" t="str">
        <f aca="false">IFERROR(VLOOKUP(A915,'Dados-Status-Invest'!$1:$1000,MATCH(M$1,'Dados-Status-Invest'!$2:$2,0),FALSE())/100,"")</f>
        <v/>
      </c>
      <c r="N915" s="10" t="str">
        <f aca="false">IFERROR(VLOOKUP(A915,'Dados-Status-Invest'!$1:$1000,MATCH(N$1,'Dados-Status-Invest'!$2:$2,0),FALSE())/100,"")</f>
        <v/>
      </c>
      <c r="O915" s="10" t="str">
        <f aca="false">IFERROR(VLOOKUP(A915,'Dados-Status-Invest'!$1:$1000,MATCH(O$1,'Dados-Status-Invest'!$2:$2,0),FALSE())/100,"")</f>
        <v/>
      </c>
      <c r="P915" s="10" t="str">
        <f aca="false">IFERROR(VLOOKUP(A915,'Dados-Status-Invest'!$1:$1000,MATCH(P$1,'Dados-Status-Invest'!$2:$2,0),FALSE())/100,"")</f>
        <v/>
      </c>
      <c r="Q915" s="10" t="str">
        <f aca="false">IFERROR(VLOOKUP(A915,'Dados-Status-Invest'!$1:$1000,MATCH(Q$1,'Dados-Status-Invest'!$2:$2,0),FALSE())/100,"")</f>
        <v/>
      </c>
      <c r="R915" s="12" t="str">
        <f aca="false">IFERROR(VLOOKUP(A915,'Dados-Status-Invest'!$1:$1000,MATCH(R$1,'Dados-Status-Invest'!$2:$2,0),FALSE()),"")</f>
        <v/>
      </c>
      <c r="S915" s="12" t="str">
        <f aca="false">IFERROR(VLOOKUP(A915,'Dados-Status-Invest'!$1:$1000,MATCH(S$1,'Dados-Status-Invest'!$2:$2,0),FALSE()),"")</f>
        <v/>
      </c>
      <c r="T915" s="12" t="str">
        <f aca="false">IFERROR(VLOOKUP(A915,'Dados-Status-Invest'!$1:$1000,MATCH(T$1,'Dados-Status-Invest'!$2:$2,0),FALSE()),"")</f>
        <v/>
      </c>
      <c r="U915" s="12" t="str">
        <f aca="false">IFERROR(VLOOKUP(A915,'Dados-Status-Invest'!$1:$1000,MATCH(U$1,'Dados-Status-Invest'!$2:$2,0),FALSE()),"")</f>
        <v/>
      </c>
      <c r="V915" s="12" t="str">
        <f aca="false">IFERROR(VLOOKUP(A915,'Dados-Status-Invest'!$1:$1000,MATCH(V$1,'Dados-Status-Invest'!$2:$2,0),FALSE()),"")</f>
        <v/>
      </c>
      <c r="W915" s="10" t="str">
        <f aca="false">IFERROR(VLOOKUP(A915,'Dados-Status-Invest'!$1:$1000,MATCH(W$1,'Dados-Status-Invest'!$2:$2,0),FALSE())/100,"")</f>
        <v/>
      </c>
      <c r="X915" s="10" t="str">
        <f aca="false">IFERROR(VLOOKUP(A915,'Dados-Status-Invest'!$1:$1000,MATCH(X$1,'Dados-Status-Invest'!$2:$2,0),FALSE())/100,"")</f>
        <v/>
      </c>
    </row>
    <row r="916" customFormat="false" ht="15.75" hidden="false" customHeight="false" outlineLevel="0" collapsed="false">
      <c r="B916" s="7" t="str">
        <f aca="false">IFERROR(VLOOKUP(LEFT(A916,4),Setor!A:D,2,FALSE()),"")</f>
        <v/>
      </c>
      <c r="C916" s="8" t="str">
        <f aca="false">IFERROR(__xludf.dummyfunction("IFERROR(IFERROR(GOOGLEFINANCE(A922,""price""),VLOOKUP(A922,'Dados-Status-Invest'!A:B,2,FALSE)),"""")"),"")</f>
        <v/>
      </c>
      <c r="D916" s="8" t="str">
        <f aca="false">IFERROR(VLOOKUP(A916,'Dados-Status-Invest'!$1:$1000,MATCH(D$1,'Dados-Status-Invest'!$2:$2,0),FALSE()),"")</f>
        <v/>
      </c>
      <c r="E916" s="8" t="e">
        <f aca="false">IF(D916+H916&gt;0,D916+H916,"")</f>
        <v>#VALUE!</v>
      </c>
      <c r="F916" s="8" t="str">
        <f aca="false">IFERROR(D916/VLOOKUP(A916,'Dados-Status-Invest'!$1:$1000,5,FALSE()),"")</f>
        <v/>
      </c>
      <c r="G916" s="8" t="str">
        <f aca="false">IFERROR(D916/VLOOKUP(A916,'Dados-Status-Invest'!$1:$1000,6,FALSE()),"")</f>
        <v/>
      </c>
      <c r="H916" s="8" t="str">
        <f aca="false">IFERROR(VLOOKUP(A916,'Dados-Status-Invest'!$1:$1000,12,FALSE())*J916,"")</f>
        <v/>
      </c>
      <c r="I916" s="8" t="str">
        <f aca="false">IFERROR(D916/VLOOKUP(A916,'Dados-Status-Invest'!$1:$1000,14,FALSE()),"")</f>
        <v/>
      </c>
      <c r="J916" s="9" t="str">
        <f aca="false">IFERROR(D916/VLOOKUP(A916,'Dados-Status-Invest'!$1:$1000,10,FALSE()),"")</f>
        <v/>
      </c>
      <c r="K916" s="10" t="str">
        <f aca="false">IFERROR(VLOOKUP(A916,'Dados-Status-Invest'!$1:$1000,3,FALSE())/100,"")</f>
        <v/>
      </c>
      <c r="L916" s="11" t="str">
        <f aca="false">IFERROR(VLOOKUP(A916,'Dados-Status-Invest'!$1:$1000,MATCH(L$1,'Dados-Status-Invest'!$2:$2,0),FALSE())/100,"")</f>
        <v/>
      </c>
      <c r="M916" s="10" t="str">
        <f aca="false">IFERROR(VLOOKUP(A916,'Dados-Status-Invest'!$1:$1000,MATCH(M$1,'Dados-Status-Invest'!$2:$2,0),FALSE())/100,"")</f>
        <v/>
      </c>
      <c r="N916" s="10" t="str">
        <f aca="false">IFERROR(VLOOKUP(A916,'Dados-Status-Invest'!$1:$1000,MATCH(N$1,'Dados-Status-Invest'!$2:$2,0),FALSE())/100,"")</f>
        <v/>
      </c>
      <c r="O916" s="10" t="str">
        <f aca="false">IFERROR(VLOOKUP(A916,'Dados-Status-Invest'!$1:$1000,MATCH(O$1,'Dados-Status-Invest'!$2:$2,0),FALSE())/100,"")</f>
        <v/>
      </c>
      <c r="P916" s="10" t="str">
        <f aca="false">IFERROR(VLOOKUP(A916,'Dados-Status-Invest'!$1:$1000,MATCH(P$1,'Dados-Status-Invest'!$2:$2,0),FALSE())/100,"")</f>
        <v/>
      </c>
      <c r="Q916" s="10" t="str">
        <f aca="false">IFERROR(VLOOKUP(A916,'Dados-Status-Invest'!$1:$1000,MATCH(Q$1,'Dados-Status-Invest'!$2:$2,0),FALSE())/100,"")</f>
        <v/>
      </c>
      <c r="R916" s="12" t="str">
        <f aca="false">IFERROR(VLOOKUP(A916,'Dados-Status-Invest'!$1:$1000,MATCH(R$1,'Dados-Status-Invest'!$2:$2,0),FALSE()),"")</f>
        <v/>
      </c>
      <c r="S916" s="12" t="str">
        <f aca="false">IFERROR(VLOOKUP(A916,'Dados-Status-Invest'!$1:$1000,MATCH(S$1,'Dados-Status-Invest'!$2:$2,0),FALSE()),"")</f>
        <v/>
      </c>
      <c r="T916" s="12" t="str">
        <f aca="false">IFERROR(VLOOKUP(A916,'Dados-Status-Invest'!$1:$1000,MATCH(T$1,'Dados-Status-Invest'!$2:$2,0),FALSE()),"")</f>
        <v/>
      </c>
      <c r="U916" s="12" t="str">
        <f aca="false">IFERROR(VLOOKUP(A916,'Dados-Status-Invest'!$1:$1000,MATCH(U$1,'Dados-Status-Invest'!$2:$2,0),FALSE()),"")</f>
        <v/>
      </c>
      <c r="V916" s="12" t="str">
        <f aca="false">IFERROR(VLOOKUP(A916,'Dados-Status-Invest'!$1:$1000,MATCH(V$1,'Dados-Status-Invest'!$2:$2,0),FALSE()),"")</f>
        <v/>
      </c>
      <c r="W916" s="10" t="str">
        <f aca="false">IFERROR(VLOOKUP(A916,'Dados-Status-Invest'!$1:$1000,MATCH(W$1,'Dados-Status-Invest'!$2:$2,0),FALSE())/100,"")</f>
        <v/>
      </c>
      <c r="X916" s="10" t="str">
        <f aca="false">IFERROR(VLOOKUP(A916,'Dados-Status-Invest'!$1:$1000,MATCH(X$1,'Dados-Status-Invest'!$2:$2,0),FALSE())/100,"")</f>
        <v/>
      </c>
    </row>
    <row r="917" customFormat="false" ht="15.75" hidden="false" customHeight="false" outlineLevel="0" collapsed="false">
      <c r="B917" s="7" t="str">
        <f aca="false">IFERROR(VLOOKUP(LEFT(A917,4),Setor!A:D,2,FALSE()),"")</f>
        <v/>
      </c>
      <c r="C917" s="8" t="str">
        <f aca="false">IFERROR(__xludf.dummyfunction("IFERROR(IFERROR(GOOGLEFINANCE(A923,""price""),VLOOKUP(A923,'Dados-Status-Invest'!A:B,2,FALSE)),"""")"),"")</f>
        <v/>
      </c>
      <c r="D917" s="8" t="str">
        <f aca="false">IFERROR(VLOOKUP(A917,'Dados-Status-Invest'!$1:$1000,MATCH(D$1,'Dados-Status-Invest'!$2:$2,0),FALSE()),"")</f>
        <v/>
      </c>
      <c r="E917" s="8" t="e">
        <f aca="false">IF(D917+H917&gt;0,D917+H917,"")</f>
        <v>#VALUE!</v>
      </c>
      <c r="F917" s="8" t="str">
        <f aca="false">IFERROR(D917/VLOOKUP(A917,'Dados-Status-Invest'!$1:$1000,5,FALSE()),"")</f>
        <v/>
      </c>
      <c r="G917" s="8" t="str">
        <f aca="false">IFERROR(D917/VLOOKUP(A917,'Dados-Status-Invest'!$1:$1000,6,FALSE()),"")</f>
        <v/>
      </c>
      <c r="H917" s="8" t="str">
        <f aca="false">IFERROR(VLOOKUP(A917,'Dados-Status-Invest'!$1:$1000,12,FALSE())*J917,"")</f>
        <v/>
      </c>
      <c r="I917" s="8" t="str">
        <f aca="false">IFERROR(D917/VLOOKUP(A917,'Dados-Status-Invest'!$1:$1000,14,FALSE()),"")</f>
        <v/>
      </c>
      <c r="J917" s="9" t="str">
        <f aca="false">IFERROR(D917/VLOOKUP(A917,'Dados-Status-Invest'!$1:$1000,10,FALSE()),"")</f>
        <v/>
      </c>
      <c r="K917" s="10" t="str">
        <f aca="false">IFERROR(VLOOKUP(A917,'Dados-Status-Invest'!$1:$1000,3,FALSE())/100,"")</f>
        <v/>
      </c>
      <c r="L917" s="11" t="str">
        <f aca="false">IFERROR(VLOOKUP(A917,'Dados-Status-Invest'!$1:$1000,MATCH(L$1,'Dados-Status-Invest'!$2:$2,0),FALSE())/100,"")</f>
        <v/>
      </c>
      <c r="M917" s="10" t="str">
        <f aca="false">IFERROR(VLOOKUP(A917,'Dados-Status-Invest'!$1:$1000,MATCH(M$1,'Dados-Status-Invest'!$2:$2,0),FALSE())/100,"")</f>
        <v/>
      </c>
      <c r="N917" s="10" t="str">
        <f aca="false">IFERROR(VLOOKUP(A917,'Dados-Status-Invest'!$1:$1000,MATCH(N$1,'Dados-Status-Invest'!$2:$2,0),FALSE())/100,"")</f>
        <v/>
      </c>
      <c r="O917" s="10" t="str">
        <f aca="false">IFERROR(VLOOKUP(A917,'Dados-Status-Invest'!$1:$1000,MATCH(O$1,'Dados-Status-Invest'!$2:$2,0),FALSE())/100,"")</f>
        <v/>
      </c>
      <c r="P917" s="10" t="str">
        <f aca="false">IFERROR(VLOOKUP(A917,'Dados-Status-Invest'!$1:$1000,MATCH(P$1,'Dados-Status-Invest'!$2:$2,0),FALSE())/100,"")</f>
        <v/>
      </c>
      <c r="Q917" s="10" t="str">
        <f aca="false">IFERROR(VLOOKUP(A917,'Dados-Status-Invest'!$1:$1000,MATCH(Q$1,'Dados-Status-Invest'!$2:$2,0),FALSE())/100,"")</f>
        <v/>
      </c>
      <c r="R917" s="12" t="str">
        <f aca="false">IFERROR(VLOOKUP(A917,'Dados-Status-Invest'!$1:$1000,MATCH(R$1,'Dados-Status-Invest'!$2:$2,0),FALSE()),"")</f>
        <v/>
      </c>
      <c r="S917" s="12" t="str">
        <f aca="false">IFERROR(VLOOKUP(A917,'Dados-Status-Invest'!$1:$1000,MATCH(S$1,'Dados-Status-Invest'!$2:$2,0),FALSE()),"")</f>
        <v/>
      </c>
      <c r="T917" s="12" t="str">
        <f aca="false">IFERROR(VLOOKUP(A917,'Dados-Status-Invest'!$1:$1000,MATCH(T$1,'Dados-Status-Invest'!$2:$2,0),FALSE()),"")</f>
        <v/>
      </c>
      <c r="U917" s="12" t="str">
        <f aca="false">IFERROR(VLOOKUP(A917,'Dados-Status-Invest'!$1:$1000,MATCH(U$1,'Dados-Status-Invest'!$2:$2,0),FALSE()),"")</f>
        <v/>
      </c>
      <c r="V917" s="12" t="str">
        <f aca="false">IFERROR(VLOOKUP(A917,'Dados-Status-Invest'!$1:$1000,MATCH(V$1,'Dados-Status-Invest'!$2:$2,0),FALSE()),"")</f>
        <v/>
      </c>
      <c r="W917" s="10" t="str">
        <f aca="false">IFERROR(VLOOKUP(A917,'Dados-Status-Invest'!$1:$1000,MATCH(W$1,'Dados-Status-Invest'!$2:$2,0),FALSE())/100,"")</f>
        <v/>
      </c>
      <c r="X917" s="10" t="str">
        <f aca="false">IFERROR(VLOOKUP(A917,'Dados-Status-Invest'!$1:$1000,MATCH(X$1,'Dados-Status-Invest'!$2:$2,0),FALSE())/100,"")</f>
        <v/>
      </c>
    </row>
    <row r="918" customFormat="false" ht="15.75" hidden="false" customHeight="false" outlineLevel="0" collapsed="false">
      <c r="B918" s="7" t="str">
        <f aca="false">IFERROR(VLOOKUP(LEFT(A918,4),Setor!A:D,2,FALSE()),"")</f>
        <v/>
      </c>
      <c r="C918" s="8" t="str">
        <f aca="false">IFERROR(__xludf.dummyfunction("IFERROR(IFERROR(GOOGLEFINANCE(A924,""price""),VLOOKUP(A924,'Dados-Status-Invest'!A:B,2,FALSE)),"""")"),"")</f>
        <v/>
      </c>
      <c r="D918" s="8" t="str">
        <f aca="false">IFERROR(VLOOKUP(A918,'Dados-Status-Invest'!$1:$1000,MATCH(D$1,'Dados-Status-Invest'!$2:$2,0),FALSE()),"")</f>
        <v/>
      </c>
      <c r="E918" s="8" t="e">
        <f aca="false">IF(D918+H918&gt;0,D918+H918,"")</f>
        <v>#VALUE!</v>
      </c>
      <c r="F918" s="8" t="str">
        <f aca="false">IFERROR(D918/VLOOKUP(A918,'Dados-Status-Invest'!$1:$1000,5,FALSE()),"")</f>
        <v/>
      </c>
      <c r="G918" s="8" t="str">
        <f aca="false">IFERROR(D918/VLOOKUP(A918,'Dados-Status-Invest'!$1:$1000,6,FALSE()),"")</f>
        <v/>
      </c>
      <c r="H918" s="8" t="str">
        <f aca="false">IFERROR(VLOOKUP(A918,'Dados-Status-Invest'!$1:$1000,12,FALSE())*J918,"")</f>
        <v/>
      </c>
      <c r="I918" s="8" t="str">
        <f aca="false">IFERROR(D918/VLOOKUP(A918,'Dados-Status-Invest'!$1:$1000,14,FALSE()),"")</f>
        <v/>
      </c>
      <c r="J918" s="9" t="str">
        <f aca="false">IFERROR(D918/VLOOKUP(A918,'Dados-Status-Invest'!$1:$1000,10,FALSE()),"")</f>
        <v/>
      </c>
      <c r="K918" s="10" t="str">
        <f aca="false">IFERROR(VLOOKUP(A918,'Dados-Status-Invest'!$1:$1000,3,FALSE())/100,"")</f>
        <v/>
      </c>
      <c r="L918" s="11" t="str">
        <f aca="false">IFERROR(VLOOKUP(A918,'Dados-Status-Invest'!$1:$1000,MATCH(L$1,'Dados-Status-Invest'!$2:$2,0),FALSE())/100,"")</f>
        <v/>
      </c>
      <c r="M918" s="10" t="str">
        <f aca="false">IFERROR(VLOOKUP(A918,'Dados-Status-Invest'!$1:$1000,MATCH(M$1,'Dados-Status-Invest'!$2:$2,0),FALSE())/100,"")</f>
        <v/>
      </c>
      <c r="N918" s="10" t="str">
        <f aca="false">IFERROR(VLOOKUP(A918,'Dados-Status-Invest'!$1:$1000,MATCH(N$1,'Dados-Status-Invest'!$2:$2,0),FALSE())/100,"")</f>
        <v/>
      </c>
      <c r="O918" s="10" t="str">
        <f aca="false">IFERROR(VLOOKUP(A918,'Dados-Status-Invest'!$1:$1000,MATCH(O$1,'Dados-Status-Invest'!$2:$2,0),FALSE())/100,"")</f>
        <v/>
      </c>
      <c r="P918" s="10" t="str">
        <f aca="false">IFERROR(VLOOKUP(A918,'Dados-Status-Invest'!$1:$1000,MATCH(P$1,'Dados-Status-Invest'!$2:$2,0),FALSE())/100,"")</f>
        <v/>
      </c>
      <c r="Q918" s="10" t="str">
        <f aca="false">IFERROR(VLOOKUP(A918,'Dados-Status-Invest'!$1:$1000,MATCH(Q$1,'Dados-Status-Invest'!$2:$2,0),FALSE())/100,"")</f>
        <v/>
      </c>
      <c r="R918" s="12" t="str">
        <f aca="false">IFERROR(VLOOKUP(A918,'Dados-Status-Invest'!$1:$1000,MATCH(R$1,'Dados-Status-Invest'!$2:$2,0),FALSE()),"")</f>
        <v/>
      </c>
      <c r="S918" s="12" t="str">
        <f aca="false">IFERROR(VLOOKUP(A918,'Dados-Status-Invest'!$1:$1000,MATCH(S$1,'Dados-Status-Invest'!$2:$2,0),FALSE()),"")</f>
        <v/>
      </c>
      <c r="T918" s="12" t="str">
        <f aca="false">IFERROR(VLOOKUP(A918,'Dados-Status-Invest'!$1:$1000,MATCH(T$1,'Dados-Status-Invest'!$2:$2,0),FALSE()),"")</f>
        <v/>
      </c>
      <c r="U918" s="12" t="str">
        <f aca="false">IFERROR(VLOOKUP(A918,'Dados-Status-Invest'!$1:$1000,MATCH(U$1,'Dados-Status-Invest'!$2:$2,0),FALSE()),"")</f>
        <v/>
      </c>
      <c r="V918" s="12" t="str">
        <f aca="false">IFERROR(VLOOKUP(A918,'Dados-Status-Invest'!$1:$1000,MATCH(V$1,'Dados-Status-Invest'!$2:$2,0),FALSE()),"")</f>
        <v/>
      </c>
      <c r="W918" s="10" t="str">
        <f aca="false">IFERROR(VLOOKUP(A918,'Dados-Status-Invest'!$1:$1000,MATCH(W$1,'Dados-Status-Invest'!$2:$2,0),FALSE())/100,"")</f>
        <v/>
      </c>
      <c r="X918" s="10" t="str">
        <f aca="false">IFERROR(VLOOKUP(A918,'Dados-Status-Invest'!$1:$1000,MATCH(X$1,'Dados-Status-Invest'!$2:$2,0),FALSE())/100,"")</f>
        <v/>
      </c>
    </row>
    <row r="919" customFormat="false" ht="15.75" hidden="false" customHeight="false" outlineLevel="0" collapsed="false">
      <c r="B919" s="7" t="str">
        <f aca="false">IFERROR(VLOOKUP(LEFT(A919,4),Setor!A:D,2,FALSE()),"")</f>
        <v/>
      </c>
      <c r="C919" s="8" t="str">
        <f aca="false">IFERROR(__xludf.dummyfunction("IFERROR(IFERROR(GOOGLEFINANCE(A925,""price""),VLOOKUP(A925,'Dados-Status-Invest'!A:B,2,FALSE)),"""")"),"")</f>
        <v/>
      </c>
      <c r="D919" s="8" t="str">
        <f aca="false">IFERROR(VLOOKUP(A919,'Dados-Status-Invest'!$1:$1000,MATCH(D$1,'Dados-Status-Invest'!$2:$2,0),FALSE()),"")</f>
        <v/>
      </c>
      <c r="E919" s="8" t="e">
        <f aca="false">IF(D919+H919&gt;0,D919+H919,"")</f>
        <v>#VALUE!</v>
      </c>
      <c r="F919" s="8" t="str">
        <f aca="false">IFERROR(D919/VLOOKUP(A919,'Dados-Status-Invest'!$1:$1000,5,FALSE()),"")</f>
        <v/>
      </c>
      <c r="G919" s="8" t="str">
        <f aca="false">IFERROR(D919/VLOOKUP(A919,'Dados-Status-Invest'!$1:$1000,6,FALSE()),"")</f>
        <v/>
      </c>
      <c r="H919" s="8" t="str">
        <f aca="false">IFERROR(VLOOKUP(A919,'Dados-Status-Invest'!$1:$1000,12,FALSE())*J919,"")</f>
        <v/>
      </c>
      <c r="I919" s="8" t="str">
        <f aca="false">IFERROR(D919/VLOOKUP(A919,'Dados-Status-Invest'!$1:$1000,14,FALSE()),"")</f>
        <v/>
      </c>
      <c r="J919" s="9" t="str">
        <f aca="false">IFERROR(D919/VLOOKUP(A919,'Dados-Status-Invest'!$1:$1000,10,FALSE()),"")</f>
        <v/>
      </c>
      <c r="K919" s="10" t="str">
        <f aca="false">IFERROR(VLOOKUP(A919,'Dados-Status-Invest'!$1:$1000,3,FALSE())/100,"")</f>
        <v/>
      </c>
      <c r="L919" s="11" t="str">
        <f aca="false">IFERROR(VLOOKUP(A919,'Dados-Status-Invest'!$1:$1000,MATCH(L$1,'Dados-Status-Invest'!$2:$2,0),FALSE())/100,"")</f>
        <v/>
      </c>
      <c r="M919" s="10" t="str">
        <f aca="false">IFERROR(VLOOKUP(A919,'Dados-Status-Invest'!$1:$1000,MATCH(M$1,'Dados-Status-Invest'!$2:$2,0),FALSE())/100,"")</f>
        <v/>
      </c>
      <c r="N919" s="10" t="str">
        <f aca="false">IFERROR(VLOOKUP(A919,'Dados-Status-Invest'!$1:$1000,MATCH(N$1,'Dados-Status-Invest'!$2:$2,0),FALSE())/100,"")</f>
        <v/>
      </c>
      <c r="O919" s="10" t="str">
        <f aca="false">IFERROR(VLOOKUP(A919,'Dados-Status-Invest'!$1:$1000,MATCH(O$1,'Dados-Status-Invest'!$2:$2,0),FALSE())/100,"")</f>
        <v/>
      </c>
      <c r="P919" s="10" t="str">
        <f aca="false">IFERROR(VLOOKUP(A919,'Dados-Status-Invest'!$1:$1000,MATCH(P$1,'Dados-Status-Invest'!$2:$2,0),FALSE())/100,"")</f>
        <v/>
      </c>
      <c r="Q919" s="10" t="str">
        <f aca="false">IFERROR(VLOOKUP(A919,'Dados-Status-Invest'!$1:$1000,MATCH(Q$1,'Dados-Status-Invest'!$2:$2,0),FALSE())/100,"")</f>
        <v/>
      </c>
      <c r="R919" s="12" t="str">
        <f aca="false">IFERROR(VLOOKUP(A919,'Dados-Status-Invest'!$1:$1000,MATCH(R$1,'Dados-Status-Invest'!$2:$2,0),FALSE()),"")</f>
        <v/>
      </c>
      <c r="S919" s="12" t="str">
        <f aca="false">IFERROR(VLOOKUP(A919,'Dados-Status-Invest'!$1:$1000,MATCH(S$1,'Dados-Status-Invest'!$2:$2,0),FALSE()),"")</f>
        <v/>
      </c>
      <c r="T919" s="12" t="str">
        <f aca="false">IFERROR(VLOOKUP(A919,'Dados-Status-Invest'!$1:$1000,MATCH(T$1,'Dados-Status-Invest'!$2:$2,0),FALSE()),"")</f>
        <v/>
      </c>
      <c r="U919" s="12" t="str">
        <f aca="false">IFERROR(VLOOKUP(A919,'Dados-Status-Invest'!$1:$1000,MATCH(U$1,'Dados-Status-Invest'!$2:$2,0),FALSE()),"")</f>
        <v/>
      </c>
      <c r="V919" s="12" t="str">
        <f aca="false">IFERROR(VLOOKUP(A919,'Dados-Status-Invest'!$1:$1000,MATCH(V$1,'Dados-Status-Invest'!$2:$2,0),FALSE()),"")</f>
        <v/>
      </c>
      <c r="W919" s="10" t="str">
        <f aca="false">IFERROR(VLOOKUP(A919,'Dados-Status-Invest'!$1:$1000,MATCH(W$1,'Dados-Status-Invest'!$2:$2,0),FALSE())/100,"")</f>
        <v/>
      </c>
      <c r="X919" s="10" t="str">
        <f aca="false">IFERROR(VLOOKUP(A919,'Dados-Status-Invest'!$1:$1000,MATCH(X$1,'Dados-Status-Invest'!$2:$2,0),FALSE())/100,"")</f>
        <v/>
      </c>
    </row>
    <row r="920" customFormat="false" ht="15.75" hidden="false" customHeight="false" outlineLevel="0" collapsed="false">
      <c r="B920" s="7" t="str">
        <f aca="false">IFERROR(VLOOKUP(LEFT(A920,4),Setor!A:D,2,FALSE()),"")</f>
        <v/>
      </c>
      <c r="C920" s="8" t="str">
        <f aca="false">IFERROR(__xludf.dummyfunction("IFERROR(IFERROR(GOOGLEFINANCE(A926,""price""),VLOOKUP(A926,'Dados-Status-Invest'!A:B,2,FALSE)),"""")"),"")</f>
        <v/>
      </c>
      <c r="D920" s="8" t="str">
        <f aca="false">IFERROR(VLOOKUP(A920,'Dados-Status-Invest'!$1:$1000,MATCH(D$1,'Dados-Status-Invest'!$2:$2,0),FALSE()),"")</f>
        <v/>
      </c>
      <c r="E920" s="8" t="e">
        <f aca="false">IF(D920+H920&gt;0,D920+H920,"")</f>
        <v>#VALUE!</v>
      </c>
      <c r="F920" s="8" t="str">
        <f aca="false">IFERROR(D920/VLOOKUP(A920,'Dados-Status-Invest'!$1:$1000,5,FALSE()),"")</f>
        <v/>
      </c>
      <c r="G920" s="8" t="str">
        <f aca="false">IFERROR(D920/VLOOKUP(A920,'Dados-Status-Invest'!$1:$1000,6,FALSE()),"")</f>
        <v/>
      </c>
      <c r="H920" s="8" t="str">
        <f aca="false">IFERROR(VLOOKUP(A920,'Dados-Status-Invest'!$1:$1000,12,FALSE())*J920,"")</f>
        <v/>
      </c>
      <c r="I920" s="8" t="str">
        <f aca="false">IFERROR(D920/VLOOKUP(A920,'Dados-Status-Invest'!$1:$1000,14,FALSE()),"")</f>
        <v/>
      </c>
      <c r="J920" s="9" t="str">
        <f aca="false">IFERROR(D920/VLOOKUP(A920,'Dados-Status-Invest'!$1:$1000,10,FALSE()),"")</f>
        <v/>
      </c>
      <c r="K920" s="10" t="str">
        <f aca="false">IFERROR(VLOOKUP(A920,'Dados-Status-Invest'!$1:$1000,3,FALSE())/100,"")</f>
        <v/>
      </c>
      <c r="L920" s="11" t="str">
        <f aca="false">IFERROR(VLOOKUP(A920,'Dados-Status-Invest'!$1:$1000,MATCH(L$1,'Dados-Status-Invest'!$2:$2,0),FALSE())/100,"")</f>
        <v/>
      </c>
      <c r="M920" s="10" t="str">
        <f aca="false">IFERROR(VLOOKUP(A920,'Dados-Status-Invest'!$1:$1000,MATCH(M$1,'Dados-Status-Invest'!$2:$2,0),FALSE())/100,"")</f>
        <v/>
      </c>
      <c r="N920" s="10" t="str">
        <f aca="false">IFERROR(VLOOKUP(A920,'Dados-Status-Invest'!$1:$1000,MATCH(N$1,'Dados-Status-Invest'!$2:$2,0),FALSE())/100,"")</f>
        <v/>
      </c>
      <c r="O920" s="10" t="str">
        <f aca="false">IFERROR(VLOOKUP(A920,'Dados-Status-Invest'!$1:$1000,MATCH(O$1,'Dados-Status-Invest'!$2:$2,0),FALSE())/100,"")</f>
        <v/>
      </c>
      <c r="P920" s="10" t="str">
        <f aca="false">IFERROR(VLOOKUP(A920,'Dados-Status-Invest'!$1:$1000,MATCH(P$1,'Dados-Status-Invest'!$2:$2,0),FALSE())/100,"")</f>
        <v/>
      </c>
      <c r="Q920" s="10" t="str">
        <f aca="false">IFERROR(VLOOKUP(A920,'Dados-Status-Invest'!$1:$1000,MATCH(Q$1,'Dados-Status-Invest'!$2:$2,0),FALSE())/100,"")</f>
        <v/>
      </c>
      <c r="R920" s="12" t="str">
        <f aca="false">IFERROR(VLOOKUP(A920,'Dados-Status-Invest'!$1:$1000,MATCH(R$1,'Dados-Status-Invest'!$2:$2,0),FALSE()),"")</f>
        <v/>
      </c>
      <c r="S920" s="12" t="str">
        <f aca="false">IFERROR(VLOOKUP(A920,'Dados-Status-Invest'!$1:$1000,MATCH(S$1,'Dados-Status-Invest'!$2:$2,0),FALSE()),"")</f>
        <v/>
      </c>
      <c r="T920" s="12" t="str">
        <f aca="false">IFERROR(VLOOKUP(A920,'Dados-Status-Invest'!$1:$1000,MATCH(T$1,'Dados-Status-Invest'!$2:$2,0),FALSE()),"")</f>
        <v/>
      </c>
      <c r="U920" s="12" t="str">
        <f aca="false">IFERROR(VLOOKUP(A920,'Dados-Status-Invest'!$1:$1000,MATCH(U$1,'Dados-Status-Invest'!$2:$2,0),FALSE()),"")</f>
        <v/>
      </c>
      <c r="V920" s="12" t="str">
        <f aca="false">IFERROR(VLOOKUP(A920,'Dados-Status-Invest'!$1:$1000,MATCH(V$1,'Dados-Status-Invest'!$2:$2,0),FALSE()),"")</f>
        <v/>
      </c>
      <c r="W920" s="10" t="str">
        <f aca="false">IFERROR(VLOOKUP(A920,'Dados-Status-Invest'!$1:$1000,MATCH(W$1,'Dados-Status-Invest'!$2:$2,0),FALSE())/100,"")</f>
        <v/>
      </c>
      <c r="X920" s="10" t="str">
        <f aca="false">IFERROR(VLOOKUP(A920,'Dados-Status-Invest'!$1:$1000,MATCH(X$1,'Dados-Status-Invest'!$2:$2,0),FALSE())/100,"")</f>
        <v/>
      </c>
    </row>
    <row r="921" customFormat="false" ht="15.75" hidden="false" customHeight="false" outlineLevel="0" collapsed="false">
      <c r="B921" s="7" t="str">
        <f aca="false">IFERROR(VLOOKUP(LEFT(A921,4),Setor!A:D,2,FALSE()),"")</f>
        <v/>
      </c>
      <c r="C921" s="8" t="str">
        <f aca="false">IFERROR(__xludf.dummyfunction("IFERROR(IFERROR(GOOGLEFINANCE(A927,""price""),VLOOKUP(A927,'Dados-Status-Invest'!A:B,2,FALSE)),"""")"),"")</f>
        <v/>
      </c>
      <c r="D921" s="8" t="str">
        <f aca="false">IFERROR(VLOOKUP(A921,'Dados-Status-Invest'!$1:$1000,MATCH(D$1,'Dados-Status-Invest'!$2:$2,0),FALSE()),"")</f>
        <v/>
      </c>
      <c r="E921" s="8" t="e">
        <f aca="false">IF(D921+H921&gt;0,D921+H921,"")</f>
        <v>#VALUE!</v>
      </c>
      <c r="F921" s="8" t="str">
        <f aca="false">IFERROR(D921/VLOOKUP(A921,'Dados-Status-Invest'!$1:$1000,5,FALSE()),"")</f>
        <v/>
      </c>
      <c r="G921" s="8" t="str">
        <f aca="false">IFERROR(D921/VLOOKUP(A921,'Dados-Status-Invest'!$1:$1000,6,FALSE()),"")</f>
        <v/>
      </c>
      <c r="H921" s="8" t="str">
        <f aca="false">IFERROR(VLOOKUP(A921,'Dados-Status-Invest'!$1:$1000,12,FALSE())*J921,"")</f>
        <v/>
      </c>
      <c r="I921" s="8" t="str">
        <f aca="false">IFERROR(D921/VLOOKUP(A921,'Dados-Status-Invest'!$1:$1000,14,FALSE()),"")</f>
        <v/>
      </c>
      <c r="J921" s="9" t="str">
        <f aca="false">IFERROR(D921/VLOOKUP(A921,'Dados-Status-Invest'!$1:$1000,10,FALSE()),"")</f>
        <v/>
      </c>
      <c r="K921" s="10" t="str">
        <f aca="false">IFERROR(VLOOKUP(A921,'Dados-Status-Invest'!$1:$1000,3,FALSE())/100,"")</f>
        <v/>
      </c>
      <c r="L921" s="11" t="str">
        <f aca="false">IFERROR(VLOOKUP(A921,'Dados-Status-Invest'!$1:$1000,MATCH(L$1,'Dados-Status-Invest'!$2:$2,0),FALSE())/100,"")</f>
        <v/>
      </c>
      <c r="M921" s="10" t="str">
        <f aca="false">IFERROR(VLOOKUP(A921,'Dados-Status-Invest'!$1:$1000,MATCH(M$1,'Dados-Status-Invest'!$2:$2,0),FALSE())/100,"")</f>
        <v/>
      </c>
      <c r="N921" s="10" t="str">
        <f aca="false">IFERROR(VLOOKUP(A921,'Dados-Status-Invest'!$1:$1000,MATCH(N$1,'Dados-Status-Invest'!$2:$2,0),FALSE())/100,"")</f>
        <v/>
      </c>
      <c r="O921" s="10" t="str">
        <f aca="false">IFERROR(VLOOKUP(A921,'Dados-Status-Invest'!$1:$1000,MATCH(O$1,'Dados-Status-Invest'!$2:$2,0),FALSE())/100,"")</f>
        <v/>
      </c>
      <c r="P921" s="10" t="str">
        <f aca="false">IFERROR(VLOOKUP(A921,'Dados-Status-Invest'!$1:$1000,MATCH(P$1,'Dados-Status-Invest'!$2:$2,0),FALSE())/100,"")</f>
        <v/>
      </c>
      <c r="Q921" s="10" t="str">
        <f aca="false">IFERROR(VLOOKUP(A921,'Dados-Status-Invest'!$1:$1000,MATCH(Q$1,'Dados-Status-Invest'!$2:$2,0),FALSE())/100,"")</f>
        <v/>
      </c>
      <c r="R921" s="12" t="str">
        <f aca="false">IFERROR(VLOOKUP(A921,'Dados-Status-Invest'!$1:$1000,MATCH(R$1,'Dados-Status-Invest'!$2:$2,0),FALSE()),"")</f>
        <v/>
      </c>
      <c r="S921" s="12" t="str">
        <f aca="false">IFERROR(VLOOKUP(A921,'Dados-Status-Invest'!$1:$1000,MATCH(S$1,'Dados-Status-Invest'!$2:$2,0),FALSE()),"")</f>
        <v/>
      </c>
      <c r="T921" s="12" t="str">
        <f aca="false">IFERROR(VLOOKUP(A921,'Dados-Status-Invest'!$1:$1000,MATCH(T$1,'Dados-Status-Invest'!$2:$2,0),FALSE()),"")</f>
        <v/>
      </c>
      <c r="U921" s="12" t="str">
        <f aca="false">IFERROR(VLOOKUP(A921,'Dados-Status-Invest'!$1:$1000,MATCH(U$1,'Dados-Status-Invest'!$2:$2,0),FALSE()),"")</f>
        <v/>
      </c>
      <c r="V921" s="12" t="str">
        <f aca="false">IFERROR(VLOOKUP(A921,'Dados-Status-Invest'!$1:$1000,MATCH(V$1,'Dados-Status-Invest'!$2:$2,0),FALSE()),"")</f>
        <v/>
      </c>
      <c r="W921" s="10" t="str">
        <f aca="false">IFERROR(VLOOKUP(A921,'Dados-Status-Invest'!$1:$1000,MATCH(W$1,'Dados-Status-Invest'!$2:$2,0),FALSE())/100,"")</f>
        <v/>
      </c>
      <c r="X921" s="10" t="str">
        <f aca="false">IFERROR(VLOOKUP(A921,'Dados-Status-Invest'!$1:$1000,MATCH(X$1,'Dados-Status-Invest'!$2:$2,0),FALSE())/100,"")</f>
        <v/>
      </c>
    </row>
    <row r="922" customFormat="false" ht="15.75" hidden="false" customHeight="false" outlineLevel="0" collapsed="false">
      <c r="B922" s="7" t="str">
        <f aca="false">IFERROR(VLOOKUP(LEFT(A922,4),Setor!A:D,2,FALSE()),"")</f>
        <v/>
      </c>
      <c r="C922" s="8" t="str">
        <f aca="false">IFERROR(__xludf.dummyfunction("IFERROR(IFERROR(GOOGLEFINANCE(A928,""price""),VLOOKUP(A928,'Dados-Status-Invest'!A:B,2,FALSE)),"""")"),"")</f>
        <v/>
      </c>
      <c r="D922" s="8" t="str">
        <f aca="false">IFERROR(VLOOKUP(A922,'Dados-Status-Invest'!$1:$1000,MATCH(D$1,'Dados-Status-Invest'!$2:$2,0),FALSE()),"")</f>
        <v/>
      </c>
      <c r="E922" s="8" t="e">
        <f aca="false">IF(D922+H922&gt;0,D922+H922,"")</f>
        <v>#VALUE!</v>
      </c>
      <c r="F922" s="8" t="str">
        <f aca="false">IFERROR(D922/VLOOKUP(A922,'Dados-Status-Invest'!$1:$1000,5,FALSE()),"")</f>
        <v/>
      </c>
      <c r="G922" s="8" t="str">
        <f aca="false">IFERROR(D922/VLOOKUP(A922,'Dados-Status-Invest'!$1:$1000,6,FALSE()),"")</f>
        <v/>
      </c>
      <c r="H922" s="8" t="str">
        <f aca="false">IFERROR(VLOOKUP(A922,'Dados-Status-Invest'!$1:$1000,12,FALSE())*J922,"")</f>
        <v/>
      </c>
      <c r="I922" s="8" t="str">
        <f aca="false">IFERROR(D922/VLOOKUP(A922,'Dados-Status-Invest'!$1:$1000,14,FALSE()),"")</f>
        <v/>
      </c>
      <c r="J922" s="9" t="str">
        <f aca="false">IFERROR(D922/VLOOKUP(A922,'Dados-Status-Invest'!$1:$1000,10,FALSE()),"")</f>
        <v/>
      </c>
      <c r="K922" s="10" t="str">
        <f aca="false">IFERROR(VLOOKUP(A922,'Dados-Status-Invest'!$1:$1000,3,FALSE())/100,"")</f>
        <v/>
      </c>
      <c r="L922" s="11" t="str">
        <f aca="false">IFERROR(VLOOKUP(A922,'Dados-Status-Invest'!$1:$1000,MATCH(L$1,'Dados-Status-Invest'!$2:$2,0),FALSE())/100,"")</f>
        <v/>
      </c>
      <c r="M922" s="10" t="str">
        <f aca="false">IFERROR(VLOOKUP(A922,'Dados-Status-Invest'!$1:$1000,MATCH(M$1,'Dados-Status-Invest'!$2:$2,0),FALSE())/100,"")</f>
        <v/>
      </c>
      <c r="N922" s="10" t="str">
        <f aca="false">IFERROR(VLOOKUP(A922,'Dados-Status-Invest'!$1:$1000,MATCH(N$1,'Dados-Status-Invest'!$2:$2,0),FALSE())/100,"")</f>
        <v/>
      </c>
      <c r="O922" s="10" t="str">
        <f aca="false">IFERROR(VLOOKUP(A922,'Dados-Status-Invest'!$1:$1000,MATCH(O$1,'Dados-Status-Invest'!$2:$2,0),FALSE())/100,"")</f>
        <v/>
      </c>
      <c r="P922" s="10" t="str">
        <f aca="false">IFERROR(VLOOKUP(A922,'Dados-Status-Invest'!$1:$1000,MATCH(P$1,'Dados-Status-Invest'!$2:$2,0),FALSE())/100,"")</f>
        <v/>
      </c>
      <c r="Q922" s="10" t="str">
        <f aca="false">IFERROR(VLOOKUP(A922,'Dados-Status-Invest'!$1:$1000,MATCH(Q$1,'Dados-Status-Invest'!$2:$2,0),FALSE())/100,"")</f>
        <v/>
      </c>
      <c r="R922" s="12" t="str">
        <f aca="false">IFERROR(VLOOKUP(A922,'Dados-Status-Invest'!$1:$1000,MATCH(R$1,'Dados-Status-Invest'!$2:$2,0),FALSE()),"")</f>
        <v/>
      </c>
      <c r="S922" s="12" t="str">
        <f aca="false">IFERROR(VLOOKUP(A922,'Dados-Status-Invest'!$1:$1000,MATCH(S$1,'Dados-Status-Invest'!$2:$2,0),FALSE()),"")</f>
        <v/>
      </c>
      <c r="T922" s="12" t="str">
        <f aca="false">IFERROR(VLOOKUP(A922,'Dados-Status-Invest'!$1:$1000,MATCH(T$1,'Dados-Status-Invest'!$2:$2,0),FALSE()),"")</f>
        <v/>
      </c>
      <c r="U922" s="12" t="str">
        <f aca="false">IFERROR(VLOOKUP(A922,'Dados-Status-Invest'!$1:$1000,MATCH(U$1,'Dados-Status-Invest'!$2:$2,0),FALSE()),"")</f>
        <v/>
      </c>
      <c r="V922" s="12" t="str">
        <f aca="false">IFERROR(VLOOKUP(A922,'Dados-Status-Invest'!$1:$1000,MATCH(V$1,'Dados-Status-Invest'!$2:$2,0),FALSE()),"")</f>
        <v/>
      </c>
      <c r="W922" s="10" t="str">
        <f aca="false">IFERROR(VLOOKUP(A922,'Dados-Status-Invest'!$1:$1000,MATCH(W$1,'Dados-Status-Invest'!$2:$2,0),FALSE())/100,"")</f>
        <v/>
      </c>
      <c r="X922" s="10" t="str">
        <f aca="false">IFERROR(VLOOKUP(A922,'Dados-Status-Invest'!$1:$1000,MATCH(X$1,'Dados-Status-Invest'!$2:$2,0),FALSE())/100,"")</f>
        <v/>
      </c>
    </row>
    <row r="923" customFormat="false" ht="15.75" hidden="false" customHeight="false" outlineLevel="0" collapsed="false">
      <c r="B923" s="7" t="str">
        <f aca="false">IFERROR(VLOOKUP(LEFT(A923,4),Setor!A:D,2,FALSE()),"")</f>
        <v/>
      </c>
      <c r="C923" s="8" t="str">
        <f aca="false">IFERROR(__xludf.dummyfunction("IFERROR(IFERROR(GOOGLEFINANCE(A929,""price""),VLOOKUP(A929,'Dados-Status-Invest'!A:B,2,FALSE)),"""")"),"")</f>
        <v/>
      </c>
      <c r="D923" s="8" t="str">
        <f aca="false">IFERROR(VLOOKUP(A923,'Dados-Status-Invest'!$1:$1000,MATCH(D$1,'Dados-Status-Invest'!$2:$2,0),FALSE()),"")</f>
        <v/>
      </c>
      <c r="E923" s="8" t="e">
        <f aca="false">IF(D923+H923&gt;0,D923+H923,"")</f>
        <v>#VALUE!</v>
      </c>
      <c r="F923" s="8" t="str">
        <f aca="false">IFERROR(D923/VLOOKUP(A923,'Dados-Status-Invest'!$1:$1000,5,FALSE()),"")</f>
        <v/>
      </c>
      <c r="G923" s="8" t="str">
        <f aca="false">IFERROR(D923/VLOOKUP(A923,'Dados-Status-Invest'!$1:$1000,6,FALSE()),"")</f>
        <v/>
      </c>
      <c r="H923" s="8" t="str">
        <f aca="false">IFERROR(VLOOKUP(A923,'Dados-Status-Invest'!$1:$1000,12,FALSE())*J923,"")</f>
        <v/>
      </c>
      <c r="I923" s="8" t="str">
        <f aca="false">IFERROR(D923/VLOOKUP(A923,'Dados-Status-Invest'!$1:$1000,14,FALSE()),"")</f>
        <v/>
      </c>
      <c r="J923" s="9" t="str">
        <f aca="false">IFERROR(D923/VLOOKUP(A923,'Dados-Status-Invest'!$1:$1000,10,FALSE()),"")</f>
        <v/>
      </c>
      <c r="K923" s="10" t="str">
        <f aca="false">IFERROR(VLOOKUP(A923,'Dados-Status-Invest'!$1:$1000,3,FALSE())/100,"")</f>
        <v/>
      </c>
      <c r="L923" s="11" t="str">
        <f aca="false">IFERROR(VLOOKUP(A923,'Dados-Status-Invest'!$1:$1000,MATCH(L$1,'Dados-Status-Invest'!$2:$2,0),FALSE())/100,"")</f>
        <v/>
      </c>
      <c r="M923" s="10" t="str">
        <f aca="false">IFERROR(VLOOKUP(A923,'Dados-Status-Invest'!$1:$1000,MATCH(M$1,'Dados-Status-Invest'!$2:$2,0),FALSE())/100,"")</f>
        <v/>
      </c>
      <c r="N923" s="10" t="str">
        <f aca="false">IFERROR(VLOOKUP(A923,'Dados-Status-Invest'!$1:$1000,MATCH(N$1,'Dados-Status-Invest'!$2:$2,0),FALSE())/100,"")</f>
        <v/>
      </c>
      <c r="O923" s="10" t="str">
        <f aca="false">IFERROR(VLOOKUP(A923,'Dados-Status-Invest'!$1:$1000,MATCH(O$1,'Dados-Status-Invest'!$2:$2,0),FALSE())/100,"")</f>
        <v/>
      </c>
      <c r="P923" s="10" t="str">
        <f aca="false">IFERROR(VLOOKUP(A923,'Dados-Status-Invest'!$1:$1000,MATCH(P$1,'Dados-Status-Invest'!$2:$2,0),FALSE())/100,"")</f>
        <v/>
      </c>
      <c r="Q923" s="10" t="str">
        <f aca="false">IFERROR(VLOOKUP(A923,'Dados-Status-Invest'!$1:$1000,MATCH(Q$1,'Dados-Status-Invest'!$2:$2,0),FALSE())/100,"")</f>
        <v/>
      </c>
      <c r="R923" s="12" t="str">
        <f aca="false">IFERROR(VLOOKUP(A923,'Dados-Status-Invest'!$1:$1000,MATCH(R$1,'Dados-Status-Invest'!$2:$2,0),FALSE()),"")</f>
        <v/>
      </c>
      <c r="S923" s="12" t="str">
        <f aca="false">IFERROR(VLOOKUP(A923,'Dados-Status-Invest'!$1:$1000,MATCH(S$1,'Dados-Status-Invest'!$2:$2,0),FALSE()),"")</f>
        <v/>
      </c>
      <c r="T923" s="12" t="str">
        <f aca="false">IFERROR(VLOOKUP(A923,'Dados-Status-Invest'!$1:$1000,MATCH(T$1,'Dados-Status-Invest'!$2:$2,0),FALSE()),"")</f>
        <v/>
      </c>
      <c r="U923" s="12" t="str">
        <f aca="false">IFERROR(VLOOKUP(A923,'Dados-Status-Invest'!$1:$1000,MATCH(U$1,'Dados-Status-Invest'!$2:$2,0),FALSE()),"")</f>
        <v/>
      </c>
      <c r="V923" s="12" t="str">
        <f aca="false">IFERROR(VLOOKUP(A923,'Dados-Status-Invest'!$1:$1000,MATCH(V$1,'Dados-Status-Invest'!$2:$2,0),FALSE()),"")</f>
        <v/>
      </c>
      <c r="W923" s="10" t="str">
        <f aca="false">IFERROR(VLOOKUP(A923,'Dados-Status-Invest'!$1:$1000,MATCH(W$1,'Dados-Status-Invest'!$2:$2,0),FALSE())/100,"")</f>
        <v/>
      </c>
      <c r="X923" s="10" t="str">
        <f aca="false">IFERROR(VLOOKUP(A923,'Dados-Status-Invest'!$1:$1000,MATCH(X$1,'Dados-Status-Invest'!$2:$2,0),FALSE())/100,"")</f>
        <v/>
      </c>
    </row>
    <row r="924" customFormat="false" ht="15.75" hidden="false" customHeight="false" outlineLevel="0" collapsed="false">
      <c r="B924" s="7" t="str">
        <f aca="false">IFERROR(VLOOKUP(LEFT(A924,4),Setor!A:D,2,FALSE()),"")</f>
        <v/>
      </c>
      <c r="C924" s="8" t="str">
        <f aca="false">IFERROR(__xludf.dummyfunction("IFERROR(IFERROR(GOOGLEFINANCE(A930,""price""),VLOOKUP(A930,'Dados-Status-Invest'!A:B,2,FALSE)),"""")"),"")</f>
        <v/>
      </c>
      <c r="D924" s="8" t="str">
        <f aca="false">IFERROR(VLOOKUP(A924,'Dados-Status-Invest'!$1:$1000,MATCH(D$1,'Dados-Status-Invest'!$2:$2,0),FALSE()),"")</f>
        <v/>
      </c>
      <c r="E924" s="8" t="e">
        <f aca="false">IF(D924+H924&gt;0,D924+H924,"")</f>
        <v>#VALUE!</v>
      </c>
      <c r="F924" s="8" t="str">
        <f aca="false">IFERROR(D924/VLOOKUP(A924,'Dados-Status-Invest'!$1:$1000,5,FALSE()),"")</f>
        <v/>
      </c>
      <c r="G924" s="8" t="str">
        <f aca="false">IFERROR(D924/VLOOKUP(A924,'Dados-Status-Invest'!$1:$1000,6,FALSE()),"")</f>
        <v/>
      </c>
      <c r="H924" s="8" t="str">
        <f aca="false">IFERROR(VLOOKUP(A924,'Dados-Status-Invest'!$1:$1000,12,FALSE())*J924,"")</f>
        <v/>
      </c>
      <c r="I924" s="8" t="str">
        <f aca="false">IFERROR(D924/VLOOKUP(A924,'Dados-Status-Invest'!$1:$1000,14,FALSE()),"")</f>
        <v/>
      </c>
      <c r="J924" s="9" t="str">
        <f aca="false">IFERROR(D924/VLOOKUP(A924,'Dados-Status-Invest'!$1:$1000,10,FALSE()),"")</f>
        <v/>
      </c>
      <c r="K924" s="10" t="str">
        <f aca="false">IFERROR(VLOOKUP(A924,'Dados-Status-Invest'!$1:$1000,3,FALSE())/100,"")</f>
        <v/>
      </c>
      <c r="L924" s="11" t="str">
        <f aca="false">IFERROR(VLOOKUP(A924,'Dados-Status-Invest'!$1:$1000,MATCH(L$1,'Dados-Status-Invest'!$2:$2,0),FALSE())/100,"")</f>
        <v/>
      </c>
      <c r="M924" s="10" t="str">
        <f aca="false">IFERROR(VLOOKUP(A924,'Dados-Status-Invest'!$1:$1000,MATCH(M$1,'Dados-Status-Invest'!$2:$2,0),FALSE())/100,"")</f>
        <v/>
      </c>
      <c r="N924" s="10" t="str">
        <f aca="false">IFERROR(VLOOKUP(A924,'Dados-Status-Invest'!$1:$1000,MATCH(N$1,'Dados-Status-Invest'!$2:$2,0),FALSE())/100,"")</f>
        <v/>
      </c>
      <c r="O924" s="10" t="str">
        <f aca="false">IFERROR(VLOOKUP(A924,'Dados-Status-Invest'!$1:$1000,MATCH(O$1,'Dados-Status-Invest'!$2:$2,0),FALSE())/100,"")</f>
        <v/>
      </c>
      <c r="P924" s="10" t="str">
        <f aca="false">IFERROR(VLOOKUP(A924,'Dados-Status-Invest'!$1:$1000,MATCH(P$1,'Dados-Status-Invest'!$2:$2,0),FALSE())/100,"")</f>
        <v/>
      </c>
      <c r="Q924" s="10" t="str">
        <f aca="false">IFERROR(VLOOKUP(A924,'Dados-Status-Invest'!$1:$1000,MATCH(Q$1,'Dados-Status-Invest'!$2:$2,0),FALSE())/100,"")</f>
        <v/>
      </c>
      <c r="R924" s="12" t="str">
        <f aca="false">IFERROR(VLOOKUP(A924,'Dados-Status-Invest'!$1:$1000,MATCH(R$1,'Dados-Status-Invest'!$2:$2,0),FALSE()),"")</f>
        <v/>
      </c>
      <c r="S924" s="12" t="str">
        <f aca="false">IFERROR(VLOOKUP(A924,'Dados-Status-Invest'!$1:$1000,MATCH(S$1,'Dados-Status-Invest'!$2:$2,0),FALSE()),"")</f>
        <v/>
      </c>
      <c r="T924" s="12" t="str">
        <f aca="false">IFERROR(VLOOKUP(A924,'Dados-Status-Invest'!$1:$1000,MATCH(T$1,'Dados-Status-Invest'!$2:$2,0),FALSE()),"")</f>
        <v/>
      </c>
      <c r="U924" s="12" t="str">
        <f aca="false">IFERROR(VLOOKUP(A924,'Dados-Status-Invest'!$1:$1000,MATCH(U$1,'Dados-Status-Invest'!$2:$2,0),FALSE()),"")</f>
        <v/>
      </c>
      <c r="V924" s="12" t="str">
        <f aca="false">IFERROR(VLOOKUP(A924,'Dados-Status-Invest'!$1:$1000,MATCH(V$1,'Dados-Status-Invest'!$2:$2,0),FALSE()),"")</f>
        <v/>
      </c>
      <c r="W924" s="10" t="str">
        <f aca="false">IFERROR(VLOOKUP(A924,'Dados-Status-Invest'!$1:$1000,MATCH(W$1,'Dados-Status-Invest'!$2:$2,0),FALSE())/100,"")</f>
        <v/>
      </c>
      <c r="X924" s="10" t="str">
        <f aca="false">IFERROR(VLOOKUP(A924,'Dados-Status-Invest'!$1:$1000,MATCH(X$1,'Dados-Status-Invest'!$2:$2,0),FALSE())/100,"")</f>
        <v/>
      </c>
    </row>
    <row r="925" customFormat="false" ht="15.75" hidden="false" customHeight="false" outlineLevel="0" collapsed="false">
      <c r="B925" s="7" t="str">
        <f aca="false">IFERROR(VLOOKUP(LEFT(A925,4),Setor!A:D,2,FALSE()),"")</f>
        <v/>
      </c>
      <c r="C925" s="8" t="str">
        <f aca="false">IFERROR(__xludf.dummyfunction("IFERROR(IFERROR(GOOGLEFINANCE(A931,""price""),VLOOKUP(A931,'Dados-Status-Invest'!A:B,2,FALSE)),"""")"),"")</f>
        <v/>
      </c>
      <c r="D925" s="8" t="str">
        <f aca="false">IFERROR(VLOOKUP(A925,'Dados-Status-Invest'!$1:$1000,MATCH(D$1,'Dados-Status-Invest'!$2:$2,0),FALSE()),"")</f>
        <v/>
      </c>
      <c r="E925" s="8" t="e">
        <f aca="false">IF(D925+H925&gt;0,D925+H925,"")</f>
        <v>#VALUE!</v>
      </c>
      <c r="F925" s="8" t="str">
        <f aca="false">IFERROR(D925/VLOOKUP(A925,'Dados-Status-Invest'!$1:$1000,5,FALSE()),"")</f>
        <v/>
      </c>
      <c r="G925" s="8" t="str">
        <f aca="false">IFERROR(D925/VLOOKUP(A925,'Dados-Status-Invest'!$1:$1000,6,FALSE()),"")</f>
        <v/>
      </c>
      <c r="H925" s="8" t="str">
        <f aca="false">IFERROR(VLOOKUP(A925,'Dados-Status-Invest'!$1:$1000,12,FALSE())*J925,"")</f>
        <v/>
      </c>
      <c r="I925" s="8" t="str">
        <f aca="false">IFERROR(D925/VLOOKUP(A925,'Dados-Status-Invest'!$1:$1000,14,FALSE()),"")</f>
        <v/>
      </c>
      <c r="J925" s="9" t="str">
        <f aca="false">IFERROR(D925/VLOOKUP(A925,'Dados-Status-Invest'!$1:$1000,10,FALSE()),"")</f>
        <v/>
      </c>
      <c r="K925" s="10" t="str">
        <f aca="false">IFERROR(VLOOKUP(A925,'Dados-Status-Invest'!$1:$1000,3,FALSE())/100,"")</f>
        <v/>
      </c>
      <c r="L925" s="11" t="str">
        <f aca="false">IFERROR(VLOOKUP(A925,'Dados-Status-Invest'!$1:$1000,MATCH(L$1,'Dados-Status-Invest'!$2:$2,0),FALSE())/100,"")</f>
        <v/>
      </c>
      <c r="M925" s="10" t="str">
        <f aca="false">IFERROR(VLOOKUP(A925,'Dados-Status-Invest'!$1:$1000,MATCH(M$1,'Dados-Status-Invest'!$2:$2,0),FALSE())/100,"")</f>
        <v/>
      </c>
      <c r="N925" s="10" t="str">
        <f aca="false">IFERROR(VLOOKUP(A925,'Dados-Status-Invest'!$1:$1000,MATCH(N$1,'Dados-Status-Invest'!$2:$2,0),FALSE())/100,"")</f>
        <v/>
      </c>
      <c r="O925" s="10" t="str">
        <f aca="false">IFERROR(VLOOKUP(A925,'Dados-Status-Invest'!$1:$1000,MATCH(O$1,'Dados-Status-Invest'!$2:$2,0),FALSE())/100,"")</f>
        <v/>
      </c>
      <c r="P925" s="10" t="str">
        <f aca="false">IFERROR(VLOOKUP(A925,'Dados-Status-Invest'!$1:$1000,MATCH(P$1,'Dados-Status-Invest'!$2:$2,0),FALSE())/100,"")</f>
        <v/>
      </c>
      <c r="Q925" s="10" t="str">
        <f aca="false">IFERROR(VLOOKUP(A925,'Dados-Status-Invest'!$1:$1000,MATCH(Q$1,'Dados-Status-Invest'!$2:$2,0),FALSE())/100,"")</f>
        <v/>
      </c>
      <c r="R925" s="12" t="str">
        <f aca="false">IFERROR(VLOOKUP(A925,'Dados-Status-Invest'!$1:$1000,MATCH(R$1,'Dados-Status-Invest'!$2:$2,0),FALSE()),"")</f>
        <v/>
      </c>
      <c r="S925" s="12" t="str">
        <f aca="false">IFERROR(VLOOKUP(A925,'Dados-Status-Invest'!$1:$1000,MATCH(S$1,'Dados-Status-Invest'!$2:$2,0),FALSE()),"")</f>
        <v/>
      </c>
      <c r="T925" s="12" t="str">
        <f aca="false">IFERROR(VLOOKUP(A925,'Dados-Status-Invest'!$1:$1000,MATCH(T$1,'Dados-Status-Invest'!$2:$2,0),FALSE()),"")</f>
        <v/>
      </c>
      <c r="U925" s="12" t="str">
        <f aca="false">IFERROR(VLOOKUP(A925,'Dados-Status-Invest'!$1:$1000,MATCH(U$1,'Dados-Status-Invest'!$2:$2,0),FALSE()),"")</f>
        <v/>
      </c>
      <c r="V925" s="12" t="str">
        <f aca="false">IFERROR(VLOOKUP(A925,'Dados-Status-Invest'!$1:$1000,MATCH(V$1,'Dados-Status-Invest'!$2:$2,0),FALSE()),"")</f>
        <v/>
      </c>
      <c r="W925" s="10" t="str">
        <f aca="false">IFERROR(VLOOKUP(A925,'Dados-Status-Invest'!$1:$1000,MATCH(W$1,'Dados-Status-Invest'!$2:$2,0),FALSE())/100,"")</f>
        <v/>
      </c>
      <c r="X925" s="10" t="str">
        <f aca="false">IFERROR(VLOOKUP(A925,'Dados-Status-Invest'!$1:$1000,MATCH(X$1,'Dados-Status-Invest'!$2:$2,0),FALSE())/100,"")</f>
        <v/>
      </c>
    </row>
    <row r="926" customFormat="false" ht="15.75" hidden="false" customHeight="false" outlineLevel="0" collapsed="false">
      <c r="B926" s="7" t="str">
        <f aca="false">IFERROR(VLOOKUP(LEFT(A926,4),Setor!A:D,2,FALSE()),"")</f>
        <v/>
      </c>
      <c r="C926" s="8" t="str">
        <f aca="false">IFERROR(__xludf.dummyfunction("IFERROR(IFERROR(GOOGLEFINANCE(A932,""price""),VLOOKUP(A932,'Dados-Status-Invest'!A:B,2,FALSE)),"""")"),"")</f>
        <v/>
      </c>
      <c r="D926" s="8" t="str">
        <f aca="false">IFERROR(VLOOKUP(A926,'Dados-Status-Invest'!$1:$1000,MATCH(D$1,'Dados-Status-Invest'!$2:$2,0),FALSE()),"")</f>
        <v/>
      </c>
      <c r="E926" s="8" t="e">
        <f aca="false">IF(D926+H926&gt;0,D926+H926,"")</f>
        <v>#VALUE!</v>
      </c>
      <c r="F926" s="8" t="str">
        <f aca="false">IFERROR(D926/VLOOKUP(A926,'Dados-Status-Invest'!$1:$1000,5,FALSE()),"")</f>
        <v/>
      </c>
      <c r="G926" s="8" t="str">
        <f aca="false">IFERROR(D926/VLOOKUP(A926,'Dados-Status-Invest'!$1:$1000,6,FALSE()),"")</f>
        <v/>
      </c>
      <c r="H926" s="8" t="str">
        <f aca="false">IFERROR(VLOOKUP(A926,'Dados-Status-Invest'!$1:$1000,12,FALSE())*J926,"")</f>
        <v/>
      </c>
      <c r="I926" s="8" t="str">
        <f aca="false">IFERROR(D926/VLOOKUP(A926,'Dados-Status-Invest'!$1:$1000,14,FALSE()),"")</f>
        <v/>
      </c>
      <c r="J926" s="9" t="str">
        <f aca="false">IFERROR(D926/VLOOKUP(A926,'Dados-Status-Invest'!$1:$1000,10,FALSE()),"")</f>
        <v/>
      </c>
      <c r="K926" s="10" t="str">
        <f aca="false">IFERROR(VLOOKUP(A926,'Dados-Status-Invest'!$1:$1000,3,FALSE())/100,"")</f>
        <v/>
      </c>
      <c r="L926" s="11" t="str">
        <f aca="false">IFERROR(VLOOKUP(A926,'Dados-Status-Invest'!$1:$1000,MATCH(L$1,'Dados-Status-Invest'!$2:$2,0),FALSE())/100,"")</f>
        <v/>
      </c>
      <c r="M926" s="10" t="str">
        <f aca="false">IFERROR(VLOOKUP(A926,'Dados-Status-Invest'!$1:$1000,MATCH(M$1,'Dados-Status-Invest'!$2:$2,0),FALSE())/100,"")</f>
        <v/>
      </c>
      <c r="N926" s="10" t="str">
        <f aca="false">IFERROR(VLOOKUP(A926,'Dados-Status-Invest'!$1:$1000,MATCH(N$1,'Dados-Status-Invest'!$2:$2,0),FALSE())/100,"")</f>
        <v/>
      </c>
      <c r="O926" s="10" t="str">
        <f aca="false">IFERROR(VLOOKUP(A926,'Dados-Status-Invest'!$1:$1000,MATCH(O$1,'Dados-Status-Invest'!$2:$2,0),FALSE())/100,"")</f>
        <v/>
      </c>
      <c r="P926" s="10" t="str">
        <f aca="false">IFERROR(VLOOKUP(A926,'Dados-Status-Invest'!$1:$1000,MATCH(P$1,'Dados-Status-Invest'!$2:$2,0),FALSE())/100,"")</f>
        <v/>
      </c>
      <c r="Q926" s="10" t="str">
        <f aca="false">IFERROR(VLOOKUP(A926,'Dados-Status-Invest'!$1:$1000,MATCH(Q$1,'Dados-Status-Invest'!$2:$2,0),FALSE())/100,"")</f>
        <v/>
      </c>
      <c r="R926" s="12" t="str">
        <f aca="false">IFERROR(VLOOKUP(A926,'Dados-Status-Invest'!$1:$1000,MATCH(R$1,'Dados-Status-Invest'!$2:$2,0),FALSE()),"")</f>
        <v/>
      </c>
      <c r="S926" s="12" t="str">
        <f aca="false">IFERROR(VLOOKUP(A926,'Dados-Status-Invest'!$1:$1000,MATCH(S$1,'Dados-Status-Invest'!$2:$2,0),FALSE()),"")</f>
        <v/>
      </c>
      <c r="T926" s="12" t="str">
        <f aca="false">IFERROR(VLOOKUP(A926,'Dados-Status-Invest'!$1:$1000,MATCH(T$1,'Dados-Status-Invest'!$2:$2,0),FALSE()),"")</f>
        <v/>
      </c>
      <c r="U926" s="12" t="str">
        <f aca="false">IFERROR(VLOOKUP(A926,'Dados-Status-Invest'!$1:$1000,MATCH(U$1,'Dados-Status-Invest'!$2:$2,0),FALSE()),"")</f>
        <v/>
      </c>
      <c r="V926" s="12" t="str">
        <f aca="false">IFERROR(VLOOKUP(A926,'Dados-Status-Invest'!$1:$1000,MATCH(V$1,'Dados-Status-Invest'!$2:$2,0),FALSE()),"")</f>
        <v/>
      </c>
      <c r="W926" s="10" t="str">
        <f aca="false">IFERROR(VLOOKUP(A926,'Dados-Status-Invest'!$1:$1000,MATCH(W$1,'Dados-Status-Invest'!$2:$2,0),FALSE())/100,"")</f>
        <v/>
      </c>
      <c r="X926" s="10" t="str">
        <f aca="false">IFERROR(VLOOKUP(A926,'Dados-Status-Invest'!$1:$1000,MATCH(X$1,'Dados-Status-Invest'!$2:$2,0),FALSE())/100,"")</f>
        <v/>
      </c>
    </row>
    <row r="927" customFormat="false" ht="15.75" hidden="false" customHeight="false" outlineLevel="0" collapsed="false">
      <c r="B927" s="7" t="str">
        <f aca="false">IFERROR(VLOOKUP(LEFT(A927,4),Setor!A:D,2,FALSE()),"")</f>
        <v/>
      </c>
      <c r="C927" s="8" t="str">
        <f aca="false">IFERROR(__xludf.dummyfunction("IFERROR(IFERROR(GOOGLEFINANCE(A933,""price""),VLOOKUP(A933,'Dados-Status-Invest'!A:B,2,FALSE)),"""")"),"")</f>
        <v/>
      </c>
      <c r="D927" s="8" t="str">
        <f aca="false">IFERROR(VLOOKUP(A927,'Dados-Status-Invest'!$1:$1000,MATCH(D$1,'Dados-Status-Invest'!$2:$2,0),FALSE()),"")</f>
        <v/>
      </c>
      <c r="E927" s="8" t="e">
        <f aca="false">IF(D927+H927&gt;0,D927+H927,"")</f>
        <v>#VALUE!</v>
      </c>
      <c r="F927" s="8" t="str">
        <f aca="false">IFERROR(D927/VLOOKUP(A927,'Dados-Status-Invest'!$1:$1000,5,FALSE()),"")</f>
        <v/>
      </c>
      <c r="G927" s="8" t="str">
        <f aca="false">IFERROR(D927/VLOOKUP(A927,'Dados-Status-Invest'!$1:$1000,6,FALSE()),"")</f>
        <v/>
      </c>
      <c r="H927" s="8" t="str">
        <f aca="false">IFERROR(VLOOKUP(A927,'Dados-Status-Invest'!$1:$1000,12,FALSE())*J927,"")</f>
        <v/>
      </c>
      <c r="I927" s="8" t="str">
        <f aca="false">IFERROR(D927/VLOOKUP(A927,'Dados-Status-Invest'!$1:$1000,14,FALSE()),"")</f>
        <v/>
      </c>
      <c r="J927" s="9" t="str">
        <f aca="false">IFERROR(D927/VLOOKUP(A927,'Dados-Status-Invest'!$1:$1000,10,FALSE()),"")</f>
        <v/>
      </c>
      <c r="K927" s="10" t="str">
        <f aca="false">IFERROR(VLOOKUP(A927,'Dados-Status-Invest'!$1:$1000,3,FALSE())/100,"")</f>
        <v/>
      </c>
      <c r="L927" s="11" t="str">
        <f aca="false">IFERROR(VLOOKUP(A927,'Dados-Status-Invest'!$1:$1000,MATCH(L$1,'Dados-Status-Invest'!$2:$2,0),FALSE())/100,"")</f>
        <v/>
      </c>
      <c r="M927" s="10" t="str">
        <f aca="false">IFERROR(VLOOKUP(A927,'Dados-Status-Invest'!$1:$1000,MATCH(M$1,'Dados-Status-Invest'!$2:$2,0),FALSE())/100,"")</f>
        <v/>
      </c>
      <c r="N927" s="10" t="str">
        <f aca="false">IFERROR(VLOOKUP(A927,'Dados-Status-Invest'!$1:$1000,MATCH(N$1,'Dados-Status-Invest'!$2:$2,0),FALSE())/100,"")</f>
        <v/>
      </c>
      <c r="O927" s="10" t="str">
        <f aca="false">IFERROR(VLOOKUP(A927,'Dados-Status-Invest'!$1:$1000,MATCH(O$1,'Dados-Status-Invest'!$2:$2,0),FALSE())/100,"")</f>
        <v/>
      </c>
      <c r="P927" s="10" t="str">
        <f aca="false">IFERROR(VLOOKUP(A927,'Dados-Status-Invest'!$1:$1000,MATCH(P$1,'Dados-Status-Invest'!$2:$2,0),FALSE())/100,"")</f>
        <v/>
      </c>
      <c r="Q927" s="10" t="str">
        <f aca="false">IFERROR(VLOOKUP(A927,'Dados-Status-Invest'!$1:$1000,MATCH(Q$1,'Dados-Status-Invest'!$2:$2,0),FALSE())/100,"")</f>
        <v/>
      </c>
      <c r="R927" s="12" t="str">
        <f aca="false">IFERROR(VLOOKUP(A927,'Dados-Status-Invest'!$1:$1000,MATCH(R$1,'Dados-Status-Invest'!$2:$2,0),FALSE()),"")</f>
        <v/>
      </c>
      <c r="S927" s="12" t="str">
        <f aca="false">IFERROR(VLOOKUP(A927,'Dados-Status-Invest'!$1:$1000,MATCH(S$1,'Dados-Status-Invest'!$2:$2,0),FALSE()),"")</f>
        <v/>
      </c>
      <c r="T927" s="12" t="str">
        <f aca="false">IFERROR(VLOOKUP(A927,'Dados-Status-Invest'!$1:$1000,MATCH(T$1,'Dados-Status-Invest'!$2:$2,0),FALSE()),"")</f>
        <v/>
      </c>
      <c r="U927" s="12" t="str">
        <f aca="false">IFERROR(VLOOKUP(A927,'Dados-Status-Invest'!$1:$1000,MATCH(U$1,'Dados-Status-Invest'!$2:$2,0),FALSE()),"")</f>
        <v/>
      </c>
      <c r="V927" s="12" t="str">
        <f aca="false">IFERROR(VLOOKUP(A927,'Dados-Status-Invest'!$1:$1000,MATCH(V$1,'Dados-Status-Invest'!$2:$2,0),FALSE()),"")</f>
        <v/>
      </c>
      <c r="W927" s="10" t="str">
        <f aca="false">IFERROR(VLOOKUP(A927,'Dados-Status-Invest'!$1:$1000,MATCH(W$1,'Dados-Status-Invest'!$2:$2,0),FALSE())/100,"")</f>
        <v/>
      </c>
      <c r="X927" s="10" t="str">
        <f aca="false">IFERROR(VLOOKUP(A927,'Dados-Status-Invest'!$1:$1000,MATCH(X$1,'Dados-Status-Invest'!$2:$2,0),FALSE())/100,"")</f>
        <v/>
      </c>
    </row>
    <row r="928" customFormat="false" ht="15.75" hidden="false" customHeight="false" outlineLevel="0" collapsed="false">
      <c r="B928" s="7" t="str">
        <f aca="false">IFERROR(VLOOKUP(LEFT(A928,4),Setor!A:D,2,FALSE()),"")</f>
        <v/>
      </c>
      <c r="C928" s="8" t="str">
        <f aca="false">IFERROR(__xludf.dummyfunction("IFERROR(IFERROR(GOOGLEFINANCE(A934,""price""),VLOOKUP(A934,'Dados-Status-Invest'!A:B,2,FALSE)),"""")"),"")</f>
        <v/>
      </c>
      <c r="D928" s="8" t="str">
        <f aca="false">IFERROR(VLOOKUP(A928,'Dados-Status-Invest'!$1:$1000,MATCH(D$1,'Dados-Status-Invest'!$2:$2,0),FALSE()),"")</f>
        <v/>
      </c>
      <c r="E928" s="8" t="e">
        <f aca="false">IF(D928+H928&gt;0,D928+H928,"")</f>
        <v>#VALUE!</v>
      </c>
      <c r="F928" s="8" t="str">
        <f aca="false">IFERROR(D928/VLOOKUP(A928,'Dados-Status-Invest'!$1:$1000,5,FALSE()),"")</f>
        <v/>
      </c>
      <c r="G928" s="8" t="str">
        <f aca="false">IFERROR(D928/VLOOKUP(A928,'Dados-Status-Invest'!$1:$1000,6,FALSE()),"")</f>
        <v/>
      </c>
      <c r="H928" s="8" t="str">
        <f aca="false">IFERROR(VLOOKUP(A928,'Dados-Status-Invest'!$1:$1000,12,FALSE())*J928,"")</f>
        <v/>
      </c>
      <c r="I928" s="8" t="str">
        <f aca="false">IFERROR(D928/VLOOKUP(A928,'Dados-Status-Invest'!$1:$1000,14,FALSE()),"")</f>
        <v/>
      </c>
      <c r="J928" s="9" t="str">
        <f aca="false">IFERROR(D928/VLOOKUP(A928,'Dados-Status-Invest'!$1:$1000,10,FALSE()),"")</f>
        <v/>
      </c>
      <c r="K928" s="10" t="str">
        <f aca="false">IFERROR(VLOOKUP(A928,'Dados-Status-Invest'!$1:$1000,3,FALSE())/100,"")</f>
        <v/>
      </c>
      <c r="L928" s="11" t="str">
        <f aca="false">IFERROR(VLOOKUP(A928,'Dados-Status-Invest'!$1:$1000,MATCH(L$1,'Dados-Status-Invest'!$2:$2,0),FALSE())/100,"")</f>
        <v/>
      </c>
      <c r="M928" s="10" t="str">
        <f aca="false">IFERROR(VLOOKUP(A928,'Dados-Status-Invest'!$1:$1000,MATCH(M$1,'Dados-Status-Invest'!$2:$2,0),FALSE())/100,"")</f>
        <v/>
      </c>
      <c r="N928" s="10" t="str">
        <f aca="false">IFERROR(VLOOKUP(A928,'Dados-Status-Invest'!$1:$1000,MATCH(N$1,'Dados-Status-Invest'!$2:$2,0),FALSE())/100,"")</f>
        <v/>
      </c>
      <c r="O928" s="10" t="str">
        <f aca="false">IFERROR(VLOOKUP(A928,'Dados-Status-Invest'!$1:$1000,MATCH(O$1,'Dados-Status-Invest'!$2:$2,0),FALSE())/100,"")</f>
        <v/>
      </c>
      <c r="P928" s="10" t="str">
        <f aca="false">IFERROR(VLOOKUP(A928,'Dados-Status-Invest'!$1:$1000,MATCH(P$1,'Dados-Status-Invest'!$2:$2,0),FALSE())/100,"")</f>
        <v/>
      </c>
      <c r="Q928" s="10" t="str">
        <f aca="false">IFERROR(VLOOKUP(A928,'Dados-Status-Invest'!$1:$1000,MATCH(Q$1,'Dados-Status-Invest'!$2:$2,0),FALSE())/100,"")</f>
        <v/>
      </c>
      <c r="R928" s="12" t="str">
        <f aca="false">IFERROR(VLOOKUP(A928,'Dados-Status-Invest'!$1:$1000,MATCH(R$1,'Dados-Status-Invest'!$2:$2,0),FALSE()),"")</f>
        <v/>
      </c>
      <c r="S928" s="12" t="str">
        <f aca="false">IFERROR(VLOOKUP(A928,'Dados-Status-Invest'!$1:$1000,MATCH(S$1,'Dados-Status-Invest'!$2:$2,0),FALSE()),"")</f>
        <v/>
      </c>
      <c r="T928" s="12" t="str">
        <f aca="false">IFERROR(VLOOKUP(A928,'Dados-Status-Invest'!$1:$1000,MATCH(T$1,'Dados-Status-Invest'!$2:$2,0),FALSE()),"")</f>
        <v/>
      </c>
      <c r="U928" s="12" t="str">
        <f aca="false">IFERROR(VLOOKUP(A928,'Dados-Status-Invest'!$1:$1000,MATCH(U$1,'Dados-Status-Invest'!$2:$2,0),FALSE()),"")</f>
        <v/>
      </c>
      <c r="V928" s="12" t="str">
        <f aca="false">IFERROR(VLOOKUP(A928,'Dados-Status-Invest'!$1:$1000,MATCH(V$1,'Dados-Status-Invest'!$2:$2,0),FALSE()),"")</f>
        <v/>
      </c>
      <c r="W928" s="10" t="str">
        <f aca="false">IFERROR(VLOOKUP(A928,'Dados-Status-Invest'!$1:$1000,MATCH(W$1,'Dados-Status-Invest'!$2:$2,0),FALSE())/100,"")</f>
        <v/>
      </c>
      <c r="X928" s="10" t="str">
        <f aca="false">IFERROR(VLOOKUP(A928,'Dados-Status-Invest'!$1:$1000,MATCH(X$1,'Dados-Status-Invest'!$2:$2,0),FALSE())/100,"")</f>
        <v/>
      </c>
    </row>
    <row r="929" customFormat="false" ht="15.75" hidden="false" customHeight="false" outlineLevel="0" collapsed="false">
      <c r="B929" s="7" t="str">
        <f aca="false">IFERROR(VLOOKUP(LEFT(A929,4),Setor!A:D,2,FALSE()),"")</f>
        <v/>
      </c>
      <c r="C929" s="8" t="str">
        <f aca="false">IFERROR(__xludf.dummyfunction("IFERROR(IFERROR(GOOGLEFINANCE(A935,""price""),VLOOKUP(A935,'Dados-Status-Invest'!A:B,2,FALSE)),"""")"),"")</f>
        <v/>
      </c>
      <c r="D929" s="8" t="str">
        <f aca="false">IFERROR(VLOOKUP(A929,'Dados-Status-Invest'!$1:$1000,MATCH(D$1,'Dados-Status-Invest'!$2:$2,0),FALSE()),"")</f>
        <v/>
      </c>
      <c r="E929" s="8" t="e">
        <f aca="false">IF(D929+H929&gt;0,D929+H929,"")</f>
        <v>#VALUE!</v>
      </c>
      <c r="F929" s="8" t="str">
        <f aca="false">IFERROR(D929/VLOOKUP(A929,'Dados-Status-Invest'!$1:$1000,5,FALSE()),"")</f>
        <v/>
      </c>
      <c r="G929" s="8" t="str">
        <f aca="false">IFERROR(D929/VLOOKUP(A929,'Dados-Status-Invest'!$1:$1000,6,FALSE()),"")</f>
        <v/>
      </c>
      <c r="H929" s="8" t="str">
        <f aca="false">IFERROR(VLOOKUP(A929,'Dados-Status-Invest'!$1:$1000,12,FALSE())*J929,"")</f>
        <v/>
      </c>
      <c r="I929" s="8" t="str">
        <f aca="false">IFERROR(D929/VLOOKUP(A929,'Dados-Status-Invest'!$1:$1000,14,FALSE()),"")</f>
        <v/>
      </c>
      <c r="J929" s="9" t="str">
        <f aca="false">IFERROR(D929/VLOOKUP(A929,'Dados-Status-Invest'!$1:$1000,10,FALSE()),"")</f>
        <v/>
      </c>
      <c r="K929" s="10" t="str">
        <f aca="false">IFERROR(VLOOKUP(A929,'Dados-Status-Invest'!$1:$1000,3,FALSE())/100,"")</f>
        <v/>
      </c>
      <c r="L929" s="11" t="str">
        <f aca="false">IFERROR(VLOOKUP(A929,'Dados-Status-Invest'!$1:$1000,MATCH(L$1,'Dados-Status-Invest'!$2:$2,0),FALSE())/100,"")</f>
        <v/>
      </c>
      <c r="M929" s="10" t="str">
        <f aca="false">IFERROR(VLOOKUP(A929,'Dados-Status-Invest'!$1:$1000,MATCH(M$1,'Dados-Status-Invest'!$2:$2,0),FALSE())/100,"")</f>
        <v/>
      </c>
      <c r="N929" s="10" t="str">
        <f aca="false">IFERROR(VLOOKUP(A929,'Dados-Status-Invest'!$1:$1000,MATCH(N$1,'Dados-Status-Invest'!$2:$2,0),FALSE())/100,"")</f>
        <v/>
      </c>
      <c r="O929" s="10" t="str">
        <f aca="false">IFERROR(VLOOKUP(A929,'Dados-Status-Invest'!$1:$1000,MATCH(O$1,'Dados-Status-Invest'!$2:$2,0),FALSE())/100,"")</f>
        <v/>
      </c>
      <c r="P929" s="10" t="str">
        <f aca="false">IFERROR(VLOOKUP(A929,'Dados-Status-Invest'!$1:$1000,MATCH(P$1,'Dados-Status-Invest'!$2:$2,0),FALSE())/100,"")</f>
        <v/>
      </c>
      <c r="Q929" s="10" t="str">
        <f aca="false">IFERROR(VLOOKUP(A929,'Dados-Status-Invest'!$1:$1000,MATCH(Q$1,'Dados-Status-Invest'!$2:$2,0),FALSE())/100,"")</f>
        <v/>
      </c>
      <c r="R929" s="12" t="str">
        <f aca="false">IFERROR(VLOOKUP(A929,'Dados-Status-Invest'!$1:$1000,MATCH(R$1,'Dados-Status-Invest'!$2:$2,0),FALSE()),"")</f>
        <v/>
      </c>
      <c r="S929" s="12" t="str">
        <f aca="false">IFERROR(VLOOKUP(A929,'Dados-Status-Invest'!$1:$1000,MATCH(S$1,'Dados-Status-Invest'!$2:$2,0),FALSE()),"")</f>
        <v/>
      </c>
      <c r="T929" s="12" t="str">
        <f aca="false">IFERROR(VLOOKUP(A929,'Dados-Status-Invest'!$1:$1000,MATCH(T$1,'Dados-Status-Invest'!$2:$2,0),FALSE()),"")</f>
        <v/>
      </c>
      <c r="U929" s="12" t="str">
        <f aca="false">IFERROR(VLOOKUP(A929,'Dados-Status-Invest'!$1:$1000,MATCH(U$1,'Dados-Status-Invest'!$2:$2,0),FALSE()),"")</f>
        <v/>
      </c>
      <c r="V929" s="12" t="str">
        <f aca="false">IFERROR(VLOOKUP(A929,'Dados-Status-Invest'!$1:$1000,MATCH(V$1,'Dados-Status-Invest'!$2:$2,0),FALSE()),"")</f>
        <v/>
      </c>
      <c r="W929" s="10" t="str">
        <f aca="false">IFERROR(VLOOKUP(A929,'Dados-Status-Invest'!$1:$1000,MATCH(W$1,'Dados-Status-Invest'!$2:$2,0),FALSE())/100,"")</f>
        <v/>
      </c>
      <c r="X929" s="10" t="str">
        <f aca="false">IFERROR(VLOOKUP(A929,'Dados-Status-Invest'!$1:$1000,MATCH(X$1,'Dados-Status-Invest'!$2:$2,0),FALSE())/100,"")</f>
        <v/>
      </c>
    </row>
    <row r="930" customFormat="false" ht="15.75" hidden="false" customHeight="false" outlineLevel="0" collapsed="false">
      <c r="B930" s="7" t="str">
        <f aca="false">IFERROR(VLOOKUP(LEFT(A930,4),Setor!A:D,2,FALSE()),"")</f>
        <v/>
      </c>
      <c r="C930" s="8" t="str">
        <f aca="false">IFERROR(__xludf.dummyfunction("IFERROR(IFERROR(GOOGLEFINANCE(A936,""price""),VLOOKUP(A936,'Dados-Status-Invest'!A:B,2,FALSE)),"""")"),"")</f>
        <v/>
      </c>
      <c r="D930" s="8" t="str">
        <f aca="false">IFERROR(VLOOKUP(A930,'Dados-Status-Invest'!$1:$1000,MATCH(D$1,'Dados-Status-Invest'!$2:$2,0),FALSE()),"")</f>
        <v/>
      </c>
      <c r="E930" s="8" t="e">
        <f aca="false">IF(D930+H930&gt;0,D930+H930,"")</f>
        <v>#VALUE!</v>
      </c>
      <c r="F930" s="8" t="str">
        <f aca="false">IFERROR(D930/VLOOKUP(A930,'Dados-Status-Invest'!$1:$1000,5,FALSE()),"")</f>
        <v/>
      </c>
      <c r="G930" s="8" t="str">
        <f aca="false">IFERROR(D930/VLOOKUP(A930,'Dados-Status-Invest'!$1:$1000,6,FALSE()),"")</f>
        <v/>
      </c>
      <c r="H930" s="8" t="str">
        <f aca="false">IFERROR(VLOOKUP(A930,'Dados-Status-Invest'!$1:$1000,12,FALSE())*J930,"")</f>
        <v/>
      </c>
      <c r="I930" s="8" t="str">
        <f aca="false">IFERROR(D930/VLOOKUP(A930,'Dados-Status-Invest'!$1:$1000,14,FALSE()),"")</f>
        <v/>
      </c>
      <c r="J930" s="9" t="str">
        <f aca="false">IFERROR(D930/VLOOKUP(A930,'Dados-Status-Invest'!$1:$1000,10,FALSE()),"")</f>
        <v/>
      </c>
      <c r="K930" s="10" t="str">
        <f aca="false">IFERROR(VLOOKUP(A930,'Dados-Status-Invest'!$1:$1000,3,FALSE())/100,"")</f>
        <v/>
      </c>
      <c r="L930" s="11" t="str">
        <f aca="false">IFERROR(VLOOKUP(A930,'Dados-Status-Invest'!$1:$1000,MATCH(L$1,'Dados-Status-Invest'!$2:$2,0),FALSE())/100,"")</f>
        <v/>
      </c>
      <c r="M930" s="10" t="str">
        <f aca="false">IFERROR(VLOOKUP(A930,'Dados-Status-Invest'!$1:$1000,MATCH(M$1,'Dados-Status-Invest'!$2:$2,0),FALSE())/100,"")</f>
        <v/>
      </c>
      <c r="N930" s="10" t="str">
        <f aca="false">IFERROR(VLOOKUP(A930,'Dados-Status-Invest'!$1:$1000,MATCH(N$1,'Dados-Status-Invest'!$2:$2,0),FALSE())/100,"")</f>
        <v/>
      </c>
      <c r="O930" s="10" t="str">
        <f aca="false">IFERROR(VLOOKUP(A930,'Dados-Status-Invest'!$1:$1000,MATCH(O$1,'Dados-Status-Invest'!$2:$2,0),FALSE())/100,"")</f>
        <v/>
      </c>
      <c r="P930" s="10" t="str">
        <f aca="false">IFERROR(VLOOKUP(A930,'Dados-Status-Invest'!$1:$1000,MATCH(P$1,'Dados-Status-Invest'!$2:$2,0),FALSE())/100,"")</f>
        <v/>
      </c>
      <c r="Q930" s="10" t="str">
        <f aca="false">IFERROR(VLOOKUP(A930,'Dados-Status-Invest'!$1:$1000,MATCH(Q$1,'Dados-Status-Invest'!$2:$2,0),FALSE())/100,"")</f>
        <v/>
      </c>
      <c r="R930" s="12" t="str">
        <f aca="false">IFERROR(VLOOKUP(A930,'Dados-Status-Invest'!$1:$1000,MATCH(R$1,'Dados-Status-Invest'!$2:$2,0),FALSE()),"")</f>
        <v/>
      </c>
      <c r="S930" s="12" t="str">
        <f aca="false">IFERROR(VLOOKUP(A930,'Dados-Status-Invest'!$1:$1000,MATCH(S$1,'Dados-Status-Invest'!$2:$2,0),FALSE()),"")</f>
        <v/>
      </c>
      <c r="T930" s="12" t="str">
        <f aca="false">IFERROR(VLOOKUP(A930,'Dados-Status-Invest'!$1:$1000,MATCH(T$1,'Dados-Status-Invest'!$2:$2,0),FALSE()),"")</f>
        <v/>
      </c>
      <c r="U930" s="12" t="str">
        <f aca="false">IFERROR(VLOOKUP(A930,'Dados-Status-Invest'!$1:$1000,MATCH(U$1,'Dados-Status-Invest'!$2:$2,0),FALSE()),"")</f>
        <v/>
      </c>
      <c r="V930" s="12" t="str">
        <f aca="false">IFERROR(VLOOKUP(A930,'Dados-Status-Invest'!$1:$1000,MATCH(V$1,'Dados-Status-Invest'!$2:$2,0),FALSE()),"")</f>
        <v/>
      </c>
      <c r="W930" s="10" t="str">
        <f aca="false">IFERROR(VLOOKUP(A930,'Dados-Status-Invest'!$1:$1000,MATCH(W$1,'Dados-Status-Invest'!$2:$2,0),FALSE())/100,"")</f>
        <v/>
      </c>
      <c r="X930" s="10" t="str">
        <f aca="false">IFERROR(VLOOKUP(A930,'Dados-Status-Invest'!$1:$1000,MATCH(X$1,'Dados-Status-Invest'!$2:$2,0),FALSE())/100,"")</f>
        <v/>
      </c>
    </row>
    <row r="931" customFormat="false" ht="15.75" hidden="false" customHeight="false" outlineLevel="0" collapsed="false">
      <c r="B931" s="7" t="str">
        <f aca="false">IFERROR(VLOOKUP(LEFT(A931,4),Setor!A:D,2,FALSE()),"")</f>
        <v/>
      </c>
      <c r="C931" s="8" t="str">
        <f aca="false">IFERROR(__xludf.dummyfunction("IFERROR(IFERROR(GOOGLEFINANCE(A937,""price""),VLOOKUP(A937,'Dados-Status-Invest'!A:B,2,FALSE)),"""")"),"")</f>
        <v/>
      </c>
      <c r="D931" s="8" t="str">
        <f aca="false">IFERROR(VLOOKUP(A931,'Dados-Status-Invest'!$1:$1000,MATCH(D$1,'Dados-Status-Invest'!$2:$2,0),FALSE()),"")</f>
        <v/>
      </c>
      <c r="E931" s="8" t="e">
        <f aca="false">IF(D931+H931&gt;0,D931+H931,"")</f>
        <v>#VALUE!</v>
      </c>
      <c r="F931" s="8" t="str">
        <f aca="false">IFERROR(D931/VLOOKUP(A931,'Dados-Status-Invest'!$1:$1000,5,FALSE()),"")</f>
        <v/>
      </c>
      <c r="G931" s="8" t="str">
        <f aca="false">IFERROR(D931/VLOOKUP(A931,'Dados-Status-Invest'!$1:$1000,6,FALSE()),"")</f>
        <v/>
      </c>
      <c r="H931" s="8" t="str">
        <f aca="false">IFERROR(VLOOKUP(A931,'Dados-Status-Invest'!$1:$1000,12,FALSE())*J931,"")</f>
        <v/>
      </c>
      <c r="I931" s="8" t="str">
        <f aca="false">IFERROR(D931/VLOOKUP(A931,'Dados-Status-Invest'!$1:$1000,14,FALSE()),"")</f>
        <v/>
      </c>
      <c r="J931" s="9" t="str">
        <f aca="false">IFERROR(D931/VLOOKUP(A931,'Dados-Status-Invest'!$1:$1000,10,FALSE()),"")</f>
        <v/>
      </c>
      <c r="K931" s="10" t="str">
        <f aca="false">IFERROR(VLOOKUP(A931,'Dados-Status-Invest'!$1:$1000,3,FALSE())/100,"")</f>
        <v/>
      </c>
      <c r="L931" s="11" t="str">
        <f aca="false">IFERROR(VLOOKUP(A931,'Dados-Status-Invest'!$1:$1000,MATCH(L$1,'Dados-Status-Invest'!$2:$2,0),FALSE())/100,"")</f>
        <v/>
      </c>
      <c r="M931" s="10" t="str">
        <f aca="false">IFERROR(VLOOKUP(A931,'Dados-Status-Invest'!$1:$1000,MATCH(M$1,'Dados-Status-Invest'!$2:$2,0),FALSE())/100,"")</f>
        <v/>
      </c>
      <c r="N931" s="10" t="str">
        <f aca="false">IFERROR(VLOOKUP(A931,'Dados-Status-Invest'!$1:$1000,MATCH(N$1,'Dados-Status-Invest'!$2:$2,0),FALSE())/100,"")</f>
        <v/>
      </c>
      <c r="O931" s="10" t="str">
        <f aca="false">IFERROR(VLOOKUP(A931,'Dados-Status-Invest'!$1:$1000,MATCH(O$1,'Dados-Status-Invest'!$2:$2,0),FALSE())/100,"")</f>
        <v/>
      </c>
      <c r="P931" s="10" t="str">
        <f aca="false">IFERROR(VLOOKUP(A931,'Dados-Status-Invest'!$1:$1000,MATCH(P$1,'Dados-Status-Invest'!$2:$2,0),FALSE())/100,"")</f>
        <v/>
      </c>
      <c r="Q931" s="10" t="str">
        <f aca="false">IFERROR(VLOOKUP(A931,'Dados-Status-Invest'!$1:$1000,MATCH(Q$1,'Dados-Status-Invest'!$2:$2,0),FALSE())/100,"")</f>
        <v/>
      </c>
      <c r="R931" s="12" t="str">
        <f aca="false">IFERROR(VLOOKUP(A931,'Dados-Status-Invest'!$1:$1000,MATCH(R$1,'Dados-Status-Invest'!$2:$2,0),FALSE()),"")</f>
        <v/>
      </c>
      <c r="S931" s="12" t="str">
        <f aca="false">IFERROR(VLOOKUP(A931,'Dados-Status-Invest'!$1:$1000,MATCH(S$1,'Dados-Status-Invest'!$2:$2,0),FALSE()),"")</f>
        <v/>
      </c>
      <c r="T931" s="12" t="str">
        <f aca="false">IFERROR(VLOOKUP(A931,'Dados-Status-Invest'!$1:$1000,MATCH(T$1,'Dados-Status-Invest'!$2:$2,0),FALSE()),"")</f>
        <v/>
      </c>
      <c r="U931" s="12" t="str">
        <f aca="false">IFERROR(VLOOKUP(A931,'Dados-Status-Invest'!$1:$1000,MATCH(U$1,'Dados-Status-Invest'!$2:$2,0),FALSE()),"")</f>
        <v/>
      </c>
      <c r="V931" s="12" t="str">
        <f aca="false">IFERROR(VLOOKUP(A931,'Dados-Status-Invest'!$1:$1000,MATCH(V$1,'Dados-Status-Invest'!$2:$2,0),FALSE()),"")</f>
        <v/>
      </c>
      <c r="W931" s="10" t="str">
        <f aca="false">IFERROR(VLOOKUP(A931,'Dados-Status-Invest'!$1:$1000,MATCH(W$1,'Dados-Status-Invest'!$2:$2,0),FALSE())/100,"")</f>
        <v/>
      </c>
      <c r="X931" s="10" t="str">
        <f aca="false">IFERROR(VLOOKUP(A931,'Dados-Status-Invest'!$1:$1000,MATCH(X$1,'Dados-Status-Invest'!$2:$2,0),FALSE())/100,"")</f>
        <v/>
      </c>
    </row>
    <row r="932" customFormat="false" ht="15.75" hidden="false" customHeight="false" outlineLevel="0" collapsed="false">
      <c r="B932" s="7" t="str">
        <f aca="false">IFERROR(VLOOKUP(LEFT(A932,4),Setor!A:D,2,FALSE()),"")</f>
        <v/>
      </c>
      <c r="C932" s="8" t="str">
        <f aca="false">IFERROR(__xludf.dummyfunction("IFERROR(IFERROR(GOOGLEFINANCE(A938,""price""),VLOOKUP(A938,'Dados-Status-Invest'!A:B,2,FALSE)),"""")"),"")</f>
        <v/>
      </c>
      <c r="D932" s="8" t="str">
        <f aca="false">IFERROR(VLOOKUP(A932,'Dados-Status-Invest'!$1:$1000,MATCH(D$1,'Dados-Status-Invest'!$2:$2,0),FALSE()),"")</f>
        <v/>
      </c>
      <c r="E932" s="8" t="e">
        <f aca="false">IF(D932+H932&gt;0,D932+H932,"")</f>
        <v>#VALUE!</v>
      </c>
      <c r="F932" s="8" t="str">
        <f aca="false">IFERROR(D932/VLOOKUP(A932,'Dados-Status-Invest'!$1:$1000,5,FALSE()),"")</f>
        <v/>
      </c>
      <c r="G932" s="8" t="str">
        <f aca="false">IFERROR(D932/VLOOKUP(A932,'Dados-Status-Invest'!$1:$1000,6,FALSE()),"")</f>
        <v/>
      </c>
      <c r="H932" s="8" t="str">
        <f aca="false">IFERROR(VLOOKUP(A932,'Dados-Status-Invest'!$1:$1000,12,FALSE())*J932,"")</f>
        <v/>
      </c>
      <c r="I932" s="8" t="str">
        <f aca="false">IFERROR(D932/VLOOKUP(A932,'Dados-Status-Invest'!$1:$1000,14,FALSE()),"")</f>
        <v/>
      </c>
      <c r="J932" s="9" t="str">
        <f aca="false">IFERROR(D932/VLOOKUP(A932,'Dados-Status-Invest'!$1:$1000,10,FALSE()),"")</f>
        <v/>
      </c>
      <c r="K932" s="10" t="str">
        <f aca="false">IFERROR(VLOOKUP(A932,'Dados-Status-Invest'!$1:$1000,3,FALSE())/100,"")</f>
        <v/>
      </c>
      <c r="L932" s="11" t="str">
        <f aca="false">IFERROR(VLOOKUP(A932,'Dados-Status-Invest'!$1:$1000,MATCH(L$1,'Dados-Status-Invest'!$2:$2,0),FALSE())/100,"")</f>
        <v/>
      </c>
      <c r="M932" s="10" t="str">
        <f aca="false">IFERROR(VLOOKUP(A932,'Dados-Status-Invest'!$1:$1000,MATCH(M$1,'Dados-Status-Invest'!$2:$2,0),FALSE())/100,"")</f>
        <v/>
      </c>
      <c r="N932" s="10" t="str">
        <f aca="false">IFERROR(VLOOKUP(A932,'Dados-Status-Invest'!$1:$1000,MATCH(N$1,'Dados-Status-Invest'!$2:$2,0),FALSE())/100,"")</f>
        <v/>
      </c>
      <c r="O932" s="10" t="str">
        <f aca="false">IFERROR(VLOOKUP(A932,'Dados-Status-Invest'!$1:$1000,MATCH(O$1,'Dados-Status-Invest'!$2:$2,0),FALSE())/100,"")</f>
        <v/>
      </c>
      <c r="P932" s="10" t="str">
        <f aca="false">IFERROR(VLOOKUP(A932,'Dados-Status-Invest'!$1:$1000,MATCH(P$1,'Dados-Status-Invest'!$2:$2,0),FALSE())/100,"")</f>
        <v/>
      </c>
      <c r="Q932" s="10" t="str">
        <f aca="false">IFERROR(VLOOKUP(A932,'Dados-Status-Invest'!$1:$1000,MATCH(Q$1,'Dados-Status-Invest'!$2:$2,0),FALSE())/100,"")</f>
        <v/>
      </c>
      <c r="R932" s="12" t="str">
        <f aca="false">IFERROR(VLOOKUP(A932,'Dados-Status-Invest'!$1:$1000,MATCH(R$1,'Dados-Status-Invest'!$2:$2,0),FALSE()),"")</f>
        <v/>
      </c>
      <c r="S932" s="12" t="str">
        <f aca="false">IFERROR(VLOOKUP(A932,'Dados-Status-Invest'!$1:$1000,MATCH(S$1,'Dados-Status-Invest'!$2:$2,0),FALSE()),"")</f>
        <v/>
      </c>
      <c r="T932" s="12" t="str">
        <f aca="false">IFERROR(VLOOKUP(A932,'Dados-Status-Invest'!$1:$1000,MATCH(T$1,'Dados-Status-Invest'!$2:$2,0),FALSE()),"")</f>
        <v/>
      </c>
      <c r="U932" s="12" t="str">
        <f aca="false">IFERROR(VLOOKUP(A932,'Dados-Status-Invest'!$1:$1000,MATCH(U$1,'Dados-Status-Invest'!$2:$2,0),FALSE()),"")</f>
        <v/>
      </c>
      <c r="V932" s="12" t="str">
        <f aca="false">IFERROR(VLOOKUP(A932,'Dados-Status-Invest'!$1:$1000,MATCH(V$1,'Dados-Status-Invest'!$2:$2,0),FALSE()),"")</f>
        <v/>
      </c>
      <c r="W932" s="10" t="str">
        <f aca="false">IFERROR(VLOOKUP(A932,'Dados-Status-Invest'!$1:$1000,MATCH(W$1,'Dados-Status-Invest'!$2:$2,0),FALSE())/100,"")</f>
        <v/>
      </c>
      <c r="X932" s="10" t="str">
        <f aca="false">IFERROR(VLOOKUP(A932,'Dados-Status-Invest'!$1:$1000,MATCH(X$1,'Dados-Status-Invest'!$2:$2,0),FALSE())/100,"")</f>
        <v/>
      </c>
    </row>
    <row r="933" customFormat="false" ht="15.75" hidden="false" customHeight="false" outlineLevel="0" collapsed="false">
      <c r="B933" s="7" t="str">
        <f aca="false">IFERROR(VLOOKUP(LEFT(A933,4),Setor!A:D,2,FALSE()),"")</f>
        <v/>
      </c>
      <c r="C933" s="8" t="str">
        <f aca="false">IFERROR(__xludf.dummyfunction("IFERROR(IFERROR(GOOGLEFINANCE(A939,""price""),VLOOKUP(A939,'Dados-Status-Invest'!A:B,2,FALSE)),"""")"),"")</f>
        <v/>
      </c>
      <c r="D933" s="8" t="str">
        <f aca="false">IFERROR(VLOOKUP(A933,'Dados-Status-Invest'!$1:$1000,MATCH(D$1,'Dados-Status-Invest'!$2:$2,0),FALSE()),"")</f>
        <v/>
      </c>
      <c r="E933" s="8" t="e">
        <f aca="false">IF(D933+H933&gt;0,D933+H933,"")</f>
        <v>#VALUE!</v>
      </c>
      <c r="F933" s="8" t="str">
        <f aca="false">IFERROR(D933/VLOOKUP(A933,'Dados-Status-Invest'!$1:$1000,5,FALSE()),"")</f>
        <v/>
      </c>
      <c r="G933" s="8" t="str">
        <f aca="false">IFERROR(D933/VLOOKUP(A933,'Dados-Status-Invest'!$1:$1000,6,FALSE()),"")</f>
        <v/>
      </c>
      <c r="H933" s="8" t="str">
        <f aca="false">IFERROR(VLOOKUP(A933,'Dados-Status-Invest'!$1:$1000,12,FALSE())*J933,"")</f>
        <v/>
      </c>
      <c r="I933" s="8" t="str">
        <f aca="false">IFERROR(D933/VLOOKUP(A933,'Dados-Status-Invest'!$1:$1000,14,FALSE()),"")</f>
        <v/>
      </c>
      <c r="J933" s="9" t="str">
        <f aca="false">IFERROR(D933/VLOOKUP(A933,'Dados-Status-Invest'!$1:$1000,10,FALSE()),"")</f>
        <v/>
      </c>
      <c r="K933" s="10" t="str">
        <f aca="false">IFERROR(VLOOKUP(A933,'Dados-Status-Invest'!$1:$1000,3,FALSE())/100,"")</f>
        <v/>
      </c>
      <c r="L933" s="11" t="str">
        <f aca="false">IFERROR(VLOOKUP(A933,'Dados-Status-Invest'!$1:$1000,MATCH(L$1,'Dados-Status-Invest'!$2:$2,0),FALSE())/100,"")</f>
        <v/>
      </c>
      <c r="M933" s="10" t="str">
        <f aca="false">IFERROR(VLOOKUP(A933,'Dados-Status-Invest'!$1:$1000,MATCH(M$1,'Dados-Status-Invest'!$2:$2,0),FALSE())/100,"")</f>
        <v/>
      </c>
      <c r="N933" s="10" t="str">
        <f aca="false">IFERROR(VLOOKUP(A933,'Dados-Status-Invest'!$1:$1000,MATCH(N$1,'Dados-Status-Invest'!$2:$2,0),FALSE())/100,"")</f>
        <v/>
      </c>
      <c r="O933" s="10" t="str">
        <f aca="false">IFERROR(VLOOKUP(A933,'Dados-Status-Invest'!$1:$1000,MATCH(O$1,'Dados-Status-Invest'!$2:$2,0),FALSE())/100,"")</f>
        <v/>
      </c>
      <c r="P933" s="10" t="str">
        <f aca="false">IFERROR(VLOOKUP(A933,'Dados-Status-Invest'!$1:$1000,MATCH(P$1,'Dados-Status-Invest'!$2:$2,0),FALSE())/100,"")</f>
        <v/>
      </c>
      <c r="Q933" s="10" t="str">
        <f aca="false">IFERROR(VLOOKUP(A933,'Dados-Status-Invest'!$1:$1000,MATCH(Q$1,'Dados-Status-Invest'!$2:$2,0),FALSE())/100,"")</f>
        <v/>
      </c>
      <c r="R933" s="12" t="str">
        <f aca="false">IFERROR(VLOOKUP(A933,'Dados-Status-Invest'!$1:$1000,MATCH(R$1,'Dados-Status-Invest'!$2:$2,0),FALSE()),"")</f>
        <v/>
      </c>
      <c r="S933" s="12" t="str">
        <f aca="false">IFERROR(VLOOKUP(A933,'Dados-Status-Invest'!$1:$1000,MATCH(S$1,'Dados-Status-Invest'!$2:$2,0),FALSE()),"")</f>
        <v/>
      </c>
      <c r="T933" s="12" t="str">
        <f aca="false">IFERROR(VLOOKUP(A933,'Dados-Status-Invest'!$1:$1000,MATCH(T$1,'Dados-Status-Invest'!$2:$2,0),FALSE()),"")</f>
        <v/>
      </c>
      <c r="U933" s="12" t="str">
        <f aca="false">IFERROR(VLOOKUP(A933,'Dados-Status-Invest'!$1:$1000,MATCH(U$1,'Dados-Status-Invest'!$2:$2,0),FALSE()),"")</f>
        <v/>
      </c>
      <c r="V933" s="12" t="str">
        <f aca="false">IFERROR(VLOOKUP(A933,'Dados-Status-Invest'!$1:$1000,MATCH(V$1,'Dados-Status-Invest'!$2:$2,0),FALSE()),"")</f>
        <v/>
      </c>
      <c r="W933" s="10" t="str">
        <f aca="false">IFERROR(VLOOKUP(A933,'Dados-Status-Invest'!$1:$1000,MATCH(W$1,'Dados-Status-Invest'!$2:$2,0),FALSE())/100,"")</f>
        <v/>
      </c>
      <c r="X933" s="10" t="str">
        <f aca="false">IFERROR(VLOOKUP(A933,'Dados-Status-Invest'!$1:$1000,MATCH(X$1,'Dados-Status-Invest'!$2:$2,0),FALSE())/100,"")</f>
        <v/>
      </c>
    </row>
    <row r="934" customFormat="false" ht="15.75" hidden="false" customHeight="false" outlineLevel="0" collapsed="false">
      <c r="B934" s="7" t="str">
        <f aca="false">IFERROR(VLOOKUP(LEFT(A934,4),Setor!A:D,2,FALSE()),"")</f>
        <v/>
      </c>
      <c r="C934" s="8" t="str">
        <f aca="false">IFERROR(__xludf.dummyfunction("IFERROR(IFERROR(GOOGLEFINANCE(A940,""price""),VLOOKUP(A940,'Dados-Status-Invest'!A:B,2,FALSE)),"""")"),"")</f>
        <v/>
      </c>
      <c r="D934" s="8" t="str">
        <f aca="false">IFERROR(VLOOKUP(A934,'Dados-Status-Invest'!$1:$1000,MATCH(D$1,'Dados-Status-Invest'!$2:$2,0),FALSE()),"")</f>
        <v/>
      </c>
      <c r="E934" s="8" t="e">
        <f aca="false">IF(D934+H934&gt;0,D934+H934,"")</f>
        <v>#VALUE!</v>
      </c>
      <c r="F934" s="8" t="str">
        <f aca="false">IFERROR(D934/VLOOKUP(A934,'Dados-Status-Invest'!$1:$1000,5,FALSE()),"")</f>
        <v/>
      </c>
      <c r="G934" s="8" t="str">
        <f aca="false">IFERROR(D934/VLOOKUP(A934,'Dados-Status-Invest'!$1:$1000,6,FALSE()),"")</f>
        <v/>
      </c>
      <c r="H934" s="8" t="str">
        <f aca="false">IFERROR(VLOOKUP(A934,'Dados-Status-Invest'!$1:$1000,12,FALSE())*J934,"")</f>
        <v/>
      </c>
      <c r="I934" s="8" t="str">
        <f aca="false">IFERROR(D934/VLOOKUP(A934,'Dados-Status-Invest'!$1:$1000,14,FALSE()),"")</f>
        <v/>
      </c>
      <c r="J934" s="9" t="str">
        <f aca="false">IFERROR(D934/VLOOKUP(A934,'Dados-Status-Invest'!$1:$1000,10,FALSE()),"")</f>
        <v/>
      </c>
      <c r="K934" s="10" t="str">
        <f aca="false">IFERROR(VLOOKUP(A934,'Dados-Status-Invest'!$1:$1000,3,FALSE())/100,"")</f>
        <v/>
      </c>
      <c r="L934" s="11" t="str">
        <f aca="false">IFERROR(VLOOKUP(A934,'Dados-Status-Invest'!$1:$1000,MATCH(L$1,'Dados-Status-Invest'!$2:$2,0),FALSE())/100,"")</f>
        <v/>
      </c>
      <c r="M934" s="10" t="str">
        <f aca="false">IFERROR(VLOOKUP(A934,'Dados-Status-Invest'!$1:$1000,MATCH(M$1,'Dados-Status-Invest'!$2:$2,0),FALSE())/100,"")</f>
        <v/>
      </c>
      <c r="N934" s="10" t="str">
        <f aca="false">IFERROR(VLOOKUP(A934,'Dados-Status-Invest'!$1:$1000,MATCH(N$1,'Dados-Status-Invest'!$2:$2,0),FALSE())/100,"")</f>
        <v/>
      </c>
      <c r="O934" s="10" t="str">
        <f aca="false">IFERROR(VLOOKUP(A934,'Dados-Status-Invest'!$1:$1000,MATCH(O$1,'Dados-Status-Invest'!$2:$2,0),FALSE())/100,"")</f>
        <v/>
      </c>
      <c r="P934" s="10" t="str">
        <f aca="false">IFERROR(VLOOKUP(A934,'Dados-Status-Invest'!$1:$1000,MATCH(P$1,'Dados-Status-Invest'!$2:$2,0),FALSE())/100,"")</f>
        <v/>
      </c>
      <c r="Q934" s="10" t="str">
        <f aca="false">IFERROR(VLOOKUP(A934,'Dados-Status-Invest'!$1:$1000,MATCH(Q$1,'Dados-Status-Invest'!$2:$2,0),FALSE())/100,"")</f>
        <v/>
      </c>
      <c r="R934" s="12" t="str">
        <f aca="false">IFERROR(VLOOKUP(A934,'Dados-Status-Invest'!$1:$1000,MATCH(R$1,'Dados-Status-Invest'!$2:$2,0),FALSE()),"")</f>
        <v/>
      </c>
      <c r="S934" s="12" t="str">
        <f aca="false">IFERROR(VLOOKUP(A934,'Dados-Status-Invest'!$1:$1000,MATCH(S$1,'Dados-Status-Invest'!$2:$2,0),FALSE()),"")</f>
        <v/>
      </c>
      <c r="T934" s="12" t="str">
        <f aca="false">IFERROR(VLOOKUP(A934,'Dados-Status-Invest'!$1:$1000,MATCH(T$1,'Dados-Status-Invest'!$2:$2,0),FALSE()),"")</f>
        <v/>
      </c>
      <c r="U934" s="12" t="str">
        <f aca="false">IFERROR(VLOOKUP(A934,'Dados-Status-Invest'!$1:$1000,MATCH(U$1,'Dados-Status-Invest'!$2:$2,0),FALSE()),"")</f>
        <v/>
      </c>
      <c r="V934" s="12" t="str">
        <f aca="false">IFERROR(VLOOKUP(A934,'Dados-Status-Invest'!$1:$1000,MATCH(V$1,'Dados-Status-Invest'!$2:$2,0),FALSE()),"")</f>
        <v/>
      </c>
      <c r="W934" s="10" t="str">
        <f aca="false">IFERROR(VLOOKUP(A934,'Dados-Status-Invest'!$1:$1000,MATCH(W$1,'Dados-Status-Invest'!$2:$2,0),FALSE())/100,"")</f>
        <v/>
      </c>
      <c r="X934" s="10" t="str">
        <f aca="false">IFERROR(VLOOKUP(A934,'Dados-Status-Invest'!$1:$1000,MATCH(X$1,'Dados-Status-Invest'!$2:$2,0),FALSE())/100,"")</f>
        <v/>
      </c>
    </row>
    <row r="935" customFormat="false" ht="15.75" hidden="false" customHeight="false" outlineLevel="0" collapsed="false">
      <c r="B935" s="7" t="str">
        <f aca="false">IFERROR(VLOOKUP(LEFT(A935,4),Setor!A:D,2,FALSE()),"")</f>
        <v/>
      </c>
      <c r="C935" s="8" t="str">
        <f aca="false">IFERROR(__xludf.dummyfunction("IFERROR(IFERROR(GOOGLEFINANCE(A941,""price""),VLOOKUP(A941,'Dados-Status-Invest'!A:B,2,FALSE)),"""")"),"")</f>
        <v/>
      </c>
      <c r="D935" s="8" t="str">
        <f aca="false">IFERROR(VLOOKUP(A935,'Dados-Status-Invest'!$1:$1000,MATCH(D$1,'Dados-Status-Invest'!$2:$2,0),FALSE()),"")</f>
        <v/>
      </c>
      <c r="E935" s="8" t="e">
        <f aca="false">IF(D935+H935&gt;0,D935+H935,"")</f>
        <v>#VALUE!</v>
      </c>
      <c r="F935" s="8" t="str">
        <f aca="false">IFERROR(D935/VLOOKUP(A935,'Dados-Status-Invest'!$1:$1000,5,FALSE()),"")</f>
        <v/>
      </c>
      <c r="G935" s="8" t="str">
        <f aca="false">IFERROR(D935/VLOOKUP(A935,'Dados-Status-Invest'!$1:$1000,6,FALSE()),"")</f>
        <v/>
      </c>
      <c r="H935" s="8" t="str">
        <f aca="false">IFERROR(VLOOKUP(A935,'Dados-Status-Invest'!$1:$1000,12,FALSE())*J935,"")</f>
        <v/>
      </c>
      <c r="I935" s="8" t="str">
        <f aca="false">IFERROR(D935/VLOOKUP(A935,'Dados-Status-Invest'!$1:$1000,14,FALSE()),"")</f>
        <v/>
      </c>
      <c r="J935" s="9" t="str">
        <f aca="false">IFERROR(D935/VLOOKUP(A935,'Dados-Status-Invest'!$1:$1000,10,FALSE()),"")</f>
        <v/>
      </c>
      <c r="K935" s="10" t="str">
        <f aca="false">IFERROR(VLOOKUP(A935,'Dados-Status-Invest'!$1:$1000,3,FALSE())/100,"")</f>
        <v/>
      </c>
      <c r="L935" s="11" t="str">
        <f aca="false">IFERROR(VLOOKUP(A935,'Dados-Status-Invest'!$1:$1000,MATCH(L$1,'Dados-Status-Invest'!$2:$2,0),FALSE())/100,"")</f>
        <v/>
      </c>
      <c r="M935" s="10" t="str">
        <f aca="false">IFERROR(VLOOKUP(A935,'Dados-Status-Invest'!$1:$1000,MATCH(M$1,'Dados-Status-Invest'!$2:$2,0),FALSE())/100,"")</f>
        <v/>
      </c>
      <c r="N935" s="10" t="str">
        <f aca="false">IFERROR(VLOOKUP(A935,'Dados-Status-Invest'!$1:$1000,MATCH(N$1,'Dados-Status-Invest'!$2:$2,0),FALSE())/100,"")</f>
        <v/>
      </c>
      <c r="O935" s="10" t="str">
        <f aca="false">IFERROR(VLOOKUP(A935,'Dados-Status-Invest'!$1:$1000,MATCH(O$1,'Dados-Status-Invest'!$2:$2,0),FALSE())/100,"")</f>
        <v/>
      </c>
      <c r="P935" s="10" t="str">
        <f aca="false">IFERROR(VLOOKUP(A935,'Dados-Status-Invest'!$1:$1000,MATCH(P$1,'Dados-Status-Invest'!$2:$2,0),FALSE())/100,"")</f>
        <v/>
      </c>
      <c r="Q935" s="10" t="str">
        <f aca="false">IFERROR(VLOOKUP(A935,'Dados-Status-Invest'!$1:$1000,MATCH(Q$1,'Dados-Status-Invest'!$2:$2,0),FALSE())/100,"")</f>
        <v/>
      </c>
      <c r="R935" s="12" t="str">
        <f aca="false">IFERROR(VLOOKUP(A935,'Dados-Status-Invest'!$1:$1000,MATCH(R$1,'Dados-Status-Invest'!$2:$2,0),FALSE()),"")</f>
        <v/>
      </c>
      <c r="S935" s="12" t="str">
        <f aca="false">IFERROR(VLOOKUP(A935,'Dados-Status-Invest'!$1:$1000,MATCH(S$1,'Dados-Status-Invest'!$2:$2,0),FALSE()),"")</f>
        <v/>
      </c>
      <c r="T935" s="12" t="str">
        <f aca="false">IFERROR(VLOOKUP(A935,'Dados-Status-Invest'!$1:$1000,MATCH(T$1,'Dados-Status-Invest'!$2:$2,0),FALSE()),"")</f>
        <v/>
      </c>
      <c r="U935" s="12" t="str">
        <f aca="false">IFERROR(VLOOKUP(A935,'Dados-Status-Invest'!$1:$1000,MATCH(U$1,'Dados-Status-Invest'!$2:$2,0),FALSE()),"")</f>
        <v/>
      </c>
      <c r="V935" s="12" t="str">
        <f aca="false">IFERROR(VLOOKUP(A935,'Dados-Status-Invest'!$1:$1000,MATCH(V$1,'Dados-Status-Invest'!$2:$2,0),FALSE()),"")</f>
        <v/>
      </c>
      <c r="W935" s="10" t="str">
        <f aca="false">IFERROR(VLOOKUP(A935,'Dados-Status-Invest'!$1:$1000,MATCH(W$1,'Dados-Status-Invest'!$2:$2,0),FALSE())/100,"")</f>
        <v/>
      </c>
      <c r="X935" s="10" t="str">
        <f aca="false">IFERROR(VLOOKUP(A935,'Dados-Status-Invest'!$1:$1000,MATCH(X$1,'Dados-Status-Invest'!$2:$2,0),FALSE())/100,"")</f>
        <v/>
      </c>
    </row>
    <row r="936" customFormat="false" ht="15.75" hidden="false" customHeight="false" outlineLevel="0" collapsed="false">
      <c r="B936" s="7" t="str">
        <f aca="false">IFERROR(VLOOKUP(LEFT(A936,4),Setor!A:D,2,FALSE()),"")</f>
        <v/>
      </c>
      <c r="C936" s="8" t="str">
        <f aca="false">IFERROR(__xludf.dummyfunction("IFERROR(IFERROR(GOOGLEFINANCE(A942,""price""),VLOOKUP(A942,'Dados-Status-Invest'!A:B,2,FALSE)),"""")"),"")</f>
        <v/>
      </c>
      <c r="D936" s="8" t="str">
        <f aca="false">IFERROR(VLOOKUP(A936,'Dados-Status-Invest'!$1:$1000,MATCH(D$1,'Dados-Status-Invest'!$2:$2,0),FALSE()),"")</f>
        <v/>
      </c>
      <c r="E936" s="8" t="e">
        <f aca="false">IF(D936+H936&gt;0,D936+H936,"")</f>
        <v>#VALUE!</v>
      </c>
      <c r="F936" s="8" t="str">
        <f aca="false">IFERROR(D936/VLOOKUP(A936,'Dados-Status-Invest'!$1:$1000,5,FALSE()),"")</f>
        <v/>
      </c>
      <c r="G936" s="8" t="str">
        <f aca="false">IFERROR(D936/VLOOKUP(A936,'Dados-Status-Invest'!$1:$1000,6,FALSE()),"")</f>
        <v/>
      </c>
      <c r="H936" s="8" t="str">
        <f aca="false">IFERROR(VLOOKUP(A936,'Dados-Status-Invest'!$1:$1000,12,FALSE())*J936,"")</f>
        <v/>
      </c>
      <c r="I936" s="8" t="str">
        <f aca="false">IFERROR(D936/VLOOKUP(A936,'Dados-Status-Invest'!$1:$1000,14,FALSE()),"")</f>
        <v/>
      </c>
      <c r="J936" s="9" t="str">
        <f aca="false">IFERROR(D936/VLOOKUP(A936,'Dados-Status-Invest'!$1:$1000,10,FALSE()),"")</f>
        <v/>
      </c>
      <c r="K936" s="10" t="str">
        <f aca="false">IFERROR(VLOOKUP(A936,'Dados-Status-Invest'!$1:$1000,3,FALSE())/100,"")</f>
        <v/>
      </c>
      <c r="L936" s="11" t="str">
        <f aca="false">IFERROR(VLOOKUP(A936,'Dados-Status-Invest'!$1:$1000,MATCH(L$1,'Dados-Status-Invest'!$2:$2,0),FALSE())/100,"")</f>
        <v/>
      </c>
      <c r="M936" s="10" t="str">
        <f aca="false">IFERROR(VLOOKUP(A936,'Dados-Status-Invest'!$1:$1000,MATCH(M$1,'Dados-Status-Invest'!$2:$2,0),FALSE())/100,"")</f>
        <v/>
      </c>
      <c r="N936" s="10" t="str">
        <f aca="false">IFERROR(VLOOKUP(A936,'Dados-Status-Invest'!$1:$1000,MATCH(N$1,'Dados-Status-Invest'!$2:$2,0),FALSE())/100,"")</f>
        <v/>
      </c>
      <c r="O936" s="10" t="str">
        <f aca="false">IFERROR(VLOOKUP(A936,'Dados-Status-Invest'!$1:$1000,MATCH(O$1,'Dados-Status-Invest'!$2:$2,0),FALSE())/100,"")</f>
        <v/>
      </c>
      <c r="P936" s="10" t="str">
        <f aca="false">IFERROR(VLOOKUP(A936,'Dados-Status-Invest'!$1:$1000,MATCH(P$1,'Dados-Status-Invest'!$2:$2,0),FALSE())/100,"")</f>
        <v/>
      </c>
      <c r="Q936" s="10" t="str">
        <f aca="false">IFERROR(VLOOKUP(A936,'Dados-Status-Invest'!$1:$1000,MATCH(Q$1,'Dados-Status-Invest'!$2:$2,0),FALSE())/100,"")</f>
        <v/>
      </c>
      <c r="R936" s="12" t="str">
        <f aca="false">IFERROR(VLOOKUP(A936,'Dados-Status-Invest'!$1:$1000,MATCH(R$1,'Dados-Status-Invest'!$2:$2,0),FALSE()),"")</f>
        <v/>
      </c>
      <c r="S936" s="12" t="str">
        <f aca="false">IFERROR(VLOOKUP(A936,'Dados-Status-Invest'!$1:$1000,MATCH(S$1,'Dados-Status-Invest'!$2:$2,0),FALSE()),"")</f>
        <v/>
      </c>
      <c r="T936" s="12" t="str">
        <f aca="false">IFERROR(VLOOKUP(A936,'Dados-Status-Invest'!$1:$1000,MATCH(T$1,'Dados-Status-Invest'!$2:$2,0),FALSE()),"")</f>
        <v/>
      </c>
      <c r="U936" s="12" t="str">
        <f aca="false">IFERROR(VLOOKUP(A936,'Dados-Status-Invest'!$1:$1000,MATCH(U$1,'Dados-Status-Invest'!$2:$2,0),FALSE()),"")</f>
        <v/>
      </c>
      <c r="V936" s="12" t="str">
        <f aca="false">IFERROR(VLOOKUP(A936,'Dados-Status-Invest'!$1:$1000,MATCH(V$1,'Dados-Status-Invest'!$2:$2,0),FALSE()),"")</f>
        <v/>
      </c>
      <c r="W936" s="10" t="str">
        <f aca="false">IFERROR(VLOOKUP(A936,'Dados-Status-Invest'!$1:$1000,MATCH(W$1,'Dados-Status-Invest'!$2:$2,0),FALSE())/100,"")</f>
        <v/>
      </c>
      <c r="X936" s="10" t="str">
        <f aca="false">IFERROR(VLOOKUP(A936,'Dados-Status-Invest'!$1:$1000,MATCH(X$1,'Dados-Status-Invest'!$2:$2,0),FALSE())/100,"")</f>
        <v/>
      </c>
    </row>
    <row r="937" customFormat="false" ht="15.75" hidden="false" customHeight="false" outlineLevel="0" collapsed="false">
      <c r="B937" s="7" t="str">
        <f aca="false">IFERROR(VLOOKUP(LEFT(A937,4),Setor!A:D,2,FALSE()),"")</f>
        <v/>
      </c>
      <c r="C937" s="8" t="str">
        <f aca="false">IFERROR(__xludf.dummyfunction("IFERROR(IFERROR(GOOGLEFINANCE(A943,""price""),VLOOKUP(A943,'Dados-Status-Invest'!A:B,2,FALSE)),"""")"),"")</f>
        <v/>
      </c>
      <c r="D937" s="8" t="str">
        <f aca="false">IFERROR(VLOOKUP(A937,'Dados-Status-Invest'!$1:$1000,MATCH(D$1,'Dados-Status-Invest'!$2:$2,0),FALSE()),"")</f>
        <v/>
      </c>
      <c r="E937" s="8" t="e">
        <f aca="false">IF(D937+H937&gt;0,D937+H937,"")</f>
        <v>#VALUE!</v>
      </c>
      <c r="F937" s="8" t="str">
        <f aca="false">IFERROR(D937/VLOOKUP(A937,'Dados-Status-Invest'!$1:$1000,5,FALSE()),"")</f>
        <v/>
      </c>
      <c r="G937" s="8" t="str">
        <f aca="false">IFERROR(D937/VLOOKUP(A937,'Dados-Status-Invest'!$1:$1000,6,FALSE()),"")</f>
        <v/>
      </c>
      <c r="H937" s="8" t="str">
        <f aca="false">IFERROR(VLOOKUP(A937,'Dados-Status-Invest'!$1:$1000,12,FALSE())*J937,"")</f>
        <v/>
      </c>
      <c r="I937" s="8" t="str">
        <f aca="false">IFERROR(D937/VLOOKUP(A937,'Dados-Status-Invest'!$1:$1000,14,FALSE()),"")</f>
        <v/>
      </c>
      <c r="J937" s="9" t="str">
        <f aca="false">IFERROR(D937/VLOOKUP(A937,'Dados-Status-Invest'!$1:$1000,10,FALSE()),"")</f>
        <v/>
      </c>
      <c r="K937" s="10" t="str">
        <f aca="false">IFERROR(VLOOKUP(A937,'Dados-Status-Invest'!$1:$1000,3,FALSE())/100,"")</f>
        <v/>
      </c>
      <c r="L937" s="11" t="str">
        <f aca="false">IFERROR(VLOOKUP(A937,'Dados-Status-Invest'!$1:$1000,MATCH(L$1,'Dados-Status-Invest'!$2:$2,0),FALSE())/100,"")</f>
        <v/>
      </c>
      <c r="M937" s="10" t="str">
        <f aca="false">IFERROR(VLOOKUP(A937,'Dados-Status-Invest'!$1:$1000,MATCH(M$1,'Dados-Status-Invest'!$2:$2,0),FALSE())/100,"")</f>
        <v/>
      </c>
      <c r="N937" s="10" t="str">
        <f aca="false">IFERROR(VLOOKUP(A937,'Dados-Status-Invest'!$1:$1000,MATCH(N$1,'Dados-Status-Invest'!$2:$2,0),FALSE())/100,"")</f>
        <v/>
      </c>
      <c r="O937" s="10" t="str">
        <f aca="false">IFERROR(VLOOKUP(A937,'Dados-Status-Invest'!$1:$1000,MATCH(O$1,'Dados-Status-Invest'!$2:$2,0),FALSE())/100,"")</f>
        <v/>
      </c>
      <c r="P937" s="10" t="str">
        <f aca="false">IFERROR(VLOOKUP(A937,'Dados-Status-Invest'!$1:$1000,MATCH(P$1,'Dados-Status-Invest'!$2:$2,0),FALSE())/100,"")</f>
        <v/>
      </c>
      <c r="Q937" s="10" t="str">
        <f aca="false">IFERROR(VLOOKUP(A937,'Dados-Status-Invest'!$1:$1000,MATCH(Q$1,'Dados-Status-Invest'!$2:$2,0),FALSE())/100,"")</f>
        <v/>
      </c>
      <c r="R937" s="12" t="str">
        <f aca="false">IFERROR(VLOOKUP(A937,'Dados-Status-Invest'!$1:$1000,MATCH(R$1,'Dados-Status-Invest'!$2:$2,0),FALSE()),"")</f>
        <v/>
      </c>
      <c r="S937" s="12" t="str">
        <f aca="false">IFERROR(VLOOKUP(A937,'Dados-Status-Invest'!$1:$1000,MATCH(S$1,'Dados-Status-Invest'!$2:$2,0),FALSE()),"")</f>
        <v/>
      </c>
      <c r="T937" s="12" t="str">
        <f aca="false">IFERROR(VLOOKUP(A937,'Dados-Status-Invest'!$1:$1000,MATCH(T$1,'Dados-Status-Invest'!$2:$2,0),FALSE()),"")</f>
        <v/>
      </c>
      <c r="U937" s="12" t="str">
        <f aca="false">IFERROR(VLOOKUP(A937,'Dados-Status-Invest'!$1:$1000,MATCH(U$1,'Dados-Status-Invest'!$2:$2,0),FALSE()),"")</f>
        <v/>
      </c>
      <c r="V937" s="12" t="str">
        <f aca="false">IFERROR(VLOOKUP(A937,'Dados-Status-Invest'!$1:$1000,MATCH(V$1,'Dados-Status-Invest'!$2:$2,0),FALSE()),"")</f>
        <v/>
      </c>
      <c r="W937" s="10" t="str">
        <f aca="false">IFERROR(VLOOKUP(A937,'Dados-Status-Invest'!$1:$1000,MATCH(W$1,'Dados-Status-Invest'!$2:$2,0),FALSE())/100,"")</f>
        <v/>
      </c>
      <c r="X937" s="10" t="str">
        <f aca="false">IFERROR(VLOOKUP(A937,'Dados-Status-Invest'!$1:$1000,MATCH(X$1,'Dados-Status-Invest'!$2:$2,0),FALSE())/100,"")</f>
        <v/>
      </c>
    </row>
    <row r="938" customFormat="false" ht="15.75" hidden="false" customHeight="false" outlineLevel="0" collapsed="false">
      <c r="B938" s="7" t="str">
        <f aca="false">IFERROR(VLOOKUP(LEFT(A938,4),Setor!A:D,2,FALSE()),"")</f>
        <v/>
      </c>
      <c r="C938" s="8" t="str">
        <f aca="false">IFERROR(__xludf.dummyfunction("IFERROR(IFERROR(GOOGLEFINANCE(A944,""price""),VLOOKUP(A944,'Dados-Status-Invest'!A:B,2,FALSE)),"""")"),"")</f>
        <v/>
      </c>
      <c r="D938" s="8" t="str">
        <f aca="false">IFERROR(VLOOKUP(A938,'Dados-Status-Invest'!$1:$1000,MATCH(D$1,'Dados-Status-Invest'!$2:$2,0),FALSE()),"")</f>
        <v/>
      </c>
      <c r="E938" s="8" t="e">
        <f aca="false">IF(D938+H938&gt;0,D938+H938,"")</f>
        <v>#VALUE!</v>
      </c>
      <c r="F938" s="8" t="str">
        <f aca="false">IFERROR(D938/VLOOKUP(A938,'Dados-Status-Invest'!$1:$1000,5,FALSE()),"")</f>
        <v/>
      </c>
      <c r="G938" s="8" t="str">
        <f aca="false">IFERROR(D938/VLOOKUP(A938,'Dados-Status-Invest'!$1:$1000,6,FALSE()),"")</f>
        <v/>
      </c>
      <c r="H938" s="8" t="str">
        <f aca="false">IFERROR(VLOOKUP(A938,'Dados-Status-Invest'!$1:$1000,12,FALSE())*J938,"")</f>
        <v/>
      </c>
      <c r="I938" s="8" t="str">
        <f aca="false">IFERROR(D938/VLOOKUP(A938,'Dados-Status-Invest'!$1:$1000,14,FALSE()),"")</f>
        <v/>
      </c>
      <c r="J938" s="9" t="str">
        <f aca="false">IFERROR(D938/VLOOKUP(A938,'Dados-Status-Invest'!$1:$1000,10,FALSE()),"")</f>
        <v/>
      </c>
      <c r="K938" s="10" t="str">
        <f aca="false">IFERROR(VLOOKUP(A938,'Dados-Status-Invest'!$1:$1000,3,FALSE())/100,"")</f>
        <v/>
      </c>
      <c r="L938" s="11" t="str">
        <f aca="false">IFERROR(VLOOKUP(A938,'Dados-Status-Invest'!$1:$1000,MATCH(L$1,'Dados-Status-Invest'!$2:$2,0),FALSE())/100,"")</f>
        <v/>
      </c>
      <c r="M938" s="10" t="str">
        <f aca="false">IFERROR(VLOOKUP(A938,'Dados-Status-Invest'!$1:$1000,MATCH(M$1,'Dados-Status-Invest'!$2:$2,0),FALSE())/100,"")</f>
        <v/>
      </c>
      <c r="N938" s="10" t="str">
        <f aca="false">IFERROR(VLOOKUP(A938,'Dados-Status-Invest'!$1:$1000,MATCH(N$1,'Dados-Status-Invest'!$2:$2,0),FALSE())/100,"")</f>
        <v/>
      </c>
      <c r="O938" s="10" t="str">
        <f aca="false">IFERROR(VLOOKUP(A938,'Dados-Status-Invest'!$1:$1000,MATCH(O$1,'Dados-Status-Invest'!$2:$2,0),FALSE())/100,"")</f>
        <v/>
      </c>
      <c r="P938" s="10" t="str">
        <f aca="false">IFERROR(VLOOKUP(A938,'Dados-Status-Invest'!$1:$1000,MATCH(P$1,'Dados-Status-Invest'!$2:$2,0),FALSE())/100,"")</f>
        <v/>
      </c>
      <c r="Q938" s="10" t="str">
        <f aca="false">IFERROR(VLOOKUP(A938,'Dados-Status-Invest'!$1:$1000,MATCH(Q$1,'Dados-Status-Invest'!$2:$2,0),FALSE())/100,"")</f>
        <v/>
      </c>
      <c r="R938" s="12" t="str">
        <f aca="false">IFERROR(VLOOKUP(A938,'Dados-Status-Invest'!$1:$1000,MATCH(R$1,'Dados-Status-Invest'!$2:$2,0),FALSE()),"")</f>
        <v/>
      </c>
      <c r="S938" s="12" t="str">
        <f aca="false">IFERROR(VLOOKUP(A938,'Dados-Status-Invest'!$1:$1000,MATCH(S$1,'Dados-Status-Invest'!$2:$2,0),FALSE()),"")</f>
        <v/>
      </c>
      <c r="T938" s="12" t="str">
        <f aca="false">IFERROR(VLOOKUP(A938,'Dados-Status-Invest'!$1:$1000,MATCH(T$1,'Dados-Status-Invest'!$2:$2,0),FALSE()),"")</f>
        <v/>
      </c>
      <c r="U938" s="12" t="str">
        <f aca="false">IFERROR(VLOOKUP(A938,'Dados-Status-Invest'!$1:$1000,MATCH(U$1,'Dados-Status-Invest'!$2:$2,0),FALSE()),"")</f>
        <v/>
      </c>
      <c r="V938" s="12" t="str">
        <f aca="false">IFERROR(VLOOKUP(A938,'Dados-Status-Invest'!$1:$1000,MATCH(V$1,'Dados-Status-Invest'!$2:$2,0),FALSE()),"")</f>
        <v/>
      </c>
      <c r="W938" s="10" t="str">
        <f aca="false">IFERROR(VLOOKUP(A938,'Dados-Status-Invest'!$1:$1000,MATCH(W$1,'Dados-Status-Invest'!$2:$2,0),FALSE())/100,"")</f>
        <v/>
      </c>
      <c r="X938" s="10" t="str">
        <f aca="false">IFERROR(VLOOKUP(A938,'Dados-Status-Invest'!$1:$1000,MATCH(X$1,'Dados-Status-Invest'!$2:$2,0),FALSE())/100,"")</f>
        <v/>
      </c>
    </row>
    <row r="939" customFormat="false" ht="15.75" hidden="false" customHeight="false" outlineLevel="0" collapsed="false">
      <c r="B939" s="7" t="str">
        <f aca="false">IFERROR(VLOOKUP(LEFT(A939,4),Setor!A:D,2,FALSE()),"")</f>
        <v/>
      </c>
      <c r="C939" s="8" t="str">
        <f aca="false">IFERROR(__xludf.dummyfunction("IFERROR(IFERROR(GOOGLEFINANCE(A945,""price""),VLOOKUP(A945,'Dados-Status-Invest'!A:B,2,FALSE)),"""")"),"")</f>
        <v/>
      </c>
      <c r="D939" s="8" t="str">
        <f aca="false">IFERROR(VLOOKUP(A939,'Dados-Status-Invest'!$1:$1000,MATCH(D$1,'Dados-Status-Invest'!$2:$2,0),FALSE()),"")</f>
        <v/>
      </c>
      <c r="E939" s="8" t="e">
        <f aca="false">IF(D939+H939&gt;0,D939+H939,"")</f>
        <v>#VALUE!</v>
      </c>
      <c r="F939" s="8" t="str">
        <f aca="false">IFERROR(D939/VLOOKUP(A939,'Dados-Status-Invest'!$1:$1000,5,FALSE()),"")</f>
        <v/>
      </c>
      <c r="G939" s="8" t="str">
        <f aca="false">IFERROR(D939/VLOOKUP(A939,'Dados-Status-Invest'!$1:$1000,6,FALSE()),"")</f>
        <v/>
      </c>
      <c r="H939" s="8" t="str">
        <f aca="false">IFERROR(VLOOKUP(A939,'Dados-Status-Invest'!$1:$1000,12,FALSE())*J939,"")</f>
        <v/>
      </c>
      <c r="I939" s="8" t="str">
        <f aca="false">IFERROR(D939/VLOOKUP(A939,'Dados-Status-Invest'!$1:$1000,14,FALSE()),"")</f>
        <v/>
      </c>
      <c r="J939" s="9" t="str">
        <f aca="false">IFERROR(D939/VLOOKUP(A939,'Dados-Status-Invest'!$1:$1000,10,FALSE()),"")</f>
        <v/>
      </c>
      <c r="K939" s="10" t="str">
        <f aca="false">IFERROR(VLOOKUP(A939,'Dados-Status-Invest'!$1:$1000,3,FALSE())/100,"")</f>
        <v/>
      </c>
      <c r="L939" s="11" t="str">
        <f aca="false">IFERROR(VLOOKUP(A939,'Dados-Status-Invest'!$1:$1000,MATCH(L$1,'Dados-Status-Invest'!$2:$2,0),FALSE())/100,"")</f>
        <v/>
      </c>
      <c r="M939" s="10" t="str">
        <f aca="false">IFERROR(VLOOKUP(A939,'Dados-Status-Invest'!$1:$1000,MATCH(M$1,'Dados-Status-Invest'!$2:$2,0),FALSE())/100,"")</f>
        <v/>
      </c>
      <c r="N939" s="10" t="str">
        <f aca="false">IFERROR(VLOOKUP(A939,'Dados-Status-Invest'!$1:$1000,MATCH(N$1,'Dados-Status-Invest'!$2:$2,0),FALSE())/100,"")</f>
        <v/>
      </c>
      <c r="O939" s="10" t="str">
        <f aca="false">IFERROR(VLOOKUP(A939,'Dados-Status-Invest'!$1:$1000,MATCH(O$1,'Dados-Status-Invest'!$2:$2,0),FALSE())/100,"")</f>
        <v/>
      </c>
      <c r="P939" s="10" t="str">
        <f aca="false">IFERROR(VLOOKUP(A939,'Dados-Status-Invest'!$1:$1000,MATCH(P$1,'Dados-Status-Invest'!$2:$2,0),FALSE())/100,"")</f>
        <v/>
      </c>
      <c r="Q939" s="10" t="str">
        <f aca="false">IFERROR(VLOOKUP(A939,'Dados-Status-Invest'!$1:$1000,MATCH(Q$1,'Dados-Status-Invest'!$2:$2,0),FALSE())/100,"")</f>
        <v/>
      </c>
      <c r="R939" s="12" t="str">
        <f aca="false">IFERROR(VLOOKUP(A939,'Dados-Status-Invest'!$1:$1000,MATCH(R$1,'Dados-Status-Invest'!$2:$2,0),FALSE()),"")</f>
        <v/>
      </c>
      <c r="S939" s="12" t="str">
        <f aca="false">IFERROR(VLOOKUP(A939,'Dados-Status-Invest'!$1:$1000,MATCH(S$1,'Dados-Status-Invest'!$2:$2,0),FALSE()),"")</f>
        <v/>
      </c>
      <c r="T939" s="12" t="str">
        <f aca="false">IFERROR(VLOOKUP(A939,'Dados-Status-Invest'!$1:$1000,MATCH(T$1,'Dados-Status-Invest'!$2:$2,0),FALSE()),"")</f>
        <v/>
      </c>
      <c r="U939" s="12" t="str">
        <f aca="false">IFERROR(VLOOKUP(A939,'Dados-Status-Invest'!$1:$1000,MATCH(U$1,'Dados-Status-Invest'!$2:$2,0),FALSE()),"")</f>
        <v/>
      </c>
      <c r="V939" s="12" t="str">
        <f aca="false">IFERROR(VLOOKUP(A939,'Dados-Status-Invest'!$1:$1000,MATCH(V$1,'Dados-Status-Invest'!$2:$2,0),FALSE()),"")</f>
        <v/>
      </c>
      <c r="W939" s="10" t="str">
        <f aca="false">IFERROR(VLOOKUP(A939,'Dados-Status-Invest'!$1:$1000,MATCH(W$1,'Dados-Status-Invest'!$2:$2,0),FALSE())/100,"")</f>
        <v/>
      </c>
      <c r="X939" s="10" t="str">
        <f aca="false">IFERROR(VLOOKUP(A939,'Dados-Status-Invest'!$1:$1000,MATCH(X$1,'Dados-Status-Invest'!$2:$2,0),FALSE())/100,"")</f>
        <v/>
      </c>
    </row>
    <row r="940" customFormat="false" ht="15.75" hidden="false" customHeight="false" outlineLevel="0" collapsed="false">
      <c r="B940" s="7" t="str">
        <f aca="false">IFERROR(VLOOKUP(LEFT(A940,4),Setor!A:D,2,FALSE()),"")</f>
        <v/>
      </c>
      <c r="C940" s="8" t="str">
        <f aca="false">IFERROR(__xludf.dummyfunction("IFERROR(IFERROR(GOOGLEFINANCE(A946,""price""),VLOOKUP(A946,'Dados-Status-Invest'!A:B,2,FALSE)),"""")"),"")</f>
        <v/>
      </c>
      <c r="D940" s="8" t="str">
        <f aca="false">IFERROR(VLOOKUP(A940,'Dados-Status-Invest'!$1:$1000,MATCH(D$1,'Dados-Status-Invest'!$2:$2,0),FALSE()),"")</f>
        <v/>
      </c>
      <c r="E940" s="8" t="e">
        <f aca="false">IF(D940+H940&gt;0,D940+H940,"")</f>
        <v>#VALUE!</v>
      </c>
      <c r="F940" s="8" t="str">
        <f aca="false">IFERROR(D940/VLOOKUP(A940,'Dados-Status-Invest'!$1:$1000,5,FALSE()),"")</f>
        <v/>
      </c>
      <c r="G940" s="8" t="str">
        <f aca="false">IFERROR(D940/VLOOKUP(A940,'Dados-Status-Invest'!$1:$1000,6,FALSE()),"")</f>
        <v/>
      </c>
      <c r="H940" s="8" t="str">
        <f aca="false">IFERROR(VLOOKUP(A940,'Dados-Status-Invest'!$1:$1000,12,FALSE())*J940,"")</f>
        <v/>
      </c>
      <c r="I940" s="8" t="str">
        <f aca="false">IFERROR(D940/VLOOKUP(A940,'Dados-Status-Invest'!$1:$1000,14,FALSE()),"")</f>
        <v/>
      </c>
      <c r="J940" s="9" t="str">
        <f aca="false">IFERROR(D940/VLOOKUP(A940,'Dados-Status-Invest'!$1:$1000,10,FALSE()),"")</f>
        <v/>
      </c>
      <c r="K940" s="10" t="str">
        <f aca="false">IFERROR(VLOOKUP(A940,'Dados-Status-Invest'!$1:$1000,3,FALSE())/100,"")</f>
        <v/>
      </c>
      <c r="L940" s="11" t="str">
        <f aca="false">IFERROR(VLOOKUP(A940,'Dados-Status-Invest'!$1:$1000,MATCH(L$1,'Dados-Status-Invest'!$2:$2,0),FALSE())/100,"")</f>
        <v/>
      </c>
      <c r="M940" s="10" t="str">
        <f aca="false">IFERROR(VLOOKUP(A940,'Dados-Status-Invest'!$1:$1000,MATCH(M$1,'Dados-Status-Invest'!$2:$2,0),FALSE())/100,"")</f>
        <v/>
      </c>
      <c r="N940" s="10" t="str">
        <f aca="false">IFERROR(VLOOKUP(A940,'Dados-Status-Invest'!$1:$1000,MATCH(N$1,'Dados-Status-Invest'!$2:$2,0),FALSE())/100,"")</f>
        <v/>
      </c>
      <c r="O940" s="10" t="str">
        <f aca="false">IFERROR(VLOOKUP(A940,'Dados-Status-Invest'!$1:$1000,MATCH(O$1,'Dados-Status-Invest'!$2:$2,0),FALSE())/100,"")</f>
        <v/>
      </c>
      <c r="P940" s="10" t="str">
        <f aca="false">IFERROR(VLOOKUP(A940,'Dados-Status-Invest'!$1:$1000,MATCH(P$1,'Dados-Status-Invest'!$2:$2,0),FALSE())/100,"")</f>
        <v/>
      </c>
      <c r="Q940" s="10" t="str">
        <f aca="false">IFERROR(VLOOKUP(A940,'Dados-Status-Invest'!$1:$1000,MATCH(Q$1,'Dados-Status-Invest'!$2:$2,0),FALSE())/100,"")</f>
        <v/>
      </c>
      <c r="R940" s="12" t="str">
        <f aca="false">IFERROR(VLOOKUP(A940,'Dados-Status-Invest'!$1:$1000,MATCH(R$1,'Dados-Status-Invest'!$2:$2,0),FALSE()),"")</f>
        <v/>
      </c>
      <c r="S940" s="12" t="str">
        <f aca="false">IFERROR(VLOOKUP(A940,'Dados-Status-Invest'!$1:$1000,MATCH(S$1,'Dados-Status-Invest'!$2:$2,0),FALSE()),"")</f>
        <v/>
      </c>
      <c r="T940" s="12" t="str">
        <f aca="false">IFERROR(VLOOKUP(A940,'Dados-Status-Invest'!$1:$1000,MATCH(T$1,'Dados-Status-Invest'!$2:$2,0),FALSE()),"")</f>
        <v/>
      </c>
      <c r="U940" s="12" t="str">
        <f aca="false">IFERROR(VLOOKUP(A940,'Dados-Status-Invest'!$1:$1000,MATCH(U$1,'Dados-Status-Invest'!$2:$2,0),FALSE()),"")</f>
        <v/>
      </c>
      <c r="V940" s="12" t="str">
        <f aca="false">IFERROR(VLOOKUP(A940,'Dados-Status-Invest'!$1:$1000,MATCH(V$1,'Dados-Status-Invest'!$2:$2,0),FALSE()),"")</f>
        <v/>
      </c>
      <c r="W940" s="10" t="str">
        <f aca="false">IFERROR(VLOOKUP(A940,'Dados-Status-Invest'!$1:$1000,MATCH(W$1,'Dados-Status-Invest'!$2:$2,0),FALSE())/100,"")</f>
        <v/>
      </c>
      <c r="X940" s="10" t="str">
        <f aca="false">IFERROR(VLOOKUP(A940,'Dados-Status-Invest'!$1:$1000,MATCH(X$1,'Dados-Status-Invest'!$2:$2,0),FALSE())/100,"")</f>
        <v/>
      </c>
    </row>
    <row r="941" customFormat="false" ht="15.75" hidden="false" customHeight="false" outlineLevel="0" collapsed="false">
      <c r="B941" s="7" t="str">
        <f aca="false">IFERROR(VLOOKUP(LEFT(A941,4),Setor!A:D,2,FALSE()),"")</f>
        <v/>
      </c>
      <c r="C941" s="8" t="str">
        <f aca="false">IFERROR(__xludf.dummyfunction("IFERROR(IFERROR(GOOGLEFINANCE(A947,""price""),VLOOKUP(A947,'Dados-Status-Invest'!A:B,2,FALSE)),"""")"),"")</f>
        <v/>
      </c>
      <c r="D941" s="8" t="str">
        <f aca="false">IFERROR(VLOOKUP(A941,'Dados-Status-Invest'!$1:$1000,MATCH(D$1,'Dados-Status-Invest'!$2:$2,0),FALSE()),"")</f>
        <v/>
      </c>
      <c r="E941" s="8" t="e">
        <f aca="false">IF(D941+H941&gt;0,D941+H941,"")</f>
        <v>#VALUE!</v>
      </c>
      <c r="F941" s="8" t="str">
        <f aca="false">IFERROR(D941/VLOOKUP(A941,'Dados-Status-Invest'!$1:$1000,5,FALSE()),"")</f>
        <v/>
      </c>
      <c r="G941" s="8" t="str">
        <f aca="false">IFERROR(D941/VLOOKUP(A941,'Dados-Status-Invest'!$1:$1000,6,FALSE()),"")</f>
        <v/>
      </c>
      <c r="H941" s="8" t="str">
        <f aca="false">IFERROR(VLOOKUP(A941,'Dados-Status-Invest'!$1:$1000,12,FALSE())*J941,"")</f>
        <v/>
      </c>
      <c r="I941" s="8" t="str">
        <f aca="false">IFERROR(D941/VLOOKUP(A941,'Dados-Status-Invest'!$1:$1000,14,FALSE()),"")</f>
        <v/>
      </c>
      <c r="J941" s="9" t="str">
        <f aca="false">IFERROR(D941/VLOOKUP(A941,'Dados-Status-Invest'!$1:$1000,10,FALSE()),"")</f>
        <v/>
      </c>
      <c r="K941" s="10" t="str">
        <f aca="false">IFERROR(VLOOKUP(A941,'Dados-Status-Invest'!$1:$1000,3,FALSE())/100,"")</f>
        <v/>
      </c>
      <c r="L941" s="11" t="str">
        <f aca="false">IFERROR(VLOOKUP(A941,'Dados-Status-Invest'!$1:$1000,MATCH(L$1,'Dados-Status-Invest'!$2:$2,0),FALSE())/100,"")</f>
        <v/>
      </c>
      <c r="M941" s="10" t="str">
        <f aca="false">IFERROR(VLOOKUP(A941,'Dados-Status-Invest'!$1:$1000,MATCH(M$1,'Dados-Status-Invest'!$2:$2,0),FALSE())/100,"")</f>
        <v/>
      </c>
      <c r="N941" s="10" t="str">
        <f aca="false">IFERROR(VLOOKUP(A941,'Dados-Status-Invest'!$1:$1000,MATCH(N$1,'Dados-Status-Invest'!$2:$2,0),FALSE())/100,"")</f>
        <v/>
      </c>
      <c r="O941" s="10" t="str">
        <f aca="false">IFERROR(VLOOKUP(A941,'Dados-Status-Invest'!$1:$1000,MATCH(O$1,'Dados-Status-Invest'!$2:$2,0),FALSE())/100,"")</f>
        <v/>
      </c>
      <c r="P941" s="10" t="str">
        <f aca="false">IFERROR(VLOOKUP(A941,'Dados-Status-Invest'!$1:$1000,MATCH(P$1,'Dados-Status-Invest'!$2:$2,0),FALSE())/100,"")</f>
        <v/>
      </c>
      <c r="Q941" s="10" t="str">
        <f aca="false">IFERROR(VLOOKUP(A941,'Dados-Status-Invest'!$1:$1000,MATCH(Q$1,'Dados-Status-Invest'!$2:$2,0),FALSE())/100,"")</f>
        <v/>
      </c>
      <c r="R941" s="12" t="str">
        <f aca="false">IFERROR(VLOOKUP(A941,'Dados-Status-Invest'!$1:$1000,MATCH(R$1,'Dados-Status-Invest'!$2:$2,0),FALSE()),"")</f>
        <v/>
      </c>
      <c r="S941" s="12" t="str">
        <f aca="false">IFERROR(VLOOKUP(A941,'Dados-Status-Invest'!$1:$1000,MATCH(S$1,'Dados-Status-Invest'!$2:$2,0),FALSE()),"")</f>
        <v/>
      </c>
      <c r="T941" s="12" t="str">
        <f aca="false">IFERROR(VLOOKUP(A941,'Dados-Status-Invest'!$1:$1000,MATCH(T$1,'Dados-Status-Invest'!$2:$2,0),FALSE()),"")</f>
        <v/>
      </c>
      <c r="U941" s="12" t="str">
        <f aca="false">IFERROR(VLOOKUP(A941,'Dados-Status-Invest'!$1:$1000,MATCH(U$1,'Dados-Status-Invest'!$2:$2,0),FALSE()),"")</f>
        <v/>
      </c>
      <c r="V941" s="12" t="str">
        <f aca="false">IFERROR(VLOOKUP(A941,'Dados-Status-Invest'!$1:$1000,MATCH(V$1,'Dados-Status-Invest'!$2:$2,0),FALSE()),"")</f>
        <v/>
      </c>
      <c r="W941" s="10" t="str">
        <f aca="false">IFERROR(VLOOKUP(A941,'Dados-Status-Invest'!$1:$1000,MATCH(W$1,'Dados-Status-Invest'!$2:$2,0),FALSE())/100,"")</f>
        <v/>
      </c>
      <c r="X941" s="10" t="str">
        <f aca="false">IFERROR(VLOOKUP(A941,'Dados-Status-Invest'!$1:$1000,MATCH(X$1,'Dados-Status-Invest'!$2:$2,0),FALSE())/100,"")</f>
        <v/>
      </c>
    </row>
    <row r="942" customFormat="false" ht="15.75" hidden="false" customHeight="false" outlineLevel="0" collapsed="false">
      <c r="B942" s="7" t="str">
        <f aca="false">IFERROR(VLOOKUP(LEFT(A942,4),Setor!A:D,2,FALSE()),"")</f>
        <v/>
      </c>
      <c r="C942" s="8" t="str">
        <f aca="false">IFERROR(__xludf.dummyfunction("IFERROR(IFERROR(GOOGLEFINANCE(A948,""price""),VLOOKUP(A948,'Dados-Status-Invest'!A:B,2,FALSE)),"""")"),"")</f>
        <v/>
      </c>
      <c r="D942" s="8" t="str">
        <f aca="false">IFERROR(VLOOKUP(A942,'Dados-Status-Invest'!$1:$1000,MATCH(D$1,'Dados-Status-Invest'!$2:$2,0),FALSE()),"")</f>
        <v/>
      </c>
      <c r="E942" s="8" t="e">
        <f aca="false">IF(D942+H942&gt;0,D942+H942,"")</f>
        <v>#VALUE!</v>
      </c>
      <c r="F942" s="8" t="str">
        <f aca="false">IFERROR(D942/VLOOKUP(A942,'Dados-Status-Invest'!$1:$1000,5,FALSE()),"")</f>
        <v/>
      </c>
      <c r="G942" s="8" t="str">
        <f aca="false">IFERROR(D942/VLOOKUP(A942,'Dados-Status-Invest'!$1:$1000,6,FALSE()),"")</f>
        <v/>
      </c>
      <c r="H942" s="8" t="str">
        <f aca="false">IFERROR(VLOOKUP(A942,'Dados-Status-Invest'!$1:$1000,12,FALSE())*J942,"")</f>
        <v/>
      </c>
      <c r="I942" s="8" t="str">
        <f aca="false">IFERROR(D942/VLOOKUP(A942,'Dados-Status-Invest'!$1:$1000,14,FALSE()),"")</f>
        <v/>
      </c>
      <c r="J942" s="9" t="str">
        <f aca="false">IFERROR(D942/VLOOKUP(A942,'Dados-Status-Invest'!$1:$1000,10,FALSE()),"")</f>
        <v/>
      </c>
      <c r="K942" s="10" t="str">
        <f aca="false">IFERROR(VLOOKUP(A942,'Dados-Status-Invest'!$1:$1000,3,FALSE())/100,"")</f>
        <v/>
      </c>
      <c r="L942" s="11" t="str">
        <f aca="false">IFERROR(VLOOKUP(A942,'Dados-Status-Invest'!$1:$1000,MATCH(L$1,'Dados-Status-Invest'!$2:$2,0),FALSE())/100,"")</f>
        <v/>
      </c>
      <c r="M942" s="10" t="str">
        <f aca="false">IFERROR(VLOOKUP(A942,'Dados-Status-Invest'!$1:$1000,MATCH(M$1,'Dados-Status-Invest'!$2:$2,0),FALSE())/100,"")</f>
        <v/>
      </c>
      <c r="N942" s="10" t="str">
        <f aca="false">IFERROR(VLOOKUP(A942,'Dados-Status-Invest'!$1:$1000,MATCH(N$1,'Dados-Status-Invest'!$2:$2,0),FALSE())/100,"")</f>
        <v/>
      </c>
      <c r="O942" s="10" t="str">
        <f aca="false">IFERROR(VLOOKUP(A942,'Dados-Status-Invest'!$1:$1000,MATCH(O$1,'Dados-Status-Invest'!$2:$2,0),FALSE())/100,"")</f>
        <v/>
      </c>
      <c r="P942" s="10" t="str">
        <f aca="false">IFERROR(VLOOKUP(A942,'Dados-Status-Invest'!$1:$1000,MATCH(P$1,'Dados-Status-Invest'!$2:$2,0),FALSE())/100,"")</f>
        <v/>
      </c>
      <c r="Q942" s="10" t="str">
        <f aca="false">IFERROR(VLOOKUP(A942,'Dados-Status-Invest'!$1:$1000,MATCH(Q$1,'Dados-Status-Invest'!$2:$2,0),FALSE())/100,"")</f>
        <v/>
      </c>
      <c r="R942" s="12" t="str">
        <f aca="false">IFERROR(VLOOKUP(A942,'Dados-Status-Invest'!$1:$1000,MATCH(R$1,'Dados-Status-Invest'!$2:$2,0),FALSE()),"")</f>
        <v/>
      </c>
      <c r="S942" s="12" t="str">
        <f aca="false">IFERROR(VLOOKUP(A942,'Dados-Status-Invest'!$1:$1000,MATCH(S$1,'Dados-Status-Invest'!$2:$2,0),FALSE()),"")</f>
        <v/>
      </c>
      <c r="T942" s="12" t="str">
        <f aca="false">IFERROR(VLOOKUP(A942,'Dados-Status-Invest'!$1:$1000,MATCH(T$1,'Dados-Status-Invest'!$2:$2,0),FALSE()),"")</f>
        <v/>
      </c>
      <c r="U942" s="12" t="str">
        <f aca="false">IFERROR(VLOOKUP(A942,'Dados-Status-Invest'!$1:$1000,MATCH(U$1,'Dados-Status-Invest'!$2:$2,0),FALSE()),"")</f>
        <v/>
      </c>
      <c r="V942" s="12" t="str">
        <f aca="false">IFERROR(VLOOKUP(A942,'Dados-Status-Invest'!$1:$1000,MATCH(V$1,'Dados-Status-Invest'!$2:$2,0),FALSE()),"")</f>
        <v/>
      </c>
      <c r="W942" s="10" t="str">
        <f aca="false">IFERROR(VLOOKUP(A942,'Dados-Status-Invest'!$1:$1000,MATCH(W$1,'Dados-Status-Invest'!$2:$2,0),FALSE())/100,"")</f>
        <v/>
      </c>
      <c r="X942" s="10" t="str">
        <f aca="false">IFERROR(VLOOKUP(A942,'Dados-Status-Invest'!$1:$1000,MATCH(X$1,'Dados-Status-Invest'!$2:$2,0),FALSE())/100,"")</f>
        <v/>
      </c>
    </row>
    <row r="943" customFormat="false" ht="15.75" hidden="false" customHeight="false" outlineLevel="0" collapsed="false">
      <c r="B943" s="7" t="str">
        <f aca="false">IFERROR(VLOOKUP(LEFT(A943,4),Setor!A:D,2,FALSE()),"")</f>
        <v/>
      </c>
      <c r="C943" s="8" t="str">
        <f aca="false">IFERROR(__xludf.dummyfunction("IFERROR(IFERROR(GOOGLEFINANCE(A949,""price""),VLOOKUP(A949,'Dados-Status-Invest'!A:B,2,FALSE)),"""")"),"")</f>
        <v/>
      </c>
      <c r="D943" s="8" t="str">
        <f aca="false">IFERROR(VLOOKUP(A943,'Dados-Status-Invest'!$1:$1000,MATCH(D$1,'Dados-Status-Invest'!$2:$2,0),FALSE()),"")</f>
        <v/>
      </c>
      <c r="E943" s="8" t="e">
        <f aca="false">IF(D943+H943&gt;0,D943+H943,"")</f>
        <v>#VALUE!</v>
      </c>
      <c r="F943" s="8" t="str">
        <f aca="false">IFERROR(D943/VLOOKUP(A943,'Dados-Status-Invest'!$1:$1000,5,FALSE()),"")</f>
        <v/>
      </c>
      <c r="G943" s="8" t="str">
        <f aca="false">IFERROR(D943/VLOOKUP(A943,'Dados-Status-Invest'!$1:$1000,6,FALSE()),"")</f>
        <v/>
      </c>
      <c r="H943" s="8" t="str">
        <f aca="false">IFERROR(VLOOKUP(A943,'Dados-Status-Invest'!$1:$1000,12,FALSE())*J943,"")</f>
        <v/>
      </c>
      <c r="I943" s="8" t="str">
        <f aca="false">IFERROR(D943/VLOOKUP(A943,'Dados-Status-Invest'!$1:$1000,14,FALSE()),"")</f>
        <v/>
      </c>
      <c r="J943" s="9" t="str">
        <f aca="false">IFERROR(D943/VLOOKUP(A943,'Dados-Status-Invest'!$1:$1000,10,FALSE()),"")</f>
        <v/>
      </c>
      <c r="K943" s="10" t="str">
        <f aca="false">IFERROR(VLOOKUP(A943,'Dados-Status-Invest'!$1:$1000,3,FALSE())/100,"")</f>
        <v/>
      </c>
      <c r="L943" s="11" t="str">
        <f aca="false">IFERROR(VLOOKUP(A943,'Dados-Status-Invest'!$1:$1000,MATCH(L$1,'Dados-Status-Invest'!$2:$2,0),FALSE())/100,"")</f>
        <v/>
      </c>
      <c r="M943" s="10" t="str">
        <f aca="false">IFERROR(VLOOKUP(A943,'Dados-Status-Invest'!$1:$1000,MATCH(M$1,'Dados-Status-Invest'!$2:$2,0),FALSE())/100,"")</f>
        <v/>
      </c>
      <c r="N943" s="10" t="str">
        <f aca="false">IFERROR(VLOOKUP(A943,'Dados-Status-Invest'!$1:$1000,MATCH(N$1,'Dados-Status-Invest'!$2:$2,0),FALSE())/100,"")</f>
        <v/>
      </c>
      <c r="O943" s="10" t="str">
        <f aca="false">IFERROR(VLOOKUP(A943,'Dados-Status-Invest'!$1:$1000,MATCH(O$1,'Dados-Status-Invest'!$2:$2,0),FALSE())/100,"")</f>
        <v/>
      </c>
      <c r="P943" s="10" t="str">
        <f aca="false">IFERROR(VLOOKUP(A943,'Dados-Status-Invest'!$1:$1000,MATCH(P$1,'Dados-Status-Invest'!$2:$2,0),FALSE())/100,"")</f>
        <v/>
      </c>
      <c r="Q943" s="10" t="str">
        <f aca="false">IFERROR(VLOOKUP(A943,'Dados-Status-Invest'!$1:$1000,MATCH(Q$1,'Dados-Status-Invest'!$2:$2,0),FALSE())/100,"")</f>
        <v/>
      </c>
      <c r="R943" s="12" t="str">
        <f aca="false">IFERROR(VLOOKUP(A943,'Dados-Status-Invest'!$1:$1000,MATCH(R$1,'Dados-Status-Invest'!$2:$2,0),FALSE()),"")</f>
        <v/>
      </c>
      <c r="S943" s="12" t="str">
        <f aca="false">IFERROR(VLOOKUP(A943,'Dados-Status-Invest'!$1:$1000,MATCH(S$1,'Dados-Status-Invest'!$2:$2,0),FALSE()),"")</f>
        <v/>
      </c>
      <c r="T943" s="12" t="str">
        <f aca="false">IFERROR(VLOOKUP(A943,'Dados-Status-Invest'!$1:$1000,MATCH(T$1,'Dados-Status-Invest'!$2:$2,0),FALSE()),"")</f>
        <v/>
      </c>
      <c r="U943" s="12" t="str">
        <f aca="false">IFERROR(VLOOKUP(A943,'Dados-Status-Invest'!$1:$1000,MATCH(U$1,'Dados-Status-Invest'!$2:$2,0),FALSE()),"")</f>
        <v/>
      </c>
      <c r="V943" s="12" t="str">
        <f aca="false">IFERROR(VLOOKUP(A943,'Dados-Status-Invest'!$1:$1000,MATCH(V$1,'Dados-Status-Invest'!$2:$2,0),FALSE()),"")</f>
        <v/>
      </c>
      <c r="W943" s="10" t="str">
        <f aca="false">IFERROR(VLOOKUP(A943,'Dados-Status-Invest'!$1:$1000,MATCH(W$1,'Dados-Status-Invest'!$2:$2,0),FALSE())/100,"")</f>
        <v/>
      </c>
      <c r="X943" s="10" t="str">
        <f aca="false">IFERROR(VLOOKUP(A943,'Dados-Status-Invest'!$1:$1000,MATCH(X$1,'Dados-Status-Invest'!$2:$2,0),FALSE())/100,"")</f>
        <v/>
      </c>
    </row>
    <row r="944" customFormat="false" ht="15.75" hidden="false" customHeight="false" outlineLevel="0" collapsed="false">
      <c r="B944" s="7" t="str">
        <f aca="false">IFERROR(VLOOKUP(LEFT(A944,4),Setor!A:D,2,FALSE()),"")</f>
        <v/>
      </c>
      <c r="C944" s="8" t="str">
        <f aca="false">IFERROR(__xludf.dummyfunction("IFERROR(IFERROR(GOOGLEFINANCE(A950,""price""),VLOOKUP(A950,'Dados-Status-Invest'!A:B,2,FALSE)),"""")"),"")</f>
        <v/>
      </c>
      <c r="D944" s="8" t="str">
        <f aca="false">IFERROR(VLOOKUP(A944,'Dados-Status-Invest'!$1:$1000,MATCH(D$1,'Dados-Status-Invest'!$2:$2,0),FALSE()),"")</f>
        <v/>
      </c>
      <c r="E944" s="8" t="e">
        <f aca="false">IF(D944+H944&gt;0,D944+H944,"")</f>
        <v>#VALUE!</v>
      </c>
      <c r="F944" s="8" t="str">
        <f aca="false">IFERROR(D944/VLOOKUP(A944,'Dados-Status-Invest'!$1:$1000,5,FALSE()),"")</f>
        <v/>
      </c>
      <c r="G944" s="8" t="str">
        <f aca="false">IFERROR(D944/VLOOKUP(A944,'Dados-Status-Invest'!$1:$1000,6,FALSE()),"")</f>
        <v/>
      </c>
      <c r="H944" s="8" t="str">
        <f aca="false">IFERROR(VLOOKUP(A944,'Dados-Status-Invest'!$1:$1000,12,FALSE())*J944,"")</f>
        <v/>
      </c>
      <c r="I944" s="8" t="str">
        <f aca="false">IFERROR(D944/VLOOKUP(A944,'Dados-Status-Invest'!$1:$1000,14,FALSE()),"")</f>
        <v/>
      </c>
      <c r="J944" s="9" t="str">
        <f aca="false">IFERROR(D944/VLOOKUP(A944,'Dados-Status-Invest'!$1:$1000,10,FALSE()),"")</f>
        <v/>
      </c>
      <c r="K944" s="10" t="str">
        <f aca="false">IFERROR(VLOOKUP(A944,'Dados-Status-Invest'!$1:$1000,3,FALSE())/100,"")</f>
        <v/>
      </c>
      <c r="L944" s="11" t="str">
        <f aca="false">IFERROR(VLOOKUP(A944,'Dados-Status-Invest'!$1:$1000,MATCH(L$1,'Dados-Status-Invest'!$2:$2,0),FALSE())/100,"")</f>
        <v/>
      </c>
      <c r="M944" s="10" t="str">
        <f aca="false">IFERROR(VLOOKUP(A944,'Dados-Status-Invest'!$1:$1000,MATCH(M$1,'Dados-Status-Invest'!$2:$2,0),FALSE())/100,"")</f>
        <v/>
      </c>
      <c r="N944" s="10" t="str">
        <f aca="false">IFERROR(VLOOKUP(A944,'Dados-Status-Invest'!$1:$1000,MATCH(N$1,'Dados-Status-Invest'!$2:$2,0),FALSE())/100,"")</f>
        <v/>
      </c>
      <c r="O944" s="10" t="str">
        <f aca="false">IFERROR(VLOOKUP(A944,'Dados-Status-Invest'!$1:$1000,MATCH(O$1,'Dados-Status-Invest'!$2:$2,0),FALSE())/100,"")</f>
        <v/>
      </c>
      <c r="P944" s="10" t="str">
        <f aca="false">IFERROR(VLOOKUP(A944,'Dados-Status-Invest'!$1:$1000,MATCH(P$1,'Dados-Status-Invest'!$2:$2,0),FALSE())/100,"")</f>
        <v/>
      </c>
      <c r="Q944" s="10" t="str">
        <f aca="false">IFERROR(VLOOKUP(A944,'Dados-Status-Invest'!$1:$1000,MATCH(Q$1,'Dados-Status-Invest'!$2:$2,0),FALSE())/100,"")</f>
        <v/>
      </c>
      <c r="R944" s="12" t="str">
        <f aca="false">IFERROR(VLOOKUP(A944,'Dados-Status-Invest'!$1:$1000,MATCH(R$1,'Dados-Status-Invest'!$2:$2,0),FALSE()),"")</f>
        <v/>
      </c>
      <c r="S944" s="12" t="str">
        <f aca="false">IFERROR(VLOOKUP(A944,'Dados-Status-Invest'!$1:$1000,MATCH(S$1,'Dados-Status-Invest'!$2:$2,0),FALSE()),"")</f>
        <v/>
      </c>
      <c r="T944" s="12" t="str">
        <f aca="false">IFERROR(VLOOKUP(A944,'Dados-Status-Invest'!$1:$1000,MATCH(T$1,'Dados-Status-Invest'!$2:$2,0),FALSE()),"")</f>
        <v/>
      </c>
      <c r="U944" s="12" t="str">
        <f aca="false">IFERROR(VLOOKUP(A944,'Dados-Status-Invest'!$1:$1000,MATCH(U$1,'Dados-Status-Invest'!$2:$2,0),FALSE()),"")</f>
        <v/>
      </c>
      <c r="V944" s="12" t="str">
        <f aca="false">IFERROR(VLOOKUP(A944,'Dados-Status-Invest'!$1:$1000,MATCH(V$1,'Dados-Status-Invest'!$2:$2,0),FALSE()),"")</f>
        <v/>
      </c>
      <c r="W944" s="10" t="str">
        <f aca="false">IFERROR(VLOOKUP(A944,'Dados-Status-Invest'!$1:$1000,MATCH(W$1,'Dados-Status-Invest'!$2:$2,0),FALSE())/100,"")</f>
        <v/>
      </c>
      <c r="X944" s="10" t="str">
        <f aca="false">IFERROR(VLOOKUP(A944,'Dados-Status-Invest'!$1:$1000,MATCH(X$1,'Dados-Status-Invest'!$2:$2,0),FALSE())/100,"")</f>
        <v/>
      </c>
    </row>
    <row r="945" customFormat="false" ht="15.75" hidden="false" customHeight="false" outlineLevel="0" collapsed="false">
      <c r="B945" s="7" t="str">
        <f aca="false">IFERROR(VLOOKUP(LEFT(A945,4),Setor!A:D,2,FALSE()),"")</f>
        <v/>
      </c>
      <c r="C945" s="8" t="str">
        <f aca="false">IFERROR(__xludf.dummyfunction("IFERROR(IFERROR(GOOGLEFINANCE(A951,""price""),VLOOKUP(A951,'Dados-Status-Invest'!A:B,2,FALSE)),"""")"),"")</f>
        <v/>
      </c>
      <c r="D945" s="8" t="str">
        <f aca="false">IFERROR(VLOOKUP(A945,'Dados-Status-Invest'!$1:$1000,MATCH(D$1,'Dados-Status-Invest'!$2:$2,0),FALSE()),"")</f>
        <v/>
      </c>
      <c r="E945" s="8" t="e">
        <f aca="false">IF(D945+H945&gt;0,D945+H945,"")</f>
        <v>#VALUE!</v>
      </c>
      <c r="F945" s="8" t="str">
        <f aca="false">IFERROR(D945/VLOOKUP(A945,'Dados-Status-Invest'!$1:$1000,5,FALSE()),"")</f>
        <v/>
      </c>
      <c r="G945" s="8" t="str">
        <f aca="false">IFERROR(D945/VLOOKUP(A945,'Dados-Status-Invest'!$1:$1000,6,FALSE()),"")</f>
        <v/>
      </c>
      <c r="H945" s="8" t="str">
        <f aca="false">IFERROR(VLOOKUP(A945,'Dados-Status-Invest'!$1:$1000,12,FALSE())*J945,"")</f>
        <v/>
      </c>
      <c r="I945" s="8" t="str">
        <f aca="false">IFERROR(D945/VLOOKUP(A945,'Dados-Status-Invest'!$1:$1000,14,FALSE()),"")</f>
        <v/>
      </c>
      <c r="J945" s="9" t="str">
        <f aca="false">IFERROR(D945/VLOOKUP(A945,'Dados-Status-Invest'!$1:$1000,10,FALSE()),"")</f>
        <v/>
      </c>
      <c r="K945" s="10" t="str">
        <f aca="false">IFERROR(VLOOKUP(A945,'Dados-Status-Invest'!$1:$1000,3,FALSE())/100,"")</f>
        <v/>
      </c>
      <c r="L945" s="11" t="str">
        <f aca="false">IFERROR(VLOOKUP(A945,'Dados-Status-Invest'!$1:$1000,MATCH(L$1,'Dados-Status-Invest'!$2:$2,0),FALSE())/100,"")</f>
        <v/>
      </c>
      <c r="M945" s="10" t="str">
        <f aca="false">IFERROR(VLOOKUP(A945,'Dados-Status-Invest'!$1:$1000,MATCH(M$1,'Dados-Status-Invest'!$2:$2,0),FALSE())/100,"")</f>
        <v/>
      </c>
      <c r="N945" s="10" t="str">
        <f aca="false">IFERROR(VLOOKUP(A945,'Dados-Status-Invest'!$1:$1000,MATCH(N$1,'Dados-Status-Invest'!$2:$2,0),FALSE())/100,"")</f>
        <v/>
      </c>
      <c r="O945" s="10" t="str">
        <f aca="false">IFERROR(VLOOKUP(A945,'Dados-Status-Invest'!$1:$1000,MATCH(O$1,'Dados-Status-Invest'!$2:$2,0),FALSE())/100,"")</f>
        <v/>
      </c>
      <c r="P945" s="10" t="str">
        <f aca="false">IFERROR(VLOOKUP(A945,'Dados-Status-Invest'!$1:$1000,MATCH(P$1,'Dados-Status-Invest'!$2:$2,0),FALSE())/100,"")</f>
        <v/>
      </c>
      <c r="Q945" s="10" t="str">
        <f aca="false">IFERROR(VLOOKUP(A945,'Dados-Status-Invest'!$1:$1000,MATCH(Q$1,'Dados-Status-Invest'!$2:$2,0),FALSE())/100,"")</f>
        <v/>
      </c>
      <c r="R945" s="12" t="str">
        <f aca="false">IFERROR(VLOOKUP(A945,'Dados-Status-Invest'!$1:$1000,MATCH(R$1,'Dados-Status-Invest'!$2:$2,0),FALSE()),"")</f>
        <v/>
      </c>
      <c r="S945" s="12" t="str">
        <f aca="false">IFERROR(VLOOKUP(A945,'Dados-Status-Invest'!$1:$1000,MATCH(S$1,'Dados-Status-Invest'!$2:$2,0),FALSE()),"")</f>
        <v/>
      </c>
      <c r="T945" s="12" t="str">
        <f aca="false">IFERROR(VLOOKUP(A945,'Dados-Status-Invest'!$1:$1000,MATCH(T$1,'Dados-Status-Invest'!$2:$2,0),FALSE()),"")</f>
        <v/>
      </c>
      <c r="U945" s="12" t="str">
        <f aca="false">IFERROR(VLOOKUP(A945,'Dados-Status-Invest'!$1:$1000,MATCH(U$1,'Dados-Status-Invest'!$2:$2,0),FALSE()),"")</f>
        <v/>
      </c>
      <c r="V945" s="12" t="str">
        <f aca="false">IFERROR(VLOOKUP(A945,'Dados-Status-Invest'!$1:$1000,MATCH(V$1,'Dados-Status-Invest'!$2:$2,0),FALSE()),"")</f>
        <v/>
      </c>
      <c r="W945" s="10" t="str">
        <f aca="false">IFERROR(VLOOKUP(A945,'Dados-Status-Invest'!$1:$1000,MATCH(W$1,'Dados-Status-Invest'!$2:$2,0),FALSE())/100,"")</f>
        <v/>
      </c>
      <c r="X945" s="10" t="str">
        <f aca="false">IFERROR(VLOOKUP(A945,'Dados-Status-Invest'!$1:$1000,MATCH(X$1,'Dados-Status-Invest'!$2:$2,0),FALSE())/100,"")</f>
        <v/>
      </c>
    </row>
    <row r="946" customFormat="false" ht="15.75" hidden="false" customHeight="false" outlineLevel="0" collapsed="false">
      <c r="B946" s="7" t="str">
        <f aca="false">IFERROR(VLOOKUP(LEFT(A946,4),Setor!A:D,2,FALSE()),"")</f>
        <v/>
      </c>
      <c r="C946" s="8" t="str">
        <f aca="false">IFERROR(__xludf.dummyfunction("IFERROR(IFERROR(GOOGLEFINANCE(A952,""price""),VLOOKUP(A952,'Dados-Status-Invest'!A:B,2,FALSE)),"""")"),"")</f>
        <v/>
      </c>
      <c r="D946" s="8" t="str">
        <f aca="false">IFERROR(VLOOKUP(A946,'Dados-Status-Invest'!$1:$1000,MATCH(D$1,'Dados-Status-Invest'!$2:$2,0),FALSE()),"")</f>
        <v/>
      </c>
      <c r="E946" s="8" t="e">
        <f aca="false">IF(D946+H946&gt;0,D946+H946,"")</f>
        <v>#VALUE!</v>
      </c>
      <c r="F946" s="8" t="str">
        <f aca="false">IFERROR(D946/VLOOKUP(A946,'Dados-Status-Invest'!$1:$1000,5,FALSE()),"")</f>
        <v/>
      </c>
      <c r="G946" s="8" t="str">
        <f aca="false">IFERROR(D946/VLOOKUP(A946,'Dados-Status-Invest'!$1:$1000,6,FALSE()),"")</f>
        <v/>
      </c>
      <c r="H946" s="8" t="str">
        <f aca="false">IFERROR(VLOOKUP(A946,'Dados-Status-Invest'!$1:$1000,12,FALSE())*J946,"")</f>
        <v/>
      </c>
      <c r="I946" s="8" t="str">
        <f aca="false">IFERROR(D946/VLOOKUP(A946,'Dados-Status-Invest'!$1:$1000,14,FALSE()),"")</f>
        <v/>
      </c>
      <c r="J946" s="9" t="str">
        <f aca="false">IFERROR(D946/VLOOKUP(A946,'Dados-Status-Invest'!$1:$1000,10,FALSE()),"")</f>
        <v/>
      </c>
      <c r="K946" s="10" t="str">
        <f aca="false">IFERROR(VLOOKUP(A946,'Dados-Status-Invest'!$1:$1000,3,FALSE())/100,"")</f>
        <v/>
      </c>
      <c r="L946" s="11" t="str">
        <f aca="false">IFERROR(VLOOKUP(A946,'Dados-Status-Invest'!$1:$1000,MATCH(L$1,'Dados-Status-Invest'!$2:$2,0),FALSE())/100,"")</f>
        <v/>
      </c>
      <c r="M946" s="10" t="str">
        <f aca="false">IFERROR(VLOOKUP(A946,'Dados-Status-Invest'!$1:$1000,MATCH(M$1,'Dados-Status-Invest'!$2:$2,0),FALSE())/100,"")</f>
        <v/>
      </c>
      <c r="N946" s="10" t="str">
        <f aca="false">IFERROR(VLOOKUP(A946,'Dados-Status-Invest'!$1:$1000,MATCH(N$1,'Dados-Status-Invest'!$2:$2,0),FALSE())/100,"")</f>
        <v/>
      </c>
      <c r="O946" s="10" t="str">
        <f aca="false">IFERROR(VLOOKUP(A946,'Dados-Status-Invest'!$1:$1000,MATCH(O$1,'Dados-Status-Invest'!$2:$2,0),FALSE())/100,"")</f>
        <v/>
      </c>
      <c r="P946" s="10" t="str">
        <f aca="false">IFERROR(VLOOKUP(A946,'Dados-Status-Invest'!$1:$1000,MATCH(P$1,'Dados-Status-Invest'!$2:$2,0),FALSE())/100,"")</f>
        <v/>
      </c>
      <c r="Q946" s="10" t="str">
        <f aca="false">IFERROR(VLOOKUP(A946,'Dados-Status-Invest'!$1:$1000,MATCH(Q$1,'Dados-Status-Invest'!$2:$2,0),FALSE())/100,"")</f>
        <v/>
      </c>
      <c r="R946" s="12" t="str">
        <f aca="false">IFERROR(VLOOKUP(A946,'Dados-Status-Invest'!$1:$1000,MATCH(R$1,'Dados-Status-Invest'!$2:$2,0),FALSE()),"")</f>
        <v/>
      </c>
      <c r="S946" s="12" t="str">
        <f aca="false">IFERROR(VLOOKUP(A946,'Dados-Status-Invest'!$1:$1000,MATCH(S$1,'Dados-Status-Invest'!$2:$2,0),FALSE()),"")</f>
        <v/>
      </c>
      <c r="T946" s="12" t="str">
        <f aca="false">IFERROR(VLOOKUP(A946,'Dados-Status-Invest'!$1:$1000,MATCH(T$1,'Dados-Status-Invest'!$2:$2,0),FALSE()),"")</f>
        <v/>
      </c>
      <c r="U946" s="12" t="str">
        <f aca="false">IFERROR(VLOOKUP(A946,'Dados-Status-Invest'!$1:$1000,MATCH(U$1,'Dados-Status-Invest'!$2:$2,0),FALSE()),"")</f>
        <v/>
      </c>
      <c r="V946" s="12" t="str">
        <f aca="false">IFERROR(VLOOKUP(A946,'Dados-Status-Invest'!$1:$1000,MATCH(V$1,'Dados-Status-Invest'!$2:$2,0),FALSE()),"")</f>
        <v/>
      </c>
      <c r="W946" s="10" t="str">
        <f aca="false">IFERROR(VLOOKUP(A946,'Dados-Status-Invest'!$1:$1000,MATCH(W$1,'Dados-Status-Invest'!$2:$2,0),FALSE())/100,"")</f>
        <v/>
      </c>
      <c r="X946" s="10" t="str">
        <f aca="false">IFERROR(VLOOKUP(A946,'Dados-Status-Invest'!$1:$1000,MATCH(X$1,'Dados-Status-Invest'!$2:$2,0),FALSE())/100,"")</f>
        <v/>
      </c>
    </row>
    <row r="947" customFormat="false" ht="15.75" hidden="false" customHeight="false" outlineLevel="0" collapsed="false">
      <c r="B947" s="7" t="str">
        <f aca="false">IFERROR(VLOOKUP(LEFT(A947,4),Setor!A:D,2,FALSE()),"")</f>
        <v/>
      </c>
      <c r="C947" s="8" t="str">
        <f aca="false">IFERROR(__xludf.dummyfunction("IFERROR(IFERROR(GOOGLEFINANCE(A953,""price""),VLOOKUP(A953,'Dados-Status-Invest'!A:B,2,FALSE)),"""")"),"")</f>
        <v/>
      </c>
      <c r="D947" s="8" t="str">
        <f aca="false">IFERROR(VLOOKUP(A947,'Dados-Status-Invest'!$1:$1000,MATCH(D$1,'Dados-Status-Invest'!$2:$2,0),FALSE()),"")</f>
        <v/>
      </c>
      <c r="E947" s="8" t="e">
        <f aca="false">IF(D947+H947&gt;0,D947+H947,"")</f>
        <v>#VALUE!</v>
      </c>
      <c r="F947" s="8" t="str">
        <f aca="false">IFERROR(D947/VLOOKUP(A947,'Dados-Status-Invest'!$1:$1000,5,FALSE()),"")</f>
        <v/>
      </c>
      <c r="G947" s="8" t="str">
        <f aca="false">IFERROR(D947/VLOOKUP(A947,'Dados-Status-Invest'!$1:$1000,6,FALSE()),"")</f>
        <v/>
      </c>
      <c r="H947" s="8" t="str">
        <f aca="false">IFERROR(VLOOKUP(A947,'Dados-Status-Invest'!$1:$1000,12,FALSE())*J947,"")</f>
        <v/>
      </c>
      <c r="I947" s="8" t="str">
        <f aca="false">IFERROR(D947/VLOOKUP(A947,'Dados-Status-Invest'!$1:$1000,14,FALSE()),"")</f>
        <v/>
      </c>
      <c r="J947" s="9" t="str">
        <f aca="false">IFERROR(D947/VLOOKUP(A947,'Dados-Status-Invest'!$1:$1000,10,FALSE()),"")</f>
        <v/>
      </c>
      <c r="K947" s="10" t="str">
        <f aca="false">IFERROR(VLOOKUP(A947,'Dados-Status-Invest'!$1:$1000,3,FALSE())/100,"")</f>
        <v/>
      </c>
      <c r="L947" s="11" t="str">
        <f aca="false">IFERROR(VLOOKUP(A947,'Dados-Status-Invest'!$1:$1000,MATCH(L$1,'Dados-Status-Invest'!$2:$2,0),FALSE())/100,"")</f>
        <v/>
      </c>
      <c r="M947" s="10" t="str">
        <f aca="false">IFERROR(VLOOKUP(A947,'Dados-Status-Invest'!$1:$1000,MATCH(M$1,'Dados-Status-Invest'!$2:$2,0),FALSE())/100,"")</f>
        <v/>
      </c>
      <c r="N947" s="10" t="str">
        <f aca="false">IFERROR(VLOOKUP(A947,'Dados-Status-Invest'!$1:$1000,MATCH(N$1,'Dados-Status-Invest'!$2:$2,0),FALSE())/100,"")</f>
        <v/>
      </c>
      <c r="O947" s="10" t="str">
        <f aca="false">IFERROR(VLOOKUP(A947,'Dados-Status-Invest'!$1:$1000,MATCH(O$1,'Dados-Status-Invest'!$2:$2,0),FALSE())/100,"")</f>
        <v/>
      </c>
      <c r="P947" s="10" t="str">
        <f aca="false">IFERROR(VLOOKUP(A947,'Dados-Status-Invest'!$1:$1000,MATCH(P$1,'Dados-Status-Invest'!$2:$2,0),FALSE())/100,"")</f>
        <v/>
      </c>
      <c r="Q947" s="10" t="str">
        <f aca="false">IFERROR(VLOOKUP(A947,'Dados-Status-Invest'!$1:$1000,MATCH(Q$1,'Dados-Status-Invest'!$2:$2,0),FALSE())/100,"")</f>
        <v/>
      </c>
      <c r="R947" s="12" t="str">
        <f aca="false">IFERROR(VLOOKUP(A947,'Dados-Status-Invest'!$1:$1000,MATCH(R$1,'Dados-Status-Invest'!$2:$2,0),FALSE()),"")</f>
        <v/>
      </c>
      <c r="S947" s="12" t="str">
        <f aca="false">IFERROR(VLOOKUP(A947,'Dados-Status-Invest'!$1:$1000,MATCH(S$1,'Dados-Status-Invest'!$2:$2,0),FALSE()),"")</f>
        <v/>
      </c>
      <c r="T947" s="12" t="str">
        <f aca="false">IFERROR(VLOOKUP(A947,'Dados-Status-Invest'!$1:$1000,MATCH(T$1,'Dados-Status-Invest'!$2:$2,0),FALSE()),"")</f>
        <v/>
      </c>
      <c r="U947" s="12" t="str">
        <f aca="false">IFERROR(VLOOKUP(A947,'Dados-Status-Invest'!$1:$1000,MATCH(U$1,'Dados-Status-Invest'!$2:$2,0),FALSE()),"")</f>
        <v/>
      </c>
      <c r="V947" s="12" t="str">
        <f aca="false">IFERROR(VLOOKUP(A947,'Dados-Status-Invest'!$1:$1000,MATCH(V$1,'Dados-Status-Invest'!$2:$2,0),FALSE()),"")</f>
        <v/>
      </c>
      <c r="W947" s="10" t="str">
        <f aca="false">IFERROR(VLOOKUP(A947,'Dados-Status-Invest'!$1:$1000,MATCH(W$1,'Dados-Status-Invest'!$2:$2,0),FALSE())/100,"")</f>
        <v/>
      </c>
      <c r="X947" s="10" t="str">
        <f aca="false">IFERROR(VLOOKUP(A947,'Dados-Status-Invest'!$1:$1000,MATCH(X$1,'Dados-Status-Invest'!$2:$2,0),FALSE())/100,"")</f>
        <v/>
      </c>
    </row>
    <row r="948" customFormat="false" ht="15.75" hidden="false" customHeight="false" outlineLevel="0" collapsed="false">
      <c r="B948" s="7" t="str">
        <f aca="false">IFERROR(VLOOKUP(LEFT(A948,4),Setor!A:D,2,FALSE()),"")</f>
        <v/>
      </c>
      <c r="C948" s="8" t="str">
        <f aca="false">IFERROR(__xludf.dummyfunction("IFERROR(IFERROR(GOOGLEFINANCE(A954,""price""),VLOOKUP(A954,'Dados-Status-Invest'!A:B,2,FALSE)),"""")"),"")</f>
        <v/>
      </c>
      <c r="D948" s="8" t="str">
        <f aca="false">IFERROR(VLOOKUP(A948,'Dados-Status-Invest'!$1:$1000,MATCH(D$1,'Dados-Status-Invest'!$2:$2,0),FALSE()),"")</f>
        <v/>
      </c>
      <c r="E948" s="8" t="e">
        <f aca="false">IF(D948+H948&gt;0,D948+H948,"")</f>
        <v>#VALUE!</v>
      </c>
      <c r="F948" s="8" t="str">
        <f aca="false">IFERROR(D948/VLOOKUP(A948,'Dados-Status-Invest'!$1:$1000,5,FALSE()),"")</f>
        <v/>
      </c>
      <c r="G948" s="8" t="str">
        <f aca="false">IFERROR(D948/VLOOKUP(A948,'Dados-Status-Invest'!$1:$1000,6,FALSE()),"")</f>
        <v/>
      </c>
      <c r="H948" s="8" t="str">
        <f aca="false">IFERROR(VLOOKUP(A948,'Dados-Status-Invest'!$1:$1000,12,FALSE())*J948,"")</f>
        <v/>
      </c>
      <c r="I948" s="8" t="str">
        <f aca="false">IFERROR(D948/VLOOKUP(A948,'Dados-Status-Invest'!$1:$1000,14,FALSE()),"")</f>
        <v/>
      </c>
      <c r="J948" s="9" t="str">
        <f aca="false">IFERROR(D948/VLOOKUP(A948,'Dados-Status-Invest'!$1:$1000,10,FALSE()),"")</f>
        <v/>
      </c>
      <c r="K948" s="10" t="str">
        <f aca="false">IFERROR(VLOOKUP(A948,'Dados-Status-Invest'!$1:$1000,3,FALSE())/100,"")</f>
        <v/>
      </c>
      <c r="L948" s="11" t="str">
        <f aca="false">IFERROR(VLOOKUP(A948,'Dados-Status-Invest'!$1:$1000,MATCH(L$1,'Dados-Status-Invest'!$2:$2,0),FALSE())/100,"")</f>
        <v/>
      </c>
      <c r="M948" s="10" t="str">
        <f aca="false">IFERROR(VLOOKUP(A948,'Dados-Status-Invest'!$1:$1000,MATCH(M$1,'Dados-Status-Invest'!$2:$2,0),FALSE())/100,"")</f>
        <v/>
      </c>
      <c r="N948" s="10" t="str">
        <f aca="false">IFERROR(VLOOKUP(A948,'Dados-Status-Invest'!$1:$1000,MATCH(N$1,'Dados-Status-Invest'!$2:$2,0),FALSE())/100,"")</f>
        <v/>
      </c>
      <c r="O948" s="10" t="str">
        <f aca="false">IFERROR(VLOOKUP(A948,'Dados-Status-Invest'!$1:$1000,MATCH(O$1,'Dados-Status-Invest'!$2:$2,0),FALSE())/100,"")</f>
        <v/>
      </c>
      <c r="P948" s="10" t="str">
        <f aca="false">IFERROR(VLOOKUP(A948,'Dados-Status-Invest'!$1:$1000,MATCH(P$1,'Dados-Status-Invest'!$2:$2,0),FALSE())/100,"")</f>
        <v/>
      </c>
      <c r="Q948" s="10" t="str">
        <f aca="false">IFERROR(VLOOKUP(A948,'Dados-Status-Invest'!$1:$1000,MATCH(Q$1,'Dados-Status-Invest'!$2:$2,0),FALSE())/100,"")</f>
        <v/>
      </c>
      <c r="R948" s="12" t="str">
        <f aca="false">IFERROR(VLOOKUP(A948,'Dados-Status-Invest'!$1:$1000,MATCH(R$1,'Dados-Status-Invest'!$2:$2,0),FALSE()),"")</f>
        <v/>
      </c>
      <c r="S948" s="12" t="str">
        <f aca="false">IFERROR(VLOOKUP(A948,'Dados-Status-Invest'!$1:$1000,MATCH(S$1,'Dados-Status-Invest'!$2:$2,0),FALSE()),"")</f>
        <v/>
      </c>
      <c r="T948" s="12" t="str">
        <f aca="false">IFERROR(VLOOKUP(A948,'Dados-Status-Invest'!$1:$1000,MATCH(T$1,'Dados-Status-Invest'!$2:$2,0),FALSE()),"")</f>
        <v/>
      </c>
      <c r="U948" s="12" t="str">
        <f aca="false">IFERROR(VLOOKUP(A948,'Dados-Status-Invest'!$1:$1000,MATCH(U$1,'Dados-Status-Invest'!$2:$2,0),FALSE()),"")</f>
        <v/>
      </c>
      <c r="V948" s="12" t="str">
        <f aca="false">IFERROR(VLOOKUP(A948,'Dados-Status-Invest'!$1:$1000,MATCH(V$1,'Dados-Status-Invest'!$2:$2,0),FALSE()),"")</f>
        <v/>
      </c>
      <c r="W948" s="10" t="str">
        <f aca="false">IFERROR(VLOOKUP(A948,'Dados-Status-Invest'!$1:$1000,MATCH(W$1,'Dados-Status-Invest'!$2:$2,0),FALSE())/100,"")</f>
        <v/>
      </c>
      <c r="X948" s="10" t="str">
        <f aca="false">IFERROR(VLOOKUP(A948,'Dados-Status-Invest'!$1:$1000,MATCH(X$1,'Dados-Status-Invest'!$2:$2,0),FALSE())/100,"")</f>
        <v/>
      </c>
    </row>
    <row r="949" customFormat="false" ht="15.75" hidden="false" customHeight="false" outlineLevel="0" collapsed="false">
      <c r="B949" s="7" t="str">
        <f aca="false">IFERROR(VLOOKUP(LEFT(A949,4),Setor!A:D,2,FALSE()),"")</f>
        <v/>
      </c>
      <c r="C949" s="8" t="str">
        <f aca="false">IFERROR(__xludf.dummyfunction("IFERROR(IFERROR(GOOGLEFINANCE(A955,""price""),VLOOKUP(A955,'Dados-Status-Invest'!A:B,2,FALSE)),"""")"),"")</f>
        <v/>
      </c>
      <c r="D949" s="8" t="str">
        <f aca="false">IFERROR(VLOOKUP(A949,'Dados-Status-Invest'!$1:$1000,MATCH(D$1,'Dados-Status-Invest'!$2:$2,0),FALSE()),"")</f>
        <v/>
      </c>
      <c r="E949" s="8" t="e">
        <f aca="false">IF(D949+H949&gt;0,D949+H949,"")</f>
        <v>#VALUE!</v>
      </c>
      <c r="F949" s="8" t="str">
        <f aca="false">IFERROR(D949/VLOOKUP(A949,'Dados-Status-Invest'!$1:$1000,5,FALSE()),"")</f>
        <v/>
      </c>
      <c r="G949" s="8" t="str">
        <f aca="false">IFERROR(D949/VLOOKUP(A949,'Dados-Status-Invest'!$1:$1000,6,FALSE()),"")</f>
        <v/>
      </c>
      <c r="H949" s="8" t="str">
        <f aca="false">IFERROR(VLOOKUP(A949,'Dados-Status-Invest'!$1:$1000,12,FALSE())*J949,"")</f>
        <v/>
      </c>
      <c r="I949" s="8" t="str">
        <f aca="false">IFERROR(D949/VLOOKUP(A949,'Dados-Status-Invest'!$1:$1000,14,FALSE()),"")</f>
        <v/>
      </c>
      <c r="J949" s="9" t="str">
        <f aca="false">IFERROR(D949/VLOOKUP(A949,'Dados-Status-Invest'!$1:$1000,10,FALSE()),"")</f>
        <v/>
      </c>
      <c r="K949" s="10" t="str">
        <f aca="false">IFERROR(VLOOKUP(A949,'Dados-Status-Invest'!$1:$1000,3,FALSE())/100,"")</f>
        <v/>
      </c>
      <c r="L949" s="11" t="str">
        <f aca="false">IFERROR(VLOOKUP(A949,'Dados-Status-Invest'!$1:$1000,MATCH(L$1,'Dados-Status-Invest'!$2:$2,0),FALSE())/100,"")</f>
        <v/>
      </c>
      <c r="M949" s="10" t="str">
        <f aca="false">IFERROR(VLOOKUP(A949,'Dados-Status-Invest'!$1:$1000,MATCH(M$1,'Dados-Status-Invest'!$2:$2,0),FALSE())/100,"")</f>
        <v/>
      </c>
      <c r="N949" s="10" t="str">
        <f aca="false">IFERROR(VLOOKUP(A949,'Dados-Status-Invest'!$1:$1000,MATCH(N$1,'Dados-Status-Invest'!$2:$2,0),FALSE())/100,"")</f>
        <v/>
      </c>
      <c r="O949" s="10" t="str">
        <f aca="false">IFERROR(VLOOKUP(A949,'Dados-Status-Invest'!$1:$1000,MATCH(O$1,'Dados-Status-Invest'!$2:$2,0),FALSE())/100,"")</f>
        <v/>
      </c>
      <c r="P949" s="10" t="str">
        <f aca="false">IFERROR(VLOOKUP(A949,'Dados-Status-Invest'!$1:$1000,MATCH(P$1,'Dados-Status-Invest'!$2:$2,0),FALSE())/100,"")</f>
        <v/>
      </c>
      <c r="Q949" s="10" t="str">
        <f aca="false">IFERROR(VLOOKUP(A949,'Dados-Status-Invest'!$1:$1000,MATCH(Q$1,'Dados-Status-Invest'!$2:$2,0),FALSE())/100,"")</f>
        <v/>
      </c>
      <c r="R949" s="12" t="str">
        <f aca="false">IFERROR(VLOOKUP(A949,'Dados-Status-Invest'!$1:$1000,MATCH(R$1,'Dados-Status-Invest'!$2:$2,0),FALSE()),"")</f>
        <v/>
      </c>
      <c r="S949" s="12" t="str">
        <f aca="false">IFERROR(VLOOKUP(A949,'Dados-Status-Invest'!$1:$1000,MATCH(S$1,'Dados-Status-Invest'!$2:$2,0),FALSE()),"")</f>
        <v/>
      </c>
      <c r="T949" s="12" t="str">
        <f aca="false">IFERROR(VLOOKUP(A949,'Dados-Status-Invest'!$1:$1000,MATCH(T$1,'Dados-Status-Invest'!$2:$2,0),FALSE()),"")</f>
        <v/>
      </c>
      <c r="U949" s="12" t="str">
        <f aca="false">IFERROR(VLOOKUP(A949,'Dados-Status-Invest'!$1:$1000,MATCH(U$1,'Dados-Status-Invest'!$2:$2,0),FALSE()),"")</f>
        <v/>
      </c>
      <c r="V949" s="12" t="str">
        <f aca="false">IFERROR(VLOOKUP(A949,'Dados-Status-Invest'!$1:$1000,MATCH(V$1,'Dados-Status-Invest'!$2:$2,0),FALSE()),"")</f>
        <v/>
      </c>
      <c r="W949" s="10" t="str">
        <f aca="false">IFERROR(VLOOKUP(A949,'Dados-Status-Invest'!$1:$1000,MATCH(W$1,'Dados-Status-Invest'!$2:$2,0),FALSE())/100,"")</f>
        <v/>
      </c>
      <c r="X949" s="10" t="str">
        <f aca="false">IFERROR(VLOOKUP(A949,'Dados-Status-Invest'!$1:$1000,MATCH(X$1,'Dados-Status-Invest'!$2:$2,0),FALSE())/100,"")</f>
        <v/>
      </c>
    </row>
    <row r="950" customFormat="false" ht="15.75" hidden="false" customHeight="false" outlineLevel="0" collapsed="false">
      <c r="B950" s="7" t="str">
        <f aca="false">IFERROR(VLOOKUP(LEFT(A950,4),Setor!A:D,2,FALSE()),"")</f>
        <v/>
      </c>
      <c r="C950" s="8" t="str">
        <f aca="false">IFERROR(__xludf.dummyfunction("IFERROR(IFERROR(GOOGLEFINANCE(A956,""price""),VLOOKUP(A956,'Dados-Status-Invest'!A:B,2,FALSE)),"""")"),"")</f>
        <v/>
      </c>
      <c r="D950" s="8" t="str">
        <f aca="false">IFERROR(VLOOKUP(A950,'Dados-Status-Invest'!$1:$1000,MATCH(D$1,'Dados-Status-Invest'!$2:$2,0),FALSE()),"")</f>
        <v/>
      </c>
      <c r="E950" s="8" t="e">
        <f aca="false">IF(D950+H950&gt;0,D950+H950,"")</f>
        <v>#VALUE!</v>
      </c>
      <c r="F950" s="8" t="str">
        <f aca="false">IFERROR(D950/VLOOKUP(A950,'Dados-Status-Invest'!$1:$1000,5,FALSE()),"")</f>
        <v/>
      </c>
      <c r="G950" s="8" t="str">
        <f aca="false">IFERROR(D950/VLOOKUP(A950,'Dados-Status-Invest'!$1:$1000,6,FALSE()),"")</f>
        <v/>
      </c>
      <c r="H950" s="8" t="str">
        <f aca="false">IFERROR(VLOOKUP(A950,'Dados-Status-Invest'!$1:$1000,12,FALSE())*J950,"")</f>
        <v/>
      </c>
      <c r="I950" s="8" t="str">
        <f aca="false">IFERROR(D950/VLOOKUP(A950,'Dados-Status-Invest'!$1:$1000,14,FALSE()),"")</f>
        <v/>
      </c>
      <c r="J950" s="9" t="str">
        <f aca="false">IFERROR(D950/VLOOKUP(A950,'Dados-Status-Invest'!$1:$1000,10,FALSE()),"")</f>
        <v/>
      </c>
      <c r="K950" s="10" t="str">
        <f aca="false">IFERROR(VLOOKUP(A950,'Dados-Status-Invest'!$1:$1000,3,FALSE())/100,"")</f>
        <v/>
      </c>
      <c r="L950" s="11" t="str">
        <f aca="false">IFERROR(VLOOKUP(A950,'Dados-Status-Invest'!$1:$1000,MATCH(L$1,'Dados-Status-Invest'!$2:$2,0),FALSE())/100,"")</f>
        <v/>
      </c>
      <c r="M950" s="10" t="str">
        <f aca="false">IFERROR(VLOOKUP(A950,'Dados-Status-Invest'!$1:$1000,MATCH(M$1,'Dados-Status-Invest'!$2:$2,0),FALSE())/100,"")</f>
        <v/>
      </c>
      <c r="N950" s="10" t="str">
        <f aca="false">IFERROR(VLOOKUP(A950,'Dados-Status-Invest'!$1:$1000,MATCH(N$1,'Dados-Status-Invest'!$2:$2,0),FALSE())/100,"")</f>
        <v/>
      </c>
      <c r="O950" s="10" t="str">
        <f aca="false">IFERROR(VLOOKUP(A950,'Dados-Status-Invest'!$1:$1000,MATCH(O$1,'Dados-Status-Invest'!$2:$2,0),FALSE())/100,"")</f>
        <v/>
      </c>
      <c r="P950" s="10" t="str">
        <f aca="false">IFERROR(VLOOKUP(A950,'Dados-Status-Invest'!$1:$1000,MATCH(P$1,'Dados-Status-Invest'!$2:$2,0),FALSE())/100,"")</f>
        <v/>
      </c>
      <c r="Q950" s="10" t="str">
        <f aca="false">IFERROR(VLOOKUP(A950,'Dados-Status-Invest'!$1:$1000,MATCH(Q$1,'Dados-Status-Invest'!$2:$2,0),FALSE())/100,"")</f>
        <v/>
      </c>
      <c r="R950" s="12" t="str">
        <f aca="false">IFERROR(VLOOKUP(A950,'Dados-Status-Invest'!$1:$1000,MATCH(R$1,'Dados-Status-Invest'!$2:$2,0),FALSE()),"")</f>
        <v/>
      </c>
      <c r="S950" s="12" t="str">
        <f aca="false">IFERROR(VLOOKUP(A950,'Dados-Status-Invest'!$1:$1000,MATCH(S$1,'Dados-Status-Invest'!$2:$2,0),FALSE()),"")</f>
        <v/>
      </c>
      <c r="T950" s="12" t="str">
        <f aca="false">IFERROR(VLOOKUP(A950,'Dados-Status-Invest'!$1:$1000,MATCH(T$1,'Dados-Status-Invest'!$2:$2,0),FALSE()),"")</f>
        <v/>
      </c>
      <c r="U950" s="12" t="str">
        <f aca="false">IFERROR(VLOOKUP(A950,'Dados-Status-Invest'!$1:$1000,MATCH(U$1,'Dados-Status-Invest'!$2:$2,0),FALSE()),"")</f>
        <v/>
      </c>
      <c r="V950" s="12" t="str">
        <f aca="false">IFERROR(VLOOKUP(A950,'Dados-Status-Invest'!$1:$1000,MATCH(V$1,'Dados-Status-Invest'!$2:$2,0),FALSE()),"")</f>
        <v/>
      </c>
      <c r="W950" s="10" t="str">
        <f aca="false">IFERROR(VLOOKUP(A950,'Dados-Status-Invest'!$1:$1000,MATCH(W$1,'Dados-Status-Invest'!$2:$2,0),FALSE())/100,"")</f>
        <v/>
      </c>
      <c r="X950" s="10" t="str">
        <f aca="false">IFERROR(VLOOKUP(A950,'Dados-Status-Invest'!$1:$1000,MATCH(X$1,'Dados-Status-Invest'!$2:$2,0),FALSE())/100,"")</f>
        <v/>
      </c>
    </row>
    <row r="951" customFormat="false" ht="15.75" hidden="false" customHeight="false" outlineLevel="0" collapsed="false">
      <c r="B951" s="7" t="str">
        <f aca="false">IFERROR(VLOOKUP(LEFT(A951,4),Setor!A:D,2,FALSE()),"")</f>
        <v/>
      </c>
      <c r="C951" s="8" t="str">
        <f aca="false">IFERROR(__xludf.dummyfunction("IFERROR(IFERROR(GOOGLEFINANCE(A957,""price""),VLOOKUP(A957,'Dados-Status-Invest'!A:B,2,FALSE)),"""")"),"")</f>
        <v/>
      </c>
      <c r="D951" s="8" t="str">
        <f aca="false">IFERROR(VLOOKUP(A951,'Dados-Status-Invest'!$1:$1000,MATCH(D$1,'Dados-Status-Invest'!$2:$2,0),FALSE()),"")</f>
        <v/>
      </c>
      <c r="E951" s="8" t="e">
        <f aca="false">IF(D951+H951&gt;0,D951+H951,"")</f>
        <v>#VALUE!</v>
      </c>
      <c r="F951" s="8" t="str">
        <f aca="false">IFERROR(D951/VLOOKUP(A951,'Dados-Status-Invest'!$1:$1000,5,FALSE()),"")</f>
        <v/>
      </c>
      <c r="G951" s="8" t="str">
        <f aca="false">IFERROR(D951/VLOOKUP(A951,'Dados-Status-Invest'!$1:$1000,6,FALSE()),"")</f>
        <v/>
      </c>
      <c r="H951" s="8" t="str">
        <f aca="false">IFERROR(VLOOKUP(A951,'Dados-Status-Invest'!$1:$1000,12,FALSE())*J951,"")</f>
        <v/>
      </c>
      <c r="I951" s="8" t="str">
        <f aca="false">IFERROR(D951/VLOOKUP(A951,'Dados-Status-Invest'!$1:$1000,14,FALSE()),"")</f>
        <v/>
      </c>
      <c r="J951" s="9" t="str">
        <f aca="false">IFERROR(D951/VLOOKUP(A951,'Dados-Status-Invest'!$1:$1000,10,FALSE()),"")</f>
        <v/>
      </c>
      <c r="K951" s="10" t="str">
        <f aca="false">IFERROR(VLOOKUP(A951,'Dados-Status-Invest'!$1:$1000,3,FALSE())/100,"")</f>
        <v/>
      </c>
      <c r="L951" s="11" t="str">
        <f aca="false">IFERROR(VLOOKUP(A951,'Dados-Status-Invest'!$1:$1000,MATCH(L$1,'Dados-Status-Invest'!$2:$2,0),FALSE())/100,"")</f>
        <v/>
      </c>
      <c r="M951" s="10" t="str">
        <f aca="false">IFERROR(VLOOKUP(A951,'Dados-Status-Invest'!$1:$1000,MATCH(M$1,'Dados-Status-Invest'!$2:$2,0),FALSE())/100,"")</f>
        <v/>
      </c>
      <c r="N951" s="10" t="str">
        <f aca="false">IFERROR(VLOOKUP(A951,'Dados-Status-Invest'!$1:$1000,MATCH(N$1,'Dados-Status-Invest'!$2:$2,0),FALSE())/100,"")</f>
        <v/>
      </c>
      <c r="O951" s="10" t="str">
        <f aca="false">IFERROR(VLOOKUP(A951,'Dados-Status-Invest'!$1:$1000,MATCH(O$1,'Dados-Status-Invest'!$2:$2,0),FALSE())/100,"")</f>
        <v/>
      </c>
      <c r="P951" s="10" t="str">
        <f aca="false">IFERROR(VLOOKUP(A951,'Dados-Status-Invest'!$1:$1000,MATCH(P$1,'Dados-Status-Invest'!$2:$2,0),FALSE())/100,"")</f>
        <v/>
      </c>
      <c r="Q951" s="10" t="str">
        <f aca="false">IFERROR(VLOOKUP(A951,'Dados-Status-Invest'!$1:$1000,MATCH(Q$1,'Dados-Status-Invest'!$2:$2,0),FALSE())/100,"")</f>
        <v/>
      </c>
      <c r="R951" s="12" t="str">
        <f aca="false">IFERROR(VLOOKUP(A951,'Dados-Status-Invest'!$1:$1000,MATCH(R$1,'Dados-Status-Invest'!$2:$2,0),FALSE()),"")</f>
        <v/>
      </c>
      <c r="S951" s="12" t="str">
        <f aca="false">IFERROR(VLOOKUP(A951,'Dados-Status-Invest'!$1:$1000,MATCH(S$1,'Dados-Status-Invest'!$2:$2,0),FALSE()),"")</f>
        <v/>
      </c>
      <c r="T951" s="12" t="str">
        <f aca="false">IFERROR(VLOOKUP(A951,'Dados-Status-Invest'!$1:$1000,MATCH(T$1,'Dados-Status-Invest'!$2:$2,0),FALSE()),"")</f>
        <v/>
      </c>
      <c r="U951" s="12" t="str">
        <f aca="false">IFERROR(VLOOKUP(A951,'Dados-Status-Invest'!$1:$1000,MATCH(U$1,'Dados-Status-Invest'!$2:$2,0),FALSE()),"")</f>
        <v/>
      </c>
      <c r="V951" s="12" t="str">
        <f aca="false">IFERROR(VLOOKUP(A951,'Dados-Status-Invest'!$1:$1000,MATCH(V$1,'Dados-Status-Invest'!$2:$2,0),FALSE()),"")</f>
        <v/>
      </c>
      <c r="W951" s="10" t="str">
        <f aca="false">IFERROR(VLOOKUP(A951,'Dados-Status-Invest'!$1:$1000,MATCH(W$1,'Dados-Status-Invest'!$2:$2,0),FALSE())/100,"")</f>
        <v/>
      </c>
      <c r="X951" s="10" t="str">
        <f aca="false">IFERROR(VLOOKUP(A951,'Dados-Status-Invest'!$1:$1000,MATCH(X$1,'Dados-Status-Invest'!$2:$2,0),FALSE())/100,"")</f>
        <v/>
      </c>
    </row>
    <row r="952" customFormat="false" ht="15.75" hidden="false" customHeight="false" outlineLevel="0" collapsed="false">
      <c r="B952" s="7" t="str">
        <f aca="false">IFERROR(VLOOKUP(LEFT(A952,4),Setor!A:D,2,FALSE()),"")</f>
        <v/>
      </c>
      <c r="C952" s="8" t="str">
        <f aca="false">IFERROR(__xludf.dummyfunction("IFERROR(IFERROR(GOOGLEFINANCE(A958,""price""),VLOOKUP(A958,'Dados-Status-Invest'!A:B,2,FALSE)),"""")"),"")</f>
        <v/>
      </c>
      <c r="D952" s="8" t="str">
        <f aca="false">IFERROR(VLOOKUP(A952,'Dados-Status-Invest'!$1:$1000,MATCH(D$1,'Dados-Status-Invest'!$2:$2,0),FALSE()),"")</f>
        <v/>
      </c>
      <c r="E952" s="8" t="e">
        <f aca="false">IF(D952+H952&gt;0,D952+H952,"")</f>
        <v>#VALUE!</v>
      </c>
      <c r="F952" s="8" t="str">
        <f aca="false">IFERROR(D952/VLOOKUP(A952,'Dados-Status-Invest'!$1:$1000,5,FALSE()),"")</f>
        <v/>
      </c>
      <c r="G952" s="8" t="str">
        <f aca="false">IFERROR(D952/VLOOKUP(A952,'Dados-Status-Invest'!$1:$1000,6,FALSE()),"")</f>
        <v/>
      </c>
      <c r="H952" s="8" t="str">
        <f aca="false">IFERROR(VLOOKUP(A952,'Dados-Status-Invest'!$1:$1000,12,FALSE())*J952,"")</f>
        <v/>
      </c>
      <c r="I952" s="8" t="str">
        <f aca="false">IFERROR(D952/VLOOKUP(A952,'Dados-Status-Invest'!$1:$1000,14,FALSE()),"")</f>
        <v/>
      </c>
      <c r="J952" s="9" t="str">
        <f aca="false">IFERROR(D952/VLOOKUP(A952,'Dados-Status-Invest'!$1:$1000,10,FALSE()),"")</f>
        <v/>
      </c>
      <c r="K952" s="10" t="str">
        <f aca="false">IFERROR(VLOOKUP(A952,'Dados-Status-Invest'!$1:$1000,3,FALSE())/100,"")</f>
        <v/>
      </c>
      <c r="L952" s="11" t="str">
        <f aca="false">IFERROR(VLOOKUP(A952,'Dados-Status-Invest'!$1:$1000,MATCH(L$1,'Dados-Status-Invest'!$2:$2,0),FALSE())/100,"")</f>
        <v/>
      </c>
      <c r="M952" s="10" t="str">
        <f aca="false">IFERROR(VLOOKUP(A952,'Dados-Status-Invest'!$1:$1000,MATCH(M$1,'Dados-Status-Invest'!$2:$2,0),FALSE())/100,"")</f>
        <v/>
      </c>
      <c r="N952" s="10" t="str">
        <f aca="false">IFERROR(VLOOKUP(A952,'Dados-Status-Invest'!$1:$1000,MATCH(N$1,'Dados-Status-Invest'!$2:$2,0),FALSE())/100,"")</f>
        <v/>
      </c>
      <c r="O952" s="10" t="str">
        <f aca="false">IFERROR(VLOOKUP(A952,'Dados-Status-Invest'!$1:$1000,MATCH(O$1,'Dados-Status-Invest'!$2:$2,0),FALSE())/100,"")</f>
        <v/>
      </c>
      <c r="P952" s="10" t="str">
        <f aca="false">IFERROR(VLOOKUP(A952,'Dados-Status-Invest'!$1:$1000,MATCH(P$1,'Dados-Status-Invest'!$2:$2,0),FALSE())/100,"")</f>
        <v/>
      </c>
      <c r="Q952" s="10" t="str">
        <f aca="false">IFERROR(VLOOKUP(A952,'Dados-Status-Invest'!$1:$1000,MATCH(Q$1,'Dados-Status-Invest'!$2:$2,0),FALSE())/100,"")</f>
        <v/>
      </c>
      <c r="R952" s="12" t="str">
        <f aca="false">IFERROR(VLOOKUP(A952,'Dados-Status-Invest'!$1:$1000,MATCH(R$1,'Dados-Status-Invest'!$2:$2,0),FALSE()),"")</f>
        <v/>
      </c>
      <c r="S952" s="12" t="str">
        <f aca="false">IFERROR(VLOOKUP(A952,'Dados-Status-Invest'!$1:$1000,MATCH(S$1,'Dados-Status-Invest'!$2:$2,0),FALSE()),"")</f>
        <v/>
      </c>
      <c r="T952" s="12" t="str">
        <f aca="false">IFERROR(VLOOKUP(A952,'Dados-Status-Invest'!$1:$1000,MATCH(T$1,'Dados-Status-Invest'!$2:$2,0),FALSE()),"")</f>
        <v/>
      </c>
      <c r="U952" s="12" t="str">
        <f aca="false">IFERROR(VLOOKUP(A952,'Dados-Status-Invest'!$1:$1000,MATCH(U$1,'Dados-Status-Invest'!$2:$2,0),FALSE()),"")</f>
        <v/>
      </c>
      <c r="V952" s="12" t="str">
        <f aca="false">IFERROR(VLOOKUP(A952,'Dados-Status-Invest'!$1:$1000,MATCH(V$1,'Dados-Status-Invest'!$2:$2,0),FALSE()),"")</f>
        <v/>
      </c>
      <c r="W952" s="10" t="str">
        <f aca="false">IFERROR(VLOOKUP(A952,'Dados-Status-Invest'!$1:$1000,MATCH(W$1,'Dados-Status-Invest'!$2:$2,0),FALSE())/100,"")</f>
        <v/>
      </c>
      <c r="X952" s="10" t="str">
        <f aca="false">IFERROR(VLOOKUP(A952,'Dados-Status-Invest'!$1:$1000,MATCH(X$1,'Dados-Status-Invest'!$2:$2,0),FALSE())/100,"")</f>
        <v/>
      </c>
    </row>
    <row r="953" customFormat="false" ht="15.75" hidden="false" customHeight="false" outlineLevel="0" collapsed="false">
      <c r="B953" s="7" t="str">
        <f aca="false">IFERROR(VLOOKUP(LEFT(A953,4),Setor!A:D,2,FALSE()),"")</f>
        <v/>
      </c>
      <c r="C953" s="8" t="str">
        <f aca="false">IFERROR(__xludf.dummyfunction("IFERROR(IFERROR(GOOGLEFINANCE(A959,""price""),VLOOKUP(A959,'Dados-Status-Invest'!A:B,2,FALSE)),"""")"),"")</f>
        <v/>
      </c>
      <c r="D953" s="8" t="str">
        <f aca="false">IFERROR(VLOOKUP(A953,'Dados-Status-Invest'!$1:$1000,MATCH(D$1,'Dados-Status-Invest'!$2:$2,0),FALSE()),"")</f>
        <v/>
      </c>
      <c r="E953" s="8" t="e">
        <f aca="false">IF(D953+H953&gt;0,D953+H953,"")</f>
        <v>#VALUE!</v>
      </c>
      <c r="F953" s="8" t="str">
        <f aca="false">IFERROR(D953/VLOOKUP(A953,'Dados-Status-Invest'!$1:$1000,5,FALSE()),"")</f>
        <v/>
      </c>
      <c r="G953" s="8" t="str">
        <f aca="false">IFERROR(D953/VLOOKUP(A953,'Dados-Status-Invest'!$1:$1000,6,FALSE()),"")</f>
        <v/>
      </c>
      <c r="H953" s="8" t="str">
        <f aca="false">IFERROR(VLOOKUP(A953,'Dados-Status-Invest'!$1:$1000,12,FALSE())*J953,"")</f>
        <v/>
      </c>
      <c r="I953" s="8" t="str">
        <f aca="false">IFERROR(D953/VLOOKUP(A953,'Dados-Status-Invest'!$1:$1000,14,FALSE()),"")</f>
        <v/>
      </c>
      <c r="J953" s="9" t="str">
        <f aca="false">IFERROR(D953/VLOOKUP(A953,'Dados-Status-Invest'!$1:$1000,10,FALSE()),"")</f>
        <v/>
      </c>
      <c r="K953" s="10" t="str">
        <f aca="false">IFERROR(VLOOKUP(A953,'Dados-Status-Invest'!$1:$1000,3,FALSE())/100,"")</f>
        <v/>
      </c>
      <c r="L953" s="11" t="str">
        <f aca="false">IFERROR(VLOOKUP(A953,'Dados-Status-Invest'!$1:$1000,MATCH(L$1,'Dados-Status-Invest'!$2:$2,0),FALSE())/100,"")</f>
        <v/>
      </c>
      <c r="M953" s="10" t="str">
        <f aca="false">IFERROR(VLOOKUP(A953,'Dados-Status-Invest'!$1:$1000,MATCH(M$1,'Dados-Status-Invest'!$2:$2,0),FALSE())/100,"")</f>
        <v/>
      </c>
      <c r="N953" s="10" t="str">
        <f aca="false">IFERROR(VLOOKUP(A953,'Dados-Status-Invest'!$1:$1000,MATCH(N$1,'Dados-Status-Invest'!$2:$2,0),FALSE())/100,"")</f>
        <v/>
      </c>
      <c r="O953" s="10" t="str">
        <f aca="false">IFERROR(VLOOKUP(A953,'Dados-Status-Invest'!$1:$1000,MATCH(O$1,'Dados-Status-Invest'!$2:$2,0),FALSE())/100,"")</f>
        <v/>
      </c>
      <c r="P953" s="10" t="str">
        <f aca="false">IFERROR(VLOOKUP(A953,'Dados-Status-Invest'!$1:$1000,MATCH(P$1,'Dados-Status-Invest'!$2:$2,0),FALSE())/100,"")</f>
        <v/>
      </c>
      <c r="Q953" s="10" t="str">
        <f aca="false">IFERROR(VLOOKUP(A953,'Dados-Status-Invest'!$1:$1000,MATCH(Q$1,'Dados-Status-Invest'!$2:$2,0),FALSE())/100,"")</f>
        <v/>
      </c>
      <c r="R953" s="12" t="str">
        <f aca="false">IFERROR(VLOOKUP(A953,'Dados-Status-Invest'!$1:$1000,MATCH(R$1,'Dados-Status-Invest'!$2:$2,0),FALSE()),"")</f>
        <v/>
      </c>
      <c r="S953" s="12" t="str">
        <f aca="false">IFERROR(VLOOKUP(A953,'Dados-Status-Invest'!$1:$1000,MATCH(S$1,'Dados-Status-Invest'!$2:$2,0),FALSE()),"")</f>
        <v/>
      </c>
      <c r="T953" s="12" t="str">
        <f aca="false">IFERROR(VLOOKUP(A953,'Dados-Status-Invest'!$1:$1000,MATCH(T$1,'Dados-Status-Invest'!$2:$2,0),FALSE()),"")</f>
        <v/>
      </c>
      <c r="U953" s="12" t="str">
        <f aca="false">IFERROR(VLOOKUP(A953,'Dados-Status-Invest'!$1:$1000,MATCH(U$1,'Dados-Status-Invest'!$2:$2,0),FALSE()),"")</f>
        <v/>
      </c>
      <c r="V953" s="12" t="str">
        <f aca="false">IFERROR(VLOOKUP(A953,'Dados-Status-Invest'!$1:$1000,MATCH(V$1,'Dados-Status-Invest'!$2:$2,0),FALSE()),"")</f>
        <v/>
      </c>
      <c r="W953" s="10" t="str">
        <f aca="false">IFERROR(VLOOKUP(A953,'Dados-Status-Invest'!$1:$1000,MATCH(W$1,'Dados-Status-Invest'!$2:$2,0),FALSE())/100,"")</f>
        <v/>
      </c>
      <c r="X953" s="10" t="str">
        <f aca="false">IFERROR(VLOOKUP(A953,'Dados-Status-Invest'!$1:$1000,MATCH(X$1,'Dados-Status-Invest'!$2:$2,0),FALSE())/100,"")</f>
        <v/>
      </c>
    </row>
    <row r="954" customFormat="false" ht="15.75" hidden="false" customHeight="false" outlineLevel="0" collapsed="false">
      <c r="B954" s="7" t="str">
        <f aca="false">IFERROR(VLOOKUP(LEFT(A954,4),Setor!A:D,2,FALSE()),"")</f>
        <v/>
      </c>
      <c r="C954" s="8" t="str">
        <f aca="false">IFERROR(__xludf.dummyfunction("IFERROR(IFERROR(GOOGLEFINANCE(A960,""price""),VLOOKUP(A960,'Dados-Status-Invest'!A:B,2,FALSE)),"""")"),"")</f>
        <v/>
      </c>
      <c r="D954" s="8" t="str">
        <f aca="false">IFERROR(VLOOKUP(A954,'Dados-Status-Invest'!$1:$1000,MATCH(D$1,'Dados-Status-Invest'!$2:$2,0),FALSE()),"")</f>
        <v/>
      </c>
      <c r="E954" s="8" t="e">
        <f aca="false">IF(D954+H954&gt;0,D954+H954,"")</f>
        <v>#VALUE!</v>
      </c>
      <c r="F954" s="8" t="str">
        <f aca="false">IFERROR(D954/VLOOKUP(A954,'Dados-Status-Invest'!$1:$1000,5,FALSE()),"")</f>
        <v/>
      </c>
      <c r="G954" s="8" t="str">
        <f aca="false">IFERROR(D954/VLOOKUP(A954,'Dados-Status-Invest'!$1:$1000,6,FALSE()),"")</f>
        <v/>
      </c>
      <c r="H954" s="8" t="str">
        <f aca="false">IFERROR(VLOOKUP(A954,'Dados-Status-Invest'!$1:$1000,12,FALSE())*J954,"")</f>
        <v/>
      </c>
      <c r="I954" s="8" t="str">
        <f aca="false">IFERROR(D954/VLOOKUP(A954,'Dados-Status-Invest'!$1:$1000,14,FALSE()),"")</f>
        <v/>
      </c>
      <c r="J954" s="9" t="str">
        <f aca="false">IFERROR(D954/VLOOKUP(A954,'Dados-Status-Invest'!$1:$1000,10,FALSE()),"")</f>
        <v/>
      </c>
      <c r="K954" s="10" t="str">
        <f aca="false">IFERROR(VLOOKUP(A954,'Dados-Status-Invest'!$1:$1000,3,FALSE())/100,"")</f>
        <v/>
      </c>
      <c r="L954" s="11" t="str">
        <f aca="false">IFERROR(VLOOKUP(A954,'Dados-Status-Invest'!$1:$1000,MATCH(L$1,'Dados-Status-Invest'!$2:$2,0),FALSE())/100,"")</f>
        <v/>
      </c>
      <c r="M954" s="10" t="str">
        <f aca="false">IFERROR(VLOOKUP(A954,'Dados-Status-Invest'!$1:$1000,MATCH(M$1,'Dados-Status-Invest'!$2:$2,0),FALSE())/100,"")</f>
        <v/>
      </c>
      <c r="N954" s="10" t="str">
        <f aca="false">IFERROR(VLOOKUP(A954,'Dados-Status-Invest'!$1:$1000,MATCH(N$1,'Dados-Status-Invest'!$2:$2,0),FALSE())/100,"")</f>
        <v/>
      </c>
      <c r="O954" s="10" t="str">
        <f aca="false">IFERROR(VLOOKUP(A954,'Dados-Status-Invest'!$1:$1000,MATCH(O$1,'Dados-Status-Invest'!$2:$2,0),FALSE())/100,"")</f>
        <v/>
      </c>
      <c r="P954" s="10" t="str">
        <f aca="false">IFERROR(VLOOKUP(A954,'Dados-Status-Invest'!$1:$1000,MATCH(P$1,'Dados-Status-Invest'!$2:$2,0),FALSE())/100,"")</f>
        <v/>
      </c>
      <c r="Q954" s="10" t="str">
        <f aca="false">IFERROR(VLOOKUP(A954,'Dados-Status-Invest'!$1:$1000,MATCH(Q$1,'Dados-Status-Invest'!$2:$2,0),FALSE())/100,"")</f>
        <v/>
      </c>
      <c r="R954" s="12" t="str">
        <f aca="false">IFERROR(VLOOKUP(A954,'Dados-Status-Invest'!$1:$1000,MATCH(R$1,'Dados-Status-Invest'!$2:$2,0),FALSE()),"")</f>
        <v/>
      </c>
      <c r="S954" s="12" t="str">
        <f aca="false">IFERROR(VLOOKUP(A954,'Dados-Status-Invest'!$1:$1000,MATCH(S$1,'Dados-Status-Invest'!$2:$2,0),FALSE()),"")</f>
        <v/>
      </c>
      <c r="T954" s="12" t="str">
        <f aca="false">IFERROR(VLOOKUP(A954,'Dados-Status-Invest'!$1:$1000,MATCH(T$1,'Dados-Status-Invest'!$2:$2,0),FALSE()),"")</f>
        <v/>
      </c>
      <c r="U954" s="12" t="str">
        <f aca="false">IFERROR(VLOOKUP(A954,'Dados-Status-Invest'!$1:$1000,MATCH(U$1,'Dados-Status-Invest'!$2:$2,0),FALSE()),"")</f>
        <v/>
      </c>
      <c r="V954" s="12" t="str">
        <f aca="false">IFERROR(VLOOKUP(A954,'Dados-Status-Invest'!$1:$1000,MATCH(V$1,'Dados-Status-Invest'!$2:$2,0),FALSE()),"")</f>
        <v/>
      </c>
      <c r="W954" s="10" t="str">
        <f aca="false">IFERROR(VLOOKUP(A954,'Dados-Status-Invest'!$1:$1000,MATCH(W$1,'Dados-Status-Invest'!$2:$2,0),FALSE())/100,"")</f>
        <v/>
      </c>
      <c r="X954" s="10" t="str">
        <f aca="false">IFERROR(VLOOKUP(A954,'Dados-Status-Invest'!$1:$1000,MATCH(X$1,'Dados-Status-Invest'!$2:$2,0),FALSE())/100,"")</f>
        <v/>
      </c>
    </row>
    <row r="955" customFormat="false" ht="15.75" hidden="false" customHeight="false" outlineLevel="0" collapsed="false">
      <c r="B955" s="7" t="str">
        <f aca="false">IFERROR(VLOOKUP(LEFT(A955,4),Setor!A:D,2,FALSE()),"")</f>
        <v/>
      </c>
      <c r="C955" s="8" t="str">
        <f aca="false">IFERROR(__xludf.dummyfunction("IFERROR(IFERROR(GOOGLEFINANCE(A961,""price""),VLOOKUP(A961,'Dados-Status-Invest'!A:B,2,FALSE)),"""")"),"")</f>
        <v/>
      </c>
      <c r="D955" s="8" t="str">
        <f aca="false">IFERROR(VLOOKUP(A955,'Dados-Status-Invest'!$1:$1000,MATCH(D$1,'Dados-Status-Invest'!$2:$2,0),FALSE()),"")</f>
        <v/>
      </c>
      <c r="E955" s="8" t="e">
        <f aca="false">IF(D955+H955&gt;0,D955+H955,"")</f>
        <v>#VALUE!</v>
      </c>
      <c r="F955" s="8" t="str">
        <f aca="false">IFERROR(D955/VLOOKUP(A955,'Dados-Status-Invest'!$1:$1000,5,FALSE()),"")</f>
        <v/>
      </c>
      <c r="G955" s="8" t="str">
        <f aca="false">IFERROR(D955/VLOOKUP(A955,'Dados-Status-Invest'!$1:$1000,6,FALSE()),"")</f>
        <v/>
      </c>
      <c r="H955" s="8" t="str">
        <f aca="false">IFERROR(VLOOKUP(A955,'Dados-Status-Invest'!$1:$1000,12,FALSE())*J955,"")</f>
        <v/>
      </c>
      <c r="I955" s="8" t="str">
        <f aca="false">IFERROR(D955/VLOOKUP(A955,'Dados-Status-Invest'!$1:$1000,14,FALSE()),"")</f>
        <v/>
      </c>
      <c r="J955" s="9" t="str">
        <f aca="false">IFERROR(D955/VLOOKUP(A955,'Dados-Status-Invest'!$1:$1000,10,FALSE()),"")</f>
        <v/>
      </c>
      <c r="K955" s="10" t="str">
        <f aca="false">IFERROR(VLOOKUP(A955,'Dados-Status-Invest'!$1:$1000,3,FALSE())/100,"")</f>
        <v/>
      </c>
      <c r="L955" s="11" t="str">
        <f aca="false">IFERROR(VLOOKUP(A955,'Dados-Status-Invest'!$1:$1000,MATCH(L$1,'Dados-Status-Invest'!$2:$2,0),FALSE())/100,"")</f>
        <v/>
      </c>
      <c r="M955" s="10" t="str">
        <f aca="false">IFERROR(VLOOKUP(A955,'Dados-Status-Invest'!$1:$1000,MATCH(M$1,'Dados-Status-Invest'!$2:$2,0),FALSE())/100,"")</f>
        <v/>
      </c>
      <c r="N955" s="10" t="str">
        <f aca="false">IFERROR(VLOOKUP(A955,'Dados-Status-Invest'!$1:$1000,MATCH(N$1,'Dados-Status-Invest'!$2:$2,0),FALSE())/100,"")</f>
        <v/>
      </c>
      <c r="O955" s="10" t="str">
        <f aca="false">IFERROR(VLOOKUP(A955,'Dados-Status-Invest'!$1:$1000,MATCH(O$1,'Dados-Status-Invest'!$2:$2,0),FALSE())/100,"")</f>
        <v/>
      </c>
      <c r="P955" s="10" t="str">
        <f aca="false">IFERROR(VLOOKUP(A955,'Dados-Status-Invest'!$1:$1000,MATCH(P$1,'Dados-Status-Invest'!$2:$2,0),FALSE())/100,"")</f>
        <v/>
      </c>
      <c r="Q955" s="10" t="str">
        <f aca="false">IFERROR(VLOOKUP(A955,'Dados-Status-Invest'!$1:$1000,MATCH(Q$1,'Dados-Status-Invest'!$2:$2,0),FALSE())/100,"")</f>
        <v/>
      </c>
      <c r="R955" s="12" t="str">
        <f aca="false">IFERROR(VLOOKUP(A955,'Dados-Status-Invest'!$1:$1000,MATCH(R$1,'Dados-Status-Invest'!$2:$2,0),FALSE()),"")</f>
        <v/>
      </c>
      <c r="S955" s="12" t="str">
        <f aca="false">IFERROR(VLOOKUP(A955,'Dados-Status-Invest'!$1:$1000,MATCH(S$1,'Dados-Status-Invest'!$2:$2,0),FALSE()),"")</f>
        <v/>
      </c>
      <c r="T955" s="12" t="str">
        <f aca="false">IFERROR(VLOOKUP(A955,'Dados-Status-Invest'!$1:$1000,MATCH(T$1,'Dados-Status-Invest'!$2:$2,0),FALSE()),"")</f>
        <v/>
      </c>
      <c r="U955" s="12" t="str">
        <f aca="false">IFERROR(VLOOKUP(A955,'Dados-Status-Invest'!$1:$1000,MATCH(U$1,'Dados-Status-Invest'!$2:$2,0),FALSE()),"")</f>
        <v/>
      </c>
      <c r="V955" s="12" t="str">
        <f aca="false">IFERROR(VLOOKUP(A955,'Dados-Status-Invest'!$1:$1000,MATCH(V$1,'Dados-Status-Invest'!$2:$2,0),FALSE()),"")</f>
        <v/>
      </c>
      <c r="W955" s="10" t="str">
        <f aca="false">IFERROR(VLOOKUP(A955,'Dados-Status-Invest'!$1:$1000,MATCH(W$1,'Dados-Status-Invest'!$2:$2,0),FALSE())/100,"")</f>
        <v/>
      </c>
      <c r="X955" s="10" t="str">
        <f aca="false">IFERROR(VLOOKUP(A955,'Dados-Status-Invest'!$1:$1000,MATCH(X$1,'Dados-Status-Invest'!$2:$2,0),FALSE())/100,"")</f>
        <v/>
      </c>
    </row>
    <row r="956" customFormat="false" ht="15.75" hidden="false" customHeight="false" outlineLevel="0" collapsed="false">
      <c r="B956" s="7" t="str">
        <f aca="false">IFERROR(VLOOKUP(LEFT(A956,4),Setor!A:D,2,FALSE()),"")</f>
        <v/>
      </c>
      <c r="C956" s="8" t="str">
        <f aca="false">IFERROR(__xludf.dummyfunction("IFERROR(IFERROR(GOOGLEFINANCE(A962,""price""),VLOOKUP(A962,'Dados-Status-Invest'!A:B,2,FALSE)),"""")"),"")</f>
        <v/>
      </c>
      <c r="D956" s="8" t="str">
        <f aca="false">IFERROR(VLOOKUP(A956,'Dados-Status-Invest'!$1:$1000,MATCH(D$1,'Dados-Status-Invest'!$2:$2,0),FALSE()),"")</f>
        <v/>
      </c>
      <c r="E956" s="8" t="e">
        <f aca="false">IF(D956+H956&gt;0,D956+H956,"")</f>
        <v>#VALUE!</v>
      </c>
      <c r="F956" s="8" t="str">
        <f aca="false">IFERROR(D956/VLOOKUP(A956,'Dados-Status-Invest'!$1:$1000,5,FALSE()),"")</f>
        <v/>
      </c>
      <c r="G956" s="8" t="str">
        <f aca="false">IFERROR(D956/VLOOKUP(A956,'Dados-Status-Invest'!$1:$1000,6,FALSE()),"")</f>
        <v/>
      </c>
      <c r="H956" s="8" t="str">
        <f aca="false">IFERROR(VLOOKUP(A956,'Dados-Status-Invest'!$1:$1000,12,FALSE())*J956,"")</f>
        <v/>
      </c>
      <c r="I956" s="8" t="str">
        <f aca="false">IFERROR(D956/VLOOKUP(A956,'Dados-Status-Invest'!$1:$1000,14,FALSE()),"")</f>
        <v/>
      </c>
      <c r="J956" s="9" t="str">
        <f aca="false">IFERROR(D956/VLOOKUP(A956,'Dados-Status-Invest'!$1:$1000,10,FALSE()),"")</f>
        <v/>
      </c>
      <c r="K956" s="10" t="str">
        <f aca="false">IFERROR(VLOOKUP(A956,'Dados-Status-Invest'!$1:$1000,3,FALSE())/100,"")</f>
        <v/>
      </c>
      <c r="L956" s="11" t="str">
        <f aca="false">IFERROR(VLOOKUP(A956,'Dados-Status-Invest'!$1:$1000,MATCH(L$1,'Dados-Status-Invest'!$2:$2,0),FALSE())/100,"")</f>
        <v/>
      </c>
      <c r="M956" s="10" t="str">
        <f aca="false">IFERROR(VLOOKUP(A956,'Dados-Status-Invest'!$1:$1000,MATCH(M$1,'Dados-Status-Invest'!$2:$2,0),FALSE())/100,"")</f>
        <v/>
      </c>
      <c r="N956" s="10" t="str">
        <f aca="false">IFERROR(VLOOKUP(A956,'Dados-Status-Invest'!$1:$1000,MATCH(N$1,'Dados-Status-Invest'!$2:$2,0),FALSE())/100,"")</f>
        <v/>
      </c>
      <c r="O956" s="10" t="str">
        <f aca="false">IFERROR(VLOOKUP(A956,'Dados-Status-Invest'!$1:$1000,MATCH(O$1,'Dados-Status-Invest'!$2:$2,0),FALSE())/100,"")</f>
        <v/>
      </c>
      <c r="P956" s="10" t="str">
        <f aca="false">IFERROR(VLOOKUP(A956,'Dados-Status-Invest'!$1:$1000,MATCH(P$1,'Dados-Status-Invest'!$2:$2,0),FALSE())/100,"")</f>
        <v/>
      </c>
      <c r="Q956" s="10" t="str">
        <f aca="false">IFERROR(VLOOKUP(A956,'Dados-Status-Invest'!$1:$1000,MATCH(Q$1,'Dados-Status-Invest'!$2:$2,0),FALSE())/100,"")</f>
        <v/>
      </c>
      <c r="R956" s="12" t="str">
        <f aca="false">IFERROR(VLOOKUP(A956,'Dados-Status-Invest'!$1:$1000,MATCH(R$1,'Dados-Status-Invest'!$2:$2,0),FALSE()),"")</f>
        <v/>
      </c>
      <c r="S956" s="12" t="str">
        <f aca="false">IFERROR(VLOOKUP(A956,'Dados-Status-Invest'!$1:$1000,MATCH(S$1,'Dados-Status-Invest'!$2:$2,0),FALSE()),"")</f>
        <v/>
      </c>
      <c r="T956" s="12" t="str">
        <f aca="false">IFERROR(VLOOKUP(A956,'Dados-Status-Invest'!$1:$1000,MATCH(T$1,'Dados-Status-Invest'!$2:$2,0),FALSE()),"")</f>
        <v/>
      </c>
      <c r="U956" s="12" t="str">
        <f aca="false">IFERROR(VLOOKUP(A956,'Dados-Status-Invest'!$1:$1000,MATCH(U$1,'Dados-Status-Invest'!$2:$2,0),FALSE()),"")</f>
        <v/>
      </c>
      <c r="V956" s="12" t="str">
        <f aca="false">IFERROR(VLOOKUP(A956,'Dados-Status-Invest'!$1:$1000,MATCH(V$1,'Dados-Status-Invest'!$2:$2,0),FALSE()),"")</f>
        <v/>
      </c>
      <c r="W956" s="10" t="str">
        <f aca="false">IFERROR(VLOOKUP(A956,'Dados-Status-Invest'!$1:$1000,MATCH(W$1,'Dados-Status-Invest'!$2:$2,0),FALSE())/100,"")</f>
        <v/>
      </c>
      <c r="X956" s="10" t="str">
        <f aca="false">IFERROR(VLOOKUP(A956,'Dados-Status-Invest'!$1:$1000,MATCH(X$1,'Dados-Status-Invest'!$2:$2,0),FALSE())/100,"")</f>
        <v/>
      </c>
    </row>
    <row r="957" customFormat="false" ht="15.75" hidden="false" customHeight="false" outlineLevel="0" collapsed="false">
      <c r="B957" s="7" t="str">
        <f aca="false">IFERROR(VLOOKUP(LEFT(A957,4),Setor!A:D,2,FALSE()),"")</f>
        <v/>
      </c>
      <c r="C957" s="8" t="str">
        <f aca="false">IFERROR(__xludf.dummyfunction("IFERROR(IFERROR(GOOGLEFINANCE(A963,""price""),VLOOKUP(A963,'Dados-Status-Invest'!A:B,2,FALSE)),"""")"),"")</f>
        <v/>
      </c>
      <c r="D957" s="8" t="str">
        <f aca="false">IFERROR(VLOOKUP(A957,'Dados-Status-Invest'!$1:$1000,MATCH(D$1,'Dados-Status-Invest'!$2:$2,0),FALSE()),"")</f>
        <v/>
      </c>
      <c r="E957" s="8" t="e">
        <f aca="false">IF(D957+H957&gt;0,D957+H957,"")</f>
        <v>#VALUE!</v>
      </c>
      <c r="F957" s="8" t="str">
        <f aca="false">IFERROR(D957/VLOOKUP(A957,'Dados-Status-Invest'!$1:$1000,5,FALSE()),"")</f>
        <v/>
      </c>
      <c r="G957" s="8" t="str">
        <f aca="false">IFERROR(D957/VLOOKUP(A957,'Dados-Status-Invest'!$1:$1000,6,FALSE()),"")</f>
        <v/>
      </c>
      <c r="H957" s="8" t="str">
        <f aca="false">IFERROR(VLOOKUP(A957,'Dados-Status-Invest'!$1:$1000,12,FALSE())*J957,"")</f>
        <v/>
      </c>
      <c r="I957" s="8" t="str">
        <f aca="false">IFERROR(D957/VLOOKUP(A957,'Dados-Status-Invest'!$1:$1000,14,FALSE()),"")</f>
        <v/>
      </c>
      <c r="J957" s="9" t="str">
        <f aca="false">IFERROR(D957/VLOOKUP(A957,'Dados-Status-Invest'!$1:$1000,10,FALSE()),"")</f>
        <v/>
      </c>
      <c r="K957" s="10" t="str">
        <f aca="false">IFERROR(VLOOKUP(A957,'Dados-Status-Invest'!$1:$1000,3,FALSE())/100,"")</f>
        <v/>
      </c>
      <c r="L957" s="11" t="str">
        <f aca="false">IFERROR(VLOOKUP(A957,'Dados-Status-Invest'!$1:$1000,MATCH(L$1,'Dados-Status-Invest'!$2:$2,0),FALSE())/100,"")</f>
        <v/>
      </c>
      <c r="M957" s="10" t="str">
        <f aca="false">IFERROR(VLOOKUP(A957,'Dados-Status-Invest'!$1:$1000,MATCH(M$1,'Dados-Status-Invest'!$2:$2,0),FALSE())/100,"")</f>
        <v/>
      </c>
      <c r="N957" s="10" t="str">
        <f aca="false">IFERROR(VLOOKUP(A957,'Dados-Status-Invest'!$1:$1000,MATCH(N$1,'Dados-Status-Invest'!$2:$2,0),FALSE())/100,"")</f>
        <v/>
      </c>
      <c r="O957" s="10" t="str">
        <f aca="false">IFERROR(VLOOKUP(A957,'Dados-Status-Invest'!$1:$1000,MATCH(O$1,'Dados-Status-Invest'!$2:$2,0),FALSE())/100,"")</f>
        <v/>
      </c>
      <c r="P957" s="10" t="str">
        <f aca="false">IFERROR(VLOOKUP(A957,'Dados-Status-Invest'!$1:$1000,MATCH(P$1,'Dados-Status-Invest'!$2:$2,0),FALSE())/100,"")</f>
        <v/>
      </c>
      <c r="Q957" s="10" t="str">
        <f aca="false">IFERROR(VLOOKUP(A957,'Dados-Status-Invest'!$1:$1000,MATCH(Q$1,'Dados-Status-Invest'!$2:$2,0),FALSE())/100,"")</f>
        <v/>
      </c>
      <c r="R957" s="12" t="str">
        <f aca="false">IFERROR(VLOOKUP(A957,'Dados-Status-Invest'!$1:$1000,MATCH(R$1,'Dados-Status-Invest'!$2:$2,0),FALSE()),"")</f>
        <v/>
      </c>
      <c r="S957" s="12" t="str">
        <f aca="false">IFERROR(VLOOKUP(A957,'Dados-Status-Invest'!$1:$1000,MATCH(S$1,'Dados-Status-Invest'!$2:$2,0),FALSE()),"")</f>
        <v/>
      </c>
      <c r="T957" s="12" t="str">
        <f aca="false">IFERROR(VLOOKUP(A957,'Dados-Status-Invest'!$1:$1000,MATCH(T$1,'Dados-Status-Invest'!$2:$2,0),FALSE()),"")</f>
        <v/>
      </c>
      <c r="U957" s="12" t="str">
        <f aca="false">IFERROR(VLOOKUP(A957,'Dados-Status-Invest'!$1:$1000,MATCH(U$1,'Dados-Status-Invest'!$2:$2,0),FALSE()),"")</f>
        <v/>
      </c>
      <c r="V957" s="12" t="str">
        <f aca="false">IFERROR(VLOOKUP(A957,'Dados-Status-Invest'!$1:$1000,MATCH(V$1,'Dados-Status-Invest'!$2:$2,0),FALSE()),"")</f>
        <v/>
      </c>
      <c r="W957" s="10" t="str">
        <f aca="false">IFERROR(VLOOKUP(A957,'Dados-Status-Invest'!$1:$1000,MATCH(W$1,'Dados-Status-Invest'!$2:$2,0),FALSE())/100,"")</f>
        <v/>
      </c>
      <c r="X957" s="10" t="str">
        <f aca="false">IFERROR(VLOOKUP(A957,'Dados-Status-Invest'!$1:$1000,MATCH(X$1,'Dados-Status-Invest'!$2:$2,0),FALSE())/100,"")</f>
        <v/>
      </c>
    </row>
    <row r="958" customFormat="false" ht="15.75" hidden="false" customHeight="false" outlineLevel="0" collapsed="false">
      <c r="B958" s="7" t="str">
        <f aca="false">IFERROR(VLOOKUP(LEFT(A958,4),Setor!A:D,2,FALSE()),"")</f>
        <v/>
      </c>
      <c r="C958" s="8" t="str">
        <f aca="false">IFERROR(__xludf.dummyfunction("IFERROR(IFERROR(GOOGLEFINANCE(A964,""price""),VLOOKUP(A964,'Dados-Status-Invest'!A:B,2,FALSE)),"""")"),"")</f>
        <v/>
      </c>
      <c r="D958" s="8" t="str">
        <f aca="false">IFERROR(VLOOKUP(A958,'Dados-Status-Invest'!$1:$1000,MATCH(D$1,'Dados-Status-Invest'!$2:$2,0),FALSE()),"")</f>
        <v/>
      </c>
      <c r="E958" s="8" t="e">
        <f aca="false">IF(D958+H958&gt;0,D958+H958,"")</f>
        <v>#VALUE!</v>
      </c>
      <c r="F958" s="8" t="str">
        <f aca="false">IFERROR(D958/VLOOKUP(A958,'Dados-Status-Invest'!$1:$1000,5,FALSE()),"")</f>
        <v/>
      </c>
      <c r="G958" s="8" t="str">
        <f aca="false">IFERROR(D958/VLOOKUP(A958,'Dados-Status-Invest'!$1:$1000,6,FALSE()),"")</f>
        <v/>
      </c>
      <c r="H958" s="8" t="str">
        <f aca="false">IFERROR(VLOOKUP(A958,'Dados-Status-Invest'!$1:$1000,12,FALSE())*J958,"")</f>
        <v/>
      </c>
      <c r="I958" s="8" t="str">
        <f aca="false">IFERROR(D958/VLOOKUP(A958,'Dados-Status-Invest'!$1:$1000,14,FALSE()),"")</f>
        <v/>
      </c>
      <c r="J958" s="9" t="str">
        <f aca="false">IFERROR(D958/VLOOKUP(A958,'Dados-Status-Invest'!$1:$1000,10,FALSE()),"")</f>
        <v/>
      </c>
      <c r="K958" s="10" t="str">
        <f aca="false">IFERROR(VLOOKUP(A958,'Dados-Status-Invest'!$1:$1000,3,FALSE())/100,"")</f>
        <v/>
      </c>
      <c r="L958" s="11" t="str">
        <f aca="false">IFERROR(VLOOKUP(A958,'Dados-Status-Invest'!$1:$1000,MATCH(L$1,'Dados-Status-Invest'!$2:$2,0),FALSE())/100,"")</f>
        <v/>
      </c>
      <c r="M958" s="10" t="str">
        <f aca="false">IFERROR(VLOOKUP(A958,'Dados-Status-Invest'!$1:$1000,MATCH(M$1,'Dados-Status-Invest'!$2:$2,0),FALSE())/100,"")</f>
        <v/>
      </c>
      <c r="N958" s="10" t="str">
        <f aca="false">IFERROR(VLOOKUP(A958,'Dados-Status-Invest'!$1:$1000,MATCH(N$1,'Dados-Status-Invest'!$2:$2,0),FALSE())/100,"")</f>
        <v/>
      </c>
      <c r="O958" s="10" t="str">
        <f aca="false">IFERROR(VLOOKUP(A958,'Dados-Status-Invest'!$1:$1000,MATCH(O$1,'Dados-Status-Invest'!$2:$2,0),FALSE())/100,"")</f>
        <v/>
      </c>
      <c r="P958" s="10" t="str">
        <f aca="false">IFERROR(VLOOKUP(A958,'Dados-Status-Invest'!$1:$1000,MATCH(P$1,'Dados-Status-Invest'!$2:$2,0),FALSE())/100,"")</f>
        <v/>
      </c>
      <c r="Q958" s="10" t="str">
        <f aca="false">IFERROR(VLOOKUP(A958,'Dados-Status-Invest'!$1:$1000,MATCH(Q$1,'Dados-Status-Invest'!$2:$2,0),FALSE())/100,"")</f>
        <v/>
      </c>
      <c r="R958" s="12" t="str">
        <f aca="false">IFERROR(VLOOKUP(A958,'Dados-Status-Invest'!$1:$1000,MATCH(R$1,'Dados-Status-Invest'!$2:$2,0),FALSE()),"")</f>
        <v/>
      </c>
      <c r="S958" s="12" t="str">
        <f aca="false">IFERROR(VLOOKUP(A958,'Dados-Status-Invest'!$1:$1000,MATCH(S$1,'Dados-Status-Invest'!$2:$2,0),FALSE()),"")</f>
        <v/>
      </c>
      <c r="T958" s="12" t="str">
        <f aca="false">IFERROR(VLOOKUP(A958,'Dados-Status-Invest'!$1:$1000,MATCH(T$1,'Dados-Status-Invest'!$2:$2,0),FALSE()),"")</f>
        <v/>
      </c>
      <c r="U958" s="12" t="str">
        <f aca="false">IFERROR(VLOOKUP(A958,'Dados-Status-Invest'!$1:$1000,MATCH(U$1,'Dados-Status-Invest'!$2:$2,0),FALSE()),"")</f>
        <v/>
      </c>
      <c r="V958" s="12" t="str">
        <f aca="false">IFERROR(VLOOKUP(A958,'Dados-Status-Invest'!$1:$1000,MATCH(V$1,'Dados-Status-Invest'!$2:$2,0),FALSE()),"")</f>
        <v/>
      </c>
      <c r="W958" s="10" t="str">
        <f aca="false">IFERROR(VLOOKUP(A958,'Dados-Status-Invest'!$1:$1000,MATCH(W$1,'Dados-Status-Invest'!$2:$2,0),FALSE())/100,"")</f>
        <v/>
      </c>
      <c r="X958" s="10" t="str">
        <f aca="false">IFERROR(VLOOKUP(A958,'Dados-Status-Invest'!$1:$1000,MATCH(X$1,'Dados-Status-Invest'!$2:$2,0),FALSE())/100,"")</f>
        <v/>
      </c>
    </row>
    <row r="959" customFormat="false" ht="15.75" hidden="false" customHeight="false" outlineLevel="0" collapsed="false">
      <c r="B959" s="7" t="str">
        <f aca="false">IFERROR(VLOOKUP(LEFT(A959,4),Setor!A:D,2,FALSE()),"")</f>
        <v/>
      </c>
      <c r="C959" s="8" t="str">
        <f aca="false">IFERROR(__xludf.dummyfunction("IFERROR(IFERROR(GOOGLEFINANCE(A965,""price""),VLOOKUP(A965,'Dados-Status-Invest'!A:B,2,FALSE)),"""")"),"")</f>
        <v/>
      </c>
      <c r="D959" s="8" t="str">
        <f aca="false">IFERROR(VLOOKUP(A959,'Dados-Status-Invest'!$1:$1000,MATCH(D$1,'Dados-Status-Invest'!$2:$2,0),FALSE()),"")</f>
        <v/>
      </c>
      <c r="E959" s="8" t="e">
        <f aca="false">IF(D959+H959&gt;0,D959+H959,"")</f>
        <v>#VALUE!</v>
      </c>
      <c r="F959" s="8" t="str">
        <f aca="false">IFERROR(D959/VLOOKUP(A959,'Dados-Status-Invest'!$1:$1000,5,FALSE()),"")</f>
        <v/>
      </c>
      <c r="G959" s="8" t="str">
        <f aca="false">IFERROR(D959/VLOOKUP(A959,'Dados-Status-Invest'!$1:$1000,6,FALSE()),"")</f>
        <v/>
      </c>
      <c r="H959" s="8" t="str">
        <f aca="false">IFERROR(VLOOKUP(A959,'Dados-Status-Invest'!$1:$1000,12,FALSE())*J959,"")</f>
        <v/>
      </c>
      <c r="I959" s="8" t="str">
        <f aca="false">IFERROR(D959/VLOOKUP(A959,'Dados-Status-Invest'!$1:$1000,14,FALSE()),"")</f>
        <v/>
      </c>
      <c r="J959" s="9" t="str">
        <f aca="false">IFERROR(D959/VLOOKUP(A959,'Dados-Status-Invest'!$1:$1000,10,FALSE()),"")</f>
        <v/>
      </c>
      <c r="K959" s="10" t="str">
        <f aca="false">IFERROR(VLOOKUP(A959,'Dados-Status-Invest'!$1:$1000,3,FALSE())/100,"")</f>
        <v/>
      </c>
      <c r="L959" s="11" t="str">
        <f aca="false">IFERROR(VLOOKUP(A959,'Dados-Status-Invest'!$1:$1000,MATCH(L$1,'Dados-Status-Invest'!$2:$2,0),FALSE())/100,"")</f>
        <v/>
      </c>
      <c r="M959" s="10" t="str">
        <f aca="false">IFERROR(VLOOKUP(A959,'Dados-Status-Invest'!$1:$1000,MATCH(M$1,'Dados-Status-Invest'!$2:$2,0),FALSE())/100,"")</f>
        <v/>
      </c>
      <c r="N959" s="10" t="str">
        <f aca="false">IFERROR(VLOOKUP(A959,'Dados-Status-Invest'!$1:$1000,MATCH(N$1,'Dados-Status-Invest'!$2:$2,0),FALSE())/100,"")</f>
        <v/>
      </c>
      <c r="O959" s="10" t="str">
        <f aca="false">IFERROR(VLOOKUP(A959,'Dados-Status-Invest'!$1:$1000,MATCH(O$1,'Dados-Status-Invest'!$2:$2,0),FALSE())/100,"")</f>
        <v/>
      </c>
      <c r="P959" s="10" t="str">
        <f aca="false">IFERROR(VLOOKUP(A959,'Dados-Status-Invest'!$1:$1000,MATCH(P$1,'Dados-Status-Invest'!$2:$2,0),FALSE())/100,"")</f>
        <v/>
      </c>
      <c r="Q959" s="10" t="str">
        <f aca="false">IFERROR(VLOOKUP(A959,'Dados-Status-Invest'!$1:$1000,MATCH(Q$1,'Dados-Status-Invest'!$2:$2,0),FALSE())/100,"")</f>
        <v/>
      </c>
      <c r="R959" s="12" t="str">
        <f aca="false">IFERROR(VLOOKUP(A959,'Dados-Status-Invest'!$1:$1000,MATCH(R$1,'Dados-Status-Invest'!$2:$2,0),FALSE()),"")</f>
        <v/>
      </c>
      <c r="S959" s="12" t="str">
        <f aca="false">IFERROR(VLOOKUP(A959,'Dados-Status-Invest'!$1:$1000,MATCH(S$1,'Dados-Status-Invest'!$2:$2,0),FALSE()),"")</f>
        <v/>
      </c>
      <c r="T959" s="12" t="str">
        <f aca="false">IFERROR(VLOOKUP(A959,'Dados-Status-Invest'!$1:$1000,MATCH(T$1,'Dados-Status-Invest'!$2:$2,0),FALSE()),"")</f>
        <v/>
      </c>
      <c r="U959" s="12" t="str">
        <f aca="false">IFERROR(VLOOKUP(A959,'Dados-Status-Invest'!$1:$1000,MATCH(U$1,'Dados-Status-Invest'!$2:$2,0),FALSE()),"")</f>
        <v/>
      </c>
      <c r="V959" s="12" t="str">
        <f aca="false">IFERROR(VLOOKUP(A959,'Dados-Status-Invest'!$1:$1000,MATCH(V$1,'Dados-Status-Invest'!$2:$2,0),FALSE()),"")</f>
        <v/>
      </c>
      <c r="W959" s="10" t="str">
        <f aca="false">IFERROR(VLOOKUP(A959,'Dados-Status-Invest'!$1:$1000,MATCH(W$1,'Dados-Status-Invest'!$2:$2,0),FALSE())/100,"")</f>
        <v/>
      </c>
      <c r="X959" s="10" t="str">
        <f aca="false">IFERROR(VLOOKUP(A959,'Dados-Status-Invest'!$1:$1000,MATCH(X$1,'Dados-Status-Invest'!$2:$2,0),FALSE())/100,"")</f>
        <v/>
      </c>
    </row>
    <row r="960" customFormat="false" ht="15.75" hidden="false" customHeight="false" outlineLevel="0" collapsed="false">
      <c r="B960" s="7" t="str">
        <f aca="false">IFERROR(VLOOKUP(LEFT(A960,4),Setor!A:D,2,FALSE()),"")</f>
        <v/>
      </c>
      <c r="C960" s="8" t="str">
        <f aca="false">IFERROR(__xludf.dummyfunction("IFERROR(IFERROR(GOOGLEFINANCE(A966,""price""),VLOOKUP(A966,'Dados-Status-Invest'!A:B,2,FALSE)),"""")"),"")</f>
        <v/>
      </c>
      <c r="D960" s="8" t="str">
        <f aca="false">IFERROR(VLOOKUP(A960,'Dados-Status-Invest'!$1:$1000,MATCH(D$1,'Dados-Status-Invest'!$2:$2,0),FALSE()),"")</f>
        <v/>
      </c>
      <c r="E960" s="8" t="e">
        <f aca="false">IF(D960+H960&gt;0,D960+H960,"")</f>
        <v>#VALUE!</v>
      </c>
      <c r="F960" s="8" t="str">
        <f aca="false">IFERROR(D960/VLOOKUP(A960,'Dados-Status-Invest'!$1:$1000,5,FALSE()),"")</f>
        <v/>
      </c>
      <c r="G960" s="8" t="str">
        <f aca="false">IFERROR(D960/VLOOKUP(A960,'Dados-Status-Invest'!$1:$1000,6,FALSE()),"")</f>
        <v/>
      </c>
      <c r="H960" s="8" t="str">
        <f aca="false">IFERROR(VLOOKUP(A960,'Dados-Status-Invest'!$1:$1000,12,FALSE())*J960,"")</f>
        <v/>
      </c>
      <c r="I960" s="8" t="str">
        <f aca="false">IFERROR(D960/VLOOKUP(A960,'Dados-Status-Invest'!$1:$1000,14,FALSE()),"")</f>
        <v/>
      </c>
      <c r="J960" s="9" t="str">
        <f aca="false">IFERROR(D960/VLOOKUP(A960,'Dados-Status-Invest'!$1:$1000,10,FALSE()),"")</f>
        <v/>
      </c>
      <c r="K960" s="10" t="str">
        <f aca="false">IFERROR(VLOOKUP(A960,'Dados-Status-Invest'!$1:$1000,3,FALSE())/100,"")</f>
        <v/>
      </c>
      <c r="L960" s="11" t="str">
        <f aca="false">IFERROR(VLOOKUP(A960,'Dados-Status-Invest'!$1:$1000,MATCH(L$1,'Dados-Status-Invest'!$2:$2,0),FALSE())/100,"")</f>
        <v/>
      </c>
      <c r="M960" s="10" t="str">
        <f aca="false">IFERROR(VLOOKUP(A960,'Dados-Status-Invest'!$1:$1000,MATCH(M$1,'Dados-Status-Invest'!$2:$2,0),FALSE())/100,"")</f>
        <v/>
      </c>
      <c r="N960" s="10" t="str">
        <f aca="false">IFERROR(VLOOKUP(A960,'Dados-Status-Invest'!$1:$1000,MATCH(N$1,'Dados-Status-Invest'!$2:$2,0),FALSE())/100,"")</f>
        <v/>
      </c>
      <c r="O960" s="10" t="str">
        <f aca="false">IFERROR(VLOOKUP(A960,'Dados-Status-Invest'!$1:$1000,MATCH(O$1,'Dados-Status-Invest'!$2:$2,0),FALSE())/100,"")</f>
        <v/>
      </c>
      <c r="P960" s="10" t="str">
        <f aca="false">IFERROR(VLOOKUP(A960,'Dados-Status-Invest'!$1:$1000,MATCH(P$1,'Dados-Status-Invest'!$2:$2,0),FALSE())/100,"")</f>
        <v/>
      </c>
      <c r="Q960" s="10" t="str">
        <f aca="false">IFERROR(VLOOKUP(A960,'Dados-Status-Invest'!$1:$1000,MATCH(Q$1,'Dados-Status-Invest'!$2:$2,0),FALSE())/100,"")</f>
        <v/>
      </c>
      <c r="R960" s="12" t="str">
        <f aca="false">IFERROR(VLOOKUP(A960,'Dados-Status-Invest'!$1:$1000,MATCH(R$1,'Dados-Status-Invest'!$2:$2,0),FALSE()),"")</f>
        <v/>
      </c>
      <c r="S960" s="12" t="str">
        <f aca="false">IFERROR(VLOOKUP(A960,'Dados-Status-Invest'!$1:$1000,MATCH(S$1,'Dados-Status-Invest'!$2:$2,0),FALSE()),"")</f>
        <v/>
      </c>
      <c r="T960" s="12" t="str">
        <f aca="false">IFERROR(VLOOKUP(A960,'Dados-Status-Invest'!$1:$1000,MATCH(T$1,'Dados-Status-Invest'!$2:$2,0),FALSE()),"")</f>
        <v/>
      </c>
      <c r="U960" s="12" t="str">
        <f aca="false">IFERROR(VLOOKUP(A960,'Dados-Status-Invest'!$1:$1000,MATCH(U$1,'Dados-Status-Invest'!$2:$2,0),FALSE()),"")</f>
        <v/>
      </c>
      <c r="V960" s="12" t="str">
        <f aca="false">IFERROR(VLOOKUP(A960,'Dados-Status-Invest'!$1:$1000,MATCH(V$1,'Dados-Status-Invest'!$2:$2,0),FALSE()),"")</f>
        <v/>
      </c>
      <c r="W960" s="10" t="str">
        <f aca="false">IFERROR(VLOOKUP(A960,'Dados-Status-Invest'!$1:$1000,MATCH(W$1,'Dados-Status-Invest'!$2:$2,0),FALSE())/100,"")</f>
        <v/>
      </c>
      <c r="X960" s="10" t="str">
        <f aca="false">IFERROR(VLOOKUP(A960,'Dados-Status-Invest'!$1:$1000,MATCH(X$1,'Dados-Status-Invest'!$2:$2,0),FALSE())/100,"")</f>
        <v/>
      </c>
    </row>
    <row r="961" customFormat="false" ht="15.75" hidden="false" customHeight="false" outlineLevel="0" collapsed="false">
      <c r="B961" s="7" t="str">
        <f aca="false">IFERROR(VLOOKUP(LEFT(A961,4),Setor!A:D,2,FALSE()),"")</f>
        <v/>
      </c>
      <c r="C961" s="8" t="str">
        <f aca="false">IFERROR(__xludf.dummyfunction("IFERROR(IFERROR(GOOGLEFINANCE(A967,""price""),VLOOKUP(A967,'Dados-Status-Invest'!A:B,2,FALSE)),"""")"),"")</f>
        <v/>
      </c>
      <c r="D961" s="8" t="str">
        <f aca="false">IFERROR(VLOOKUP(A961,'Dados-Status-Invest'!$1:$1000,MATCH(D$1,'Dados-Status-Invest'!$2:$2,0),FALSE()),"")</f>
        <v/>
      </c>
      <c r="E961" s="8" t="e">
        <f aca="false">IF(D961+H961&gt;0,D961+H961,"")</f>
        <v>#VALUE!</v>
      </c>
      <c r="F961" s="8" t="str">
        <f aca="false">IFERROR(D961/VLOOKUP(A961,'Dados-Status-Invest'!$1:$1000,5,FALSE()),"")</f>
        <v/>
      </c>
      <c r="G961" s="8" t="str">
        <f aca="false">IFERROR(D961/VLOOKUP(A961,'Dados-Status-Invest'!$1:$1000,6,FALSE()),"")</f>
        <v/>
      </c>
      <c r="H961" s="8" t="str">
        <f aca="false">IFERROR(VLOOKUP(A961,'Dados-Status-Invest'!$1:$1000,12,FALSE())*J961,"")</f>
        <v/>
      </c>
      <c r="I961" s="8" t="str">
        <f aca="false">IFERROR(D961/VLOOKUP(A961,'Dados-Status-Invest'!$1:$1000,14,FALSE()),"")</f>
        <v/>
      </c>
      <c r="J961" s="9" t="str">
        <f aca="false">IFERROR(D961/VLOOKUP(A961,'Dados-Status-Invest'!$1:$1000,10,FALSE()),"")</f>
        <v/>
      </c>
      <c r="K961" s="10" t="str">
        <f aca="false">IFERROR(VLOOKUP(A961,'Dados-Status-Invest'!$1:$1000,3,FALSE())/100,"")</f>
        <v/>
      </c>
      <c r="L961" s="11" t="str">
        <f aca="false">IFERROR(VLOOKUP(A961,'Dados-Status-Invest'!$1:$1000,MATCH(L$1,'Dados-Status-Invest'!$2:$2,0),FALSE())/100,"")</f>
        <v/>
      </c>
      <c r="M961" s="10" t="str">
        <f aca="false">IFERROR(VLOOKUP(A961,'Dados-Status-Invest'!$1:$1000,MATCH(M$1,'Dados-Status-Invest'!$2:$2,0),FALSE())/100,"")</f>
        <v/>
      </c>
      <c r="N961" s="10" t="str">
        <f aca="false">IFERROR(VLOOKUP(A961,'Dados-Status-Invest'!$1:$1000,MATCH(N$1,'Dados-Status-Invest'!$2:$2,0),FALSE())/100,"")</f>
        <v/>
      </c>
      <c r="O961" s="10" t="str">
        <f aca="false">IFERROR(VLOOKUP(A961,'Dados-Status-Invest'!$1:$1000,MATCH(O$1,'Dados-Status-Invest'!$2:$2,0),FALSE())/100,"")</f>
        <v/>
      </c>
      <c r="P961" s="10" t="str">
        <f aca="false">IFERROR(VLOOKUP(A961,'Dados-Status-Invest'!$1:$1000,MATCH(P$1,'Dados-Status-Invest'!$2:$2,0),FALSE())/100,"")</f>
        <v/>
      </c>
      <c r="Q961" s="10" t="str">
        <f aca="false">IFERROR(VLOOKUP(A961,'Dados-Status-Invest'!$1:$1000,MATCH(Q$1,'Dados-Status-Invest'!$2:$2,0),FALSE())/100,"")</f>
        <v/>
      </c>
      <c r="R961" s="12" t="str">
        <f aca="false">IFERROR(VLOOKUP(A961,'Dados-Status-Invest'!$1:$1000,MATCH(R$1,'Dados-Status-Invest'!$2:$2,0),FALSE()),"")</f>
        <v/>
      </c>
      <c r="S961" s="12" t="str">
        <f aca="false">IFERROR(VLOOKUP(A961,'Dados-Status-Invest'!$1:$1000,MATCH(S$1,'Dados-Status-Invest'!$2:$2,0),FALSE()),"")</f>
        <v/>
      </c>
      <c r="T961" s="12" t="str">
        <f aca="false">IFERROR(VLOOKUP(A961,'Dados-Status-Invest'!$1:$1000,MATCH(T$1,'Dados-Status-Invest'!$2:$2,0),FALSE()),"")</f>
        <v/>
      </c>
      <c r="U961" s="12" t="str">
        <f aca="false">IFERROR(VLOOKUP(A961,'Dados-Status-Invest'!$1:$1000,MATCH(U$1,'Dados-Status-Invest'!$2:$2,0),FALSE()),"")</f>
        <v/>
      </c>
      <c r="V961" s="12" t="str">
        <f aca="false">IFERROR(VLOOKUP(A961,'Dados-Status-Invest'!$1:$1000,MATCH(V$1,'Dados-Status-Invest'!$2:$2,0),FALSE()),"")</f>
        <v/>
      </c>
      <c r="W961" s="10" t="str">
        <f aca="false">IFERROR(VLOOKUP(A961,'Dados-Status-Invest'!$1:$1000,MATCH(W$1,'Dados-Status-Invest'!$2:$2,0),FALSE())/100,"")</f>
        <v/>
      </c>
      <c r="X961" s="10" t="str">
        <f aca="false">IFERROR(VLOOKUP(A961,'Dados-Status-Invest'!$1:$1000,MATCH(X$1,'Dados-Status-Invest'!$2:$2,0),FALSE())/100,"")</f>
        <v/>
      </c>
    </row>
    <row r="962" customFormat="false" ht="15.75" hidden="false" customHeight="false" outlineLevel="0" collapsed="false">
      <c r="B962" s="7" t="str">
        <f aca="false">IFERROR(VLOOKUP(LEFT(A962,4),Setor!A:D,2,FALSE()),"")</f>
        <v/>
      </c>
      <c r="C962" s="8" t="str">
        <f aca="false">IFERROR(__xludf.dummyfunction("IFERROR(IFERROR(GOOGLEFINANCE(A968,""price""),VLOOKUP(A968,'Dados-Status-Invest'!A:B,2,FALSE)),"""")"),"")</f>
        <v/>
      </c>
      <c r="D962" s="8" t="str">
        <f aca="false">IFERROR(VLOOKUP(A962,'Dados-Status-Invest'!$1:$1000,MATCH(D$1,'Dados-Status-Invest'!$2:$2,0),FALSE()),"")</f>
        <v/>
      </c>
      <c r="E962" s="8" t="e">
        <f aca="false">IF(D962+H962&gt;0,D962+H962,"")</f>
        <v>#VALUE!</v>
      </c>
      <c r="F962" s="8" t="str">
        <f aca="false">IFERROR(D962/VLOOKUP(A962,'Dados-Status-Invest'!$1:$1000,5,FALSE()),"")</f>
        <v/>
      </c>
      <c r="G962" s="8" t="str">
        <f aca="false">IFERROR(D962/VLOOKUP(A962,'Dados-Status-Invest'!$1:$1000,6,FALSE()),"")</f>
        <v/>
      </c>
      <c r="H962" s="8" t="str">
        <f aca="false">IFERROR(VLOOKUP(A962,'Dados-Status-Invest'!$1:$1000,12,FALSE())*J962,"")</f>
        <v/>
      </c>
      <c r="I962" s="8" t="str">
        <f aca="false">IFERROR(D962/VLOOKUP(A962,'Dados-Status-Invest'!$1:$1000,14,FALSE()),"")</f>
        <v/>
      </c>
      <c r="J962" s="9" t="str">
        <f aca="false">IFERROR(D962/VLOOKUP(A962,'Dados-Status-Invest'!$1:$1000,10,FALSE()),"")</f>
        <v/>
      </c>
      <c r="K962" s="10" t="str">
        <f aca="false">IFERROR(VLOOKUP(A962,'Dados-Status-Invest'!$1:$1000,3,FALSE())/100,"")</f>
        <v/>
      </c>
      <c r="L962" s="11" t="str">
        <f aca="false">IFERROR(VLOOKUP(A962,'Dados-Status-Invest'!$1:$1000,MATCH(L$1,'Dados-Status-Invest'!$2:$2,0),FALSE())/100,"")</f>
        <v/>
      </c>
      <c r="M962" s="10" t="str">
        <f aca="false">IFERROR(VLOOKUP(A962,'Dados-Status-Invest'!$1:$1000,MATCH(M$1,'Dados-Status-Invest'!$2:$2,0),FALSE())/100,"")</f>
        <v/>
      </c>
      <c r="N962" s="10" t="str">
        <f aca="false">IFERROR(VLOOKUP(A962,'Dados-Status-Invest'!$1:$1000,MATCH(N$1,'Dados-Status-Invest'!$2:$2,0),FALSE())/100,"")</f>
        <v/>
      </c>
      <c r="O962" s="10" t="str">
        <f aca="false">IFERROR(VLOOKUP(A962,'Dados-Status-Invest'!$1:$1000,MATCH(O$1,'Dados-Status-Invest'!$2:$2,0),FALSE())/100,"")</f>
        <v/>
      </c>
      <c r="P962" s="10" t="str">
        <f aca="false">IFERROR(VLOOKUP(A962,'Dados-Status-Invest'!$1:$1000,MATCH(P$1,'Dados-Status-Invest'!$2:$2,0),FALSE())/100,"")</f>
        <v/>
      </c>
      <c r="Q962" s="10" t="str">
        <f aca="false">IFERROR(VLOOKUP(A962,'Dados-Status-Invest'!$1:$1000,MATCH(Q$1,'Dados-Status-Invest'!$2:$2,0),FALSE())/100,"")</f>
        <v/>
      </c>
      <c r="R962" s="12" t="str">
        <f aca="false">IFERROR(VLOOKUP(A962,'Dados-Status-Invest'!$1:$1000,MATCH(R$1,'Dados-Status-Invest'!$2:$2,0),FALSE()),"")</f>
        <v/>
      </c>
      <c r="S962" s="12" t="str">
        <f aca="false">IFERROR(VLOOKUP(A962,'Dados-Status-Invest'!$1:$1000,MATCH(S$1,'Dados-Status-Invest'!$2:$2,0),FALSE()),"")</f>
        <v/>
      </c>
      <c r="T962" s="12" t="str">
        <f aca="false">IFERROR(VLOOKUP(A962,'Dados-Status-Invest'!$1:$1000,MATCH(T$1,'Dados-Status-Invest'!$2:$2,0),FALSE()),"")</f>
        <v/>
      </c>
      <c r="U962" s="12" t="str">
        <f aca="false">IFERROR(VLOOKUP(A962,'Dados-Status-Invest'!$1:$1000,MATCH(U$1,'Dados-Status-Invest'!$2:$2,0),FALSE()),"")</f>
        <v/>
      </c>
      <c r="V962" s="12" t="str">
        <f aca="false">IFERROR(VLOOKUP(A962,'Dados-Status-Invest'!$1:$1000,MATCH(V$1,'Dados-Status-Invest'!$2:$2,0),FALSE()),"")</f>
        <v/>
      </c>
      <c r="W962" s="10" t="str">
        <f aca="false">IFERROR(VLOOKUP(A962,'Dados-Status-Invest'!$1:$1000,MATCH(W$1,'Dados-Status-Invest'!$2:$2,0),FALSE())/100,"")</f>
        <v/>
      </c>
      <c r="X962" s="10" t="str">
        <f aca="false">IFERROR(VLOOKUP(A962,'Dados-Status-Invest'!$1:$1000,MATCH(X$1,'Dados-Status-Invest'!$2:$2,0),FALSE())/100,"")</f>
        <v/>
      </c>
    </row>
    <row r="963" customFormat="false" ht="15.75" hidden="false" customHeight="false" outlineLevel="0" collapsed="false">
      <c r="B963" s="7" t="str">
        <f aca="false">IFERROR(VLOOKUP(LEFT(A963,4),Setor!A:D,2,FALSE()),"")</f>
        <v/>
      </c>
      <c r="C963" s="8" t="str">
        <f aca="false">IFERROR(__xludf.dummyfunction("IFERROR(IFERROR(GOOGLEFINANCE(A969,""price""),VLOOKUP(A969,'Dados-Status-Invest'!A:B,2,FALSE)),"""")"),"")</f>
        <v/>
      </c>
      <c r="D963" s="8" t="str">
        <f aca="false">IFERROR(VLOOKUP(A963,'Dados-Status-Invest'!$1:$1000,MATCH(D$1,'Dados-Status-Invest'!$2:$2,0),FALSE()),"")</f>
        <v/>
      </c>
      <c r="E963" s="8" t="e">
        <f aca="false">IF(D963+H963&gt;0,D963+H963,"")</f>
        <v>#VALUE!</v>
      </c>
      <c r="F963" s="8" t="str">
        <f aca="false">IFERROR(D963/VLOOKUP(A963,'Dados-Status-Invest'!$1:$1000,5,FALSE()),"")</f>
        <v/>
      </c>
      <c r="G963" s="8" t="str">
        <f aca="false">IFERROR(D963/VLOOKUP(A963,'Dados-Status-Invest'!$1:$1000,6,FALSE()),"")</f>
        <v/>
      </c>
      <c r="H963" s="8" t="str">
        <f aca="false">IFERROR(VLOOKUP(A963,'Dados-Status-Invest'!$1:$1000,12,FALSE())*J963,"")</f>
        <v/>
      </c>
      <c r="I963" s="8" t="str">
        <f aca="false">IFERROR(D963/VLOOKUP(A963,'Dados-Status-Invest'!$1:$1000,14,FALSE()),"")</f>
        <v/>
      </c>
      <c r="J963" s="9" t="str">
        <f aca="false">IFERROR(D963/VLOOKUP(A963,'Dados-Status-Invest'!$1:$1000,10,FALSE()),"")</f>
        <v/>
      </c>
      <c r="K963" s="10" t="str">
        <f aca="false">IFERROR(VLOOKUP(A963,'Dados-Status-Invest'!$1:$1000,3,FALSE())/100,"")</f>
        <v/>
      </c>
      <c r="L963" s="11" t="str">
        <f aca="false">IFERROR(VLOOKUP(A963,'Dados-Status-Invest'!$1:$1000,MATCH(L$1,'Dados-Status-Invest'!$2:$2,0),FALSE())/100,"")</f>
        <v/>
      </c>
      <c r="M963" s="10" t="str">
        <f aca="false">IFERROR(VLOOKUP(A963,'Dados-Status-Invest'!$1:$1000,MATCH(M$1,'Dados-Status-Invest'!$2:$2,0),FALSE())/100,"")</f>
        <v/>
      </c>
      <c r="N963" s="10" t="str">
        <f aca="false">IFERROR(VLOOKUP(A963,'Dados-Status-Invest'!$1:$1000,MATCH(N$1,'Dados-Status-Invest'!$2:$2,0),FALSE())/100,"")</f>
        <v/>
      </c>
      <c r="O963" s="10" t="str">
        <f aca="false">IFERROR(VLOOKUP(A963,'Dados-Status-Invest'!$1:$1000,MATCH(O$1,'Dados-Status-Invest'!$2:$2,0),FALSE())/100,"")</f>
        <v/>
      </c>
      <c r="P963" s="10" t="str">
        <f aca="false">IFERROR(VLOOKUP(A963,'Dados-Status-Invest'!$1:$1000,MATCH(P$1,'Dados-Status-Invest'!$2:$2,0),FALSE())/100,"")</f>
        <v/>
      </c>
      <c r="Q963" s="10" t="str">
        <f aca="false">IFERROR(VLOOKUP(A963,'Dados-Status-Invest'!$1:$1000,MATCH(Q$1,'Dados-Status-Invest'!$2:$2,0),FALSE())/100,"")</f>
        <v/>
      </c>
      <c r="R963" s="12" t="str">
        <f aca="false">IFERROR(VLOOKUP(A963,'Dados-Status-Invest'!$1:$1000,MATCH(R$1,'Dados-Status-Invest'!$2:$2,0),FALSE()),"")</f>
        <v/>
      </c>
      <c r="S963" s="12" t="str">
        <f aca="false">IFERROR(VLOOKUP(A963,'Dados-Status-Invest'!$1:$1000,MATCH(S$1,'Dados-Status-Invest'!$2:$2,0),FALSE()),"")</f>
        <v/>
      </c>
      <c r="T963" s="12" t="str">
        <f aca="false">IFERROR(VLOOKUP(A963,'Dados-Status-Invest'!$1:$1000,MATCH(T$1,'Dados-Status-Invest'!$2:$2,0),FALSE()),"")</f>
        <v/>
      </c>
      <c r="U963" s="12" t="str">
        <f aca="false">IFERROR(VLOOKUP(A963,'Dados-Status-Invest'!$1:$1000,MATCH(U$1,'Dados-Status-Invest'!$2:$2,0),FALSE()),"")</f>
        <v/>
      </c>
      <c r="V963" s="12" t="str">
        <f aca="false">IFERROR(VLOOKUP(A963,'Dados-Status-Invest'!$1:$1000,MATCH(V$1,'Dados-Status-Invest'!$2:$2,0),FALSE()),"")</f>
        <v/>
      </c>
      <c r="W963" s="10" t="str">
        <f aca="false">IFERROR(VLOOKUP(A963,'Dados-Status-Invest'!$1:$1000,MATCH(W$1,'Dados-Status-Invest'!$2:$2,0),FALSE())/100,"")</f>
        <v/>
      </c>
      <c r="X963" s="10" t="str">
        <f aca="false">IFERROR(VLOOKUP(A963,'Dados-Status-Invest'!$1:$1000,MATCH(X$1,'Dados-Status-Invest'!$2:$2,0),FALSE())/100,"")</f>
        <v/>
      </c>
    </row>
    <row r="964" customFormat="false" ht="15.75" hidden="false" customHeight="false" outlineLevel="0" collapsed="false">
      <c r="B964" s="7" t="str">
        <f aca="false">IFERROR(VLOOKUP(LEFT(A964,4),Setor!A:D,2,FALSE()),"")</f>
        <v/>
      </c>
      <c r="C964" s="8" t="str">
        <f aca="false">IFERROR(__xludf.dummyfunction("IFERROR(IFERROR(GOOGLEFINANCE(A970,""price""),VLOOKUP(A970,'Dados-Status-Invest'!A:B,2,FALSE)),"""")"),"")</f>
        <v/>
      </c>
      <c r="D964" s="8" t="str">
        <f aca="false">IFERROR(VLOOKUP(A964,'Dados-Status-Invest'!$1:$1000,MATCH(D$1,'Dados-Status-Invest'!$2:$2,0),FALSE()),"")</f>
        <v/>
      </c>
      <c r="E964" s="8" t="e">
        <f aca="false">IF(D964+H964&gt;0,D964+H964,"")</f>
        <v>#VALUE!</v>
      </c>
      <c r="F964" s="8" t="str">
        <f aca="false">IFERROR(D964/VLOOKUP(A964,'Dados-Status-Invest'!$1:$1000,5,FALSE()),"")</f>
        <v/>
      </c>
      <c r="G964" s="8" t="str">
        <f aca="false">IFERROR(D964/VLOOKUP(A964,'Dados-Status-Invest'!$1:$1000,6,FALSE()),"")</f>
        <v/>
      </c>
      <c r="H964" s="8" t="str">
        <f aca="false">IFERROR(VLOOKUP(A964,'Dados-Status-Invest'!$1:$1000,12,FALSE())*J964,"")</f>
        <v/>
      </c>
      <c r="I964" s="8" t="str">
        <f aca="false">IFERROR(D964/VLOOKUP(A964,'Dados-Status-Invest'!$1:$1000,14,FALSE()),"")</f>
        <v/>
      </c>
      <c r="J964" s="9" t="str">
        <f aca="false">IFERROR(D964/VLOOKUP(A964,'Dados-Status-Invest'!$1:$1000,10,FALSE()),"")</f>
        <v/>
      </c>
      <c r="K964" s="10" t="str">
        <f aca="false">IFERROR(VLOOKUP(A964,'Dados-Status-Invest'!$1:$1000,3,FALSE())/100,"")</f>
        <v/>
      </c>
      <c r="L964" s="11" t="str">
        <f aca="false">IFERROR(VLOOKUP(A964,'Dados-Status-Invest'!$1:$1000,MATCH(L$1,'Dados-Status-Invest'!$2:$2,0),FALSE())/100,"")</f>
        <v/>
      </c>
      <c r="M964" s="10" t="str">
        <f aca="false">IFERROR(VLOOKUP(A964,'Dados-Status-Invest'!$1:$1000,MATCH(M$1,'Dados-Status-Invest'!$2:$2,0),FALSE())/100,"")</f>
        <v/>
      </c>
      <c r="N964" s="10" t="str">
        <f aca="false">IFERROR(VLOOKUP(A964,'Dados-Status-Invest'!$1:$1000,MATCH(N$1,'Dados-Status-Invest'!$2:$2,0),FALSE())/100,"")</f>
        <v/>
      </c>
      <c r="O964" s="10" t="str">
        <f aca="false">IFERROR(VLOOKUP(A964,'Dados-Status-Invest'!$1:$1000,MATCH(O$1,'Dados-Status-Invest'!$2:$2,0),FALSE())/100,"")</f>
        <v/>
      </c>
      <c r="P964" s="10" t="str">
        <f aca="false">IFERROR(VLOOKUP(A964,'Dados-Status-Invest'!$1:$1000,MATCH(P$1,'Dados-Status-Invest'!$2:$2,0),FALSE())/100,"")</f>
        <v/>
      </c>
      <c r="Q964" s="10" t="str">
        <f aca="false">IFERROR(VLOOKUP(A964,'Dados-Status-Invest'!$1:$1000,MATCH(Q$1,'Dados-Status-Invest'!$2:$2,0),FALSE())/100,"")</f>
        <v/>
      </c>
      <c r="R964" s="12" t="str">
        <f aca="false">IFERROR(VLOOKUP(A964,'Dados-Status-Invest'!$1:$1000,MATCH(R$1,'Dados-Status-Invest'!$2:$2,0),FALSE()),"")</f>
        <v/>
      </c>
      <c r="S964" s="12" t="str">
        <f aca="false">IFERROR(VLOOKUP(A964,'Dados-Status-Invest'!$1:$1000,MATCH(S$1,'Dados-Status-Invest'!$2:$2,0),FALSE()),"")</f>
        <v/>
      </c>
      <c r="T964" s="12" t="str">
        <f aca="false">IFERROR(VLOOKUP(A964,'Dados-Status-Invest'!$1:$1000,MATCH(T$1,'Dados-Status-Invest'!$2:$2,0),FALSE()),"")</f>
        <v/>
      </c>
      <c r="U964" s="12" t="str">
        <f aca="false">IFERROR(VLOOKUP(A964,'Dados-Status-Invest'!$1:$1000,MATCH(U$1,'Dados-Status-Invest'!$2:$2,0),FALSE()),"")</f>
        <v/>
      </c>
      <c r="V964" s="12" t="str">
        <f aca="false">IFERROR(VLOOKUP(A964,'Dados-Status-Invest'!$1:$1000,MATCH(V$1,'Dados-Status-Invest'!$2:$2,0),FALSE()),"")</f>
        <v/>
      </c>
      <c r="W964" s="10" t="str">
        <f aca="false">IFERROR(VLOOKUP(A964,'Dados-Status-Invest'!$1:$1000,MATCH(W$1,'Dados-Status-Invest'!$2:$2,0),FALSE())/100,"")</f>
        <v/>
      </c>
      <c r="X964" s="10" t="str">
        <f aca="false">IFERROR(VLOOKUP(A964,'Dados-Status-Invest'!$1:$1000,MATCH(X$1,'Dados-Status-Invest'!$2:$2,0),FALSE())/100,"")</f>
        <v/>
      </c>
    </row>
    <row r="965" customFormat="false" ht="15.75" hidden="false" customHeight="false" outlineLevel="0" collapsed="false">
      <c r="B965" s="7" t="str">
        <f aca="false">IFERROR(VLOOKUP(LEFT(A965,4),Setor!A:D,2,FALSE()),"")</f>
        <v/>
      </c>
      <c r="C965" s="8" t="str">
        <f aca="false">IFERROR(__xludf.dummyfunction("IFERROR(IFERROR(GOOGLEFINANCE(A971,""price""),VLOOKUP(A971,'Dados-Status-Invest'!A:B,2,FALSE)),"""")"),"")</f>
        <v/>
      </c>
      <c r="D965" s="8" t="str">
        <f aca="false">IFERROR(VLOOKUP(A965,'Dados-Status-Invest'!$1:$1000,MATCH(D$1,'Dados-Status-Invest'!$2:$2,0),FALSE()),"")</f>
        <v/>
      </c>
      <c r="E965" s="8" t="e">
        <f aca="false">IF(D965+H965&gt;0,D965+H965,"")</f>
        <v>#VALUE!</v>
      </c>
      <c r="F965" s="8" t="str">
        <f aca="false">IFERROR(D965/VLOOKUP(A965,'Dados-Status-Invest'!$1:$1000,5,FALSE()),"")</f>
        <v/>
      </c>
      <c r="G965" s="8" t="str">
        <f aca="false">IFERROR(D965/VLOOKUP(A965,'Dados-Status-Invest'!$1:$1000,6,FALSE()),"")</f>
        <v/>
      </c>
      <c r="H965" s="8" t="str">
        <f aca="false">IFERROR(VLOOKUP(A965,'Dados-Status-Invest'!$1:$1000,12,FALSE())*J965,"")</f>
        <v/>
      </c>
      <c r="I965" s="8" t="str">
        <f aca="false">IFERROR(D965/VLOOKUP(A965,'Dados-Status-Invest'!$1:$1000,14,FALSE()),"")</f>
        <v/>
      </c>
      <c r="J965" s="9" t="str">
        <f aca="false">IFERROR(D965/VLOOKUP(A965,'Dados-Status-Invest'!$1:$1000,10,FALSE()),"")</f>
        <v/>
      </c>
      <c r="K965" s="10" t="str">
        <f aca="false">IFERROR(VLOOKUP(A965,'Dados-Status-Invest'!$1:$1000,3,FALSE())/100,"")</f>
        <v/>
      </c>
      <c r="L965" s="11" t="str">
        <f aca="false">IFERROR(VLOOKUP(A965,'Dados-Status-Invest'!$1:$1000,MATCH(L$1,'Dados-Status-Invest'!$2:$2,0),FALSE())/100,"")</f>
        <v/>
      </c>
      <c r="M965" s="10" t="str">
        <f aca="false">IFERROR(VLOOKUP(A965,'Dados-Status-Invest'!$1:$1000,MATCH(M$1,'Dados-Status-Invest'!$2:$2,0),FALSE())/100,"")</f>
        <v/>
      </c>
      <c r="N965" s="10" t="str">
        <f aca="false">IFERROR(VLOOKUP(A965,'Dados-Status-Invest'!$1:$1000,MATCH(N$1,'Dados-Status-Invest'!$2:$2,0),FALSE())/100,"")</f>
        <v/>
      </c>
      <c r="O965" s="10" t="str">
        <f aca="false">IFERROR(VLOOKUP(A965,'Dados-Status-Invest'!$1:$1000,MATCH(O$1,'Dados-Status-Invest'!$2:$2,0),FALSE())/100,"")</f>
        <v/>
      </c>
      <c r="P965" s="10" t="str">
        <f aca="false">IFERROR(VLOOKUP(A965,'Dados-Status-Invest'!$1:$1000,MATCH(P$1,'Dados-Status-Invest'!$2:$2,0),FALSE())/100,"")</f>
        <v/>
      </c>
      <c r="Q965" s="10" t="str">
        <f aca="false">IFERROR(VLOOKUP(A965,'Dados-Status-Invest'!$1:$1000,MATCH(Q$1,'Dados-Status-Invest'!$2:$2,0),FALSE())/100,"")</f>
        <v/>
      </c>
      <c r="R965" s="12" t="str">
        <f aca="false">IFERROR(VLOOKUP(A965,'Dados-Status-Invest'!$1:$1000,MATCH(R$1,'Dados-Status-Invest'!$2:$2,0),FALSE()),"")</f>
        <v/>
      </c>
      <c r="S965" s="12" t="str">
        <f aca="false">IFERROR(VLOOKUP(A965,'Dados-Status-Invest'!$1:$1000,MATCH(S$1,'Dados-Status-Invest'!$2:$2,0),FALSE()),"")</f>
        <v/>
      </c>
      <c r="T965" s="12" t="str">
        <f aca="false">IFERROR(VLOOKUP(A965,'Dados-Status-Invest'!$1:$1000,MATCH(T$1,'Dados-Status-Invest'!$2:$2,0),FALSE()),"")</f>
        <v/>
      </c>
      <c r="U965" s="12" t="str">
        <f aca="false">IFERROR(VLOOKUP(A965,'Dados-Status-Invest'!$1:$1000,MATCH(U$1,'Dados-Status-Invest'!$2:$2,0),FALSE()),"")</f>
        <v/>
      </c>
      <c r="V965" s="12" t="str">
        <f aca="false">IFERROR(VLOOKUP(A965,'Dados-Status-Invest'!$1:$1000,MATCH(V$1,'Dados-Status-Invest'!$2:$2,0),FALSE()),"")</f>
        <v/>
      </c>
      <c r="W965" s="10" t="str">
        <f aca="false">IFERROR(VLOOKUP(A965,'Dados-Status-Invest'!$1:$1000,MATCH(W$1,'Dados-Status-Invest'!$2:$2,0),FALSE())/100,"")</f>
        <v/>
      </c>
      <c r="X965" s="10" t="str">
        <f aca="false">IFERROR(VLOOKUP(A965,'Dados-Status-Invest'!$1:$1000,MATCH(X$1,'Dados-Status-Invest'!$2:$2,0),FALSE())/100,"")</f>
        <v/>
      </c>
    </row>
    <row r="966" customFormat="false" ht="15.75" hidden="false" customHeight="false" outlineLevel="0" collapsed="false">
      <c r="B966" s="7" t="str">
        <f aca="false">IFERROR(VLOOKUP(LEFT(A966,4),Setor!A:D,2,FALSE()),"")</f>
        <v/>
      </c>
      <c r="C966" s="8" t="str">
        <f aca="false">IFERROR(__xludf.dummyfunction("IFERROR(IFERROR(GOOGLEFINANCE(A972,""price""),VLOOKUP(A972,'Dados-Status-Invest'!A:B,2,FALSE)),"""")"),"")</f>
        <v/>
      </c>
      <c r="D966" s="8" t="str">
        <f aca="false">IFERROR(VLOOKUP(A966,'Dados-Status-Invest'!$1:$1000,MATCH(D$1,'Dados-Status-Invest'!$2:$2,0),FALSE()),"")</f>
        <v/>
      </c>
      <c r="E966" s="8" t="e">
        <f aca="false">IF(D966+H966&gt;0,D966+H966,"")</f>
        <v>#VALUE!</v>
      </c>
      <c r="F966" s="8" t="str">
        <f aca="false">IFERROR(D966/VLOOKUP(A966,'Dados-Status-Invest'!$1:$1000,5,FALSE()),"")</f>
        <v/>
      </c>
      <c r="G966" s="8" t="str">
        <f aca="false">IFERROR(D966/VLOOKUP(A966,'Dados-Status-Invest'!$1:$1000,6,FALSE()),"")</f>
        <v/>
      </c>
      <c r="H966" s="8" t="str">
        <f aca="false">IFERROR(VLOOKUP(A966,'Dados-Status-Invest'!$1:$1000,12,FALSE())*J966,"")</f>
        <v/>
      </c>
      <c r="I966" s="8" t="str">
        <f aca="false">IFERROR(D966/VLOOKUP(A966,'Dados-Status-Invest'!$1:$1000,14,FALSE()),"")</f>
        <v/>
      </c>
      <c r="J966" s="9" t="str">
        <f aca="false">IFERROR(D966/VLOOKUP(A966,'Dados-Status-Invest'!$1:$1000,10,FALSE()),"")</f>
        <v/>
      </c>
      <c r="K966" s="10" t="str">
        <f aca="false">IFERROR(VLOOKUP(A966,'Dados-Status-Invest'!$1:$1000,3,FALSE())/100,"")</f>
        <v/>
      </c>
      <c r="L966" s="11" t="str">
        <f aca="false">IFERROR(VLOOKUP(A966,'Dados-Status-Invest'!$1:$1000,MATCH(L$1,'Dados-Status-Invest'!$2:$2,0),FALSE())/100,"")</f>
        <v/>
      </c>
      <c r="M966" s="10" t="str">
        <f aca="false">IFERROR(VLOOKUP(A966,'Dados-Status-Invest'!$1:$1000,MATCH(M$1,'Dados-Status-Invest'!$2:$2,0),FALSE())/100,"")</f>
        <v/>
      </c>
      <c r="N966" s="10" t="str">
        <f aca="false">IFERROR(VLOOKUP(A966,'Dados-Status-Invest'!$1:$1000,MATCH(N$1,'Dados-Status-Invest'!$2:$2,0),FALSE())/100,"")</f>
        <v/>
      </c>
      <c r="O966" s="10" t="str">
        <f aca="false">IFERROR(VLOOKUP(A966,'Dados-Status-Invest'!$1:$1000,MATCH(O$1,'Dados-Status-Invest'!$2:$2,0),FALSE())/100,"")</f>
        <v/>
      </c>
      <c r="P966" s="10" t="str">
        <f aca="false">IFERROR(VLOOKUP(A966,'Dados-Status-Invest'!$1:$1000,MATCH(P$1,'Dados-Status-Invest'!$2:$2,0),FALSE())/100,"")</f>
        <v/>
      </c>
      <c r="Q966" s="10" t="str">
        <f aca="false">IFERROR(VLOOKUP(A966,'Dados-Status-Invest'!$1:$1000,MATCH(Q$1,'Dados-Status-Invest'!$2:$2,0),FALSE())/100,"")</f>
        <v/>
      </c>
      <c r="R966" s="12" t="str">
        <f aca="false">IFERROR(VLOOKUP(A966,'Dados-Status-Invest'!$1:$1000,MATCH(R$1,'Dados-Status-Invest'!$2:$2,0),FALSE()),"")</f>
        <v/>
      </c>
      <c r="S966" s="12" t="str">
        <f aca="false">IFERROR(VLOOKUP(A966,'Dados-Status-Invest'!$1:$1000,MATCH(S$1,'Dados-Status-Invest'!$2:$2,0),FALSE()),"")</f>
        <v/>
      </c>
      <c r="T966" s="12" t="str">
        <f aca="false">IFERROR(VLOOKUP(A966,'Dados-Status-Invest'!$1:$1000,MATCH(T$1,'Dados-Status-Invest'!$2:$2,0),FALSE()),"")</f>
        <v/>
      </c>
      <c r="U966" s="12" t="str">
        <f aca="false">IFERROR(VLOOKUP(A966,'Dados-Status-Invest'!$1:$1000,MATCH(U$1,'Dados-Status-Invest'!$2:$2,0),FALSE()),"")</f>
        <v/>
      </c>
      <c r="V966" s="12" t="str">
        <f aca="false">IFERROR(VLOOKUP(A966,'Dados-Status-Invest'!$1:$1000,MATCH(V$1,'Dados-Status-Invest'!$2:$2,0),FALSE()),"")</f>
        <v/>
      </c>
      <c r="W966" s="10" t="str">
        <f aca="false">IFERROR(VLOOKUP(A966,'Dados-Status-Invest'!$1:$1000,MATCH(W$1,'Dados-Status-Invest'!$2:$2,0),FALSE())/100,"")</f>
        <v/>
      </c>
      <c r="X966" s="10" t="str">
        <f aca="false">IFERROR(VLOOKUP(A966,'Dados-Status-Invest'!$1:$1000,MATCH(X$1,'Dados-Status-Invest'!$2:$2,0),FALSE())/100,"")</f>
        <v/>
      </c>
    </row>
    <row r="967" customFormat="false" ht="15.75" hidden="false" customHeight="false" outlineLevel="0" collapsed="false">
      <c r="B967" s="7" t="str">
        <f aca="false">IFERROR(VLOOKUP(LEFT(A967,4),Setor!A:D,2,FALSE()),"")</f>
        <v/>
      </c>
      <c r="C967" s="8" t="str">
        <f aca="false">IFERROR(__xludf.dummyfunction("IFERROR(IFERROR(GOOGLEFINANCE(A973,""price""),VLOOKUP(A973,'Dados-Status-Invest'!A:B,2,FALSE)),"""")"),"")</f>
        <v/>
      </c>
      <c r="D967" s="8" t="str">
        <f aca="false">IFERROR(VLOOKUP(A967,'Dados-Status-Invest'!$1:$1000,MATCH(D$1,'Dados-Status-Invest'!$2:$2,0),FALSE()),"")</f>
        <v/>
      </c>
      <c r="E967" s="8" t="e">
        <f aca="false">IF(D967+H967&gt;0,D967+H967,"")</f>
        <v>#VALUE!</v>
      </c>
      <c r="F967" s="8" t="str">
        <f aca="false">IFERROR(D967/VLOOKUP(A967,'Dados-Status-Invest'!$1:$1000,5,FALSE()),"")</f>
        <v/>
      </c>
      <c r="G967" s="8" t="str">
        <f aca="false">IFERROR(D967/VLOOKUP(A967,'Dados-Status-Invest'!$1:$1000,6,FALSE()),"")</f>
        <v/>
      </c>
      <c r="H967" s="8" t="str">
        <f aca="false">IFERROR(VLOOKUP(A967,'Dados-Status-Invest'!$1:$1000,12,FALSE())*J967,"")</f>
        <v/>
      </c>
      <c r="I967" s="8" t="str">
        <f aca="false">IFERROR(D967/VLOOKUP(A967,'Dados-Status-Invest'!$1:$1000,14,FALSE()),"")</f>
        <v/>
      </c>
      <c r="J967" s="9" t="str">
        <f aca="false">IFERROR(D967/VLOOKUP(A967,'Dados-Status-Invest'!$1:$1000,10,FALSE()),"")</f>
        <v/>
      </c>
      <c r="K967" s="10" t="str">
        <f aca="false">IFERROR(VLOOKUP(A967,'Dados-Status-Invest'!$1:$1000,3,FALSE())/100,"")</f>
        <v/>
      </c>
      <c r="L967" s="11" t="str">
        <f aca="false">IFERROR(VLOOKUP(A967,'Dados-Status-Invest'!$1:$1000,MATCH(L$1,'Dados-Status-Invest'!$2:$2,0),FALSE())/100,"")</f>
        <v/>
      </c>
      <c r="M967" s="10" t="str">
        <f aca="false">IFERROR(VLOOKUP(A967,'Dados-Status-Invest'!$1:$1000,MATCH(M$1,'Dados-Status-Invest'!$2:$2,0),FALSE())/100,"")</f>
        <v/>
      </c>
      <c r="N967" s="10" t="str">
        <f aca="false">IFERROR(VLOOKUP(A967,'Dados-Status-Invest'!$1:$1000,MATCH(N$1,'Dados-Status-Invest'!$2:$2,0),FALSE())/100,"")</f>
        <v/>
      </c>
      <c r="O967" s="10" t="str">
        <f aca="false">IFERROR(VLOOKUP(A967,'Dados-Status-Invest'!$1:$1000,MATCH(O$1,'Dados-Status-Invest'!$2:$2,0),FALSE())/100,"")</f>
        <v/>
      </c>
      <c r="P967" s="10" t="str">
        <f aca="false">IFERROR(VLOOKUP(A967,'Dados-Status-Invest'!$1:$1000,MATCH(P$1,'Dados-Status-Invest'!$2:$2,0),FALSE())/100,"")</f>
        <v/>
      </c>
      <c r="Q967" s="10" t="str">
        <f aca="false">IFERROR(VLOOKUP(A967,'Dados-Status-Invest'!$1:$1000,MATCH(Q$1,'Dados-Status-Invest'!$2:$2,0),FALSE())/100,"")</f>
        <v/>
      </c>
      <c r="R967" s="12" t="str">
        <f aca="false">IFERROR(VLOOKUP(A967,'Dados-Status-Invest'!$1:$1000,MATCH(R$1,'Dados-Status-Invest'!$2:$2,0),FALSE()),"")</f>
        <v/>
      </c>
      <c r="S967" s="12" t="str">
        <f aca="false">IFERROR(VLOOKUP(A967,'Dados-Status-Invest'!$1:$1000,MATCH(S$1,'Dados-Status-Invest'!$2:$2,0),FALSE()),"")</f>
        <v/>
      </c>
      <c r="T967" s="12" t="str">
        <f aca="false">IFERROR(VLOOKUP(A967,'Dados-Status-Invest'!$1:$1000,MATCH(T$1,'Dados-Status-Invest'!$2:$2,0),FALSE()),"")</f>
        <v/>
      </c>
      <c r="U967" s="12" t="str">
        <f aca="false">IFERROR(VLOOKUP(A967,'Dados-Status-Invest'!$1:$1000,MATCH(U$1,'Dados-Status-Invest'!$2:$2,0),FALSE()),"")</f>
        <v/>
      </c>
      <c r="V967" s="12" t="str">
        <f aca="false">IFERROR(VLOOKUP(A967,'Dados-Status-Invest'!$1:$1000,MATCH(V$1,'Dados-Status-Invest'!$2:$2,0),FALSE()),"")</f>
        <v/>
      </c>
      <c r="W967" s="10" t="str">
        <f aca="false">IFERROR(VLOOKUP(A967,'Dados-Status-Invest'!$1:$1000,MATCH(W$1,'Dados-Status-Invest'!$2:$2,0),FALSE())/100,"")</f>
        <v/>
      </c>
      <c r="X967" s="10" t="str">
        <f aca="false">IFERROR(VLOOKUP(A967,'Dados-Status-Invest'!$1:$1000,MATCH(X$1,'Dados-Status-Invest'!$2:$2,0),FALSE())/100,"")</f>
        <v/>
      </c>
    </row>
    <row r="968" customFormat="false" ht="15.75" hidden="false" customHeight="false" outlineLevel="0" collapsed="false">
      <c r="B968" s="7" t="str">
        <f aca="false">IFERROR(VLOOKUP(LEFT(A968,4),Setor!A:D,2,FALSE()),"")</f>
        <v/>
      </c>
      <c r="C968" s="8" t="str">
        <f aca="false">IFERROR(__xludf.dummyfunction("IFERROR(IFERROR(GOOGLEFINANCE(A974,""price""),VLOOKUP(A974,'Dados-Status-Invest'!A:B,2,FALSE)),"""")"),"")</f>
        <v/>
      </c>
      <c r="D968" s="8" t="str">
        <f aca="false">IFERROR(VLOOKUP(A968,'Dados-Status-Invest'!$1:$1000,MATCH(D$1,'Dados-Status-Invest'!$2:$2,0),FALSE()),"")</f>
        <v/>
      </c>
      <c r="E968" s="8" t="e">
        <f aca="false">IF(D968+H968&gt;0,D968+H968,"")</f>
        <v>#VALUE!</v>
      </c>
      <c r="F968" s="8" t="str">
        <f aca="false">IFERROR(D968/VLOOKUP(A968,'Dados-Status-Invest'!$1:$1000,5,FALSE()),"")</f>
        <v/>
      </c>
      <c r="G968" s="8" t="str">
        <f aca="false">IFERROR(D968/VLOOKUP(A968,'Dados-Status-Invest'!$1:$1000,6,FALSE()),"")</f>
        <v/>
      </c>
      <c r="H968" s="8" t="str">
        <f aca="false">IFERROR(VLOOKUP(A968,'Dados-Status-Invest'!$1:$1000,12,FALSE())*J968,"")</f>
        <v/>
      </c>
      <c r="I968" s="8" t="str">
        <f aca="false">IFERROR(D968/VLOOKUP(A968,'Dados-Status-Invest'!$1:$1000,14,FALSE()),"")</f>
        <v/>
      </c>
      <c r="J968" s="9" t="str">
        <f aca="false">IFERROR(D968/VLOOKUP(A968,'Dados-Status-Invest'!$1:$1000,10,FALSE()),"")</f>
        <v/>
      </c>
      <c r="K968" s="10" t="str">
        <f aca="false">IFERROR(VLOOKUP(A968,'Dados-Status-Invest'!$1:$1000,3,FALSE())/100,"")</f>
        <v/>
      </c>
      <c r="L968" s="11" t="str">
        <f aca="false">IFERROR(VLOOKUP(A968,'Dados-Status-Invest'!$1:$1000,MATCH(L$1,'Dados-Status-Invest'!$2:$2,0),FALSE())/100,"")</f>
        <v/>
      </c>
      <c r="M968" s="10" t="str">
        <f aca="false">IFERROR(VLOOKUP(A968,'Dados-Status-Invest'!$1:$1000,MATCH(M$1,'Dados-Status-Invest'!$2:$2,0),FALSE())/100,"")</f>
        <v/>
      </c>
      <c r="N968" s="10" t="str">
        <f aca="false">IFERROR(VLOOKUP(A968,'Dados-Status-Invest'!$1:$1000,MATCH(N$1,'Dados-Status-Invest'!$2:$2,0),FALSE())/100,"")</f>
        <v/>
      </c>
      <c r="O968" s="10" t="str">
        <f aca="false">IFERROR(VLOOKUP(A968,'Dados-Status-Invest'!$1:$1000,MATCH(O$1,'Dados-Status-Invest'!$2:$2,0),FALSE())/100,"")</f>
        <v/>
      </c>
      <c r="P968" s="10" t="str">
        <f aca="false">IFERROR(VLOOKUP(A968,'Dados-Status-Invest'!$1:$1000,MATCH(P$1,'Dados-Status-Invest'!$2:$2,0),FALSE())/100,"")</f>
        <v/>
      </c>
      <c r="Q968" s="10" t="str">
        <f aca="false">IFERROR(VLOOKUP(A968,'Dados-Status-Invest'!$1:$1000,MATCH(Q$1,'Dados-Status-Invest'!$2:$2,0),FALSE())/100,"")</f>
        <v/>
      </c>
      <c r="R968" s="12" t="str">
        <f aca="false">IFERROR(VLOOKUP(A968,'Dados-Status-Invest'!$1:$1000,MATCH(R$1,'Dados-Status-Invest'!$2:$2,0),FALSE()),"")</f>
        <v/>
      </c>
      <c r="S968" s="12" t="str">
        <f aca="false">IFERROR(VLOOKUP(A968,'Dados-Status-Invest'!$1:$1000,MATCH(S$1,'Dados-Status-Invest'!$2:$2,0),FALSE()),"")</f>
        <v/>
      </c>
      <c r="T968" s="12" t="str">
        <f aca="false">IFERROR(VLOOKUP(A968,'Dados-Status-Invest'!$1:$1000,MATCH(T$1,'Dados-Status-Invest'!$2:$2,0),FALSE()),"")</f>
        <v/>
      </c>
      <c r="U968" s="12" t="str">
        <f aca="false">IFERROR(VLOOKUP(A968,'Dados-Status-Invest'!$1:$1000,MATCH(U$1,'Dados-Status-Invest'!$2:$2,0),FALSE()),"")</f>
        <v/>
      </c>
      <c r="V968" s="12" t="str">
        <f aca="false">IFERROR(VLOOKUP(A968,'Dados-Status-Invest'!$1:$1000,MATCH(V$1,'Dados-Status-Invest'!$2:$2,0),FALSE()),"")</f>
        <v/>
      </c>
      <c r="W968" s="10" t="str">
        <f aca="false">IFERROR(VLOOKUP(A968,'Dados-Status-Invest'!$1:$1000,MATCH(W$1,'Dados-Status-Invest'!$2:$2,0),FALSE())/100,"")</f>
        <v/>
      </c>
      <c r="X968" s="10" t="str">
        <f aca="false">IFERROR(VLOOKUP(A968,'Dados-Status-Invest'!$1:$1000,MATCH(X$1,'Dados-Status-Invest'!$2:$2,0),FALSE())/100,"")</f>
        <v/>
      </c>
    </row>
    <row r="969" customFormat="false" ht="15.75" hidden="false" customHeight="false" outlineLevel="0" collapsed="false">
      <c r="B969" s="7" t="str">
        <f aca="false">IFERROR(VLOOKUP(LEFT(A969,4),Setor!A:D,2,FALSE()),"")</f>
        <v/>
      </c>
      <c r="C969" s="8" t="str">
        <f aca="false">IFERROR(__xludf.dummyfunction("IFERROR(IFERROR(GOOGLEFINANCE(A975,""price""),VLOOKUP(A975,'Dados-Status-Invest'!A:B,2,FALSE)),"""")"),"")</f>
        <v/>
      </c>
      <c r="D969" s="8" t="str">
        <f aca="false">IFERROR(VLOOKUP(A969,'Dados-Status-Invest'!$1:$1000,MATCH(D$1,'Dados-Status-Invest'!$2:$2,0),FALSE()),"")</f>
        <v/>
      </c>
      <c r="E969" s="8" t="e">
        <f aca="false">IF(D969+H969&gt;0,D969+H969,"")</f>
        <v>#VALUE!</v>
      </c>
      <c r="F969" s="8" t="str">
        <f aca="false">IFERROR(D969/VLOOKUP(A969,'Dados-Status-Invest'!$1:$1000,5,FALSE()),"")</f>
        <v/>
      </c>
      <c r="G969" s="8" t="str">
        <f aca="false">IFERROR(D969/VLOOKUP(A969,'Dados-Status-Invest'!$1:$1000,6,FALSE()),"")</f>
        <v/>
      </c>
      <c r="H969" s="8" t="str">
        <f aca="false">IFERROR(VLOOKUP(A969,'Dados-Status-Invest'!$1:$1000,12,FALSE())*J969,"")</f>
        <v/>
      </c>
      <c r="I969" s="8" t="str">
        <f aca="false">IFERROR(D969/VLOOKUP(A969,'Dados-Status-Invest'!$1:$1000,14,FALSE()),"")</f>
        <v/>
      </c>
      <c r="J969" s="9" t="str">
        <f aca="false">IFERROR(D969/VLOOKUP(A969,'Dados-Status-Invest'!$1:$1000,10,FALSE()),"")</f>
        <v/>
      </c>
      <c r="K969" s="10" t="str">
        <f aca="false">IFERROR(VLOOKUP(A969,'Dados-Status-Invest'!$1:$1000,3,FALSE())/100,"")</f>
        <v/>
      </c>
      <c r="L969" s="11" t="str">
        <f aca="false">IFERROR(VLOOKUP(A969,'Dados-Status-Invest'!$1:$1000,MATCH(L$1,'Dados-Status-Invest'!$2:$2,0),FALSE())/100,"")</f>
        <v/>
      </c>
      <c r="M969" s="10" t="str">
        <f aca="false">IFERROR(VLOOKUP(A969,'Dados-Status-Invest'!$1:$1000,MATCH(M$1,'Dados-Status-Invest'!$2:$2,0),FALSE())/100,"")</f>
        <v/>
      </c>
      <c r="N969" s="10" t="str">
        <f aca="false">IFERROR(VLOOKUP(A969,'Dados-Status-Invest'!$1:$1000,MATCH(N$1,'Dados-Status-Invest'!$2:$2,0),FALSE())/100,"")</f>
        <v/>
      </c>
      <c r="O969" s="10" t="str">
        <f aca="false">IFERROR(VLOOKUP(A969,'Dados-Status-Invest'!$1:$1000,MATCH(O$1,'Dados-Status-Invest'!$2:$2,0),FALSE())/100,"")</f>
        <v/>
      </c>
      <c r="P969" s="10" t="str">
        <f aca="false">IFERROR(VLOOKUP(A969,'Dados-Status-Invest'!$1:$1000,MATCH(P$1,'Dados-Status-Invest'!$2:$2,0),FALSE())/100,"")</f>
        <v/>
      </c>
      <c r="Q969" s="10" t="str">
        <f aca="false">IFERROR(VLOOKUP(A969,'Dados-Status-Invest'!$1:$1000,MATCH(Q$1,'Dados-Status-Invest'!$2:$2,0),FALSE())/100,"")</f>
        <v/>
      </c>
      <c r="R969" s="12" t="str">
        <f aca="false">IFERROR(VLOOKUP(A969,'Dados-Status-Invest'!$1:$1000,MATCH(R$1,'Dados-Status-Invest'!$2:$2,0),FALSE()),"")</f>
        <v/>
      </c>
      <c r="S969" s="12" t="str">
        <f aca="false">IFERROR(VLOOKUP(A969,'Dados-Status-Invest'!$1:$1000,MATCH(S$1,'Dados-Status-Invest'!$2:$2,0),FALSE()),"")</f>
        <v/>
      </c>
      <c r="T969" s="12" t="str">
        <f aca="false">IFERROR(VLOOKUP(A969,'Dados-Status-Invest'!$1:$1000,MATCH(T$1,'Dados-Status-Invest'!$2:$2,0),FALSE()),"")</f>
        <v/>
      </c>
      <c r="U969" s="12" t="str">
        <f aca="false">IFERROR(VLOOKUP(A969,'Dados-Status-Invest'!$1:$1000,MATCH(U$1,'Dados-Status-Invest'!$2:$2,0),FALSE()),"")</f>
        <v/>
      </c>
      <c r="V969" s="12" t="str">
        <f aca="false">IFERROR(VLOOKUP(A969,'Dados-Status-Invest'!$1:$1000,MATCH(V$1,'Dados-Status-Invest'!$2:$2,0),FALSE()),"")</f>
        <v/>
      </c>
      <c r="W969" s="10" t="str">
        <f aca="false">IFERROR(VLOOKUP(A969,'Dados-Status-Invest'!$1:$1000,MATCH(W$1,'Dados-Status-Invest'!$2:$2,0),FALSE())/100,"")</f>
        <v/>
      </c>
      <c r="X969" s="10" t="str">
        <f aca="false">IFERROR(VLOOKUP(A969,'Dados-Status-Invest'!$1:$1000,MATCH(X$1,'Dados-Status-Invest'!$2:$2,0),FALSE())/100,"")</f>
        <v/>
      </c>
    </row>
    <row r="970" customFormat="false" ht="15.75" hidden="false" customHeight="false" outlineLevel="0" collapsed="false">
      <c r="B970" s="7" t="str">
        <f aca="false">IFERROR(VLOOKUP(LEFT(A970,4),Setor!A:D,2,FALSE()),"")</f>
        <v/>
      </c>
      <c r="C970" s="8" t="str">
        <f aca="false">IFERROR(__xludf.dummyfunction("IFERROR(IFERROR(GOOGLEFINANCE(A976,""price""),VLOOKUP(A976,'Dados-Status-Invest'!A:B,2,FALSE)),"""")"),"")</f>
        <v/>
      </c>
      <c r="D970" s="8" t="str">
        <f aca="false">IFERROR(VLOOKUP(A970,'Dados-Status-Invest'!$1:$1000,MATCH(D$1,'Dados-Status-Invest'!$2:$2,0),FALSE()),"")</f>
        <v/>
      </c>
      <c r="E970" s="8" t="e">
        <f aca="false">IF(D970+H970&gt;0,D970+H970,"")</f>
        <v>#VALUE!</v>
      </c>
      <c r="F970" s="8" t="str">
        <f aca="false">IFERROR(D970/VLOOKUP(A970,'Dados-Status-Invest'!$1:$1000,5,FALSE()),"")</f>
        <v/>
      </c>
      <c r="G970" s="8" t="str">
        <f aca="false">IFERROR(D970/VLOOKUP(A970,'Dados-Status-Invest'!$1:$1000,6,FALSE()),"")</f>
        <v/>
      </c>
      <c r="H970" s="8" t="str">
        <f aca="false">IFERROR(VLOOKUP(A970,'Dados-Status-Invest'!$1:$1000,12,FALSE())*J970,"")</f>
        <v/>
      </c>
      <c r="I970" s="8" t="str">
        <f aca="false">IFERROR(D970/VLOOKUP(A970,'Dados-Status-Invest'!$1:$1000,14,FALSE()),"")</f>
        <v/>
      </c>
      <c r="J970" s="9" t="str">
        <f aca="false">IFERROR(D970/VLOOKUP(A970,'Dados-Status-Invest'!$1:$1000,10,FALSE()),"")</f>
        <v/>
      </c>
      <c r="K970" s="10" t="str">
        <f aca="false">IFERROR(VLOOKUP(A970,'Dados-Status-Invest'!$1:$1000,3,FALSE())/100,"")</f>
        <v/>
      </c>
      <c r="L970" s="11" t="str">
        <f aca="false">IFERROR(VLOOKUP(A970,'Dados-Status-Invest'!$1:$1000,MATCH(L$1,'Dados-Status-Invest'!$2:$2,0),FALSE())/100,"")</f>
        <v/>
      </c>
      <c r="M970" s="10" t="str">
        <f aca="false">IFERROR(VLOOKUP(A970,'Dados-Status-Invest'!$1:$1000,MATCH(M$1,'Dados-Status-Invest'!$2:$2,0),FALSE())/100,"")</f>
        <v/>
      </c>
      <c r="N970" s="10" t="str">
        <f aca="false">IFERROR(VLOOKUP(A970,'Dados-Status-Invest'!$1:$1000,MATCH(N$1,'Dados-Status-Invest'!$2:$2,0),FALSE())/100,"")</f>
        <v/>
      </c>
      <c r="O970" s="10" t="str">
        <f aca="false">IFERROR(VLOOKUP(A970,'Dados-Status-Invest'!$1:$1000,MATCH(O$1,'Dados-Status-Invest'!$2:$2,0),FALSE())/100,"")</f>
        <v/>
      </c>
      <c r="P970" s="10" t="str">
        <f aca="false">IFERROR(VLOOKUP(A970,'Dados-Status-Invest'!$1:$1000,MATCH(P$1,'Dados-Status-Invest'!$2:$2,0),FALSE())/100,"")</f>
        <v/>
      </c>
      <c r="Q970" s="10" t="str">
        <f aca="false">IFERROR(VLOOKUP(A970,'Dados-Status-Invest'!$1:$1000,MATCH(Q$1,'Dados-Status-Invest'!$2:$2,0),FALSE())/100,"")</f>
        <v/>
      </c>
      <c r="R970" s="12" t="str">
        <f aca="false">IFERROR(VLOOKUP(A970,'Dados-Status-Invest'!$1:$1000,MATCH(R$1,'Dados-Status-Invest'!$2:$2,0),FALSE()),"")</f>
        <v/>
      </c>
      <c r="S970" s="12" t="str">
        <f aca="false">IFERROR(VLOOKUP(A970,'Dados-Status-Invest'!$1:$1000,MATCH(S$1,'Dados-Status-Invest'!$2:$2,0),FALSE()),"")</f>
        <v/>
      </c>
      <c r="T970" s="12" t="str">
        <f aca="false">IFERROR(VLOOKUP(A970,'Dados-Status-Invest'!$1:$1000,MATCH(T$1,'Dados-Status-Invest'!$2:$2,0),FALSE()),"")</f>
        <v/>
      </c>
      <c r="U970" s="12" t="str">
        <f aca="false">IFERROR(VLOOKUP(A970,'Dados-Status-Invest'!$1:$1000,MATCH(U$1,'Dados-Status-Invest'!$2:$2,0),FALSE()),"")</f>
        <v/>
      </c>
      <c r="V970" s="12" t="str">
        <f aca="false">IFERROR(VLOOKUP(A970,'Dados-Status-Invest'!$1:$1000,MATCH(V$1,'Dados-Status-Invest'!$2:$2,0),FALSE()),"")</f>
        <v/>
      </c>
      <c r="W970" s="10" t="str">
        <f aca="false">IFERROR(VLOOKUP(A970,'Dados-Status-Invest'!$1:$1000,MATCH(W$1,'Dados-Status-Invest'!$2:$2,0),FALSE())/100,"")</f>
        <v/>
      </c>
      <c r="X970" s="10" t="str">
        <f aca="false">IFERROR(VLOOKUP(A970,'Dados-Status-Invest'!$1:$1000,MATCH(X$1,'Dados-Status-Invest'!$2:$2,0),FALSE())/100,"")</f>
        <v/>
      </c>
    </row>
    <row r="971" customFormat="false" ht="15.75" hidden="false" customHeight="false" outlineLevel="0" collapsed="false">
      <c r="B971" s="7" t="str">
        <f aca="false">IFERROR(VLOOKUP(LEFT(A971,4),Setor!A:D,2,FALSE()),"")</f>
        <v/>
      </c>
      <c r="C971" s="8" t="str">
        <f aca="false">IFERROR(__xludf.dummyfunction("IFERROR(IFERROR(GOOGLEFINANCE(A977,""price""),VLOOKUP(A977,'Dados-Status-Invest'!A:B,2,FALSE)),"""")"),"")</f>
        <v/>
      </c>
      <c r="D971" s="8" t="str">
        <f aca="false">IFERROR(VLOOKUP(A971,'Dados-Status-Invest'!$1:$1000,MATCH(D$1,'Dados-Status-Invest'!$2:$2,0),FALSE()),"")</f>
        <v/>
      </c>
      <c r="E971" s="8" t="e">
        <f aca="false">IF(D971+H971&gt;0,D971+H971,"")</f>
        <v>#VALUE!</v>
      </c>
      <c r="F971" s="8" t="str">
        <f aca="false">IFERROR(D971/VLOOKUP(A971,'Dados-Status-Invest'!$1:$1000,5,FALSE()),"")</f>
        <v/>
      </c>
      <c r="G971" s="8" t="str">
        <f aca="false">IFERROR(D971/VLOOKUP(A971,'Dados-Status-Invest'!$1:$1000,6,FALSE()),"")</f>
        <v/>
      </c>
      <c r="H971" s="8" t="str">
        <f aca="false">IFERROR(VLOOKUP(A971,'Dados-Status-Invest'!$1:$1000,12,FALSE())*J971,"")</f>
        <v/>
      </c>
      <c r="I971" s="8" t="str">
        <f aca="false">IFERROR(D971/VLOOKUP(A971,'Dados-Status-Invest'!$1:$1000,14,FALSE()),"")</f>
        <v/>
      </c>
      <c r="J971" s="9" t="str">
        <f aca="false">IFERROR(D971/VLOOKUP(A971,'Dados-Status-Invest'!$1:$1000,10,FALSE()),"")</f>
        <v/>
      </c>
      <c r="K971" s="10" t="str">
        <f aca="false">IFERROR(VLOOKUP(A971,'Dados-Status-Invest'!$1:$1000,3,FALSE())/100,"")</f>
        <v/>
      </c>
      <c r="L971" s="11" t="str">
        <f aca="false">IFERROR(VLOOKUP(A971,'Dados-Status-Invest'!$1:$1000,MATCH(L$1,'Dados-Status-Invest'!$2:$2,0),FALSE())/100,"")</f>
        <v/>
      </c>
      <c r="M971" s="10" t="str">
        <f aca="false">IFERROR(VLOOKUP(A971,'Dados-Status-Invest'!$1:$1000,MATCH(M$1,'Dados-Status-Invest'!$2:$2,0),FALSE())/100,"")</f>
        <v/>
      </c>
      <c r="N971" s="10" t="str">
        <f aca="false">IFERROR(VLOOKUP(A971,'Dados-Status-Invest'!$1:$1000,MATCH(N$1,'Dados-Status-Invest'!$2:$2,0),FALSE())/100,"")</f>
        <v/>
      </c>
      <c r="O971" s="10" t="str">
        <f aca="false">IFERROR(VLOOKUP(A971,'Dados-Status-Invest'!$1:$1000,MATCH(O$1,'Dados-Status-Invest'!$2:$2,0),FALSE())/100,"")</f>
        <v/>
      </c>
      <c r="P971" s="10" t="str">
        <f aca="false">IFERROR(VLOOKUP(A971,'Dados-Status-Invest'!$1:$1000,MATCH(P$1,'Dados-Status-Invest'!$2:$2,0),FALSE())/100,"")</f>
        <v/>
      </c>
      <c r="Q971" s="10" t="str">
        <f aca="false">IFERROR(VLOOKUP(A971,'Dados-Status-Invest'!$1:$1000,MATCH(Q$1,'Dados-Status-Invest'!$2:$2,0),FALSE())/100,"")</f>
        <v/>
      </c>
      <c r="R971" s="12" t="str">
        <f aca="false">IFERROR(VLOOKUP(A971,'Dados-Status-Invest'!$1:$1000,MATCH(R$1,'Dados-Status-Invest'!$2:$2,0),FALSE()),"")</f>
        <v/>
      </c>
      <c r="S971" s="12" t="str">
        <f aca="false">IFERROR(VLOOKUP(A971,'Dados-Status-Invest'!$1:$1000,MATCH(S$1,'Dados-Status-Invest'!$2:$2,0),FALSE()),"")</f>
        <v/>
      </c>
      <c r="T971" s="12" t="str">
        <f aca="false">IFERROR(VLOOKUP(A971,'Dados-Status-Invest'!$1:$1000,MATCH(T$1,'Dados-Status-Invest'!$2:$2,0),FALSE()),"")</f>
        <v/>
      </c>
      <c r="U971" s="12" t="str">
        <f aca="false">IFERROR(VLOOKUP(A971,'Dados-Status-Invest'!$1:$1000,MATCH(U$1,'Dados-Status-Invest'!$2:$2,0),FALSE()),"")</f>
        <v/>
      </c>
      <c r="V971" s="12" t="str">
        <f aca="false">IFERROR(VLOOKUP(A971,'Dados-Status-Invest'!$1:$1000,MATCH(V$1,'Dados-Status-Invest'!$2:$2,0),FALSE()),"")</f>
        <v/>
      </c>
      <c r="W971" s="10" t="str">
        <f aca="false">IFERROR(VLOOKUP(A971,'Dados-Status-Invest'!$1:$1000,MATCH(W$1,'Dados-Status-Invest'!$2:$2,0),FALSE())/100,"")</f>
        <v/>
      </c>
      <c r="X971" s="10" t="str">
        <f aca="false">IFERROR(VLOOKUP(A971,'Dados-Status-Invest'!$1:$1000,MATCH(X$1,'Dados-Status-Invest'!$2:$2,0),FALSE())/100,"")</f>
        <v/>
      </c>
    </row>
    <row r="972" customFormat="false" ht="15.75" hidden="false" customHeight="false" outlineLevel="0" collapsed="false">
      <c r="B972" s="7" t="str">
        <f aca="false">IFERROR(VLOOKUP(LEFT(A972,4),Setor!A:D,2,FALSE()),"")</f>
        <v/>
      </c>
      <c r="C972" s="8" t="str">
        <f aca="false">IFERROR(__xludf.dummyfunction("IFERROR(IFERROR(GOOGLEFINANCE(A978,""price""),VLOOKUP(A978,'Dados-Status-Invest'!A:B,2,FALSE)),"""")"),"")</f>
        <v/>
      </c>
      <c r="D972" s="8" t="str">
        <f aca="false">IFERROR(VLOOKUP(A972,'Dados-Status-Invest'!$1:$1000,MATCH(D$1,'Dados-Status-Invest'!$2:$2,0),FALSE()),"")</f>
        <v/>
      </c>
      <c r="E972" s="8" t="e">
        <f aca="false">IF(D972+H972&gt;0,D972+H972,"")</f>
        <v>#VALUE!</v>
      </c>
      <c r="F972" s="8" t="str">
        <f aca="false">IFERROR(D972/VLOOKUP(A972,'Dados-Status-Invest'!$1:$1000,5,FALSE()),"")</f>
        <v/>
      </c>
      <c r="G972" s="8" t="str">
        <f aca="false">IFERROR(D972/VLOOKUP(A972,'Dados-Status-Invest'!$1:$1000,6,FALSE()),"")</f>
        <v/>
      </c>
      <c r="H972" s="8" t="str">
        <f aca="false">IFERROR(VLOOKUP(A972,'Dados-Status-Invest'!$1:$1000,12,FALSE())*J972,"")</f>
        <v/>
      </c>
      <c r="I972" s="8" t="str">
        <f aca="false">IFERROR(D972/VLOOKUP(A972,'Dados-Status-Invest'!$1:$1000,14,FALSE()),"")</f>
        <v/>
      </c>
      <c r="J972" s="9" t="str">
        <f aca="false">IFERROR(D972/VLOOKUP(A972,'Dados-Status-Invest'!$1:$1000,10,FALSE()),"")</f>
        <v/>
      </c>
      <c r="K972" s="10" t="str">
        <f aca="false">IFERROR(VLOOKUP(A972,'Dados-Status-Invest'!$1:$1000,3,FALSE())/100,"")</f>
        <v/>
      </c>
      <c r="L972" s="11" t="str">
        <f aca="false">IFERROR(VLOOKUP(A972,'Dados-Status-Invest'!$1:$1000,MATCH(L$1,'Dados-Status-Invest'!$2:$2,0),FALSE())/100,"")</f>
        <v/>
      </c>
      <c r="M972" s="10" t="str">
        <f aca="false">IFERROR(VLOOKUP(A972,'Dados-Status-Invest'!$1:$1000,MATCH(M$1,'Dados-Status-Invest'!$2:$2,0),FALSE())/100,"")</f>
        <v/>
      </c>
      <c r="N972" s="10" t="str">
        <f aca="false">IFERROR(VLOOKUP(A972,'Dados-Status-Invest'!$1:$1000,MATCH(N$1,'Dados-Status-Invest'!$2:$2,0),FALSE())/100,"")</f>
        <v/>
      </c>
      <c r="O972" s="10" t="str">
        <f aca="false">IFERROR(VLOOKUP(A972,'Dados-Status-Invest'!$1:$1000,MATCH(O$1,'Dados-Status-Invest'!$2:$2,0),FALSE())/100,"")</f>
        <v/>
      </c>
      <c r="P972" s="10" t="str">
        <f aca="false">IFERROR(VLOOKUP(A972,'Dados-Status-Invest'!$1:$1000,MATCH(P$1,'Dados-Status-Invest'!$2:$2,0),FALSE())/100,"")</f>
        <v/>
      </c>
      <c r="Q972" s="10" t="str">
        <f aca="false">IFERROR(VLOOKUP(A972,'Dados-Status-Invest'!$1:$1000,MATCH(Q$1,'Dados-Status-Invest'!$2:$2,0),FALSE())/100,"")</f>
        <v/>
      </c>
      <c r="R972" s="12" t="str">
        <f aca="false">IFERROR(VLOOKUP(A972,'Dados-Status-Invest'!$1:$1000,MATCH(R$1,'Dados-Status-Invest'!$2:$2,0),FALSE()),"")</f>
        <v/>
      </c>
      <c r="S972" s="12" t="str">
        <f aca="false">IFERROR(VLOOKUP(A972,'Dados-Status-Invest'!$1:$1000,MATCH(S$1,'Dados-Status-Invest'!$2:$2,0),FALSE()),"")</f>
        <v/>
      </c>
      <c r="T972" s="12" t="str">
        <f aca="false">IFERROR(VLOOKUP(A972,'Dados-Status-Invest'!$1:$1000,MATCH(T$1,'Dados-Status-Invest'!$2:$2,0),FALSE()),"")</f>
        <v/>
      </c>
      <c r="U972" s="12" t="str">
        <f aca="false">IFERROR(VLOOKUP(A972,'Dados-Status-Invest'!$1:$1000,MATCH(U$1,'Dados-Status-Invest'!$2:$2,0),FALSE()),"")</f>
        <v/>
      </c>
      <c r="V972" s="12" t="str">
        <f aca="false">IFERROR(VLOOKUP(A972,'Dados-Status-Invest'!$1:$1000,MATCH(V$1,'Dados-Status-Invest'!$2:$2,0),FALSE()),"")</f>
        <v/>
      </c>
      <c r="W972" s="10" t="str">
        <f aca="false">IFERROR(VLOOKUP(A972,'Dados-Status-Invest'!$1:$1000,MATCH(W$1,'Dados-Status-Invest'!$2:$2,0),FALSE())/100,"")</f>
        <v/>
      </c>
      <c r="X972" s="10" t="str">
        <f aca="false">IFERROR(VLOOKUP(A972,'Dados-Status-Invest'!$1:$1000,MATCH(X$1,'Dados-Status-Invest'!$2:$2,0),FALSE())/100,"")</f>
        <v/>
      </c>
    </row>
    <row r="973" customFormat="false" ht="15.75" hidden="false" customHeight="false" outlineLevel="0" collapsed="false">
      <c r="B973" s="7" t="str">
        <f aca="false">IFERROR(VLOOKUP(LEFT(A973,4),Setor!A:D,2,FALSE()),"")</f>
        <v/>
      </c>
      <c r="C973" s="8" t="str">
        <f aca="false">IFERROR(__xludf.dummyfunction("IFERROR(IFERROR(GOOGLEFINANCE(A979,""price""),VLOOKUP(A979,'Dados-Status-Invest'!A:B,2,FALSE)),"""")"),"")</f>
        <v/>
      </c>
      <c r="D973" s="8" t="str">
        <f aca="false">IFERROR(VLOOKUP(A973,'Dados-Status-Invest'!$1:$1000,MATCH(D$1,'Dados-Status-Invest'!$2:$2,0),FALSE()),"")</f>
        <v/>
      </c>
      <c r="E973" s="8" t="e">
        <f aca="false">IF(D973+H973&gt;0,D973+H973,"")</f>
        <v>#VALUE!</v>
      </c>
      <c r="F973" s="8" t="str">
        <f aca="false">IFERROR(D973/VLOOKUP(A973,'Dados-Status-Invest'!$1:$1000,5,FALSE()),"")</f>
        <v/>
      </c>
      <c r="G973" s="8" t="str">
        <f aca="false">IFERROR(D973/VLOOKUP(A973,'Dados-Status-Invest'!$1:$1000,6,FALSE()),"")</f>
        <v/>
      </c>
      <c r="H973" s="8" t="str">
        <f aca="false">IFERROR(VLOOKUP(A973,'Dados-Status-Invest'!$1:$1000,12,FALSE())*J973,"")</f>
        <v/>
      </c>
      <c r="I973" s="8" t="str">
        <f aca="false">IFERROR(D973/VLOOKUP(A973,'Dados-Status-Invest'!$1:$1000,14,FALSE()),"")</f>
        <v/>
      </c>
      <c r="J973" s="9" t="str">
        <f aca="false">IFERROR(D973/VLOOKUP(A973,'Dados-Status-Invest'!$1:$1000,10,FALSE()),"")</f>
        <v/>
      </c>
      <c r="K973" s="10" t="str">
        <f aca="false">IFERROR(VLOOKUP(A973,'Dados-Status-Invest'!$1:$1000,3,FALSE())/100,"")</f>
        <v/>
      </c>
      <c r="L973" s="11" t="str">
        <f aca="false">IFERROR(VLOOKUP(A973,'Dados-Status-Invest'!$1:$1000,MATCH(L$1,'Dados-Status-Invest'!$2:$2,0),FALSE())/100,"")</f>
        <v/>
      </c>
      <c r="M973" s="10" t="str">
        <f aca="false">IFERROR(VLOOKUP(A973,'Dados-Status-Invest'!$1:$1000,MATCH(M$1,'Dados-Status-Invest'!$2:$2,0),FALSE())/100,"")</f>
        <v/>
      </c>
      <c r="N973" s="10" t="str">
        <f aca="false">IFERROR(VLOOKUP(A973,'Dados-Status-Invest'!$1:$1000,MATCH(N$1,'Dados-Status-Invest'!$2:$2,0),FALSE())/100,"")</f>
        <v/>
      </c>
      <c r="O973" s="10" t="str">
        <f aca="false">IFERROR(VLOOKUP(A973,'Dados-Status-Invest'!$1:$1000,MATCH(O$1,'Dados-Status-Invest'!$2:$2,0),FALSE())/100,"")</f>
        <v/>
      </c>
      <c r="P973" s="10" t="str">
        <f aca="false">IFERROR(VLOOKUP(A973,'Dados-Status-Invest'!$1:$1000,MATCH(P$1,'Dados-Status-Invest'!$2:$2,0),FALSE())/100,"")</f>
        <v/>
      </c>
      <c r="Q973" s="10" t="str">
        <f aca="false">IFERROR(VLOOKUP(A973,'Dados-Status-Invest'!$1:$1000,MATCH(Q$1,'Dados-Status-Invest'!$2:$2,0),FALSE())/100,"")</f>
        <v/>
      </c>
      <c r="R973" s="12" t="str">
        <f aca="false">IFERROR(VLOOKUP(A973,'Dados-Status-Invest'!$1:$1000,MATCH(R$1,'Dados-Status-Invest'!$2:$2,0),FALSE()),"")</f>
        <v/>
      </c>
      <c r="S973" s="12" t="str">
        <f aca="false">IFERROR(VLOOKUP(A973,'Dados-Status-Invest'!$1:$1000,MATCH(S$1,'Dados-Status-Invest'!$2:$2,0),FALSE()),"")</f>
        <v/>
      </c>
      <c r="T973" s="12" t="str">
        <f aca="false">IFERROR(VLOOKUP(A973,'Dados-Status-Invest'!$1:$1000,MATCH(T$1,'Dados-Status-Invest'!$2:$2,0),FALSE()),"")</f>
        <v/>
      </c>
      <c r="U973" s="12" t="str">
        <f aca="false">IFERROR(VLOOKUP(A973,'Dados-Status-Invest'!$1:$1000,MATCH(U$1,'Dados-Status-Invest'!$2:$2,0),FALSE()),"")</f>
        <v/>
      </c>
      <c r="V973" s="12" t="str">
        <f aca="false">IFERROR(VLOOKUP(A973,'Dados-Status-Invest'!$1:$1000,MATCH(V$1,'Dados-Status-Invest'!$2:$2,0),FALSE()),"")</f>
        <v/>
      </c>
      <c r="W973" s="10" t="str">
        <f aca="false">IFERROR(VLOOKUP(A973,'Dados-Status-Invest'!$1:$1000,MATCH(W$1,'Dados-Status-Invest'!$2:$2,0),FALSE())/100,"")</f>
        <v/>
      </c>
      <c r="X973" s="10" t="str">
        <f aca="false">IFERROR(VLOOKUP(A973,'Dados-Status-Invest'!$1:$1000,MATCH(X$1,'Dados-Status-Invest'!$2:$2,0),FALSE())/100,"")</f>
        <v/>
      </c>
    </row>
    <row r="974" customFormat="false" ht="15.75" hidden="false" customHeight="false" outlineLevel="0" collapsed="false">
      <c r="B974" s="7" t="str">
        <f aca="false">IFERROR(VLOOKUP(LEFT(A974,4),Setor!A:D,2,FALSE()),"")</f>
        <v/>
      </c>
      <c r="C974" s="8" t="str">
        <f aca="false">IFERROR(__xludf.dummyfunction("IFERROR(IFERROR(GOOGLEFINANCE(A980,""price""),VLOOKUP(A980,'Dados-Status-Invest'!A:B,2,FALSE)),"""")"),"")</f>
        <v/>
      </c>
      <c r="D974" s="8" t="str">
        <f aca="false">IFERROR(VLOOKUP(A974,'Dados-Status-Invest'!$1:$1000,MATCH(D$1,'Dados-Status-Invest'!$2:$2,0),FALSE()),"")</f>
        <v/>
      </c>
      <c r="E974" s="8" t="e">
        <f aca="false">IF(D974+H974&gt;0,D974+H974,"")</f>
        <v>#VALUE!</v>
      </c>
      <c r="F974" s="8" t="str">
        <f aca="false">IFERROR(D974/VLOOKUP(A974,'Dados-Status-Invest'!$1:$1000,5,FALSE()),"")</f>
        <v/>
      </c>
      <c r="G974" s="8" t="str">
        <f aca="false">IFERROR(D974/VLOOKUP(A974,'Dados-Status-Invest'!$1:$1000,6,FALSE()),"")</f>
        <v/>
      </c>
      <c r="H974" s="8" t="str">
        <f aca="false">IFERROR(VLOOKUP(A974,'Dados-Status-Invest'!$1:$1000,12,FALSE())*J974,"")</f>
        <v/>
      </c>
      <c r="I974" s="8" t="str">
        <f aca="false">IFERROR(D974/VLOOKUP(A974,'Dados-Status-Invest'!$1:$1000,14,FALSE()),"")</f>
        <v/>
      </c>
      <c r="J974" s="9" t="str">
        <f aca="false">IFERROR(D974/VLOOKUP(A974,'Dados-Status-Invest'!$1:$1000,10,FALSE()),"")</f>
        <v/>
      </c>
      <c r="K974" s="10" t="str">
        <f aca="false">IFERROR(VLOOKUP(A974,'Dados-Status-Invest'!$1:$1000,3,FALSE())/100,"")</f>
        <v/>
      </c>
      <c r="L974" s="11" t="str">
        <f aca="false">IFERROR(VLOOKUP(A974,'Dados-Status-Invest'!$1:$1000,MATCH(L$1,'Dados-Status-Invest'!$2:$2,0),FALSE())/100,"")</f>
        <v/>
      </c>
      <c r="M974" s="10" t="str">
        <f aca="false">IFERROR(VLOOKUP(A974,'Dados-Status-Invest'!$1:$1000,MATCH(M$1,'Dados-Status-Invest'!$2:$2,0),FALSE())/100,"")</f>
        <v/>
      </c>
      <c r="N974" s="10" t="str">
        <f aca="false">IFERROR(VLOOKUP(A974,'Dados-Status-Invest'!$1:$1000,MATCH(N$1,'Dados-Status-Invest'!$2:$2,0),FALSE())/100,"")</f>
        <v/>
      </c>
      <c r="O974" s="10" t="str">
        <f aca="false">IFERROR(VLOOKUP(A974,'Dados-Status-Invest'!$1:$1000,MATCH(O$1,'Dados-Status-Invest'!$2:$2,0),FALSE())/100,"")</f>
        <v/>
      </c>
      <c r="P974" s="10" t="str">
        <f aca="false">IFERROR(VLOOKUP(A974,'Dados-Status-Invest'!$1:$1000,MATCH(P$1,'Dados-Status-Invest'!$2:$2,0),FALSE())/100,"")</f>
        <v/>
      </c>
      <c r="Q974" s="10" t="str">
        <f aca="false">IFERROR(VLOOKUP(A974,'Dados-Status-Invest'!$1:$1000,MATCH(Q$1,'Dados-Status-Invest'!$2:$2,0),FALSE())/100,"")</f>
        <v/>
      </c>
      <c r="R974" s="12" t="str">
        <f aca="false">IFERROR(VLOOKUP(A974,'Dados-Status-Invest'!$1:$1000,MATCH(R$1,'Dados-Status-Invest'!$2:$2,0),FALSE()),"")</f>
        <v/>
      </c>
      <c r="S974" s="12" t="str">
        <f aca="false">IFERROR(VLOOKUP(A974,'Dados-Status-Invest'!$1:$1000,MATCH(S$1,'Dados-Status-Invest'!$2:$2,0),FALSE()),"")</f>
        <v/>
      </c>
      <c r="T974" s="12" t="str">
        <f aca="false">IFERROR(VLOOKUP(A974,'Dados-Status-Invest'!$1:$1000,MATCH(T$1,'Dados-Status-Invest'!$2:$2,0),FALSE()),"")</f>
        <v/>
      </c>
      <c r="U974" s="12" t="str">
        <f aca="false">IFERROR(VLOOKUP(A974,'Dados-Status-Invest'!$1:$1000,MATCH(U$1,'Dados-Status-Invest'!$2:$2,0),FALSE()),"")</f>
        <v/>
      </c>
      <c r="V974" s="12" t="str">
        <f aca="false">IFERROR(VLOOKUP(A974,'Dados-Status-Invest'!$1:$1000,MATCH(V$1,'Dados-Status-Invest'!$2:$2,0),FALSE()),"")</f>
        <v/>
      </c>
      <c r="W974" s="10" t="str">
        <f aca="false">IFERROR(VLOOKUP(A974,'Dados-Status-Invest'!$1:$1000,MATCH(W$1,'Dados-Status-Invest'!$2:$2,0),FALSE())/100,"")</f>
        <v/>
      </c>
      <c r="X974" s="10" t="str">
        <f aca="false">IFERROR(VLOOKUP(A974,'Dados-Status-Invest'!$1:$1000,MATCH(X$1,'Dados-Status-Invest'!$2:$2,0),FALSE())/100,"")</f>
        <v/>
      </c>
    </row>
    <row r="975" customFormat="false" ht="15.75" hidden="false" customHeight="false" outlineLevel="0" collapsed="false">
      <c r="B975" s="7" t="str">
        <f aca="false">IFERROR(VLOOKUP(LEFT(A975,4),Setor!A:D,2,FALSE()),"")</f>
        <v/>
      </c>
      <c r="C975" s="8" t="str">
        <f aca="false">IFERROR(__xludf.dummyfunction("IFERROR(IFERROR(GOOGLEFINANCE(A981,""price""),VLOOKUP(A981,'Dados-Status-Invest'!A:B,2,FALSE)),"""")"),"")</f>
        <v/>
      </c>
      <c r="D975" s="8" t="str">
        <f aca="false">IFERROR(VLOOKUP(A975,'Dados-Status-Invest'!$1:$1000,MATCH(D$1,'Dados-Status-Invest'!$2:$2,0),FALSE()),"")</f>
        <v/>
      </c>
      <c r="E975" s="8" t="e">
        <f aca="false">IF(D975+H975&gt;0,D975+H975,"")</f>
        <v>#VALUE!</v>
      </c>
      <c r="F975" s="8" t="str">
        <f aca="false">IFERROR(D975/VLOOKUP(A975,'Dados-Status-Invest'!$1:$1000,5,FALSE()),"")</f>
        <v/>
      </c>
      <c r="G975" s="8" t="str">
        <f aca="false">IFERROR(D975/VLOOKUP(A975,'Dados-Status-Invest'!$1:$1000,6,FALSE()),"")</f>
        <v/>
      </c>
      <c r="H975" s="8" t="str">
        <f aca="false">IFERROR(VLOOKUP(A975,'Dados-Status-Invest'!$1:$1000,12,FALSE())*J975,"")</f>
        <v/>
      </c>
      <c r="I975" s="8" t="str">
        <f aca="false">IFERROR(D975/VLOOKUP(A975,'Dados-Status-Invest'!$1:$1000,14,FALSE()),"")</f>
        <v/>
      </c>
      <c r="J975" s="9" t="str">
        <f aca="false">IFERROR(D975/VLOOKUP(A975,'Dados-Status-Invest'!$1:$1000,10,FALSE()),"")</f>
        <v/>
      </c>
      <c r="K975" s="10" t="str">
        <f aca="false">IFERROR(VLOOKUP(A975,'Dados-Status-Invest'!$1:$1000,3,FALSE())/100,"")</f>
        <v/>
      </c>
      <c r="L975" s="11" t="str">
        <f aca="false">IFERROR(VLOOKUP(A975,'Dados-Status-Invest'!$1:$1000,MATCH(L$1,'Dados-Status-Invest'!$2:$2,0),FALSE())/100,"")</f>
        <v/>
      </c>
      <c r="M975" s="10" t="str">
        <f aca="false">IFERROR(VLOOKUP(A975,'Dados-Status-Invest'!$1:$1000,MATCH(M$1,'Dados-Status-Invest'!$2:$2,0),FALSE())/100,"")</f>
        <v/>
      </c>
      <c r="N975" s="10" t="str">
        <f aca="false">IFERROR(VLOOKUP(A975,'Dados-Status-Invest'!$1:$1000,MATCH(N$1,'Dados-Status-Invest'!$2:$2,0),FALSE())/100,"")</f>
        <v/>
      </c>
      <c r="O975" s="10" t="str">
        <f aca="false">IFERROR(VLOOKUP(A975,'Dados-Status-Invest'!$1:$1000,MATCH(O$1,'Dados-Status-Invest'!$2:$2,0),FALSE())/100,"")</f>
        <v/>
      </c>
      <c r="P975" s="10" t="str">
        <f aca="false">IFERROR(VLOOKUP(A975,'Dados-Status-Invest'!$1:$1000,MATCH(P$1,'Dados-Status-Invest'!$2:$2,0),FALSE())/100,"")</f>
        <v/>
      </c>
      <c r="Q975" s="10" t="str">
        <f aca="false">IFERROR(VLOOKUP(A975,'Dados-Status-Invest'!$1:$1000,MATCH(Q$1,'Dados-Status-Invest'!$2:$2,0),FALSE())/100,"")</f>
        <v/>
      </c>
      <c r="R975" s="12" t="str">
        <f aca="false">IFERROR(VLOOKUP(A975,'Dados-Status-Invest'!$1:$1000,MATCH(R$1,'Dados-Status-Invest'!$2:$2,0),FALSE()),"")</f>
        <v/>
      </c>
      <c r="S975" s="12" t="str">
        <f aca="false">IFERROR(VLOOKUP(A975,'Dados-Status-Invest'!$1:$1000,MATCH(S$1,'Dados-Status-Invest'!$2:$2,0),FALSE()),"")</f>
        <v/>
      </c>
      <c r="T975" s="12" t="str">
        <f aca="false">IFERROR(VLOOKUP(A975,'Dados-Status-Invest'!$1:$1000,MATCH(T$1,'Dados-Status-Invest'!$2:$2,0),FALSE()),"")</f>
        <v/>
      </c>
      <c r="U975" s="12" t="str">
        <f aca="false">IFERROR(VLOOKUP(A975,'Dados-Status-Invest'!$1:$1000,MATCH(U$1,'Dados-Status-Invest'!$2:$2,0),FALSE()),"")</f>
        <v/>
      </c>
      <c r="V975" s="12" t="str">
        <f aca="false">IFERROR(VLOOKUP(A975,'Dados-Status-Invest'!$1:$1000,MATCH(V$1,'Dados-Status-Invest'!$2:$2,0),FALSE()),"")</f>
        <v/>
      </c>
      <c r="W975" s="10" t="str">
        <f aca="false">IFERROR(VLOOKUP(A975,'Dados-Status-Invest'!$1:$1000,MATCH(W$1,'Dados-Status-Invest'!$2:$2,0),FALSE())/100,"")</f>
        <v/>
      </c>
      <c r="X975" s="10" t="str">
        <f aca="false">IFERROR(VLOOKUP(A975,'Dados-Status-Invest'!$1:$1000,MATCH(X$1,'Dados-Status-Invest'!$2:$2,0),FALSE())/100,"")</f>
        <v/>
      </c>
    </row>
    <row r="976" customFormat="false" ht="15.75" hidden="false" customHeight="false" outlineLevel="0" collapsed="false">
      <c r="B976" s="7" t="str">
        <f aca="false">IFERROR(VLOOKUP(LEFT(A976,4),Setor!A:D,2,FALSE()),"")</f>
        <v/>
      </c>
      <c r="C976" s="8" t="str">
        <f aca="false">IFERROR(__xludf.dummyfunction("IFERROR(IFERROR(GOOGLEFINANCE(A982,""price""),VLOOKUP(A982,'Dados-Status-Invest'!A:B,2,FALSE)),"""")"),"")</f>
        <v/>
      </c>
      <c r="D976" s="8" t="str">
        <f aca="false">IFERROR(VLOOKUP(A976,'Dados-Status-Invest'!$1:$1000,MATCH(D$1,'Dados-Status-Invest'!$2:$2,0),FALSE()),"")</f>
        <v/>
      </c>
      <c r="E976" s="8" t="e">
        <f aca="false">IF(D976+H976&gt;0,D976+H976,"")</f>
        <v>#VALUE!</v>
      </c>
      <c r="F976" s="8" t="str">
        <f aca="false">IFERROR(D976/VLOOKUP(A976,'Dados-Status-Invest'!$1:$1000,5,FALSE()),"")</f>
        <v/>
      </c>
      <c r="G976" s="8" t="str">
        <f aca="false">IFERROR(D976/VLOOKUP(A976,'Dados-Status-Invest'!$1:$1000,6,FALSE()),"")</f>
        <v/>
      </c>
      <c r="H976" s="8" t="str">
        <f aca="false">IFERROR(VLOOKUP(A976,'Dados-Status-Invest'!$1:$1000,12,FALSE())*J976,"")</f>
        <v/>
      </c>
      <c r="I976" s="8" t="str">
        <f aca="false">IFERROR(D976/VLOOKUP(A976,'Dados-Status-Invest'!$1:$1000,14,FALSE()),"")</f>
        <v/>
      </c>
      <c r="J976" s="9" t="str">
        <f aca="false">IFERROR(D976/VLOOKUP(A976,'Dados-Status-Invest'!$1:$1000,10,FALSE()),"")</f>
        <v/>
      </c>
      <c r="K976" s="10" t="str">
        <f aca="false">IFERROR(VLOOKUP(A976,'Dados-Status-Invest'!$1:$1000,3,FALSE())/100,"")</f>
        <v/>
      </c>
      <c r="L976" s="11" t="str">
        <f aca="false">IFERROR(VLOOKUP(A976,'Dados-Status-Invest'!$1:$1000,MATCH(L$1,'Dados-Status-Invest'!$2:$2,0),FALSE())/100,"")</f>
        <v/>
      </c>
      <c r="M976" s="10" t="str">
        <f aca="false">IFERROR(VLOOKUP(A976,'Dados-Status-Invest'!$1:$1000,MATCH(M$1,'Dados-Status-Invest'!$2:$2,0),FALSE())/100,"")</f>
        <v/>
      </c>
      <c r="N976" s="10" t="str">
        <f aca="false">IFERROR(VLOOKUP(A976,'Dados-Status-Invest'!$1:$1000,MATCH(N$1,'Dados-Status-Invest'!$2:$2,0),FALSE())/100,"")</f>
        <v/>
      </c>
      <c r="O976" s="10" t="str">
        <f aca="false">IFERROR(VLOOKUP(A976,'Dados-Status-Invest'!$1:$1000,MATCH(O$1,'Dados-Status-Invest'!$2:$2,0),FALSE())/100,"")</f>
        <v/>
      </c>
      <c r="P976" s="10" t="str">
        <f aca="false">IFERROR(VLOOKUP(A976,'Dados-Status-Invest'!$1:$1000,MATCH(P$1,'Dados-Status-Invest'!$2:$2,0),FALSE())/100,"")</f>
        <v/>
      </c>
      <c r="Q976" s="10" t="str">
        <f aca="false">IFERROR(VLOOKUP(A976,'Dados-Status-Invest'!$1:$1000,MATCH(Q$1,'Dados-Status-Invest'!$2:$2,0),FALSE())/100,"")</f>
        <v/>
      </c>
      <c r="R976" s="12" t="str">
        <f aca="false">IFERROR(VLOOKUP(A976,'Dados-Status-Invest'!$1:$1000,MATCH(R$1,'Dados-Status-Invest'!$2:$2,0),FALSE()),"")</f>
        <v/>
      </c>
      <c r="S976" s="12" t="str">
        <f aca="false">IFERROR(VLOOKUP(A976,'Dados-Status-Invest'!$1:$1000,MATCH(S$1,'Dados-Status-Invest'!$2:$2,0),FALSE()),"")</f>
        <v/>
      </c>
      <c r="T976" s="12" t="str">
        <f aca="false">IFERROR(VLOOKUP(A976,'Dados-Status-Invest'!$1:$1000,MATCH(T$1,'Dados-Status-Invest'!$2:$2,0),FALSE()),"")</f>
        <v/>
      </c>
      <c r="U976" s="12" t="str">
        <f aca="false">IFERROR(VLOOKUP(A976,'Dados-Status-Invest'!$1:$1000,MATCH(U$1,'Dados-Status-Invest'!$2:$2,0),FALSE()),"")</f>
        <v/>
      </c>
      <c r="V976" s="12" t="str">
        <f aca="false">IFERROR(VLOOKUP(A976,'Dados-Status-Invest'!$1:$1000,MATCH(V$1,'Dados-Status-Invest'!$2:$2,0),FALSE()),"")</f>
        <v/>
      </c>
      <c r="W976" s="10" t="str">
        <f aca="false">IFERROR(VLOOKUP(A976,'Dados-Status-Invest'!$1:$1000,MATCH(W$1,'Dados-Status-Invest'!$2:$2,0),FALSE())/100,"")</f>
        <v/>
      </c>
      <c r="X976" s="10" t="str">
        <f aca="false">IFERROR(VLOOKUP(A976,'Dados-Status-Invest'!$1:$1000,MATCH(X$1,'Dados-Status-Invest'!$2:$2,0),FALSE())/100,"")</f>
        <v/>
      </c>
    </row>
    <row r="977" customFormat="false" ht="15.75" hidden="false" customHeight="false" outlineLevel="0" collapsed="false">
      <c r="B977" s="7" t="str">
        <f aca="false">IFERROR(VLOOKUP(LEFT(A977,4),Setor!A:D,2,FALSE()),"")</f>
        <v/>
      </c>
      <c r="C977" s="8" t="str">
        <f aca="false">IFERROR(__xludf.dummyfunction("IFERROR(IFERROR(GOOGLEFINANCE(A983,""price""),VLOOKUP(A983,'Dados-Status-Invest'!A:B,2,FALSE)),"""")"),"")</f>
        <v/>
      </c>
      <c r="D977" s="8" t="str">
        <f aca="false">IFERROR(VLOOKUP(A977,'Dados-Status-Invest'!$1:$1000,MATCH(D$1,'Dados-Status-Invest'!$2:$2,0),FALSE()),"")</f>
        <v/>
      </c>
      <c r="E977" s="8" t="e">
        <f aca="false">IF(D977+H977&gt;0,D977+H977,"")</f>
        <v>#VALUE!</v>
      </c>
      <c r="F977" s="8" t="str">
        <f aca="false">IFERROR(D977/VLOOKUP(A977,'Dados-Status-Invest'!$1:$1000,5,FALSE()),"")</f>
        <v/>
      </c>
      <c r="G977" s="8" t="str">
        <f aca="false">IFERROR(D977/VLOOKUP(A977,'Dados-Status-Invest'!$1:$1000,6,FALSE()),"")</f>
        <v/>
      </c>
      <c r="H977" s="8" t="str">
        <f aca="false">IFERROR(VLOOKUP(A977,'Dados-Status-Invest'!$1:$1000,12,FALSE())*J977,"")</f>
        <v/>
      </c>
      <c r="I977" s="8" t="str">
        <f aca="false">IFERROR(D977/VLOOKUP(A977,'Dados-Status-Invest'!$1:$1000,14,FALSE()),"")</f>
        <v/>
      </c>
      <c r="J977" s="9" t="str">
        <f aca="false">IFERROR(D977/VLOOKUP(A977,'Dados-Status-Invest'!$1:$1000,10,FALSE()),"")</f>
        <v/>
      </c>
      <c r="K977" s="10" t="str">
        <f aca="false">IFERROR(VLOOKUP(A977,'Dados-Status-Invest'!$1:$1000,3,FALSE())/100,"")</f>
        <v/>
      </c>
      <c r="L977" s="11" t="str">
        <f aca="false">IFERROR(VLOOKUP(A977,'Dados-Status-Invest'!$1:$1000,MATCH(L$1,'Dados-Status-Invest'!$2:$2,0),FALSE())/100,"")</f>
        <v/>
      </c>
      <c r="M977" s="10" t="str">
        <f aca="false">IFERROR(VLOOKUP(A977,'Dados-Status-Invest'!$1:$1000,MATCH(M$1,'Dados-Status-Invest'!$2:$2,0),FALSE())/100,"")</f>
        <v/>
      </c>
      <c r="N977" s="10" t="str">
        <f aca="false">IFERROR(VLOOKUP(A977,'Dados-Status-Invest'!$1:$1000,MATCH(N$1,'Dados-Status-Invest'!$2:$2,0),FALSE())/100,"")</f>
        <v/>
      </c>
      <c r="O977" s="10" t="str">
        <f aca="false">IFERROR(VLOOKUP(A977,'Dados-Status-Invest'!$1:$1000,MATCH(O$1,'Dados-Status-Invest'!$2:$2,0),FALSE())/100,"")</f>
        <v/>
      </c>
      <c r="P977" s="10" t="str">
        <f aca="false">IFERROR(VLOOKUP(A977,'Dados-Status-Invest'!$1:$1000,MATCH(P$1,'Dados-Status-Invest'!$2:$2,0),FALSE())/100,"")</f>
        <v/>
      </c>
      <c r="Q977" s="10" t="str">
        <f aca="false">IFERROR(VLOOKUP(A977,'Dados-Status-Invest'!$1:$1000,MATCH(Q$1,'Dados-Status-Invest'!$2:$2,0),FALSE())/100,"")</f>
        <v/>
      </c>
      <c r="R977" s="12" t="str">
        <f aca="false">IFERROR(VLOOKUP(A977,'Dados-Status-Invest'!$1:$1000,MATCH(R$1,'Dados-Status-Invest'!$2:$2,0),FALSE()),"")</f>
        <v/>
      </c>
      <c r="S977" s="12" t="str">
        <f aca="false">IFERROR(VLOOKUP(A977,'Dados-Status-Invest'!$1:$1000,MATCH(S$1,'Dados-Status-Invest'!$2:$2,0),FALSE()),"")</f>
        <v/>
      </c>
      <c r="T977" s="12" t="str">
        <f aca="false">IFERROR(VLOOKUP(A977,'Dados-Status-Invest'!$1:$1000,MATCH(T$1,'Dados-Status-Invest'!$2:$2,0),FALSE()),"")</f>
        <v/>
      </c>
      <c r="U977" s="12" t="str">
        <f aca="false">IFERROR(VLOOKUP(A977,'Dados-Status-Invest'!$1:$1000,MATCH(U$1,'Dados-Status-Invest'!$2:$2,0),FALSE()),"")</f>
        <v/>
      </c>
      <c r="V977" s="12" t="str">
        <f aca="false">IFERROR(VLOOKUP(A977,'Dados-Status-Invest'!$1:$1000,MATCH(V$1,'Dados-Status-Invest'!$2:$2,0),FALSE()),"")</f>
        <v/>
      </c>
      <c r="W977" s="10" t="str">
        <f aca="false">IFERROR(VLOOKUP(A977,'Dados-Status-Invest'!$1:$1000,MATCH(W$1,'Dados-Status-Invest'!$2:$2,0),FALSE())/100,"")</f>
        <v/>
      </c>
      <c r="X977" s="10" t="str">
        <f aca="false">IFERROR(VLOOKUP(A977,'Dados-Status-Invest'!$1:$1000,MATCH(X$1,'Dados-Status-Invest'!$2:$2,0),FALSE())/100,"")</f>
        <v/>
      </c>
    </row>
    <row r="978" customFormat="false" ht="15.75" hidden="false" customHeight="false" outlineLevel="0" collapsed="false">
      <c r="B978" s="7" t="str">
        <f aca="false">IFERROR(VLOOKUP(LEFT(A978,4),Setor!A:D,2,FALSE()),"")</f>
        <v/>
      </c>
      <c r="C978" s="8" t="str">
        <f aca="false">IFERROR(__xludf.dummyfunction("IFERROR(IFERROR(GOOGLEFINANCE(A984,""price""),VLOOKUP(A984,'Dados-Status-Invest'!A:B,2,FALSE)),"""")"),"")</f>
        <v/>
      </c>
      <c r="D978" s="8" t="str">
        <f aca="false">IFERROR(VLOOKUP(A978,'Dados-Status-Invest'!$1:$1000,MATCH(D$1,'Dados-Status-Invest'!$2:$2,0),FALSE()),"")</f>
        <v/>
      </c>
      <c r="E978" s="8" t="e">
        <f aca="false">IF(D978+H978&gt;0,D978+H978,"")</f>
        <v>#VALUE!</v>
      </c>
      <c r="F978" s="8" t="str">
        <f aca="false">IFERROR(D978/VLOOKUP(A978,'Dados-Status-Invest'!$1:$1000,5,FALSE()),"")</f>
        <v/>
      </c>
      <c r="G978" s="8" t="str">
        <f aca="false">IFERROR(D978/VLOOKUP(A978,'Dados-Status-Invest'!$1:$1000,6,FALSE()),"")</f>
        <v/>
      </c>
      <c r="H978" s="8" t="str">
        <f aca="false">IFERROR(VLOOKUP(A978,'Dados-Status-Invest'!$1:$1000,12,FALSE())*J978,"")</f>
        <v/>
      </c>
      <c r="I978" s="8" t="str">
        <f aca="false">IFERROR(D978/VLOOKUP(A978,'Dados-Status-Invest'!$1:$1000,14,FALSE()),"")</f>
        <v/>
      </c>
      <c r="J978" s="9" t="str">
        <f aca="false">IFERROR(D978/VLOOKUP(A978,'Dados-Status-Invest'!$1:$1000,10,FALSE()),"")</f>
        <v/>
      </c>
      <c r="K978" s="10" t="str">
        <f aca="false">IFERROR(VLOOKUP(A978,'Dados-Status-Invest'!$1:$1000,3,FALSE())/100,"")</f>
        <v/>
      </c>
      <c r="L978" s="11" t="str">
        <f aca="false">IFERROR(VLOOKUP(A978,'Dados-Status-Invest'!$1:$1000,MATCH(L$1,'Dados-Status-Invest'!$2:$2,0),FALSE())/100,"")</f>
        <v/>
      </c>
      <c r="M978" s="10" t="str">
        <f aca="false">IFERROR(VLOOKUP(A978,'Dados-Status-Invest'!$1:$1000,MATCH(M$1,'Dados-Status-Invest'!$2:$2,0),FALSE())/100,"")</f>
        <v/>
      </c>
      <c r="N978" s="10" t="str">
        <f aca="false">IFERROR(VLOOKUP(A978,'Dados-Status-Invest'!$1:$1000,MATCH(N$1,'Dados-Status-Invest'!$2:$2,0),FALSE())/100,"")</f>
        <v/>
      </c>
      <c r="O978" s="10" t="str">
        <f aca="false">IFERROR(VLOOKUP(A978,'Dados-Status-Invest'!$1:$1000,MATCH(O$1,'Dados-Status-Invest'!$2:$2,0),FALSE())/100,"")</f>
        <v/>
      </c>
      <c r="P978" s="10" t="str">
        <f aca="false">IFERROR(VLOOKUP(A978,'Dados-Status-Invest'!$1:$1000,MATCH(P$1,'Dados-Status-Invest'!$2:$2,0),FALSE())/100,"")</f>
        <v/>
      </c>
      <c r="Q978" s="10" t="str">
        <f aca="false">IFERROR(VLOOKUP(A978,'Dados-Status-Invest'!$1:$1000,MATCH(Q$1,'Dados-Status-Invest'!$2:$2,0),FALSE())/100,"")</f>
        <v/>
      </c>
      <c r="R978" s="12" t="str">
        <f aca="false">IFERROR(VLOOKUP(A978,'Dados-Status-Invest'!$1:$1000,MATCH(R$1,'Dados-Status-Invest'!$2:$2,0),FALSE()),"")</f>
        <v/>
      </c>
      <c r="S978" s="12" t="str">
        <f aca="false">IFERROR(VLOOKUP(A978,'Dados-Status-Invest'!$1:$1000,MATCH(S$1,'Dados-Status-Invest'!$2:$2,0),FALSE()),"")</f>
        <v/>
      </c>
      <c r="T978" s="12" t="str">
        <f aca="false">IFERROR(VLOOKUP(A978,'Dados-Status-Invest'!$1:$1000,MATCH(T$1,'Dados-Status-Invest'!$2:$2,0),FALSE()),"")</f>
        <v/>
      </c>
      <c r="U978" s="12" t="str">
        <f aca="false">IFERROR(VLOOKUP(A978,'Dados-Status-Invest'!$1:$1000,MATCH(U$1,'Dados-Status-Invest'!$2:$2,0),FALSE()),"")</f>
        <v/>
      </c>
      <c r="V978" s="12" t="str">
        <f aca="false">IFERROR(VLOOKUP(A978,'Dados-Status-Invest'!$1:$1000,MATCH(V$1,'Dados-Status-Invest'!$2:$2,0),FALSE()),"")</f>
        <v/>
      </c>
      <c r="W978" s="10" t="str">
        <f aca="false">IFERROR(VLOOKUP(A978,'Dados-Status-Invest'!$1:$1000,MATCH(W$1,'Dados-Status-Invest'!$2:$2,0),FALSE())/100,"")</f>
        <v/>
      </c>
      <c r="X978" s="10" t="str">
        <f aca="false">IFERROR(VLOOKUP(A978,'Dados-Status-Invest'!$1:$1000,MATCH(X$1,'Dados-Status-Invest'!$2:$2,0),FALSE())/100,"")</f>
        <v/>
      </c>
    </row>
    <row r="979" customFormat="false" ht="15.75" hidden="false" customHeight="false" outlineLevel="0" collapsed="false">
      <c r="B979" s="7" t="str">
        <f aca="false">IFERROR(VLOOKUP(LEFT(A979,4),Setor!A:D,2,FALSE()),"")</f>
        <v/>
      </c>
      <c r="C979" s="8" t="str">
        <f aca="false">IFERROR(__xludf.dummyfunction("IFERROR(IFERROR(GOOGLEFINANCE(A985,""price""),VLOOKUP(A985,'Dados-Status-Invest'!A:B,2,FALSE)),"""")"),"")</f>
        <v/>
      </c>
      <c r="D979" s="8" t="str">
        <f aca="false">IFERROR(VLOOKUP(A979,'Dados-Status-Invest'!$1:$1000,MATCH(D$1,'Dados-Status-Invest'!$2:$2,0),FALSE()),"")</f>
        <v/>
      </c>
      <c r="E979" s="8" t="e">
        <f aca="false">IF(D979+H979&gt;0,D979+H979,"")</f>
        <v>#VALUE!</v>
      </c>
      <c r="F979" s="8" t="str">
        <f aca="false">IFERROR(D979/VLOOKUP(A979,'Dados-Status-Invest'!$1:$1000,5,FALSE()),"")</f>
        <v/>
      </c>
      <c r="G979" s="8" t="str">
        <f aca="false">IFERROR(D979/VLOOKUP(A979,'Dados-Status-Invest'!$1:$1000,6,FALSE()),"")</f>
        <v/>
      </c>
      <c r="H979" s="8" t="str">
        <f aca="false">IFERROR(VLOOKUP(A979,'Dados-Status-Invest'!$1:$1000,12,FALSE())*J979,"")</f>
        <v/>
      </c>
      <c r="I979" s="8" t="str">
        <f aca="false">IFERROR(D979/VLOOKUP(A979,'Dados-Status-Invest'!$1:$1000,14,FALSE()),"")</f>
        <v/>
      </c>
      <c r="J979" s="9" t="str">
        <f aca="false">IFERROR(D979/VLOOKUP(A979,'Dados-Status-Invest'!$1:$1000,10,FALSE()),"")</f>
        <v/>
      </c>
      <c r="K979" s="10" t="str">
        <f aca="false">IFERROR(VLOOKUP(A979,'Dados-Status-Invest'!$1:$1000,3,FALSE())/100,"")</f>
        <v/>
      </c>
      <c r="L979" s="11" t="str">
        <f aca="false">IFERROR(VLOOKUP(A979,'Dados-Status-Invest'!$1:$1000,MATCH(L$1,'Dados-Status-Invest'!$2:$2,0),FALSE())/100,"")</f>
        <v/>
      </c>
      <c r="M979" s="10" t="str">
        <f aca="false">IFERROR(VLOOKUP(A979,'Dados-Status-Invest'!$1:$1000,MATCH(M$1,'Dados-Status-Invest'!$2:$2,0),FALSE())/100,"")</f>
        <v/>
      </c>
      <c r="N979" s="10" t="str">
        <f aca="false">IFERROR(VLOOKUP(A979,'Dados-Status-Invest'!$1:$1000,MATCH(N$1,'Dados-Status-Invest'!$2:$2,0),FALSE())/100,"")</f>
        <v/>
      </c>
      <c r="O979" s="10" t="str">
        <f aca="false">IFERROR(VLOOKUP(A979,'Dados-Status-Invest'!$1:$1000,MATCH(O$1,'Dados-Status-Invest'!$2:$2,0),FALSE())/100,"")</f>
        <v/>
      </c>
      <c r="P979" s="10" t="str">
        <f aca="false">IFERROR(VLOOKUP(A979,'Dados-Status-Invest'!$1:$1000,MATCH(P$1,'Dados-Status-Invest'!$2:$2,0),FALSE())/100,"")</f>
        <v/>
      </c>
      <c r="Q979" s="10" t="str">
        <f aca="false">IFERROR(VLOOKUP(A979,'Dados-Status-Invest'!$1:$1000,MATCH(Q$1,'Dados-Status-Invest'!$2:$2,0),FALSE())/100,"")</f>
        <v/>
      </c>
      <c r="R979" s="12" t="str">
        <f aca="false">IFERROR(VLOOKUP(A979,'Dados-Status-Invest'!$1:$1000,MATCH(R$1,'Dados-Status-Invest'!$2:$2,0),FALSE()),"")</f>
        <v/>
      </c>
      <c r="S979" s="12" t="str">
        <f aca="false">IFERROR(VLOOKUP(A979,'Dados-Status-Invest'!$1:$1000,MATCH(S$1,'Dados-Status-Invest'!$2:$2,0),FALSE()),"")</f>
        <v/>
      </c>
      <c r="T979" s="12" t="str">
        <f aca="false">IFERROR(VLOOKUP(A979,'Dados-Status-Invest'!$1:$1000,MATCH(T$1,'Dados-Status-Invest'!$2:$2,0),FALSE()),"")</f>
        <v/>
      </c>
      <c r="U979" s="12" t="str">
        <f aca="false">IFERROR(VLOOKUP(A979,'Dados-Status-Invest'!$1:$1000,MATCH(U$1,'Dados-Status-Invest'!$2:$2,0),FALSE()),"")</f>
        <v/>
      </c>
      <c r="V979" s="12" t="str">
        <f aca="false">IFERROR(VLOOKUP(A979,'Dados-Status-Invest'!$1:$1000,MATCH(V$1,'Dados-Status-Invest'!$2:$2,0),FALSE()),"")</f>
        <v/>
      </c>
      <c r="W979" s="10" t="str">
        <f aca="false">IFERROR(VLOOKUP(A979,'Dados-Status-Invest'!$1:$1000,MATCH(W$1,'Dados-Status-Invest'!$2:$2,0),FALSE())/100,"")</f>
        <v/>
      </c>
      <c r="X979" s="10" t="str">
        <f aca="false">IFERROR(VLOOKUP(A979,'Dados-Status-Invest'!$1:$1000,MATCH(X$1,'Dados-Status-Invest'!$2:$2,0),FALSE())/100,"")</f>
        <v/>
      </c>
    </row>
    <row r="980" customFormat="false" ht="15.75" hidden="false" customHeight="false" outlineLevel="0" collapsed="false">
      <c r="B980" s="7" t="str">
        <f aca="false">IFERROR(VLOOKUP(LEFT(A980,4),Setor!A:D,2,FALSE()),"")</f>
        <v/>
      </c>
      <c r="C980" s="8" t="str">
        <f aca="false">IFERROR(__xludf.dummyfunction("IFERROR(IFERROR(GOOGLEFINANCE(A986,""price""),VLOOKUP(A986,'Dados-Status-Invest'!A:B,2,FALSE)),"""")"),"")</f>
        <v/>
      </c>
      <c r="D980" s="8" t="str">
        <f aca="false">IFERROR(VLOOKUP(A980,'Dados-Status-Invest'!$1:$1000,MATCH(D$1,'Dados-Status-Invest'!$2:$2,0),FALSE()),"")</f>
        <v/>
      </c>
      <c r="E980" s="8" t="e">
        <f aca="false">IF(D980+H980&gt;0,D980+H980,"")</f>
        <v>#VALUE!</v>
      </c>
      <c r="F980" s="8" t="str">
        <f aca="false">IFERROR(D980/VLOOKUP(A980,'Dados-Status-Invest'!$1:$1000,5,FALSE()),"")</f>
        <v/>
      </c>
      <c r="G980" s="8" t="str">
        <f aca="false">IFERROR(D980/VLOOKUP(A980,'Dados-Status-Invest'!$1:$1000,6,FALSE()),"")</f>
        <v/>
      </c>
      <c r="H980" s="8" t="str">
        <f aca="false">IFERROR(VLOOKUP(A980,'Dados-Status-Invest'!$1:$1000,12,FALSE())*J980,"")</f>
        <v/>
      </c>
      <c r="I980" s="8" t="str">
        <f aca="false">IFERROR(D980/VLOOKUP(A980,'Dados-Status-Invest'!$1:$1000,14,FALSE()),"")</f>
        <v/>
      </c>
      <c r="J980" s="9" t="str">
        <f aca="false">IFERROR(D980/VLOOKUP(A980,'Dados-Status-Invest'!$1:$1000,10,FALSE()),"")</f>
        <v/>
      </c>
      <c r="K980" s="10" t="str">
        <f aca="false">IFERROR(VLOOKUP(A980,'Dados-Status-Invest'!$1:$1000,3,FALSE())/100,"")</f>
        <v/>
      </c>
      <c r="L980" s="11" t="str">
        <f aca="false">IFERROR(VLOOKUP(A980,'Dados-Status-Invest'!$1:$1000,MATCH(L$1,'Dados-Status-Invest'!$2:$2,0),FALSE())/100,"")</f>
        <v/>
      </c>
      <c r="M980" s="10" t="str">
        <f aca="false">IFERROR(VLOOKUP(A980,'Dados-Status-Invest'!$1:$1000,MATCH(M$1,'Dados-Status-Invest'!$2:$2,0),FALSE())/100,"")</f>
        <v/>
      </c>
      <c r="N980" s="10" t="str">
        <f aca="false">IFERROR(VLOOKUP(A980,'Dados-Status-Invest'!$1:$1000,MATCH(N$1,'Dados-Status-Invest'!$2:$2,0),FALSE())/100,"")</f>
        <v/>
      </c>
      <c r="O980" s="10" t="str">
        <f aca="false">IFERROR(VLOOKUP(A980,'Dados-Status-Invest'!$1:$1000,MATCH(O$1,'Dados-Status-Invest'!$2:$2,0),FALSE())/100,"")</f>
        <v/>
      </c>
      <c r="P980" s="10" t="str">
        <f aca="false">IFERROR(VLOOKUP(A980,'Dados-Status-Invest'!$1:$1000,MATCH(P$1,'Dados-Status-Invest'!$2:$2,0),FALSE())/100,"")</f>
        <v/>
      </c>
      <c r="Q980" s="10" t="str">
        <f aca="false">IFERROR(VLOOKUP(A980,'Dados-Status-Invest'!$1:$1000,MATCH(Q$1,'Dados-Status-Invest'!$2:$2,0),FALSE())/100,"")</f>
        <v/>
      </c>
      <c r="R980" s="12" t="str">
        <f aca="false">IFERROR(VLOOKUP(A980,'Dados-Status-Invest'!$1:$1000,MATCH(R$1,'Dados-Status-Invest'!$2:$2,0),FALSE()),"")</f>
        <v/>
      </c>
      <c r="S980" s="12" t="str">
        <f aca="false">IFERROR(VLOOKUP(A980,'Dados-Status-Invest'!$1:$1000,MATCH(S$1,'Dados-Status-Invest'!$2:$2,0),FALSE()),"")</f>
        <v/>
      </c>
      <c r="T980" s="12" t="str">
        <f aca="false">IFERROR(VLOOKUP(A980,'Dados-Status-Invest'!$1:$1000,MATCH(T$1,'Dados-Status-Invest'!$2:$2,0),FALSE()),"")</f>
        <v/>
      </c>
      <c r="U980" s="12" t="str">
        <f aca="false">IFERROR(VLOOKUP(A980,'Dados-Status-Invest'!$1:$1000,MATCH(U$1,'Dados-Status-Invest'!$2:$2,0),FALSE()),"")</f>
        <v/>
      </c>
      <c r="V980" s="12" t="str">
        <f aca="false">IFERROR(VLOOKUP(A980,'Dados-Status-Invest'!$1:$1000,MATCH(V$1,'Dados-Status-Invest'!$2:$2,0),FALSE()),"")</f>
        <v/>
      </c>
      <c r="W980" s="10" t="str">
        <f aca="false">IFERROR(VLOOKUP(A980,'Dados-Status-Invest'!$1:$1000,MATCH(W$1,'Dados-Status-Invest'!$2:$2,0),FALSE())/100,"")</f>
        <v/>
      </c>
      <c r="X980" s="10" t="str">
        <f aca="false">IFERROR(VLOOKUP(A980,'Dados-Status-Invest'!$1:$1000,MATCH(X$1,'Dados-Status-Invest'!$2:$2,0),FALSE())/100,"")</f>
        <v/>
      </c>
    </row>
    <row r="981" customFormat="false" ht="15.75" hidden="false" customHeight="false" outlineLevel="0" collapsed="false">
      <c r="B981" s="7" t="str">
        <f aca="false">IFERROR(VLOOKUP(LEFT(A981,4),Setor!A:D,2,FALSE()),"")</f>
        <v/>
      </c>
      <c r="C981" s="8" t="str">
        <f aca="false">IFERROR(__xludf.dummyfunction("IFERROR(IFERROR(GOOGLEFINANCE(A987,""price""),VLOOKUP(A987,'Dados-Status-Invest'!A:B,2,FALSE)),"""")"),"")</f>
        <v/>
      </c>
      <c r="D981" s="8" t="str">
        <f aca="false">IFERROR(VLOOKUP(A981,'Dados-Status-Invest'!$1:$1000,MATCH(D$1,'Dados-Status-Invest'!$2:$2,0),FALSE()),"")</f>
        <v/>
      </c>
      <c r="E981" s="8" t="e">
        <f aca="false">IF(D981+H981&gt;0,D981+H981,"")</f>
        <v>#VALUE!</v>
      </c>
      <c r="F981" s="8" t="str">
        <f aca="false">IFERROR(D981/VLOOKUP(A981,'Dados-Status-Invest'!$1:$1000,5,FALSE()),"")</f>
        <v/>
      </c>
      <c r="G981" s="8" t="str">
        <f aca="false">IFERROR(D981/VLOOKUP(A981,'Dados-Status-Invest'!$1:$1000,6,FALSE()),"")</f>
        <v/>
      </c>
      <c r="H981" s="8" t="str">
        <f aca="false">IFERROR(VLOOKUP(A981,'Dados-Status-Invest'!$1:$1000,12,FALSE())*J981,"")</f>
        <v/>
      </c>
      <c r="I981" s="8" t="str">
        <f aca="false">IFERROR(D981/VLOOKUP(A981,'Dados-Status-Invest'!$1:$1000,14,FALSE()),"")</f>
        <v/>
      </c>
      <c r="J981" s="9" t="str">
        <f aca="false">IFERROR(D981/VLOOKUP(A981,'Dados-Status-Invest'!$1:$1000,10,FALSE()),"")</f>
        <v/>
      </c>
      <c r="K981" s="10" t="str">
        <f aca="false">IFERROR(VLOOKUP(A981,'Dados-Status-Invest'!$1:$1000,3,FALSE())/100,"")</f>
        <v/>
      </c>
      <c r="L981" s="11" t="str">
        <f aca="false">IFERROR(VLOOKUP(A981,'Dados-Status-Invest'!$1:$1000,MATCH(L$1,'Dados-Status-Invest'!$2:$2,0),FALSE())/100,"")</f>
        <v/>
      </c>
      <c r="M981" s="10" t="str">
        <f aca="false">IFERROR(VLOOKUP(A981,'Dados-Status-Invest'!$1:$1000,MATCH(M$1,'Dados-Status-Invest'!$2:$2,0),FALSE())/100,"")</f>
        <v/>
      </c>
      <c r="N981" s="10" t="str">
        <f aca="false">IFERROR(VLOOKUP(A981,'Dados-Status-Invest'!$1:$1000,MATCH(N$1,'Dados-Status-Invest'!$2:$2,0),FALSE())/100,"")</f>
        <v/>
      </c>
      <c r="O981" s="10" t="str">
        <f aca="false">IFERROR(VLOOKUP(A981,'Dados-Status-Invest'!$1:$1000,MATCH(O$1,'Dados-Status-Invest'!$2:$2,0),FALSE())/100,"")</f>
        <v/>
      </c>
      <c r="P981" s="10" t="str">
        <f aca="false">IFERROR(VLOOKUP(A981,'Dados-Status-Invest'!$1:$1000,MATCH(P$1,'Dados-Status-Invest'!$2:$2,0),FALSE())/100,"")</f>
        <v/>
      </c>
      <c r="Q981" s="10" t="str">
        <f aca="false">IFERROR(VLOOKUP(A981,'Dados-Status-Invest'!$1:$1000,MATCH(Q$1,'Dados-Status-Invest'!$2:$2,0),FALSE())/100,"")</f>
        <v/>
      </c>
      <c r="R981" s="12" t="str">
        <f aca="false">IFERROR(VLOOKUP(A981,'Dados-Status-Invest'!$1:$1000,MATCH(R$1,'Dados-Status-Invest'!$2:$2,0),FALSE()),"")</f>
        <v/>
      </c>
      <c r="S981" s="12" t="str">
        <f aca="false">IFERROR(VLOOKUP(A981,'Dados-Status-Invest'!$1:$1000,MATCH(S$1,'Dados-Status-Invest'!$2:$2,0),FALSE()),"")</f>
        <v/>
      </c>
      <c r="T981" s="12" t="str">
        <f aca="false">IFERROR(VLOOKUP(A981,'Dados-Status-Invest'!$1:$1000,MATCH(T$1,'Dados-Status-Invest'!$2:$2,0),FALSE()),"")</f>
        <v/>
      </c>
      <c r="U981" s="12" t="str">
        <f aca="false">IFERROR(VLOOKUP(A981,'Dados-Status-Invest'!$1:$1000,MATCH(U$1,'Dados-Status-Invest'!$2:$2,0),FALSE()),"")</f>
        <v/>
      </c>
      <c r="V981" s="12" t="str">
        <f aca="false">IFERROR(VLOOKUP(A981,'Dados-Status-Invest'!$1:$1000,MATCH(V$1,'Dados-Status-Invest'!$2:$2,0),FALSE()),"")</f>
        <v/>
      </c>
      <c r="W981" s="10" t="str">
        <f aca="false">IFERROR(VLOOKUP(A981,'Dados-Status-Invest'!$1:$1000,MATCH(W$1,'Dados-Status-Invest'!$2:$2,0),FALSE())/100,"")</f>
        <v/>
      </c>
      <c r="X981" s="10" t="str">
        <f aca="false">IFERROR(VLOOKUP(A981,'Dados-Status-Invest'!$1:$1000,MATCH(X$1,'Dados-Status-Invest'!$2:$2,0),FALSE())/100,"")</f>
        <v/>
      </c>
    </row>
    <row r="982" customFormat="false" ht="15.75" hidden="false" customHeight="false" outlineLevel="0" collapsed="false">
      <c r="B982" s="7" t="str">
        <f aca="false">IFERROR(VLOOKUP(LEFT(A982,4),Setor!A:D,2,FALSE()),"")</f>
        <v/>
      </c>
      <c r="C982" s="8" t="str">
        <f aca="false">IFERROR(__xludf.dummyfunction("IFERROR(IFERROR(GOOGLEFINANCE(A988,""price""),VLOOKUP(A988,'Dados-Status-Invest'!A:B,2,FALSE)),"""")"),"")</f>
        <v/>
      </c>
      <c r="D982" s="8" t="str">
        <f aca="false">IFERROR(VLOOKUP(A982,'Dados-Status-Invest'!$1:$1000,MATCH(D$1,'Dados-Status-Invest'!$2:$2,0),FALSE()),"")</f>
        <v/>
      </c>
      <c r="E982" s="8" t="e">
        <f aca="false">IF(D982+H982&gt;0,D982+H982,"")</f>
        <v>#VALUE!</v>
      </c>
      <c r="F982" s="8" t="str">
        <f aca="false">IFERROR(D982/VLOOKUP(A982,'Dados-Status-Invest'!$1:$1000,5,FALSE()),"")</f>
        <v/>
      </c>
      <c r="G982" s="8" t="str">
        <f aca="false">IFERROR(D982/VLOOKUP(A982,'Dados-Status-Invest'!$1:$1000,6,FALSE()),"")</f>
        <v/>
      </c>
      <c r="H982" s="8" t="str">
        <f aca="false">IFERROR(VLOOKUP(A982,'Dados-Status-Invest'!$1:$1000,12,FALSE())*J982,"")</f>
        <v/>
      </c>
      <c r="I982" s="8" t="str">
        <f aca="false">IFERROR(D982/VLOOKUP(A982,'Dados-Status-Invest'!$1:$1000,14,FALSE()),"")</f>
        <v/>
      </c>
      <c r="J982" s="9" t="str">
        <f aca="false">IFERROR(D982/VLOOKUP(A982,'Dados-Status-Invest'!$1:$1000,10,FALSE()),"")</f>
        <v/>
      </c>
      <c r="K982" s="10" t="str">
        <f aca="false">IFERROR(VLOOKUP(A982,'Dados-Status-Invest'!$1:$1000,3,FALSE())/100,"")</f>
        <v/>
      </c>
      <c r="L982" s="11" t="str">
        <f aca="false">IFERROR(VLOOKUP(A982,'Dados-Status-Invest'!$1:$1000,MATCH(L$1,'Dados-Status-Invest'!$2:$2,0),FALSE())/100,"")</f>
        <v/>
      </c>
      <c r="M982" s="10" t="str">
        <f aca="false">IFERROR(VLOOKUP(A982,'Dados-Status-Invest'!$1:$1000,MATCH(M$1,'Dados-Status-Invest'!$2:$2,0),FALSE())/100,"")</f>
        <v/>
      </c>
      <c r="N982" s="10" t="str">
        <f aca="false">IFERROR(VLOOKUP(A982,'Dados-Status-Invest'!$1:$1000,MATCH(N$1,'Dados-Status-Invest'!$2:$2,0),FALSE())/100,"")</f>
        <v/>
      </c>
      <c r="O982" s="10" t="str">
        <f aca="false">IFERROR(VLOOKUP(A982,'Dados-Status-Invest'!$1:$1000,MATCH(O$1,'Dados-Status-Invest'!$2:$2,0),FALSE())/100,"")</f>
        <v/>
      </c>
      <c r="P982" s="10" t="str">
        <f aca="false">IFERROR(VLOOKUP(A982,'Dados-Status-Invest'!$1:$1000,MATCH(P$1,'Dados-Status-Invest'!$2:$2,0),FALSE())/100,"")</f>
        <v/>
      </c>
      <c r="Q982" s="10" t="str">
        <f aca="false">IFERROR(VLOOKUP(A982,'Dados-Status-Invest'!$1:$1000,MATCH(Q$1,'Dados-Status-Invest'!$2:$2,0),FALSE())/100,"")</f>
        <v/>
      </c>
      <c r="R982" s="12" t="str">
        <f aca="false">IFERROR(VLOOKUP(A982,'Dados-Status-Invest'!$1:$1000,MATCH(R$1,'Dados-Status-Invest'!$2:$2,0),FALSE()),"")</f>
        <v/>
      </c>
      <c r="S982" s="12" t="str">
        <f aca="false">IFERROR(VLOOKUP(A982,'Dados-Status-Invest'!$1:$1000,MATCH(S$1,'Dados-Status-Invest'!$2:$2,0),FALSE()),"")</f>
        <v/>
      </c>
      <c r="T982" s="12" t="str">
        <f aca="false">IFERROR(VLOOKUP(A982,'Dados-Status-Invest'!$1:$1000,MATCH(T$1,'Dados-Status-Invest'!$2:$2,0),FALSE()),"")</f>
        <v/>
      </c>
      <c r="U982" s="12" t="str">
        <f aca="false">IFERROR(VLOOKUP(A982,'Dados-Status-Invest'!$1:$1000,MATCH(U$1,'Dados-Status-Invest'!$2:$2,0),FALSE()),"")</f>
        <v/>
      </c>
      <c r="V982" s="12" t="str">
        <f aca="false">IFERROR(VLOOKUP(A982,'Dados-Status-Invest'!$1:$1000,MATCH(V$1,'Dados-Status-Invest'!$2:$2,0),FALSE()),"")</f>
        <v/>
      </c>
      <c r="W982" s="10" t="str">
        <f aca="false">IFERROR(VLOOKUP(A982,'Dados-Status-Invest'!$1:$1000,MATCH(W$1,'Dados-Status-Invest'!$2:$2,0),FALSE())/100,"")</f>
        <v/>
      </c>
      <c r="X982" s="10" t="str">
        <f aca="false">IFERROR(VLOOKUP(A982,'Dados-Status-Invest'!$1:$1000,MATCH(X$1,'Dados-Status-Invest'!$2:$2,0),FALSE())/100,"")</f>
        <v/>
      </c>
    </row>
    <row r="983" customFormat="false" ht="15.75" hidden="false" customHeight="false" outlineLevel="0" collapsed="false">
      <c r="B983" s="7" t="str">
        <f aca="false">IFERROR(VLOOKUP(LEFT(A983,4),Setor!A:D,2,FALSE()),"")</f>
        <v/>
      </c>
      <c r="C983" s="8" t="str">
        <f aca="false">IFERROR(__xludf.dummyfunction("IFERROR(IFERROR(GOOGLEFINANCE(A989,""price""),VLOOKUP(A989,'Dados-Status-Invest'!A:B,2,FALSE)),"""")"),"")</f>
        <v/>
      </c>
      <c r="D983" s="8" t="str">
        <f aca="false">IFERROR(VLOOKUP(A983,'Dados-Status-Invest'!$1:$1000,MATCH(D$1,'Dados-Status-Invest'!$2:$2,0),FALSE()),"")</f>
        <v/>
      </c>
      <c r="E983" s="8" t="e">
        <f aca="false">IF(D983+H983&gt;0,D983+H983,"")</f>
        <v>#VALUE!</v>
      </c>
      <c r="F983" s="8" t="str">
        <f aca="false">IFERROR(D983/VLOOKUP(A983,'Dados-Status-Invest'!$1:$1000,5,FALSE()),"")</f>
        <v/>
      </c>
      <c r="G983" s="8" t="str">
        <f aca="false">IFERROR(D983/VLOOKUP(A983,'Dados-Status-Invest'!$1:$1000,6,FALSE()),"")</f>
        <v/>
      </c>
      <c r="H983" s="8" t="str">
        <f aca="false">IFERROR(VLOOKUP(A983,'Dados-Status-Invest'!$1:$1000,12,FALSE())*J983,"")</f>
        <v/>
      </c>
      <c r="I983" s="8" t="str">
        <f aca="false">IFERROR(D983/VLOOKUP(A983,'Dados-Status-Invest'!$1:$1000,14,FALSE()),"")</f>
        <v/>
      </c>
      <c r="J983" s="9" t="str">
        <f aca="false">IFERROR(D983/VLOOKUP(A983,'Dados-Status-Invest'!$1:$1000,10,FALSE()),"")</f>
        <v/>
      </c>
      <c r="K983" s="10" t="str">
        <f aca="false">IFERROR(VLOOKUP(A983,'Dados-Status-Invest'!$1:$1000,3,FALSE())/100,"")</f>
        <v/>
      </c>
      <c r="L983" s="11" t="str">
        <f aca="false">IFERROR(VLOOKUP(A983,'Dados-Status-Invest'!$1:$1000,MATCH(L$1,'Dados-Status-Invest'!$2:$2,0),FALSE())/100,"")</f>
        <v/>
      </c>
      <c r="M983" s="10" t="str">
        <f aca="false">IFERROR(VLOOKUP(A983,'Dados-Status-Invest'!$1:$1000,MATCH(M$1,'Dados-Status-Invest'!$2:$2,0),FALSE())/100,"")</f>
        <v/>
      </c>
      <c r="N983" s="10" t="str">
        <f aca="false">IFERROR(VLOOKUP(A983,'Dados-Status-Invest'!$1:$1000,MATCH(N$1,'Dados-Status-Invest'!$2:$2,0),FALSE())/100,"")</f>
        <v/>
      </c>
      <c r="O983" s="10" t="str">
        <f aca="false">IFERROR(VLOOKUP(A983,'Dados-Status-Invest'!$1:$1000,MATCH(O$1,'Dados-Status-Invest'!$2:$2,0),FALSE())/100,"")</f>
        <v/>
      </c>
      <c r="P983" s="10" t="str">
        <f aca="false">IFERROR(VLOOKUP(A983,'Dados-Status-Invest'!$1:$1000,MATCH(P$1,'Dados-Status-Invest'!$2:$2,0),FALSE())/100,"")</f>
        <v/>
      </c>
      <c r="Q983" s="10" t="str">
        <f aca="false">IFERROR(VLOOKUP(A983,'Dados-Status-Invest'!$1:$1000,MATCH(Q$1,'Dados-Status-Invest'!$2:$2,0),FALSE())/100,"")</f>
        <v/>
      </c>
      <c r="R983" s="12" t="str">
        <f aca="false">IFERROR(VLOOKUP(A983,'Dados-Status-Invest'!$1:$1000,MATCH(R$1,'Dados-Status-Invest'!$2:$2,0),FALSE()),"")</f>
        <v/>
      </c>
      <c r="S983" s="12" t="str">
        <f aca="false">IFERROR(VLOOKUP(A983,'Dados-Status-Invest'!$1:$1000,MATCH(S$1,'Dados-Status-Invest'!$2:$2,0),FALSE()),"")</f>
        <v/>
      </c>
      <c r="T983" s="12" t="str">
        <f aca="false">IFERROR(VLOOKUP(A983,'Dados-Status-Invest'!$1:$1000,MATCH(T$1,'Dados-Status-Invest'!$2:$2,0),FALSE()),"")</f>
        <v/>
      </c>
      <c r="U983" s="12" t="str">
        <f aca="false">IFERROR(VLOOKUP(A983,'Dados-Status-Invest'!$1:$1000,MATCH(U$1,'Dados-Status-Invest'!$2:$2,0),FALSE()),"")</f>
        <v/>
      </c>
      <c r="V983" s="12" t="str">
        <f aca="false">IFERROR(VLOOKUP(A983,'Dados-Status-Invest'!$1:$1000,MATCH(V$1,'Dados-Status-Invest'!$2:$2,0),FALSE()),"")</f>
        <v/>
      </c>
      <c r="W983" s="10" t="str">
        <f aca="false">IFERROR(VLOOKUP(A983,'Dados-Status-Invest'!$1:$1000,MATCH(W$1,'Dados-Status-Invest'!$2:$2,0),FALSE())/100,"")</f>
        <v/>
      </c>
      <c r="X983" s="10" t="str">
        <f aca="false">IFERROR(VLOOKUP(A983,'Dados-Status-Invest'!$1:$1000,MATCH(X$1,'Dados-Status-Invest'!$2:$2,0),FALSE())/100,"")</f>
        <v/>
      </c>
    </row>
    <row r="984" customFormat="false" ht="15.75" hidden="false" customHeight="false" outlineLevel="0" collapsed="false">
      <c r="B984" s="7" t="str">
        <f aca="false">IFERROR(VLOOKUP(LEFT(A984,4),Setor!A:D,2,FALSE()),"")</f>
        <v/>
      </c>
      <c r="C984" s="8" t="str">
        <f aca="false">IFERROR(__xludf.dummyfunction("IFERROR(IFERROR(GOOGLEFINANCE(A990,""price""),VLOOKUP(A990,'Dados-Status-Invest'!A:B,2,FALSE)),"""")"),"")</f>
        <v/>
      </c>
      <c r="D984" s="8" t="str">
        <f aca="false">IFERROR(VLOOKUP(A984,'Dados-Status-Invest'!$1:$1000,MATCH(D$1,'Dados-Status-Invest'!$2:$2,0),FALSE()),"")</f>
        <v/>
      </c>
      <c r="E984" s="8" t="e">
        <f aca="false">IF(D984+H984&gt;0,D984+H984,"")</f>
        <v>#VALUE!</v>
      </c>
      <c r="F984" s="8" t="str">
        <f aca="false">IFERROR(D984/VLOOKUP(A984,'Dados-Status-Invest'!$1:$1000,5,FALSE()),"")</f>
        <v/>
      </c>
      <c r="G984" s="8" t="str">
        <f aca="false">IFERROR(D984/VLOOKUP(A984,'Dados-Status-Invest'!$1:$1000,6,FALSE()),"")</f>
        <v/>
      </c>
      <c r="H984" s="8" t="str">
        <f aca="false">IFERROR(VLOOKUP(A984,'Dados-Status-Invest'!$1:$1000,12,FALSE())*J984,"")</f>
        <v/>
      </c>
      <c r="I984" s="8" t="str">
        <f aca="false">IFERROR(D984/VLOOKUP(A984,'Dados-Status-Invest'!$1:$1000,14,FALSE()),"")</f>
        <v/>
      </c>
      <c r="J984" s="9" t="str">
        <f aca="false">IFERROR(D984/VLOOKUP(A984,'Dados-Status-Invest'!$1:$1000,10,FALSE()),"")</f>
        <v/>
      </c>
      <c r="K984" s="10" t="str">
        <f aca="false">IFERROR(VLOOKUP(A984,'Dados-Status-Invest'!$1:$1000,3,FALSE())/100,"")</f>
        <v/>
      </c>
      <c r="L984" s="11" t="str">
        <f aca="false">IFERROR(VLOOKUP(A984,'Dados-Status-Invest'!$1:$1000,MATCH(L$1,'Dados-Status-Invest'!$2:$2,0),FALSE())/100,"")</f>
        <v/>
      </c>
      <c r="M984" s="10" t="str">
        <f aca="false">IFERROR(VLOOKUP(A984,'Dados-Status-Invest'!$1:$1000,MATCH(M$1,'Dados-Status-Invest'!$2:$2,0),FALSE())/100,"")</f>
        <v/>
      </c>
      <c r="N984" s="10" t="str">
        <f aca="false">IFERROR(VLOOKUP(A984,'Dados-Status-Invest'!$1:$1000,MATCH(N$1,'Dados-Status-Invest'!$2:$2,0),FALSE())/100,"")</f>
        <v/>
      </c>
      <c r="O984" s="10" t="str">
        <f aca="false">IFERROR(VLOOKUP(A984,'Dados-Status-Invest'!$1:$1000,MATCH(O$1,'Dados-Status-Invest'!$2:$2,0),FALSE())/100,"")</f>
        <v/>
      </c>
      <c r="P984" s="10" t="str">
        <f aca="false">IFERROR(VLOOKUP(A984,'Dados-Status-Invest'!$1:$1000,MATCH(P$1,'Dados-Status-Invest'!$2:$2,0),FALSE())/100,"")</f>
        <v/>
      </c>
      <c r="Q984" s="10" t="str">
        <f aca="false">IFERROR(VLOOKUP(A984,'Dados-Status-Invest'!$1:$1000,MATCH(Q$1,'Dados-Status-Invest'!$2:$2,0),FALSE())/100,"")</f>
        <v/>
      </c>
      <c r="R984" s="12" t="str">
        <f aca="false">IFERROR(VLOOKUP(A984,'Dados-Status-Invest'!$1:$1000,MATCH(R$1,'Dados-Status-Invest'!$2:$2,0),FALSE()),"")</f>
        <v/>
      </c>
      <c r="S984" s="12" t="str">
        <f aca="false">IFERROR(VLOOKUP(A984,'Dados-Status-Invest'!$1:$1000,MATCH(S$1,'Dados-Status-Invest'!$2:$2,0),FALSE()),"")</f>
        <v/>
      </c>
      <c r="T984" s="12" t="str">
        <f aca="false">IFERROR(VLOOKUP(A984,'Dados-Status-Invest'!$1:$1000,MATCH(T$1,'Dados-Status-Invest'!$2:$2,0),FALSE()),"")</f>
        <v/>
      </c>
      <c r="U984" s="12" t="str">
        <f aca="false">IFERROR(VLOOKUP(A984,'Dados-Status-Invest'!$1:$1000,MATCH(U$1,'Dados-Status-Invest'!$2:$2,0),FALSE()),"")</f>
        <v/>
      </c>
      <c r="V984" s="12" t="str">
        <f aca="false">IFERROR(VLOOKUP(A984,'Dados-Status-Invest'!$1:$1000,MATCH(V$1,'Dados-Status-Invest'!$2:$2,0),FALSE()),"")</f>
        <v/>
      </c>
      <c r="W984" s="10" t="str">
        <f aca="false">IFERROR(VLOOKUP(A984,'Dados-Status-Invest'!$1:$1000,MATCH(W$1,'Dados-Status-Invest'!$2:$2,0),FALSE())/100,"")</f>
        <v/>
      </c>
      <c r="X984" s="10" t="str">
        <f aca="false">IFERROR(VLOOKUP(A984,'Dados-Status-Invest'!$1:$1000,MATCH(X$1,'Dados-Status-Invest'!$2:$2,0),FALSE())/100,"")</f>
        <v/>
      </c>
    </row>
    <row r="985" customFormat="false" ht="15.75" hidden="false" customHeight="false" outlineLevel="0" collapsed="false">
      <c r="B985" s="7" t="str">
        <f aca="false">IFERROR(VLOOKUP(LEFT(A985,4),Setor!A:D,2,FALSE()),"")</f>
        <v/>
      </c>
      <c r="C985" s="8" t="str">
        <f aca="false">IFERROR(__xludf.dummyfunction("IFERROR(IFERROR(GOOGLEFINANCE(A991,""price""),VLOOKUP(A991,'Dados-Status-Invest'!A:B,2,FALSE)),"""")"),"")</f>
        <v/>
      </c>
      <c r="D985" s="8" t="str">
        <f aca="false">IFERROR(VLOOKUP(A985,'Dados-Status-Invest'!$1:$1000,MATCH(D$1,'Dados-Status-Invest'!$2:$2,0),FALSE()),"")</f>
        <v/>
      </c>
      <c r="E985" s="8" t="e">
        <f aca="false">IF(D985+H985&gt;0,D985+H985,"")</f>
        <v>#VALUE!</v>
      </c>
      <c r="F985" s="8" t="str">
        <f aca="false">IFERROR(D985/VLOOKUP(A985,'Dados-Status-Invest'!$1:$1000,5,FALSE()),"")</f>
        <v/>
      </c>
      <c r="G985" s="8" t="str">
        <f aca="false">IFERROR(D985/VLOOKUP(A985,'Dados-Status-Invest'!$1:$1000,6,FALSE()),"")</f>
        <v/>
      </c>
      <c r="H985" s="8" t="str">
        <f aca="false">IFERROR(VLOOKUP(A985,'Dados-Status-Invest'!$1:$1000,12,FALSE())*J985,"")</f>
        <v/>
      </c>
      <c r="I985" s="8" t="str">
        <f aca="false">IFERROR(D985/VLOOKUP(A985,'Dados-Status-Invest'!$1:$1000,14,FALSE()),"")</f>
        <v/>
      </c>
      <c r="J985" s="9" t="str">
        <f aca="false">IFERROR(D985/VLOOKUP(A985,'Dados-Status-Invest'!$1:$1000,10,FALSE()),"")</f>
        <v/>
      </c>
      <c r="K985" s="10" t="str">
        <f aca="false">IFERROR(VLOOKUP(A985,'Dados-Status-Invest'!$1:$1000,3,FALSE())/100,"")</f>
        <v/>
      </c>
      <c r="L985" s="11" t="str">
        <f aca="false">IFERROR(VLOOKUP(A985,'Dados-Status-Invest'!$1:$1000,MATCH(L$1,'Dados-Status-Invest'!$2:$2,0),FALSE())/100,"")</f>
        <v/>
      </c>
      <c r="M985" s="10" t="str">
        <f aca="false">IFERROR(VLOOKUP(A985,'Dados-Status-Invest'!$1:$1000,MATCH(M$1,'Dados-Status-Invest'!$2:$2,0),FALSE())/100,"")</f>
        <v/>
      </c>
      <c r="N985" s="10" t="str">
        <f aca="false">IFERROR(VLOOKUP(A985,'Dados-Status-Invest'!$1:$1000,MATCH(N$1,'Dados-Status-Invest'!$2:$2,0),FALSE())/100,"")</f>
        <v/>
      </c>
      <c r="O985" s="10" t="str">
        <f aca="false">IFERROR(VLOOKUP(A985,'Dados-Status-Invest'!$1:$1000,MATCH(O$1,'Dados-Status-Invest'!$2:$2,0),FALSE())/100,"")</f>
        <v/>
      </c>
      <c r="P985" s="10" t="str">
        <f aca="false">IFERROR(VLOOKUP(A985,'Dados-Status-Invest'!$1:$1000,MATCH(P$1,'Dados-Status-Invest'!$2:$2,0),FALSE())/100,"")</f>
        <v/>
      </c>
      <c r="Q985" s="10" t="str">
        <f aca="false">IFERROR(VLOOKUP(A985,'Dados-Status-Invest'!$1:$1000,MATCH(Q$1,'Dados-Status-Invest'!$2:$2,0),FALSE())/100,"")</f>
        <v/>
      </c>
      <c r="R985" s="12" t="str">
        <f aca="false">IFERROR(VLOOKUP(A985,'Dados-Status-Invest'!$1:$1000,MATCH(R$1,'Dados-Status-Invest'!$2:$2,0),FALSE()),"")</f>
        <v/>
      </c>
      <c r="S985" s="12" t="str">
        <f aca="false">IFERROR(VLOOKUP(A985,'Dados-Status-Invest'!$1:$1000,MATCH(S$1,'Dados-Status-Invest'!$2:$2,0),FALSE()),"")</f>
        <v/>
      </c>
      <c r="T985" s="12" t="str">
        <f aca="false">IFERROR(VLOOKUP(A985,'Dados-Status-Invest'!$1:$1000,MATCH(T$1,'Dados-Status-Invest'!$2:$2,0),FALSE()),"")</f>
        <v/>
      </c>
      <c r="U985" s="12" t="str">
        <f aca="false">IFERROR(VLOOKUP(A985,'Dados-Status-Invest'!$1:$1000,MATCH(U$1,'Dados-Status-Invest'!$2:$2,0),FALSE()),"")</f>
        <v/>
      </c>
      <c r="V985" s="12" t="str">
        <f aca="false">IFERROR(VLOOKUP(A985,'Dados-Status-Invest'!$1:$1000,MATCH(V$1,'Dados-Status-Invest'!$2:$2,0),FALSE()),"")</f>
        <v/>
      </c>
      <c r="W985" s="10" t="str">
        <f aca="false">IFERROR(VLOOKUP(A985,'Dados-Status-Invest'!$1:$1000,MATCH(W$1,'Dados-Status-Invest'!$2:$2,0),FALSE())/100,"")</f>
        <v/>
      </c>
      <c r="X985" s="10" t="str">
        <f aca="false">IFERROR(VLOOKUP(A985,'Dados-Status-Invest'!$1:$1000,MATCH(X$1,'Dados-Status-Invest'!$2:$2,0),FALSE())/100,"")</f>
        <v/>
      </c>
    </row>
    <row r="986" customFormat="false" ht="15.75" hidden="false" customHeight="false" outlineLevel="0" collapsed="false">
      <c r="B986" s="7" t="str">
        <f aca="false">IFERROR(VLOOKUP(LEFT(A986,4),Setor!A:D,2,FALSE()),"")</f>
        <v/>
      </c>
      <c r="C986" s="8" t="str">
        <f aca="false">IFERROR(__xludf.dummyfunction("IFERROR(IFERROR(GOOGLEFINANCE(A992,""price""),VLOOKUP(A992,'Dados-Status-Invest'!A:B,2,FALSE)),"""")"),"")</f>
        <v/>
      </c>
      <c r="D986" s="8" t="str">
        <f aca="false">IFERROR(VLOOKUP(A986,'Dados-Status-Invest'!$1:$1000,MATCH(D$1,'Dados-Status-Invest'!$2:$2,0),FALSE()),"")</f>
        <v/>
      </c>
      <c r="E986" s="8" t="e">
        <f aca="false">IF(D986+H986&gt;0,D986+H986,"")</f>
        <v>#VALUE!</v>
      </c>
      <c r="F986" s="8" t="str">
        <f aca="false">IFERROR(D986/VLOOKUP(A986,'Dados-Status-Invest'!$1:$1000,5,FALSE()),"")</f>
        <v/>
      </c>
      <c r="G986" s="8" t="str">
        <f aca="false">IFERROR(D986/VLOOKUP(A986,'Dados-Status-Invest'!$1:$1000,6,FALSE()),"")</f>
        <v/>
      </c>
      <c r="H986" s="8" t="str">
        <f aca="false">IFERROR(VLOOKUP(A986,'Dados-Status-Invest'!$1:$1000,12,FALSE())*J986,"")</f>
        <v/>
      </c>
      <c r="I986" s="8" t="str">
        <f aca="false">IFERROR(D986/VLOOKUP(A986,'Dados-Status-Invest'!$1:$1000,14,FALSE()),"")</f>
        <v/>
      </c>
      <c r="J986" s="9" t="str">
        <f aca="false">IFERROR(D986/VLOOKUP(A986,'Dados-Status-Invest'!$1:$1000,10,FALSE()),"")</f>
        <v/>
      </c>
      <c r="K986" s="10" t="str">
        <f aca="false">IFERROR(VLOOKUP(A986,'Dados-Status-Invest'!$1:$1000,3,FALSE())/100,"")</f>
        <v/>
      </c>
      <c r="L986" s="11" t="str">
        <f aca="false">IFERROR(VLOOKUP(A986,'Dados-Status-Invest'!$1:$1000,MATCH(L$1,'Dados-Status-Invest'!$2:$2,0),FALSE())/100,"")</f>
        <v/>
      </c>
      <c r="M986" s="10" t="str">
        <f aca="false">IFERROR(VLOOKUP(A986,'Dados-Status-Invest'!$1:$1000,MATCH(M$1,'Dados-Status-Invest'!$2:$2,0),FALSE())/100,"")</f>
        <v/>
      </c>
      <c r="N986" s="10" t="str">
        <f aca="false">IFERROR(VLOOKUP(A986,'Dados-Status-Invest'!$1:$1000,MATCH(N$1,'Dados-Status-Invest'!$2:$2,0),FALSE())/100,"")</f>
        <v/>
      </c>
      <c r="O986" s="10" t="str">
        <f aca="false">IFERROR(VLOOKUP(A986,'Dados-Status-Invest'!$1:$1000,MATCH(O$1,'Dados-Status-Invest'!$2:$2,0),FALSE())/100,"")</f>
        <v/>
      </c>
      <c r="P986" s="10" t="str">
        <f aca="false">IFERROR(VLOOKUP(A986,'Dados-Status-Invest'!$1:$1000,MATCH(P$1,'Dados-Status-Invest'!$2:$2,0),FALSE())/100,"")</f>
        <v/>
      </c>
      <c r="Q986" s="10" t="str">
        <f aca="false">IFERROR(VLOOKUP(A986,'Dados-Status-Invest'!$1:$1000,MATCH(Q$1,'Dados-Status-Invest'!$2:$2,0),FALSE())/100,"")</f>
        <v/>
      </c>
      <c r="R986" s="12" t="str">
        <f aca="false">IFERROR(VLOOKUP(A986,'Dados-Status-Invest'!$1:$1000,MATCH(R$1,'Dados-Status-Invest'!$2:$2,0),FALSE()),"")</f>
        <v/>
      </c>
      <c r="S986" s="12" t="str">
        <f aca="false">IFERROR(VLOOKUP(A986,'Dados-Status-Invest'!$1:$1000,MATCH(S$1,'Dados-Status-Invest'!$2:$2,0),FALSE()),"")</f>
        <v/>
      </c>
      <c r="T986" s="12" t="str">
        <f aca="false">IFERROR(VLOOKUP(A986,'Dados-Status-Invest'!$1:$1000,MATCH(T$1,'Dados-Status-Invest'!$2:$2,0),FALSE()),"")</f>
        <v/>
      </c>
      <c r="U986" s="12" t="str">
        <f aca="false">IFERROR(VLOOKUP(A986,'Dados-Status-Invest'!$1:$1000,MATCH(U$1,'Dados-Status-Invest'!$2:$2,0),FALSE()),"")</f>
        <v/>
      </c>
      <c r="V986" s="12" t="str">
        <f aca="false">IFERROR(VLOOKUP(A986,'Dados-Status-Invest'!$1:$1000,MATCH(V$1,'Dados-Status-Invest'!$2:$2,0),FALSE()),"")</f>
        <v/>
      </c>
      <c r="W986" s="10" t="str">
        <f aca="false">IFERROR(VLOOKUP(A986,'Dados-Status-Invest'!$1:$1000,MATCH(W$1,'Dados-Status-Invest'!$2:$2,0),FALSE())/100,"")</f>
        <v/>
      </c>
      <c r="X986" s="10" t="str">
        <f aca="false">IFERROR(VLOOKUP(A986,'Dados-Status-Invest'!$1:$1000,MATCH(X$1,'Dados-Status-Invest'!$2:$2,0),FALSE())/100,"")</f>
        <v/>
      </c>
    </row>
    <row r="987" customFormat="false" ht="15.75" hidden="false" customHeight="false" outlineLevel="0" collapsed="false">
      <c r="B987" s="7" t="str">
        <f aca="false">IFERROR(VLOOKUP(LEFT(A987,4),Setor!A:D,2,FALSE()),"")</f>
        <v/>
      </c>
      <c r="C987" s="8" t="str">
        <f aca="false">IFERROR(__xludf.dummyfunction("IFERROR(IFERROR(GOOGLEFINANCE(A993,""price""),VLOOKUP(A993,'Dados-Status-Invest'!A:B,2,FALSE)),"""")"),"")</f>
        <v/>
      </c>
      <c r="D987" s="8" t="str">
        <f aca="false">IFERROR(VLOOKUP(A987,'Dados-Status-Invest'!$1:$1000,MATCH(D$1,'Dados-Status-Invest'!$2:$2,0),FALSE()),"")</f>
        <v/>
      </c>
      <c r="E987" s="8" t="e">
        <f aca="false">IF(D987+H987&gt;0,D987+H987,"")</f>
        <v>#VALUE!</v>
      </c>
      <c r="F987" s="8" t="str">
        <f aca="false">IFERROR(D987/VLOOKUP(A987,'Dados-Status-Invest'!$1:$1000,5,FALSE()),"")</f>
        <v/>
      </c>
      <c r="G987" s="8" t="str">
        <f aca="false">IFERROR(D987/VLOOKUP(A987,'Dados-Status-Invest'!$1:$1000,6,FALSE()),"")</f>
        <v/>
      </c>
      <c r="H987" s="8" t="str">
        <f aca="false">IFERROR(VLOOKUP(A987,'Dados-Status-Invest'!$1:$1000,12,FALSE())*J987,"")</f>
        <v/>
      </c>
      <c r="I987" s="8" t="str">
        <f aca="false">IFERROR(D987/VLOOKUP(A987,'Dados-Status-Invest'!$1:$1000,14,FALSE()),"")</f>
        <v/>
      </c>
      <c r="J987" s="9" t="str">
        <f aca="false">IFERROR(D987/VLOOKUP(A987,'Dados-Status-Invest'!$1:$1000,10,FALSE()),"")</f>
        <v/>
      </c>
      <c r="K987" s="10" t="str">
        <f aca="false">IFERROR(VLOOKUP(A987,'Dados-Status-Invest'!$1:$1000,3,FALSE())/100,"")</f>
        <v/>
      </c>
      <c r="L987" s="11" t="str">
        <f aca="false">IFERROR(VLOOKUP(A987,'Dados-Status-Invest'!$1:$1000,MATCH(L$1,'Dados-Status-Invest'!$2:$2,0),FALSE())/100,"")</f>
        <v/>
      </c>
      <c r="M987" s="10" t="str">
        <f aca="false">IFERROR(VLOOKUP(A987,'Dados-Status-Invest'!$1:$1000,MATCH(M$1,'Dados-Status-Invest'!$2:$2,0),FALSE())/100,"")</f>
        <v/>
      </c>
      <c r="N987" s="10" t="str">
        <f aca="false">IFERROR(VLOOKUP(A987,'Dados-Status-Invest'!$1:$1000,MATCH(N$1,'Dados-Status-Invest'!$2:$2,0),FALSE())/100,"")</f>
        <v/>
      </c>
      <c r="O987" s="10" t="str">
        <f aca="false">IFERROR(VLOOKUP(A987,'Dados-Status-Invest'!$1:$1000,MATCH(O$1,'Dados-Status-Invest'!$2:$2,0),FALSE())/100,"")</f>
        <v/>
      </c>
      <c r="P987" s="10" t="str">
        <f aca="false">IFERROR(VLOOKUP(A987,'Dados-Status-Invest'!$1:$1000,MATCH(P$1,'Dados-Status-Invest'!$2:$2,0),FALSE())/100,"")</f>
        <v/>
      </c>
      <c r="Q987" s="10" t="str">
        <f aca="false">IFERROR(VLOOKUP(A987,'Dados-Status-Invest'!$1:$1000,MATCH(Q$1,'Dados-Status-Invest'!$2:$2,0),FALSE())/100,"")</f>
        <v/>
      </c>
      <c r="R987" s="12" t="str">
        <f aca="false">IFERROR(VLOOKUP(A987,'Dados-Status-Invest'!$1:$1000,MATCH(R$1,'Dados-Status-Invest'!$2:$2,0),FALSE()),"")</f>
        <v/>
      </c>
      <c r="S987" s="12" t="str">
        <f aca="false">IFERROR(VLOOKUP(A987,'Dados-Status-Invest'!$1:$1000,MATCH(S$1,'Dados-Status-Invest'!$2:$2,0),FALSE()),"")</f>
        <v/>
      </c>
      <c r="T987" s="12" t="str">
        <f aca="false">IFERROR(VLOOKUP(A987,'Dados-Status-Invest'!$1:$1000,MATCH(T$1,'Dados-Status-Invest'!$2:$2,0),FALSE()),"")</f>
        <v/>
      </c>
      <c r="U987" s="12" t="str">
        <f aca="false">IFERROR(VLOOKUP(A987,'Dados-Status-Invest'!$1:$1000,MATCH(U$1,'Dados-Status-Invest'!$2:$2,0),FALSE()),"")</f>
        <v/>
      </c>
      <c r="V987" s="12" t="str">
        <f aca="false">IFERROR(VLOOKUP(A987,'Dados-Status-Invest'!$1:$1000,MATCH(V$1,'Dados-Status-Invest'!$2:$2,0),FALSE()),"")</f>
        <v/>
      </c>
      <c r="W987" s="10" t="str">
        <f aca="false">IFERROR(VLOOKUP(A987,'Dados-Status-Invest'!$1:$1000,MATCH(W$1,'Dados-Status-Invest'!$2:$2,0),FALSE())/100,"")</f>
        <v/>
      </c>
      <c r="X987" s="10" t="str">
        <f aca="false">IFERROR(VLOOKUP(A987,'Dados-Status-Invest'!$1:$1000,MATCH(X$1,'Dados-Status-Invest'!$2:$2,0),FALSE())/100,"")</f>
        <v/>
      </c>
    </row>
    <row r="988" customFormat="false" ht="15.75" hidden="false" customHeight="false" outlineLevel="0" collapsed="false">
      <c r="B988" s="7" t="str">
        <f aca="false">IFERROR(VLOOKUP(LEFT(A988,4),Setor!A:D,2,FALSE()),"")</f>
        <v/>
      </c>
      <c r="C988" s="8" t="str">
        <f aca="false">IFERROR(__xludf.dummyfunction("IFERROR(IFERROR(GOOGLEFINANCE(A994,""price""),VLOOKUP(A994,'Dados-Status-Invest'!A:B,2,FALSE)),"""")"),"")</f>
        <v/>
      </c>
      <c r="D988" s="8" t="str">
        <f aca="false">IFERROR(VLOOKUP(A988,'Dados-Status-Invest'!$1:$1000,MATCH(D$1,'Dados-Status-Invest'!$2:$2,0),FALSE()),"")</f>
        <v/>
      </c>
      <c r="E988" s="8" t="e">
        <f aca="false">IF(D988+H988&gt;0,D988+H988,"")</f>
        <v>#VALUE!</v>
      </c>
      <c r="F988" s="8" t="str">
        <f aca="false">IFERROR(D988/VLOOKUP(A988,'Dados-Status-Invest'!$1:$1000,5,FALSE()),"")</f>
        <v/>
      </c>
      <c r="G988" s="8" t="str">
        <f aca="false">IFERROR(D988/VLOOKUP(A988,'Dados-Status-Invest'!$1:$1000,6,FALSE()),"")</f>
        <v/>
      </c>
      <c r="H988" s="8" t="str">
        <f aca="false">IFERROR(VLOOKUP(A988,'Dados-Status-Invest'!$1:$1000,12,FALSE())*J988,"")</f>
        <v/>
      </c>
      <c r="I988" s="8" t="str">
        <f aca="false">IFERROR(D988/VLOOKUP(A988,'Dados-Status-Invest'!$1:$1000,14,FALSE()),"")</f>
        <v/>
      </c>
      <c r="J988" s="9" t="str">
        <f aca="false">IFERROR(D988/VLOOKUP(A988,'Dados-Status-Invest'!$1:$1000,10,FALSE()),"")</f>
        <v/>
      </c>
      <c r="K988" s="10" t="str">
        <f aca="false">IFERROR(VLOOKUP(A988,'Dados-Status-Invest'!$1:$1000,3,FALSE())/100,"")</f>
        <v/>
      </c>
      <c r="L988" s="11" t="str">
        <f aca="false">IFERROR(VLOOKUP(A988,'Dados-Status-Invest'!$1:$1000,MATCH(L$1,'Dados-Status-Invest'!$2:$2,0),FALSE())/100,"")</f>
        <v/>
      </c>
      <c r="M988" s="10" t="str">
        <f aca="false">IFERROR(VLOOKUP(A988,'Dados-Status-Invest'!$1:$1000,MATCH(M$1,'Dados-Status-Invest'!$2:$2,0),FALSE())/100,"")</f>
        <v/>
      </c>
      <c r="N988" s="10" t="str">
        <f aca="false">IFERROR(VLOOKUP(A988,'Dados-Status-Invest'!$1:$1000,MATCH(N$1,'Dados-Status-Invest'!$2:$2,0),FALSE())/100,"")</f>
        <v/>
      </c>
      <c r="O988" s="10" t="str">
        <f aca="false">IFERROR(VLOOKUP(A988,'Dados-Status-Invest'!$1:$1000,MATCH(O$1,'Dados-Status-Invest'!$2:$2,0),FALSE())/100,"")</f>
        <v/>
      </c>
      <c r="P988" s="10" t="str">
        <f aca="false">IFERROR(VLOOKUP(A988,'Dados-Status-Invest'!$1:$1000,MATCH(P$1,'Dados-Status-Invest'!$2:$2,0),FALSE())/100,"")</f>
        <v/>
      </c>
      <c r="Q988" s="10" t="str">
        <f aca="false">IFERROR(VLOOKUP(A988,'Dados-Status-Invest'!$1:$1000,MATCH(Q$1,'Dados-Status-Invest'!$2:$2,0),FALSE())/100,"")</f>
        <v/>
      </c>
      <c r="R988" s="12" t="str">
        <f aca="false">IFERROR(VLOOKUP(A988,'Dados-Status-Invest'!$1:$1000,MATCH(R$1,'Dados-Status-Invest'!$2:$2,0),FALSE()),"")</f>
        <v/>
      </c>
      <c r="S988" s="12" t="str">
        <f aca="false">IFERROR(VLOOKUP(A988,'Dados-Status-Invest'!$1:$1000,MATCH(S$1,'Dados-Status-Invest'!$2:$2,0),FALSE()),"")</f>
        <v/>
      </c>
      <c r="T988" s="12" t="str">
        <f aca="false">IFERROR(VLOOKUP(A988,'Dados-Status-Invest'!$1:$1000,MATCH(T$1,'Dados-Status-Invest'!$2:$2,0),FALSE()),"")</f>
        <v/>
      </c>
      <c r="U988" s="12" t="str">
        <f aca="false">IFERROR(VLOOKUP(A988,'Dados-Status-Invest'!$1:$1000,MATCH(U$1,'Dados-Status-Invest'!$2:$2,0),FALSE()),"")</f>
        <v/>
      </c>
      <c r="V988" s="12" t="str">
        <f aca="false">IFERROR(VLOOKUP(A988,'Dados-Status-Invest'!$1:$1000,MATCH(V$1,'Dados-Status-Invest'!$2:$2,0),FALSE()),"")</f>
        <v/>
      </c>
      <c r="W988" s="10" t="str">
        <f aca="false">IFERROR(VLOOKUP(A988,'Dados-Status-Invest'!$1:$1000,MATCH(W$1,'Dados-Status-Invest'!$2:$2,0),FALSE())/100,"")</f>
        <v/>
      </c>
      <c r="X988" s="10" t="str">
        <f aca="false">IFERROR(VLOOKUP(A988,'Dados-Status-Invest'!$1:$1000,MATCH(X$1,'Dados-Status-Invest'!$2:$2,0),FALSE())/100,"")</f>
        <v/>
      </c>
    </row>
    <row r="989" customFormat="false" ht="15.75" hidden="false" customHeight="false" outlineLevel="0" collapsed="false">
      <c r="B989" s="7" t="str">
        <f aca="false">IFERROR(VLOOKUP(LEFT(A989,4),Setor!A:D,2,FALSE()),"")</f>
        <v/>
      </c>
      <c r="C989" s="8" t="str">
        <f aca="false">IFERROR(__xludf.dummyfunction("IFERROR(IFERROR(GOOGLEFINANCE(A995,""price""),VLOOKUP(A995,'Dados-Status-Invest'!A:B,2,FALSE)),"""")"),"")</f>
        <v/>
      </c>
      <c r="D989" s="8" t="str">
        <f aca="false">IFERROR(VLOOKUP(A989,'Dados-Status-Invest'!$1:$1000,MATCH(D$1,'Dados-Status-Invest'!$2:$2,0),FALSE()),"")</f>
        <v/>
      </c>
      <c r="E989" s="8" t="e">
        <f aca="false">IF(D989+H989&gt;0,D989+H989,"")</f>
        <v>#VALUE!</v>
      </c>
      <c r="F989" s="8" t="str">
        <f aca="false">IFERROR(D989/VLOOKUP(A989,'Dados-Status-Invest'!$1:$1000,5,FALSE()),"")</f>
        <v/>
      </c>
      <c r="G989" s="8" t="str">
        <f aca="false">IFERROR(D989/VLOOKUP(A989,'Dados-Status-Invest'!$1:$1000,6,FALSE()),"")</f>
        <v/>
      </c>
      <c r="H989" s="8" t="str">
        <f aca="false">IFERROR(VLOOKUP(A989,'Dados-Status-Invest'!$1:$1000,12,FALSE())*J989,"")</f>
        <v/>
      </c>
      <c r="I989" s="8" t="str">
        <f aca="false">IFERROR(D989/VLOOKUP(A989,'Dados-Status-Invest'!$1:$1000,14,FALSE()),"")</f>
        <v/>
      </c>
      <c r="J989" s="9" t="str">
        <f aca="false">IFERROR(D989/VLOOKUP(A989,'Dados-Status-Invest'!$1:$1000,10,FALSE()),"")</f>
        <v/>
      </c>
      <c r="K989" s="10" t="str">
        <f aca="false">IFERROR(VLOOKUP(A989,'Dados-Status-Invest'!$1:$1000,3,FALSE())/100,"")</f>
        <v/>
      </c>
      <c r="L989" s="11" t="str">
        <f aca="false">IFERROR(VLOOKUP(A989,'Dados-Status-Invest'!$1:$1000,MATCH(L$1,'Dados-Status-Invest'!$2:$2,0),FALSE())/100,"")</f>
        <v/>
      </c>
      <c r="M989" s="10" t="str">
        <f aca="false">IFERROR(VLOOKUP(A989,'Dados-Status-Invest'!$1:$1000,MATCH(M$1,'Dados-Status-Invest'!$2:$2,0),FALSE())/100,"")</f>
        <v/>
      </c>
      <c r="N989" s="10" t="str">
        <f aca="false">IFERROR(VLOOKUP(A989,'Dados-Status-Invest'!$1:$1000,MATCH(N$1,'Dados-Status-Invest'!$2:$2,0),FALSE())/100,"")</f>
        <v/>
      </c>
      <c r="O989" s="10" t="str">
        <f aca="false">IFERROR(VLOOKUP(A989,'Dados-Status-Invest'!$1:$1000,MATCH(O$1,'Dados-Status-Invest'!$2:$2,0),FALSE())/100,"")</f>
        <v/>
      </c>
      <c r="P989" s="10" t="str">
        <f aca="false">IFERROR(VLOOKUP(A989,'Dados-Status-Invest'!$1:$1000,MATCH(P$1,'Dados-Status-Invest'!$2:$2,0),FALSE())/100,"")</f>
        <v/>
      </c>
      <c r="Q989" s="10" t="str">
        <f aca="false">IFERROR(VLOOKUP(A989,'Dados-Status-Invest'!$1:$1000,MATCH(Q$1,'Dados-Status-Invest'!$2:$2,0),FALSE())/100,"")</f>
        <v/>
      </c>
      <c r="R989" s="12" t="str">
        <f aca="false">IFERROR(VLOOKUP(A989,'Dados-Status-Invest'!$1:$1000,MATCH(R$1,'Dados-Status-Invest'!$2:$2,0),FALSE()),"")</f>
        <v/>
      </c>
      <c r="S989" s="12" t="str">
        <f aca="false">IFERROR(VLOOKUP(A989,'Dados-Status-Invest'!$1:$1000,MATCH(S$1,'Dados-Status-Invest'!$2:$2,0),FALSE()),"")</f>
        <v/>
      </c>
      <c r="T989" s="12" t="str">
        <f aca="false">IFERROR(VLOOKUP(A989,'Dados-Status-Invest'!$1:$1000,MATCH(T$1,'Dados-Status-Invest'!$2:$2,0),FALSE()),"")</f>
        <v/>
      </c>
      <c r="U989" s="12" t="str">
        <f aca="false">IFERROR(VLOOKUP(A989,'Dados-Status-Invest'!$1:$1000,MATCH(U$1,'Dados-Status-Invest'!$2:$2,0),FALSE()),"")</f>
        <v/>
      </c>
      <c r="V989" s="12" t="str">
        <f aca="false">IFERROR(VLOOKUP(A989,'Dados-Status-Invest'!$1:$1000,MATCH(V$1,'Dados-Status-Invest'!$2:$2,0),FALSE()),"")</f>
        <v/>
      </c>
      <c r="W989" s="10" t="str">
        <f aca="false">IFERROR(VLOOKUP(A989,'Dados-Status-Invest'!$1:$1000,MATCH(W$1,'Dados-Status-Invest'!$2:$2,0),FALSE())/100,"")</f>
        <v/>
      </c>
      <c r="X989" s="10" t="str">
        <f aca="false">IFERROR(VLOOKUP(A989,'Dados-Status-Invest'!$1:$1000,MATCH(X$1,'Dados-Status-Invest'!$2:$2,0),FALSE())/100,"")</f>
        <v/>
      </c>
    </row>
    <row r="990" customFormat="false" ht="15.75" hidden="false" customHeight="false" outlineLevel="0" collapsed="false">
      <c r="B990" s="7" t="str">
        <f aca="false">IFERROR(VLOOKUP(LEFT(A990,4),Setor!A:D,2,FALSE()),"")</f>
        <v/>
      </c>
      <c r="C990" s="8" t="str">
        <f aca="false">IFERROR(__xludf.dummyfunction("IFERROR(IFERROR(GOOGLEFINANCE(A996,""price""),VLOOKUP(A996,'Dados-Status-Invest'!A:B,2,FALSE)),"""")"),"")</f>
        <v/>
      </c>
      <c r="D990" s="8" t="str">
        <f aca="false">IFERROR(VLOOKUP(A990,'Dados-Status-Invest'!$1:$1000,MATCH(D$1,'Dados-Status-Invest'!$2:$2,0),FALSE()),"")</f>
        <v/>
      </c>
      <c r="E990" s="8" t="e">
        <f aca="false">IF(D990+H990&gt;0,D990+H990,"")</f>
        <v>#VALUE!</v>
      </c>
      <c r="F990" s="8" t="str">
        <f aca="false">IFERROR(D990/VLOOKUP(A990,'Dados-Status-Invest'!$1:$1000,5,FALSE()),"")</f>
        <v/>
      </c>
      <c r="G990" s="8" t="str">
        <f aca="false">IFERROR(D990/VLOOKUP(A990,'Dados-Status-Invest'!$1:$1000,6,FALSE()),"")</f>
        <v/>
      </c>
      <c r="H990" s="8" t="str">
        <f aca="false">IFERROR(VLOOKUP(A990,'Dados-Status-Invest'!$1:$1000,12,FALSE())*J990,"")</f>
        <v/>
      </c>
      <c r="I990" s="8" t="str">
        <f aca="false">IFERROR(D990/VLOOKUP(A990,'Dados-Status-Invest'!$1:$1000,14,FALSE()),"")</f>
        <v/>
      </c>
      <c r="J990" s="9" t="str">
        <f aca="false">IFERROR(D990/VLOOKUP(A990,'Dados-Status-Invest'!$1:$1000,10,FALSE()),"")</f>
        <v/>
      </c>
      <c r="K990" s="10" t="str">
        <f aca="false">IFERROR(VLOOKUP(A990,'Dados-Status-Invest'!$1:$1000,3,FALSE())/100,"")</f>
        <v/>
      </c>
      <c r="L990" s="11" t="str">
        <f aca="false">IFERROR(VLOOKUP(A990,'Dados-Status-Invest'!$1:$1000,MATCH(L$1,'Dados-Status-Invest'!$2:$2,0),FALSE())/100,"")</f>
        <v/>
      </c>
      <c r="M990" s="10" t="str">
        <f aca="false">IFERROR(VLOOKUP(A990,'Dados-Status-Invest'!$1:$1000,MATCH(M$1,'Dados-Status-Invest'!$2:$2,0),FALSE())/100,"")</f>
        <v/>
      </c>
      <c r="N990" s="10" t="str">
        <f aca="false">IFERROR(VLOOKUP(A990,'Dados-Status-Invest'!$1:$1000,MATCH(N$1,'Dados-Status-Invest'!$2:$2,0),FALSE())/100,"")</f>
        <v/>
      </c>
      <c r="O990" s="10" t="str">
        <f aca="false">IFERROR(VLOOKUP(A990,'Dados-Status-Invest'!$1:$1000,MATCH(O$1,'Dados-Status-Invest'!$2:$2,0),FALSE())/100,"")</f>
        <v/>
      </c>
      <c r="P990" s="10" t="str">
        <f aca="false">IFERROR(VLOOKUP(A990,'Dados-Status-Invest'!$1:$1000,MATCH(P$1,'Dados-Status-Invest'!$2:$2,0),FALSE())/100,"")</f>
        <v/>
      </c>
      <c r="Q990" s="10" t="str">
        <f aca="false">IFERROR(VLOOKUP(A990,'Dados-Status-Invest'!$1:$1000,MATCH(Q$1,'Dados-Status-Invest'!$2:$2,0),FALSE())/100,"")</f>
        <v/>
      </c>
      <c r="R990" s="12" t="str">
        <f aca="false">IFERROR(VLOOKUP(A990,'Dados-Status-Invest'!$1:$1000,MATCH(R$1,'Dados-Status-Invest'!$2:$2,0),FALSE()),"")</f>
        <v/>
      </c>
      <c r="S990" s="12" t="str">
        <f aca="false">IFERROR(VLOOKUP(A990,'Dados-Status-Invest'!$1:$1000,MATCH(S$1,'Dados-Status-Invest'!$2:$2,0),FALSE()),"")</f>
        <v/>
      </c>
      <c r="T990" s="12" t="str">
        <f aca="false">IFERROR(VLOOKUP(A990,'Dados-Status-Invest'!$1:$1000,MATCH(T$1,'Dados-Status-Invest'!$2:$2,0),FALSE()),"")</f>
        <v/>
      </c>
      <c r="U990" s="12" t="str">
        <f aca="false">IFERROR(VLOOKUP(A990,'Dados-Status-Invest'!$1:$1000,MATCH(U$1,'Dados-Status-Invest'!$2:$2,0),FALSE()),"")</f>
        <v/>
      </c>
      <c r="V990" s="12" t="str">
        <f aca="false">IFERROR(VLOOKUP(A990,'Dados-Status-Invest'!$1:$1000,MATCH(V$1,'Dados-Status-Invest'!$2:$2,0),FALSE()),"")</f>
        <v/>
      </c>
      <c r="W990" s="10" t="str">
        <f aca="false">IFERROR(VLOOKUP(A990,'Dados-Status-Invest'!$1:$1000,MATCH(W$1,'Dados-Status-Invest'!$2:$2,0),FALSE())/100,"")</f>
        <v/>
      </c>
      <c r="X990" s="10" t="str">
        <f aca="false">IFERROR(VLOOKUP(A990,'Dados-Status-Invest'!$1:$1000,MATCH(X$1,'Dados-Status-Invest'!$2:$2,0),FALSE())/100,"")</f>
        <v/>
      </c>
    </row>
    <row r="991" customFormat="false" ht="15.75" hidden="false" customHeight="false" outlineLevel="0" collapsed="false">
      <c r="B991" s="7" t="str">
        <f aca="false">IFERROR(VLOOKUP(LEFT(A991,4),Setor!A:D,2,FALSE()),"")</f>
        <v/>
      </c>
      <c r="C991" s="8" t="str">
        <f aca="false">IFERROR(__xludf.dummyfunction("IFERROR(IFERROR(GOOGLEFINANCE(A997,""price""),VLOOKUP(A997,'Dados-Status-Invest'!A:B,2,FALSE)),"""")"),"")</f>
        <v/>
      </c>
      <c r="D991" s="8" t="str">
        <f aca="false">IFERROR(VLOOKUP(A991,'Dados-Status-Invest'!$1:$1000,MATCH(D$1,'Dados-Status-Invest'!$2:$2,0),FALSE()),"")</f>
        <v/>
      </c>
      <c r="E991" s="8" t="e">
        <f aca="false">IF(D991+H991&gt;0,D991+H991,"")</f>
        <v>#VALUE!</v>
      </c>
      <c r="F991" s="8" t="str">
        <f aca="false">IFERROR(D991/VLOOKUP(A991,'Dados-Status-Invest'!$1:$1000,5,FALSE()),"")</f>
        <v/>
      </c>
      <c r="G991" s="8" t="str">
        <f aca="false">IFERROR(D991/VLOOKUP(A991,'Dados-Status-Invest'!$1:$1000,6,FALSE()),"")</f>
        <v/>
      </c>
      <c r="H991" s="8" t="str">
        <f aca="false">IFERROR(VLOOKUP(A991,'Dados-Status-Invest'!$1:$1000,12,FALSE())*J991,"")</f>
        <v/>
      </c>
      <c r="I991" s="8" t="str">
        <f aca="false">IFERROR(D991/VLOOKUP(A991,'Dados-Status-Invest'!$1:$1000,14,FALSE()),"")</f>
        <v/>
      </c>
      <c r="J991" s="9" t="str">
        <f aca="false">IFERROR(D991/VLOOKUP(A991,'Dados-Status-Invest'!$1:$1000,10,FALSE()),"")</f>
        <v/>
      </c>
      <c r="K991" s="10" t="str">
        <f aca="false">IFERROR(VLOOKUP(A991,'Dados-Status-Invest'!$1:$1000,3,FALSE())/100,"")</f>
        <v/>
      </c>
      <c r="L991" s="11" t="str">
        <f aca="false">IFERROR(VLOOKUP(A991,'Dados-Status-Invest'!$1:$1000,MATCH(L$1,'Dados-Status-Invest'!$2:$2,0),FALSE())/100,"")</f>
        <v/>
      </c>
      <c r="M991" s="10" t="str">
        <f aca="false">IFERROR(VLOOKUP(A991,'Dados-Status-Invest'!$1:$1000,MATCH(M$1,'Dados-Status-Invest'!$2:$2,0),FALSE())/100,"")</f>
        <v/>
      </c>
      <c r="N991" s="10" t="str">
        <f aca="false">IFERROR(VLOOKUP(A991,'Dados-Status-Invest'!$1:$1000,MATCH(N$1,'Dados-Status-Invest'!$2:$2,0),FALSE())/100,"")</f>
        <v/>
      </c>
      <c r="O991" s="10" t="str">
        <f aca="false">IFERROR(VLOOKUP(A991,'Dados-Status-Invest'!$1:$1000,MATCH(O$1,'Dados-Status-Invest'!$2:$2,0),FALSE())/100,"")</f>
        <v/>
      </c>
      <c r="P991" s="10" t="str">
        <f aca="false">IFERROR(VLOOKUP(A991,'Dados-Status-Invest'!$1:$1000,MATCH(P$1,'Dados-Status-Invest'!$2:$2,0),FALSE())/100,"")</f>
        <v/>
      </c>
      <c r="Q991" s="10" t="str">
        <f aca="false">IFERROR(VLOOKUP(A991,'Dados-Status-Invest'!$1:$1000,MATCH(Q$1,'Dados-Status-Invest'!$2:$2,0),FALSE())/100,"")</f>
        <v/>
      </c>
      <c r="R991" s="12" t="str">
        <f aca="false">IFERROR(VLOOKUP(A991,'Dados-Status-Invest'!$1:$1000,MATCH(R$1,'Dados-Status-Invest'!$2:$2,0),FALSE()),"")</f>
        <v/>
      </c>
      <c r="S991" s="12" t="str">
        <f aca="false">IFERROR(VLOOKUP(A991,'Dados-Status-Invest'!$1:$1000,MATCH(S$1,'Dados-Status-Invest'!$2:$2,0),FALSE()),"")</f>
        <v/>
      </c>
      <c r="T991" s="12" t="str">
        <f aca="false">IFERROR(VLOOKUP(A991,'Dados-Status-Invest'!$1:$1000,MATCH(T$1,'Dados-Status-Invest'!$2:$2,0),FALSE()),"")</f>
        <v/>
      </c>
      <c r="U991" s="12" t="str">
        <f aca="false">IFERROR(VLOOKUP(A991,'Dados-Status-Invest'!$1:$1000,MATCH(U$1,'Dados-Status-Invest'!$2:$2,0),FALSE()),"")</f>
        <v/>
      </c>
      <c r="V991" s="12" t="str">
        <f aca="false">IFERROR(VLOOKUP(A991,'Dados-Status-Invest'!$1:$1000,MATCH(V$1,'Dados-Status-Invest'!$2:$2,0),FALSE()),"")</f>
        <v/>
      </c>
      <c r="W991" s="10" t="str">
        <f aca="false">IFERROR(VLOOKUP(A991,'Dados-Status-Invest'!$1:$1000,MATCH(W$1,'Dados-Status-Invest'!$2:$2,0),FALSE())/100,"")</f>
        <v/>
      </c>
      <c r="X991" s="10" t="str">
        <f aca="false">IFERROR(VLOOKUP(A991,'Dados-Status-Invest'!$1:$1000,MATCH(X$1,'Dados-Status-Invest'!$2:$2,0),FALSE())/100,"")</f>
        <v/>
      </c>
    </row>
    <row r="992" customFormat="false" ht="15.75" hidden="false" customHeight="false" outlineLevel="0" collapsed="false">
      <c r="B992" s="7" t="str">
        <f aca="false">IFERROR(VLOOKUP(LEFT(A992,4),Setor!A:D,2,FALSE()),"")</f>
        <v/>
      </c>
      <c r="C992" s="8" t="str">
        <f aca="false">IFERROR(__xludf.dummyfunction("IFERROR(IFERROR(GOOGLEFINANCE(A998,""price""),VLOOKUP(A998,'Dados-Status-Invest'!A:B,2,FALSE)),"""")"),"")</f>
        <v/>
      </c>
      <c r="D992" s="8" t="str">
        <f aca="false">IFERROR(VLOOKUP(A992,'Dados-Status-Invest'!$1:$1000,MATCH(D$1,'Dados-Status-Invest'!$2:$2,0),FALSE()),"")</f>
        <v/>
      </c>
      <c r="E992" s="8" t="e">
        <f aca="false">IF(D992+H992&gt;0,D992+H992,"")</f>
        <v>#VALUE!</v>
      </c>
      <c r="F992" s="8" t="str">
        <f aca="false">IFERROR(D992/VLOOKUP(A992,'Dados-Status-Invest'!$1:$1000,5,FALSE()),"")</f>
        <v/>
      </c>
      <c r="G992" s="8" t="str">
        <f aca="false">IFERROR(D992/VLOOKUP(A992,'Dados-Status-Invest'!$1:$1000,6,FALSE()),"")</f>
        <v/>
      </c>
      <c r="H992" s="8" t="str">
        <f aca="false">IFERROR(VLOOKUP(A992,'Dados-Status-Invest'!$1:$1000,12,FALSE())*J992,"")</f>
        <v/>
      </c>
      <c r="I992" s="8" t="str">
        <f aca="false">IFERROR(D992/VLOOKUP(A992,'Dados-Status-Invest'!$1:$1000,14,FALSE()),"")</f>
        <v/>
      </c>
      <c r="J992" s="9" t="str">
        <f aca="false">IFERROR(D992/VLOOKUP(A992,'Dados-Status-Invest'!$1:$1000,10,FALSE()),"")</f>
        <v/>
      </c>
      <c r="K992" s="10" t="str">
        <f aca="false">IFERROR(VLOOKUP(A992,'Dados-Status-Invest'!$1:$1000,3,FALSE())/100,"")</f>
        <v/>
      </c>
      <c r="L992" s="11" t="str">
        <f aca="false">IFERROR(VLOOKUP(A992,'Dados-Status-Invest'!$1:$1000,MATCH(L$1,'Dados-Status-Invest'!$2:$2,0),FALSE())/100,"")</f>
        <v/>
      </c>
      <c r="M992" s="10" t="str">
        <f aca="false">IFERROR(VLOOKUP(A992,'Dados-Status-Invest'!$1:$1000,MATCH(M$1,'Dados-Status-Invest'!$2:$2,0),FALSE())/100,"")</f>
        <v/>
      </c>
      <c r="N992" s="10" t="str">
        <f aca="false">IFERROR(VLOOKUP(A992,'Dados-Status-Invest'!$1:$1000,MATCH(N$1,'Dados-Status-Invest'!$2:$2,0),FALSE())/100,"")</f>
        <v/>
      </c>
      <c r="O992" s="10" t="str">
        <f aca="false">IFERROR(VLOOKUP(A992,'Dados-Status-Invest'!$1:$1000,MATCH(O$1,'Dados-Status-Invest'!$2:$2,0),FALSE())/100,"")</f>
        <v/>
      </c>
      <c r="P992" s="10" t="str">
        <f aca="false">IFERROR(VLOOKUP(A992,'Dados-Status-Invest'!$1:$1000,MATCH(P$1,'Dados-Status-Invest'!$2:$2,0),FALSE())/100,"")</f>
        <v/>
      </c>
      <c r="Q992" s="10" t="str">
        <f aca="false">IFERROR(VLOOKUP(A992,'Dados-Status-Invest'!$1:$1000,MATCH(Q$1,'Dados-Status-Invest'!$2:$2,0),FALSE())/100,"")</f>
        <v/>
      </c>
      <c r="R992" s="12" t="str">
        <f aca="false">IFERROR(VLOOKUP(A992,'Dados-Status-Invest'!$1:$1000,MATCH(R$1,'Dados-Status-Invest'!$2:$2,0),FALSE()),"")</f>
        <v/>
      </c>
      <c r="S992" s="12" t="str">
        <f aca="false">IFERROR(VLOOKUP(A992,'Dados-Status-Invest'!$1:$1000,MATCH(S$1,'Dados-Status-Invest'!$2:$2,0),FALSE()),"")</f>
        <v/>
      </c>
      <c r="T992" s="12" t="str">
        <f aca="false">IFERROR(VLOOKUP(A992,'Dados-Status-Invest'!$1:$1000,MATCH(T$1,'Dados-Status-Invest'!$2:$2,0),FALSE()),"")</f>
        <v/>
      </c>
      <c r="U992" s="12" t="str">
        <f aca="false">IFERROR(VLOOKUP(A992,'Dados-Status-Invest'!$1:$1000,MATCH(U$1,'Dados-Status-Invest'!$2:$2,0),FALSE()),"")</f>
        <v/>
      </c>
      <c r="V992" s="12" t="str">
        <f aca="false">IFERROR(VLOOKUP(A992,'Dados-Status-Invest'!$1:$1000,MATCH(V$1,'Dados-Status-Invest'!$2:$2,0),FALSE()),"")</f>
        <v/>
      </c>
      <c r="W992" s="10" t="str">
        <f aca="false">IFERROR(VLOOKUP(A992,'Dados-Status-Invest'!$1:$1000,MATCH(W$1,'Dados-Status-Invest'!$2:$2,0),FALSE())/100,"")</f>
        <v/>
      </c>
      <c r="X992" s="10" t="str">
        <f aca="false">IFERROR(VLOOKUP(A992,'Dados-Status-Invest'!$1:$1000,MATCH(X$1,'Dados-Status-Invest'!$2:$2,0),FALSE())/100,"")</f>
        <v/>
      </c>
    </row>
    <row r="993" customFormat="false" ht="15.75" hidden="false" customHeight="false" outlineLevel="0" collapsed="false">
      <c r="B993" s="7" t="str">
        <f aca="false">IFERROR(VLOOKUP(LEFT(A993,4),Setor!A:D,2,FALSE()),"")</f>
        <v/>
      </c>
      <c r="C993" s="8" t="str">
        <f aca="false">IFERROR(__xludf.dummyfunction("IFERROR(IFERROR(GOOGLEFINANCE(A999,""price""),VLOOKUP(A999,'Dados-Status-Invest'!A:B,2,FALSE)),"""")"),"")</f>
        <v/>
      </c>
      <c r="D993" s="8" t="str">
        <f aca="false">IFERROR(VLOOKUP(A993,'Dados-Status-Invest'!$1:$1000,MATCH(D$1,'Dados-Status-Invest'!$2:$2,0),FALSE()),"")</f>
        <v/>
      </c>
      <c r="E993" s="8" t="e">
        <f aca="false">IF(D993+H993&gt;0,D993+H993,"")</f>
        <v>#VALUE!</v>
      </c>
      <c r="F993" s="8" t="str">
        <f aca="false">IFERROR(D993/VLOOKUP(A993,'Dados-Status-Invest'!$1:$1000,5,FALSE()),"")</f>
        <v/>
      </c>
      <c r="G993" s="8" t="str">
        <f aca="false">IFERROR(D993/VLOOKUP(A993,'Dados-Status-Invest'!$1:$1000,6,FALSE()),"")</f>
        <v/>
      </c>
      <c r="H993" s="8" t="str">
        <f aca="false">IFERROR(VLOOKUP(A993,'Dados-Status-Invest'!$1:$1000,12,FALSE())*J993,"")</f>
        <v/>
      </c>
      <c r="I993" s="8" t="str">
        <f aca="false">IFERROR(D993/VLOOKUP(A993,'Dados-Status-Invest'!$1:$1000,14,FALSE()),"")</f>
        <v/>
      </c>
      <c r="J993" s="9" t="str">
        <f aca="false">IFERROR(D993/VLOOKUP(A993,'Dados-Status-Invest'!$1:$1000,10,FALSE()),"")</f>
        <v/>
      </c>
      <c r="K993" s="10" t="str">
        <f aca="false">IFERROR(VLOOKUP(A993,'Dados-Status-Invest'!$1:$1000,3,FALSE())/100,"")</f>
        <v/>
      </c>
      <c r="L993" s="11" t="str">
        <f aca="false">IFERROR(VLOOKUP(A993,'Dados-Status-Invest'!$1:$1000,MATCH(L$1,'Dados-Status-Invest'!$2:$2,0),FALSE())/100,"")</f>
        <v/>
      </c>
      <c r="M993" s="10" t="str">
        <f aca="false">IFERROR(VLOOKUP(A993,'Dados-Status-Invest'!$1:$1000,MATCH(M$1,'Dados-Status-Invest'!$2:$2,0),FALSE())/100,"")</f>
        <v/>
      </c>
      <c r="N993" s="10" t="str">
        <f aca="false">IFERROR(VLOOKUP(A993,'Dados-Status-Invest'!$1:$1000,MATCH(N$1,'Dados-Status-Invest'!$2:$2,0),FALSE())/100,"")</f>
        <v/>
      </c>
      <c r="O993" s="10" t="str">
        <f aca="false">IFERROR(VLOOKUP(A993,'Dados-Status-Invest'!$1:$1000,MATCH(O$1,'Dados-Status-Invest'!$2:$2,0),FALSE())/100,"")</f>
        <v/>
      </c>
      <c r="P993" s="10" t="str">
        <f aca="false">IFERROR(VLOOKUP(A993,'Dados-Status-Invest'!$1:$1000,MATCH(P$1,'Dados-Status-Invest'!$2:$2,0),FALSE())/100,"")</f>
        <v/>
      </c>
      <c r="Q993" s="10" t="str">
        <f aca="false">IFERROR(VLOOKUP(A993,'Dados-Status-Invest'!$1:$1000,MATCH(Q$1,'Dados-Status-Invest'!$2:$2,0),FALSE())/100,"")</f>
        <v/>
      </c>
      <c r="R993" s="12" t="str">
        <f aca="false">IFERROR(VLOOKUP(A993,'Dados-Status-Invest'!$1:$1000,MATCH(R$1,'Dados-Status-Invest'!$2:$2,0),FALSE()),"")</f>
        <v/>
      </c>
      <c r="S993" s="12" t="str">
        <f aca="false">IFERROR(VLOOKUP(A993,'Dados-Status-Invest'!$1:$1000,MATCH(S$1,'Dados-Status-Invest'!$2:$2,0),FALSE()),"")</f>
        <v/>
      </c>
      <c r="T993" s="12" t="str">
        <f aca="false">IFERROR(VLOOKUP(A993,'Dados-Status-Invest'!$1:$1000,MATCH(T$1,'Dados-Status-Invest'!$2:$2,0),FALSE()),"")</f>
        <v/>
      </c>
      <c r="U993" s="12" t="str">
        <f aca="false">IFERROR(VLOOKUP(A993,'Dados-Status-Invest'!$1:$1000,MATCH(U$1,'Dados-Status-Invest'!$2:$2,0),FALSE()),"")</f>
        <v/>
      </c>
      <c r="V993" s="12" t="str">
        <f aca="false">IFERROR(VLOOKUP(A993,'Dados-Status-Invest'!$1:$1000,MATCH(V$1,'Dados-Status-Invest'!$2:$2,0),FALSE()),"")</f>
        <v/>
      </c>
      <c r="W993" s="10" t="str">
        <f aca="false">IFERROR(VLOOKUP(A993,'Dados-Status-Invest'!$1:$1000,MATCH(W$1,'Dados-Status-Invest'!$2:$2,0),FALSE())/100,"")</f>
        <v/>
      </c>
      <c r="X993" s="10" t="str">
        <f aca="false">IFERROR(VLOOKUP(A993,'Dados-Status-Invest'!$1:$1000,MATCH(X$1,'Dados-Status-Invest'!$2:$2,0),FALSE())/100,"")</f>
        <v/>
      </c>
    </row>
    <row r="994" customFormat="false" ht="15.75" hidden="false" customHeight="false" outlineLevel="0" collapsed="false">
      <c r="B994" s="7" t="str">
        <f aca="false">IFERROR(VLOOKUP(LEFT(A994,4),Setor!A:D,2,FALSE()),"")</f>
        <v/>
      </c>
      <c r="C994" s="8" t="str">
        <f aca="false">IFERROR(__xludf.dummyfunction("IFERROR(IFERROR(GOOGLEFINANCE(A1000,""price""),VLOOKUP(A1000,'Dados-Status-Invest'!A:B,2,FALSE)),"""")"),"")</f>
        <v/>
      </c>
      <c r="D994" s="8" t="str">
        <f aca="false">IFERROR(VLOOKUP(A994,'Dados-Status-Invest'!$1:$1000,MATCH(D$1,'Dados-Status-Invest'!$2:$2,0),FALSE()),"")</f>
        <v/>
      </c>
      <c r="E994" s="8" t="e">
        <f aca="false">IF(D994+H994&gt;0,D994+H994,"")</f>
        <v>#VALUE!</v>
      </c>
      <c r="F994" s="8" t="str">
        <f aca="false">IFERROR(D994/VLOOKUP(A994,'Dados-Status-Invest'!$1:$1000,5,FALSE()),"")</f>
        <v/>
      </c>
      <c r="G994" s="8" t="str">
        <f aca="false">IFERROR(D994/VLOOKUP(A994,'Dados-Status-Invest'!$1:$1000,6,FALSE()),"")</f>
        <v/>
      </c>
      <c r="H994" s="8" t="str">
        <f aca="false">IFERROR(VLOOKUP(A994,'Dados-Status-Invest'!$1:$1000,12,FALSE())*J994,"")</f>
        <v/>
      </c>
      <c r="I994" s="8" t="str">
        <f aca="false">IFERROR(D994/VLOOKUP(A994,'Dados-Status-Invest'!$1:$1000,14,FALSE()),"")</f>
        <v/>
      </c>
      <c r="J994" s="9" t="str">
        <f aca="false">IFERROR(D994/VLOOKUP(A994,'Dados-Status-Invest'!$1:$1000,10,FALSE()),"")</f>
        <v/>
      </c>
      <c r="K994" s="10" t="str">
        <f aca="false">IFERROR(VLOOKUP(A994,'Dados-Status-Invest'!$1:$1000,3,FALSE())/100,"")</f>
        <v/>
      </c>
      <c r="L994" s="11" t="str">
        <f aca="false">IFERROR(VLOOKUP(A994,'Dados-Status-Invest'!$1:$1000,MATCH(L$1,'Dados-Status-Invest'!$2:$2,0),FALSE())/100,"")</f>
        <v/>
      </c>
      <c r="M994" s="10" t="str">
        <f aca="false">IFERROR(VLOOKUP(A994,'Dados-Status-Invest'!$1:$1000,MATCH(M$1,'Dados-Status-Invest'!$2:$2,0),FALSE())/100,"")</f>
        <v/>
      </c>
      <c r="N994" s="10" t="str">
        <f aca="false">IFERROR(VLOOKUP(A994,'Dados-Status-Invest'!$1:$1000,MATCH(N$1,'Dados-Status-Invest'!$2:$2,0),FALSE())/100,"")</f>
        <v/>
      </c>
      <c r="O994" s="10" t="str">
        <f aca="false">IFERROR(VLOOKUP(A994,'Dados-Status-Invest'!$1:$1000,MATCH(O$1,'Dados-Status-Invest'!$2:$2,0),FALSE())/100,"")</f>
        <v/>
      </c>
      <c r="P994" s="10" t="str">
        <f aca="false">IFERROR(VLOOKUP(A994,'Dados-Status-Invest'!$1:$1000,MATCH(P$1,'Dados-Status-Invest'!$2:$2,0),FALSE())/100,"")</f>
        <v/>
      </c>
      <c r="Q994" s="10" t="str">
        <f aca="false">IFERROR(VLOOKUP(A994,'Dados-Status-Invest'!$1:$1000,MATCH(Q$1,'Dados-Status-Invest'!$2:$2,0),FALSE())/100,"")</f>
        <v/>
      </c>
      <c r="R994" s="12" t="str">
        <f aca="false">IFERROR(VLOOKUP(A994,'Dados-Status-Invest'!$1:$1000,MATCH(R$1,'Dados-Status-Invest'!$2:$2,0),FALSE()),"")</f>
        <v/>
      </c>
      <c r="S994" s="12" t="str">
        <f aca="false">IFERROR(VLOOKUP(A994,'Dados-Status-Invest'!$1:$1000,MATCH(S$1,'Dados-Status-Invest'!$2:$2,0),FALSE()),"")</f>
        <v/>
      </c>
      <c r="T994" s="12" t="str">
        <f aca="false">IFERROR(VLOOKUP(A994,'Dados-Status-Invest'!$1:$1000,MATCH(T$1,'Dados-Status-Invest'!$2:$2,0),FALSE()),"")</f>
        <v/>
      </c>
      <c r="U994" s="12" t="str">
        <f aca="false">IFERROR(VLOOKUP(A994,'Dados-Status-Invest'!$1:$1000,MATCH(U$1,'Dados-Status-Invest'!$2:$2,0),FALSE()),"")</f>
        <v/>
      </c>
      <c r="V994" s="12" t="str">
        <f aca="false">IFERROR(VLOOKUP(A994,'Dados-Status-Invest'!$1:$1000,MATCH(V$1,'Dados-Status-Invest'!$2:$2,0),FALSE()),"")</f>
        <v/>
      </c>
      <c r="W994" s="10" t="str">
        <f aca="false">IFERROR(VLOOKUP(A994,'Dados-Status-Invest'!$1:$1000,MATCH(W$1,'Dados-Status-Invest'!$2:$2,0),FALSE())/100,"")</f>
        <v/>
      </c>
      <c r="X994" s="10" t="str">
        <f aca="false">IFERROR(VLOOKUP(A994,'Dados-Status-Invest'!$1:$1000,MATCH(X$1,'Dados-Status-Invest'!$2:$2,0),FALSE())/100,"")</f>
        <v/>
      </c>
    </row>
    <row r="995" customFormat="false" ht="15.75" hidden="false" customHeight="false" outlineLevel="0" collapsed="false">
      <c r="B995" s="7" t="str">
        <f aca="false">IFERROR(VLOOKUP(LEFT(A995,4),Setor!A:D,2,FALSE()),"")</f>
        <v/>
      </c>
      <c r="C995" s="8" t="str">
        <f aca="false">IFERROR(__xludf.dummyfunction("IFERROR(IFERROR(GOOGLEFINANCE(A1001,""price""),VLOOKUP(A1001,'Dados-Status-Invest'!A:B,2,FALSE)),"""")"),"")</f>
        <v/>
      </c>
      <c r="D995" s="8" t="str">
        <f aca="false">IFERROR(VLOOKUP(A995,'Dados-Status-Invest'!$1:$1000,MATCH(D$1,'Dados-Status-Invest'!$2:$2,0),FALSE()),"")</f>
        <v/>
      </c>
      <c r="E995" s="8" t="e">
        <f aca="false">IF(D995+H995&gt;0,D995+H995,"")</f>
        <v>#VALUE!</v>
      </c>
      <c r="F995" s="8" t="str">
        <f aca="false">IFERROR(D995/VLOOKUP(A995,'Dados-Status-Invest'!$1:$1000,5,FALSE()),"")</f>
        <v/>
      </c>
      <c r="G995" s="8" t="str">
        <f aca="false">IFERROR(D995/VLOOKUP(A995,'Dados-Status-Invest'!$1:$1000,6,FALSE()),"")</f>
        <v/>
      </c>
      <c r="H995" s="8" t="str">
        <f aca="false">IFERROR(VLOOKUP(A995,'Dados-Status-Invest'!$1:$1000,12,FALSE())*J995,"")</f>
        <v/>
      </c>
      <c r="I995" s="8" t="str">
        <f aca="false">IFERROR(D995/VLOOKUP(A995,'Dados-Status-Invest'!$1:$1000,14,FALSE()),"")</f>
        <v/>
      </c>
      <c r="J995" s="9" t="str">
        <f aca="false">IFERROR(D995/VLOOKUP(A995,'Dados-Status-Invest'!$1:$1000,10,FALSE()),"")</f>
        <v/>
      </c>
      <c r="K995" s="10" t="str">
        <f aca="false">IFERROR(VLOOKUP(A995,'Dados-Status-Invest'!$1:$1000,3,FALSE())/100,"")</f>
        <v/>
      </c>
      <c r="L995" s="11" t="str">
        <f aca="false">IFERROR(VLOOKUP(A995,'Dados-Status-Invest'!$1:$1000,MATCH(L$1,'Dados-Status-Invest'!$2:$2,0),FALSE())/100,"")</f>
        <v/>
      </c>
      <c r="M995" s="10" t="str">
        <f aca="false">IFERROR(VLOOKUP(A995,'Dados-Status-Invest'!$1:$1000,MATCH(M$1,'Dados-Status-Invest'!$2:$2,0),FALSE())/100,"")</f>
        <v/>
      </c>
      <c r="N995" s="10" t="str">
        <f aca="false">IFERROR(VLOOKUP(A995,'Dados-Status-Invest'!$1:$1000,MATCH(N$1,'Dados-Status-Invest'!$2:$2,0),FALSE())/100,"")</f>
        <v/>
      </c>
      <c r="O995" s="10" t="str">
        <f aca="false">IFERROR(VLOOKUP(A995,'Dados-Status-Invest'!$1:$1000,MATCH(O$1,'Dados-Status-Invest'!$2:$2,0),FALSE())/100,"")</f>
        <v/>
      </c>
      <c r="P995" s="10" t="str">
        <f aca="false">IFERROR(VLOOKUP(A995,'Dados-Status-Invest'!$1:$1000,MATCH(P$1,'Dados-Status-Invest'!$2:$2,0),FALSE())/100,"")</f>
        <v/>
      </c>
      <c r="Q995" s="10" t="str">
        <f aca="false">IFERROR(VLOOKUP(A995,'Dados-Status-Invest'!$1:$1000,MATCH(Q$1,'Dados-Status-Invest'!$2:$2,0),FALSE())/100,"")</f>
        <v/>
      </c>
      <c r="R995" s="12" t="str">
        <f aca="false">IFERROR(VLOOKUP(A995,'Dados-Status-Invest'!$1:$1000,MATCH(R$1,'Dados-Status-Invest'!$2:$2,0),FALSE()),"")</f>
        <v/>
      </c>
      <c r="S995" s="12" t="str">
        <f aca="false">IFERROR(VLOOKUP(A995,'Dados-Status-Invest'!$1:$1000,MATCH(S$1,'Dados-Status-Invest'!$2:$2,0),FALSE()),"")</f>
        <v/>
      </c>
      <c r="T995" s="12" t="str">
        <f aca="false">IFERROR(VLOOKUP(A995,'Dados-Status-Invest'!$1:$1000,MATCH(T$1,'Dados-Status-Invest'!$2:$2,0),FALSE()),"")</f>
        <v/>
      </c>
      <c r="U995" s="12" t="str">
        <f aca="false">IFERROR(VLOOKUP(A995,'Dados-Status-Invest'!$1:$1000,MATCH(U$1,'Dados-Status-Invest'!$2:$2,0),FALSE()),"")</f>
        <v/>
      </c>
      <c r="V995" s="12" t="str">
        <f aca="false">IFERROR(VLOOKUP(A995,'Dados-Status-Invest'!$1:$1000,MATCH(V$1,'Dados-Status-Invest'!$2:$2,0),FALSE()),"")</f>
        <v/>
      </c>
      <c r="W995" s="10" t="str">
        <f aca="false">IFERROR(VLOOKUP(A995,'Dados-Status-Invest'!$1:$1000,MATCH(W$1,'Dados-Status-Invest'!$2:$2,0),FALSE())/100,"")</f>
        <v/>
      </c>
      <c r="X995" s="10" t="str">
        <f aca="false">IFERROR(VLOOKUP(A995,'Dados-Status-Invest'!$1:$1000,MATCH(X$1,'Dados-Status-Invest'!$2:$2,0),FALSE())/100,"")</f>
        <v/>
      </c>
    </row>
    <row r="996" customFormat="false" ht="15.75" hidden="false" customHeight="false" outlineLevel="0" collapsed="false">
      <c r="B996" s="7" t="str">
        <f aca="false">IFERROR(VLOOKUP(LEFT(A996,4),Setor!A:D,2,FALSE()),"")</f>
        <v/>
      </c>
      <c r="C996" s="8" t="str">
        <f aca="false">IFERROR(__xludf.dummyfunction("IFERROR(IFERROR(GOOGLEFINANCE(A1002,""price""),VLOOKUP(A1002,'Dados-Status-Invest'!A:B,2,FALSE)),"""")"),"")</f>
        <v/>
      </c>
      <c r="D996" s="8" t="str">
        <f aca="false">IFERROR(VLOOKUP(A996,'Dados-Status-Invest'!$1:$1000,MATCH(D$1,'Dados-Status-Invest'!$2:$2,0),FALSE()),"")</f>
        <v/>
      </c>
      <c r="E996" s="8" t="e">
        <f aca="false">IF(D996+H996&gt;0,D996+H996,"")</f>
        <v>#VALUE!</v>
      </c>
      <c r="F996" s="8" t="str">
        <f aca="false">IFERROR(D996/VLOOKUP(A996,'Dados-Status-Invest'!$1:$1000,5,FALSE()),"")</f>
        <v/>
      </c>
      <c r="G996" s="8" t="str">
        <f aca="false">IFERROR(D996/VLOOKUP(A996,'Dados-Status-Invest'!$1:$1000,6,FALSE()),"")</f>
        <v/>
      </c>
      <c r="H996" s="8" t="str">
        <f aca="false">IFERROR(VLOOKUP(A996,'Dados-Status-Invest'!$1:$1000,12,FALSE())*J996,"")</f>
        <v/>
      </c>
      <c r="I996" s="8" t="str">
        <f aca="false">IFERROR(D996/VLOOKUP(A996,'Dados-Status-Invest'!$1:$1000,14,FALSE()),"")</f>
        <v/>
      </c>
      <c r="J996" s="9" t="str">
        <f aca="false">IFERROR(D996/VLOOKUP(A996,'Dados-Status-Invest'!$1:$1000,10,FALSE()),"")</f>
        <v/>
      </c>
      <c r="K996" s="10" t="str">
        <f aca="false">IFERROR(VLOOKUP(A996,'Dados-Status-Invest'!$1:$1000,3,FALSE())/100,"")</f>
        <v/>
      </c>
      <c r="L996" s="11" t="str">
        <f aca="false">IFERROR(VLOOKUP(A996,'Dados-Status-Invest'!$1:$1000,MATCH(L$1,'Dados-Status-Invest'!$2:$2,0),FALSE())/100,"")</f>
        <v/>
      </c>
      <c r="M996" s="10" t="str">
        <f aca="false">IFERROR(VLOOKUP(A996,'Dados-Status-Invest'!$1:$1000,MATCH(M$1,'Dados-Status-Invest'!$2:$2,0),FALSE())/100,"")</f>
        <v/>
      </c>
      <c r="N996" s="10" t="str">
        <f aca="false">IFERROR(VLOOKUP(A996,'Dados-Status-Invest'!$1:$1000,MATCH(N$1,'Dados-Status-Invest'!$2:$2,0),FALSE())/100,"")</f>
        <v/>
      </c>
      <c r="O996" s="10" t="str">
        <f aca="false">IFERROR(VLOOKUP(A996,'Dados-Status-Invest'!$1:$1000,MATCH(O$1,'Dados-Status-Invest'!$2:$2,0),FALSE())/100,"")</f>
        <v/>
      </c>
      <c r="P996" s="10" t="str">
        <f aca="false">IFERROR(VLOOKUP(A996,'Dados-Status-Invest'!$1:$1000,MATCH(P$1,'Dados-Status-Invest'!$2:$2,0),FALSE())/100,"")</f>
        <v/>
      </c>
      <c r="Q996" s="10" t="str">
        <f aca="false">IFERROR(VLOOKUP(A996,'Dados-Status-Invest'!$1:$1000,MATCH(Q$1,'Dados-Status-Invest'!$2:$2,0),FALSE())/100,"")</f>
        <v/>
      </c>
      <c r="R996" s="12" t="str">
        <f aca="false">IFERROR(VLOOKUP(A996,'Dados-Status-Invest'!$1:$1000,MATCH(R$1,'Dados-Status-Invest'!$2:$2,0),FALSE()),"")</f>
        <v/>
      </c>
      <c r="S996" s="12" t="str">
        <f aca="false">IFERROR(VLOOKUP(A996,'Dados-Status-Invest'!$1:$1000,MATCH(S$1,'Dados-Status-Invest'!$2:$2,0),FALSE()),"")</f>
        <v/>
      </c>
      <c r="T996" s="12" t="str">
        <f aca="false">IFERROR(VLOOKUP(A996,'Dados-Status-Invest'!$1:$1000,MATCH(T$1,'Dados-Status-Invest'!$2:$2,0),FALSE()),"")</f>
        <v/>
      </c>
      <c r="U996" s="12" t="str">
        <f aca="false">IFERROR(VLOOKUP(A996,'Dados-Status-Invest'!$1:$1000,MATCH(U$1,'Dados-Status-Invest'!$2:$2,0),FALSE()),"")</f>
        <v/>
      </c>
      <c r="V996" s="12" t="str">
        <f aca="false">IFERROR(VLOOKUP(A996,'Dados-Status-Invest'!$1:$1000,MATCH(V$1,'Dados-Status-Invest'!$2:$2,0),FALSE()),"")</f>
        <v/>
      </c>
      <c r="W996" s="10" t="str">
        <f aca="false">IFERROR(VLOOKUP(A996,'Dados-Status-Invest'!$1:$1000,MATCH(W$1,'Dados-Status-Invest'!$2:$2,0),FALSE())/100,"")</f>
        <v/>
      </c>
      <c r="X996" s="10" t="str">
        <f aca="false">IFERROR(VLOOKUP(A996,'Dados-Status-Invest'!$1:$1000,MATCH(X$1,'Dados-Status-Invest'!$2:$2,0),FALSE())/100,"")</f>
        <v/>
      </c>
    </row>
    <row r="997" customFormat="false" ht="15.75" hidden="false" customHeight="false" outlineLevel="0" collapsed="false">
      <c r="B997" s="7" t="str">
        <f aca="false">IFERROR(VLOOKUP(LEFT(A997,4),Setor!A:D,2,FALSE()),"")</f>
        <v/>
      </c>
      <c r="C997" s="8" t="str">
        <f aca="false">IFERROR(__xludf.dummyfunction("IFERROR(IFERROR(GOOGLEFINANCE(A1003,""price""),VLOOKUP(A1003,'Dados-Status-Invest'!A:B,2,FALSE)),"""")"),"")</f>
        <v/>
      </c>
      <c r="D997" s="8" t="str">
        <f aca="false">IFERROR(VLOOKUP(A997,'Dados-Status-Invest'!$1:$1000,MATCH(D$1,'Dados-Status-Invest'!$2:$2,0),FALSE()),"")</f>
        <v/>
      </c>
      <c r="E997" s="8" t="e">
        <f aca="false">IF(D997+H997&gt;0,D997+H997,"")</f>
        <v>#VALUE!</v>
      </c>
      <c r="F997" s="8" t="str">
        <f aca="false">IFERROR(D997/VLOOKUP(A997,'Dados-Status-Invest'!$1:$1000,5,FALSE()),"")</f>
        <v/>
      </c>
      <c r="G997" s="8" t="str">
        <f aca="false">IFERROR(D997/VLOOKUP(A997,'Dados-Status-Invest'!$1:$1000,6,FALSE()),"")</f>
        <v/>
      </c>
      <c r="H997" s="8" t="str">
        <f aca="false">IFERROR(VLOOKUP(A997,'Dados-Status-Invest'!$1:$1000,12,FALSE())*J997,"")</f>
        <v/>
      </c>
      <c r="I997" s="8" t="str">
        <f aca="false">IFERROR(D997/VLOOKUP(A997,'Dados-Status-Invest'!$1:$1000,14,FALSE()),"")</f>
        <v/>
      </c>
      <c r="J997" s="9" t="str">
        <f aca="false">IFERROR(D997/VLOOKUP(A997,'Dados-Status-Invest'!$1:$1000,10,FALSE()),"")</f>
        <v/>
      </c>
      <c r="K997" s="10" t="str">
        <f aca="false">IFERROR(VLOOKUP(A997,'Dados-Status-Invest'!$1:$1000,3,FALSE())/100,"")</f>
        <v/>
      </c>
      <c r="L997" s="11" t="str">
        <f aca="false">IFERROR(VLOOKUP(A997,'Dados-Status-Invest'!$1:$1000,MATCH(L$1,'Dados-Status-Invest'!$2:$2,0),FALSE())/100,"")</f>
        <v/>
      </c>
      <c r="M997" s="10" t="str">
        <f aca="false">IFERROR(VLOOKUP(A997,'Dados-Status-Invest'!$1:$1000,MATCH(M$1,'Dados-Status-Invest'!$2:$2,0),FALSE())/100,"")</f>
        <v/>
      </c>
      <c r="N997" s="10" t="str">
        <f aca="false">IFERROR(VLOOKUP(A997,'Dados-Status-Invest'!$1:$1000,MATCH(N$1,'Dados-Status-Invest'!$2:$2,0),FALSE())/100,"")</f>
        <v/>
      </c>
      <c r="O997" s="10" t="str">
        <f aca="false">IFERROR(VLOOKUP(A997,'Dados-Status-Invest'!$1:$1000,MATCH(O$1,'Dados-Status-Invest'!$2:$2,0),FALSE())/100,"")</f>
        <v/>
      </c>
      <c r="P997" s="10" t="str">
        <f aca="false">IFERROR(VLOOKUP(A997,'Dados-Status-Invest'!$1:$1000,MATCH(P$1,'Dados-Status-Invest'!$2:$2,0),FALSE())/100,"")</f>
        <v/>
      </c>
      <c r="Q997" s="10" t="str">
        <f aca="false">IFERROR(VLOOKUP(A997,'Dados-Status-Invest'!$1:$1000,MATCH(Q$1,'Dados-Status-Invest'!$2:$2,0),FALSE())/100,"")</f>
        <v/>
      </c>
      <c r="R997" s="12" t="str">
        <f aca="false">IFERROR(VLOOKUP(A997,'Dados-Status-Invest'!$1:$1000,MATCH(R$1,'Dados-Status-Invest'!$2:$2,0),FALSE()),"")</f>
        <v/>
      </c>
      <c r="S997" s="12" t="str">
        <f aca="false">IFERROR(VLOOKUP(A997,'Dados-Status-Invest'!$1:$1000,MATCH(S$1,'Dados-Status-Invest'!$2:$2,0),FALSE()),"")</f>
        <v/>
      </c>
      <c r="T997" s="12" t="str">
        <f aca="false">IFERROR(VLOOKUP(A997,'Dados-Status-Invest'!$1:$1000,MATCH(T$1,'Dados-Status-Invest'!$2:$2,0),FALSE()),"")</f>
        <v/>
      </c>
      <c r="U997" s="12" t="str">
        <f aca="false">IFERROR(VLOOKUP(A997,'Dados-Status-Invest'!$1:$1000,MATCH(U$1,'Dados-Status-Invest'!$2:$2,0),FALSE()),"")</f>
        <v/>
      </c>
      <c r="V997" s="12" t="str">
        <f aca="false">IFERROR(VLOOKUP(A997,'Dados-Status-Invest'!$1:$1000,MATCH(V$1,'Dados-Status-Invest'!$2:$2,0),FALSE()),"")</f>
        <v/>
      </c>
      <c r="W997" s="10" t="str">
        <f aca="false">IFERROR(VLOOKUP(A997,'Dados-Status-Invest'!$1:$1000,MATCH(W$1,'Dados-Status-Invest'!$2:$2,0),FALSE())/100,"")</f>
        <v/>
      </c>
      <c r="X997" s="10" t="str">
        <f aca="false">IFERROR(VLOOKUP(A997,'Dados-Status-Invest'!$1:$1000,MATCH(X$1,'Dados-Status-Invest'!$2:$2,0),FALSE())/100,"")</f>
        <v/>
      </c>
    </row>
    <row r="998" customFormat="false" ht="15.75" hidden="false" customHeight="false" outlineLevel="0" collapsed="false">
      <c r="B998" s="7" t="str">
        <f aca="false">IFERROR(VLOOKUP(LEFT(A998,4),Setor!A:D,2,FALSE()),"")</f>
        <v/>
      </c>
      <c r="C998" s="8" t="str">
        <f aca="false">IFERROR(__xludf.dummyfunction("IFERROR(IFERROR(GOOGLEFINANCE(A1004,""price""),VLOOKUP(A1004,'Dados-Status-Invest'!A:B,2,FALSE)),"""")"),"")</f>
        <v/>
      </c>
      <c r="D998" s="8" t="str">
        <f aca="false">IFERROR(VLOOKUP(A998,'Dados-Status-Invest'!$1:$1000,MATCH(D$1,'Dados-Status-Invest'!$2:$2,0),FALSE()),"")</f>
        <v/>
      </c>
      <c r="E998" s="8" t="e">
        <f aca="false">IF(D998+H998&gt;0,D998+H998,"")</f>
        <v>#VALUE!</v>
      </c>
      <c r="F998" s="8" t="str">
        <f aca="false">IFERROR(D998/VLOOKUP(A998,'Dados-Status-Invest'!$1:$1000,5,FALSE()),"")</f>
        <v/>
      </c>
      <c r="G998" s="8" t="str">
        <f aca="false">IFERROR(D998/VLOOKUP(A998,'Dados-Status-Invest'!$1:$1000,6,FALSE()),"")</f>
        <v/>
      </c>
      <c r="H998" s="8" t="str">
        <f aca="false">IFERROR(VLOOKUP(A998,'Dados-Status-Invest'!$1:$1000,12,FALSE())*J998,"")</f>
        <v/>
      </c>
      <c r="I998" s="8" t="str">
        <f aca="false">IFERROR(D998/VLOOKUP(A998,'Dados-Status-Invest'!$1:$1000,14,FALSE()),"")</f>
        <v/>
      </c>
      <c r="J998" s="9" t="str">
        <f aca="false">IFERROR(D998/VLOOKUP(A998,'Dados-Status-Invest'!$1:$1000,10,FALSE()),"")</f>
        <v/>
      </c>
      <c r="K998" s="10" t="str">
        <f aca="false">IFERROR(VLOOKUP(A998,'Dados-Status-Invest'!$1:$1000,3,FALSE())/100,"")</f>
        <v/>
      </c>
      <c r="L998" s="11" t="str">
        <f aca="false">IFERROR(VLOOKUP(A998,'Dados-Status-Invest'!$1:$1000,MATCH(L$1,'Dados-Status-Invest'!$2:$2,0),FALSE())/100,"")</f>
        <v/>
      </c>
      <c r="M998" s="10" t="str">
        <f aca="false">IFERROR(VLOOKUP(A998,'Dados-Status-Invest'!$1:$1000,MATCH(M$1,'Dados-Status-Invest'!$2:$2,0),FALSE())/100,"")</f>
        <v/>
      </c>
      <c r="N998" s="10" t="str">
        <f aca="false">IFERROR(VLOOKUP(A998,'Dados-Status-Invest'!$1:$1000,MATCH(N$1,'Dados-Status-Invest'!$2:$2,0),FALSE())/100,"")</f>
        <v/>
      </c>
      <c r="O998" s="10" t="str">
        <f aca="false">IFERROR(VLOOKUP(A998,'Dados-Status-Invest'!$1:$1000,MATCH(O$1,'Dados-Status-Invest'!$2:$2,0),FALSE())/100,"")</f>
        <v/>
      </c>
      <c r="P998" s="10" t="str">
        <f aca="false">IFERROR(VLOOKUP(A998,'Dados-Status-Invest'!$1:$1000,MATCH(P$1,'Dados-Status-Invest'!$2:$2,0),FALSE())/100,"")</f>
        <v/>
      </c>
      <c r="Q998" s="10" t="str">
        <f aca="false">IFERROR(VLOOKUP(A998,'Dados-Status-Invest'!$1:$1000,MATCH(Q$1,'Dados-Status-Invest'!$2:$2,0),FALSE())/100,"")</f>
        <v/>
      </c>
      <c r="R998" s="12" t="str">
        <f aca="false">IFERROR(VLOOKUP(A998,'Dados-Status-Invest'!$1:$1000,MATCH(R$1,'Dados-Status-Invest'!$2:$2,0),FALSE()),"")</f>
        <v/>
      </c>
      <c r="S998" s="12" t="str">
        <f aca="false">IFERROR(VLOOKUP(A998,'Dados-Status-Invest'!$1:$1000,MATCH(S$1,'Dados-Status-Invest'!$2:$2,0),FALSE()),"")</f>
        <v/>
      </c>
      <c r="T998" s="12" t="str">
        <f aca="false">IFERROR(VLOOKUP(A998,'Dados-Status-Invest'!$1:$1000,MATCH(T$1,'Dados-Status-Invest'!$2:$2,0),FALSE()),"")</f>
        <v/>
      </c>
      <c r="U998" s="12" t="str">
        <f aca="false">IFERROR(VLOOKUP(A998,'Dados-Status-Invest'!$1:$1000,MATCH(U$1,'Dados-Status-Invest'!$2:$2,0),FALSE()),"")</f>
        <v/>
      </c>
      <c r="V998" s="12" t="str">
        <f aca="false">IFERROR(VLOOKUP(A998,'Dados-Status-Invest'!$1:$1000,MATCH(V$1,'Dados-Status-Invest'!$2:$2,0),FALSE()),"")</f>
        <v/>
      </c>
      <c r="W998" s="10" t="str">
        <f aca="false">IFERROR(VLOOKUP(A998,'Dados-Status-Invest'!$1:$1000,MATCH(W$1,'Dados-Status-Invest'!$2:$2,0),FALSE())/100,"")</f>
        <v/>
      </c>
      <c r="X998" s="10" t="str">
        <f aca="false">IFERROR(VLOOKUP(A998,'Dados-Status-Invest'!$1:$1000,MATCH(X$1,'Dados-Status-Invest'!$2:$2,0),FALSE())/100,"")</f>
        <v/>
      </c>
    </row>
    <row r="999" customFormat="false" ht="15.75" hidden="false" customHeight="false" outlineLevel="0" collapsed="false">
      <c r="B999" s="7"/>
      <c r="C999" s="8" t="str">
        <f aca="false">IFERROR(__xludf.dummyfunction("IFERROR(IFERROR(GOOGLEFINANCE(A1005,""price""),VLOOKUP(A1005,'Dados-Status-Invest'!A:B,2,FALSE)),"""")"),"")</f>
        <v/>
      </c>
      <c r="D999" s="8"/>
      <c r="E999" s="8" t="str">
        <f aca="false">IF(D999+H999&gt;0,D999+H999,"")</f>
        <v/>
      </c>
      <c r="F999" s="8"/>
      <c r="G999" s="8"/>
      <c r="H999" s="8"/>
      <c r="I999" s="8"/>
      <c r="J999" s="9"/>
      <c r="K999" s="10"/>
      <c r="L999" s="11"/>
      <c r="M999" s="10"/>
      <c r="N999" s="10"/>
      <c r="O999" s="10"/>
      <c r="P999" s="10"/>
      <c r="Q999" s="10"/>
      <c r="R999" s="12"/>
      <c r="S999" s="12"/>
      <c r="T999" s="12"/>
      <c r="U999" s="12"/>
      <c r="V999" s="12"/>
      <c r="W999" s="10"/>
      <c r="X999" s="10"/>
    </row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AB566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3" t="s">
        <v>609</v>
      </c>
      <c r="B1" s="14" t="s">
        <v>610</v>
      </c>
    </row>
    <row r="2" customFormat="false" ht="15.75" hidden="false" customHeight="false" outlineLevel="0" collapsed="false">
      <c r="A2" s="15" t="s">
        <v>0</v>
      </c>
      <c r="B2" s="15" t="s">
        <v>611</v>
      </c>
      <c r="C2" s="15" t="s">
        <v>612</v>
      </c>
      <c r="D2" s="15" t="s">
        <v>17</v>
      </c>
      <c r="E2" s="15" t="s">
        <v>18</v>
      </c>
      <c r="F2" s="15" t="s">
        <v>613</v>
      </c>
      <c r="G2" s="15" t="s">
        <v>14</v>
      </c>
      <c r="H2" s="15" t="s">
        <v>15</v>
      </c>
      <c r="I2" s="15" t="s">
        <v>16</v>
      </c>
      <c r="J2" s="15" t="s">
        <v>614</v>
      </c>
      <c r="K2" s="15" t="s">
        <v>19</v>
      </c>
      <c r="L2" s="15" t="s">
        <v>21</v>
      </c>
      <c r="M2" s="15" t="s">
        <v>615</v>
      </c>
      <c r="N2" s="15" t="s">
        <v>616</v>
      </c>
      <c r="O2" s="15" t="s">
        <v>617</v>
      </c>
      <c r="P2" s="15" t="s">
        <v>618</v>
      </c>
      <c r="Q2" s="15" t="s">
        <v>20</v>
      </c>
      <c r="R2" s="15" t="s">
        <v>11</v>
      </c>
      <c r="S2" s="15" t="s">
        <v>12</v>
      </c>
      <c r="T2" s="15" t="s">
        <v>13</v>
      </c>
      <c r="U2" s="15" t="s">
        <v>619</v>
      </c>
      <c r="V2" s="15" t="s">
        <v>620</v>
      </c>
      <c r="W2" s="15" t="s">
        <v>621</v>
      </c>
      <c r="X2" s="15" t="s">
        <v>22</v>
      </c>
      <c r="Y2" s="15" t="s">
        <v>23</v>
      </c>
      <c r="Z2" s="15" t="s">
        <v>622</v>
      </c>
      <c r="AA2" s="15" t="s">
        <v>623</v>
      </c>
      <c r="AB2" s="15" t="s">
        <v>624</v>
      </c>
      <c r="AC2" s="15" t="s">
        <v>625</v>
      </c>
      <c r="AD2" s="15" t="s">
        <v>3</v>
      </c>
    </row>
    <row r="3" customFormat="false" ht="15.75" hidden="false" customHeight="false" outlineLevel="0" collapsed="false">
      <c r="A3" s="14" t="s">
        <v>24</v>
      </c>
      <c r="B3" s="14" t="n">
        <v>11.29</v>
      </c>
      <c r="D3" s="14" t="n">
        <v>-20.41</v>
      </c>
      <c r="E3" s="14" t="n">
        <v>1.12</v>
      </c>
      <c r="F3" s="14" t="n">
        <v>0.52</v>
      </c>
      <c r="G3" s="14" t="n">
        <v>21.41</v>
      </c>
      <c r="H3" s="14" t="n">
        <v>2.55</v>
      </c>
      <c r="I3" s="14" t="n">
        <v>-6.71</v>
      </c>
      <c r="J3" s="14" t="n">
        <v>53.6</v>
      </c>
      <c r="K3" s="14" t="n">
        <v>75.85</v>
      </c>
      <c r="L3" s="14" t="n">
        <v>22.54</v>
      </c>
      <c r="M3" s="14" t="n">
        <v>0.47</v>
      </c>
      <c r="N3" s="14" t="n">
        <v>1.37</v>
      </c>
      <c r="O3" s="14" t="n">
        <v>23.11</v>
      </c>
      <c r="P3" s="14" t="n">
        <v>-0.67</v>
      </c>
      <c r="Q3" s="14" t="n">
        <v>1.11</v>
      </c>
      <c r="R3" s="14" t="n">
        <v>-5.46</v>
      </c>
      <c r="S3" s="14" t="n">
        <v>-2.55</v>
      </c>
      <c r="T3" s="14" t="n">
        <v>0.2</v>
      </c>
      <c r="U3" s="14" t="n">
        <v>0.47</v>
      </c>
      <c r="V3" s="14" t="n">
        <v>0.52</v>
      </c>
      <c r="W3" s="14" t="n">
        <v>0.38</v>
      </c>
      <c r="X3" s="14" t="n">
        <v>5.83</v>
      </c>
      <c r="Z3" s="16" t="n">
        <v>16573209.39</v>
      </c>
      <c r="AA3" s="14" t="n">
        <v>10.15</v>
      </c>
      <c r="AB3" s="14" t="n">
        <v>-0.55</v>
      </c>
      <c r="AC3" s="14" t="n">
        <v>0.03</v>
      </c>
      <c r="AD3" s="16" t="n">
        <v>1331977108.16</v>
      </c>
    </row>
    <row r="4" customFormat="false" ht="15.75" hidden="false" customHeight="false" outlineLevel="0" collapsed="false">
      <c r="A4" s="14" t="s">
        <v>25</v>
      </c>
      <c r="B4" s="14" t="n">
        <v>16.07</v>
      </c>
      <c r="C4" s="14" t="n">
        <v>4.41</v>
      </c>
      <c r="D4" s="14" t="n">
        <v>10.01</v>
      </c>
      <c r="E4" s="14" t="n">
        <v>0.83</v>
      </c>
      <c r="F4" s="14" t="n">
        <v>0.07</v>
      </c>
      <c r="G4" s="14" t="n">
        <v>13.55</v>
      </c>
      <c r="H4" s="14" t="n">
        <v>8.97</v>
      </c>
      <c r="I4" s="14" t="n">
        <v>8.56</v>
      </c>
      <c r="J4" s="14" t="n">
        <v>9.56</v>
      </c>
      <c r="K4" s="14" t="n">
        <v>9.56</v>
      </c>
      <c r="N4" s="14" t="n">
        <v>0.86</v>
      </c>
      <c r="O4" s="14" t="n">
        <v>1.16</v>
      </c>
      <c r="P4" s="14" t="n">
        <v>-0.09</v>
      </c>
      <c r="Q4" s="14" t="n">
        <v>2</v>
      </c>
      <c r="R4" s="14" t="n">
        <v>8.28</v>
      </c>
      <c r="S4" s="14" t="n">
        <v>0.75</v>
      </c>
      <c r="U4" s="14" t="n">
        <v>0.09</v>
      </c>
      <c r="V4" s="14" t="n">
        <v>0.91</v>
      </c>
      <c r="W4" s="14" t="n">
        <v>0.09</v>
      </c>
      <c r="X4" s="14" t="n">
        <v>1.17</v>
      </c>
      <c r="Y4" s="14" t="n">
        <v>-2.6</v>
      </c>
      <c r="Z4" s="16" t="n">
        <v>12255165.88</v>
      </c>
      <c r="AA4" s="14" t="n">
        <v>19.43</v>
      </c>
      <c r="AB4" s="14" t="n">
        <v>1.61</v>
      </c>
      <c r="AC4" s="14" t="n">
        <v>-0.48</v>
      </c>
      <c r="AD4" s="16" t="n">
        <v>3642311800.98</v>
      </c>
    </row>
    <row r="5" customFormat="false" ht="15.75" hidden="false" customHeight="false" outlineLevel="0" collapsed="false">
      <c r="A5" s="14" t="s">
        <v>26</v>
      </c>
      <c r="B5" s="14" t="n">
        <v>17.14</v>
      </c>
      <c r="C5" s="14" t="n">
        <v>2.86</v>
      </c>
      <c r="D5" s="14" t="n">
        <v>20.88</v>
      </c>
      <c r="E5" s="14" t="n">
        <v>3.29</v>
      </c>
      <c r="F5" s="14" t="n">
        <v>2.02</v>
      </c>
      <c r="G5" s="14" t="n">
        <v>52.95</v>
      </c>
      <c r="H5" s="14" t="n">
        <v>27.05</v>
      </c>
      <c r="I5" s="14" t="n">
        <v>20.69</v>
      </c>
      <c r="J5" s="14" t="n">
        <v>15.97</v>
      </c>
      <c r="K5" s="14" t="n">
        <v>15.08</v>
      </c>
      <c r="L5" s="14" t="n">
        <v>-0.85</v>
      </c>
      <c r="M5" s="14" t="n">
        <v>-0.17</v>
      </c>
      <c r="N5" s="14" t="n">
        <v>4.32</v>
      </c>
      <c r="O5" s="14" t="n">
        <v>52.06</v>
      </c>
      <c r="P5" s="14" t="n">
        <v>-2.8</v>
      </c>
      <c r="Q5" s="14" t="n">
        <v>1.16</v>
      </c>
      <c r="R5" s="14" t="n">
        <v>15.74</v>
      </c>
      <c r="S5" s="14" t="n">
        <v>9.68</v>
      </c>
      <c r="T5" s="14" t="n">
        <v>17.16</v>
      </c>
      <c r="U5" s="14" t="n">
        <v>0.61</v>
      </c>
      <c r="V5" s="14" t="n">
        <v>0.37</v>
      </c>
      <c r="W5" s="14" t="n">
        <v>0.47</v>
      </c>
      <c r="X5" s="14" t="n">
        <v>4.56</v>
      </c>
      <c r="Y5" s="14" t="n">
        <v>-1.85</v>
      </c>
      <c r="Z5" s="16" t="n">
        <v>479070681.63</v>
      </c>
      <c r="AA5" s="14" t="n">
        <v>5.21</v>
      </c>
      <c r="AB5" s="14" t="n">
        <v>0.82</v>
      </c>
      <c r="AC5" s="14" t="n">
        <v>0.79</v>
      </c>
      <c r="AD5" s="16" t="n">
        <v>268831135746.32</v>
      </c>
    </row>
    <row r="6" customFormat="false" ht="15.75" hidden="false" customHeight="false" outlineLevel="0" collapsed="false">
      <c r="A6" s="14" t="s">
        <v>27</v>
      </c>
      <c r="B6" s="14" t="n">
        <v>1.56</v>
      </c>
      <c r="D6" s="14" t="n">
        <v>-4.09</v>
      </c>
      <c r="E6" s="14" t="n">
        <v>-1.29</v>
      </c>
      <c r="F6" s="14" t="n">
        <v>105.12</v>
      </c>
      <c r="G6" s="14" t="n">
        <v>100</v>
      </c>
      <c r="H6" s="16" t="n">
        <v>-13548.48</v>
      </c>
      <c r="I6" s="16" t="n">
        <v>-18860.61</v>
      </c>
      <c r="J6" s="14" t="n">
        <v>-5.69</v>
      </c>
      <c r="K6" s="14" t="n">
        <v>-5.69</v>
      </c>
      <c r="L6" s="14" t="n">
        <v>0</v>
      </c>
      <c r="N6" s="14" t="n">
        <v>770.9</v>
      </c>
      <c r="O6" s="14" t="n">
        <v>-1.43</v>
      </c>
      <c r="P6" s="14" t="n">
        <v>-116.16</v>
      </c>
      <c r="Q6" s="14" t="n">
        <v>0</v>
      </c>
      <c r="R6" s="14" t="n">
        <v>-31.47</v>
      </c>
      <c r="S6" s="16" t="n">
        <v>-2571.9</v>
      </c>
      <c r="T6" s="14" t="n">
        <v>22.61</v>
      </c>
      <c r="U6" s="14" t="n">
        <v>-81.72</v>
      </c>
      <c r="V6" s="14" t="n">
        <v>82.72</v>
      </c>
      <c r="W6" s="14" t="n">
        <v>0.14</v>
      </c>
      <c r="Z6" s="16" t="n">
        <v>94201.44</v>
      </c>
      <c r="AA6" s="14" t="n">
        <v>-1.21</v>
      </c>
      <c r="AB6" s="14" t="n">
        <v>-0.38</v>
      </c>
      <c r="AC6" s="14" t="n">
        <v>-0.58</v>
      </c>
      <c r="AD6" s="16" t="n">
        <v>25439770.2</v>
      </c>
    </row>
    <row r="7" customFormat="false" ht="15.75" hidden="false" customHeight="false" outlineLevel="0" collapsed="false">
      <c r="A7" s="14" t="s">
        <v>28</v>
      </c>
      <c r="B7" s="14" t="n">
        <v>9.85</v>
      </c>
      <c r="D7" s="14" t="n">
        <v>63.15</v>
      </c>
      <c r="E7" s="14" t="n">
        <v>7.63</v>
      </c>
      <c r="F7" s="14" t="n">
        <v>2.72</v>
      </c>
      <c r="G7" s="14" t="n">
        <v>10.82</v>
      </c>
      <c r="H7" s="14" t="n">
        <v>8.71</v>
      </c>
      <c r="I7" s="14" t="n">
        <v>4.61</v>
      </c>
      <c r="J7" s="14" t="n">
        <v>33.42</v>
      </c>
      <c r="K7" s="14" t="n">
        <v>36.29</v>
      </c>
      <c r="L7" s="14" t="n">
        <v>2.87</v>
      </c>
      <c r="M7" s="14" t="n">
        <v>0.66</v>
      </c>
      <c r="N7" s="14" t="n">
        <v>2.91</v>
      </c>
      <c r="O7" s="14" t="n">
        <v>6.4</v>
      </c>
      <c r="P7" s="14" t="n">
        <v>-8.56</v>
      </c>
      <c r="Q7" s="14" t="n">
        <v>2.65</v>
      </c>
      <c r="R7" s="14" t="n">
        <v>12.09</v>
      </c>
      <c r="S7" s="14" t="n">
        <v>4.31</v>
      </c>
      <c r="T7" s="14" t="n">
        <v>8.87</v>
      </c>
      <c r="U7" s="14" t="n">
        <v>0.36</v>
      </c>
      <c r="V7" s="14" t="n">
        <v>0.64</v>
      </c>
      <c r="W7" s="14" t="n">
        <v>0.93</v>
      </c>
      <c r="Z7" s="16" t="n">
        <v>38675751.95</v>
      </c>
      <c r="AA7" s="14" t="n">
        <v>1.29</v>
      </c>
      <c r="AB7" s="14" t="n">
        <v>0.16</v>
      </c>
      <c r="AC7" s="14" t="n">
        <v>2.42</v>
      </c>
      <c r="AD7" s="16" t="n">
        <v>7554864676.16</v>
      </c>
    </row>
    <row r="8" customFormat="false" ht="15.75" hidden="false" customHeight="false" outlineLevel="0" collapsed="false">
      <c r="A8" s="14" t="s">
        <v>30</v>
      </c>
      <c r="B8" s="14" t="n">
        <v>14.02</v>
      </c>
      <c r="C8" s="14" t="n">
        <v>1.22</v>
      </c>
      <c r="E8" s="14" t="n">
        <v>2.99</v>
      </c>
      <c r="F8" s="14" t="n">
        <v>0.58</v>
      </c>
      <c r="M8" s="14" t="n">
        <v>2.42</v>
      </c>
      <c r="O8" s="14" t="n">
        <v>10.15</v>
      </c>
      <c r="P8" s="14" t="n">
        <v>-0.75</v>
      </c>
      <c r="Q8" s="14" t="n">
        <v>1.34</v>
      </c>
      <c r="R8" s="14" t="n">
        <v>0</v>
      </c>
      <c r="S8" s="14" t="n">
        <v>0</v>
      </c>
      <c r="U8" s="14" t="n">
        <v>0.19</v>
      </c>
      <c r="V8" s="14" t="n">
        <v>0.81</v>
      </c>
      <c r="W8" s="14" t="n">
        <v>0</v>
      </c>
      <c r="Z8" s="16" t="n">
        <v>14031469.39</v>
      </c>
      <c r="AA8" s="14" t="n">
        <v>4.69</v>
      </c>
      <c r="AB8" s="14" t="n">
        <v>0</v>
      </c>
      <c r="AD8" s="16" t="n">
        <v>5579509149.6</v>
      </c>
    </row>
    <row r="9" customFormat="false" ht="15.75" hidden="false" customHeight="false" outlineLevel="0" collapsed="false">
      <c r="A9" s="14" t="s">
        <v>32</v>
      </c>
      <c r="B9" s="14" t="n">
        <v>10.88</v>
      </c>
      <c r="C9" s="14" t="n">
        <v>10.68</v>
      </c>
      <c r="D9" s="14" t="n">
        <v>36.35</v>
      </c>
      <c r="E9" s="14" t="n">
        <v>3.55</v>
      </c>
      <c r="F9" s="14" t="n">
        <v>3.25</v>
      </c>
      <c r="G9" s="14" t="n">
        <v>67.61</v>
      </c>
      <c r="H9" s="14" t="n">
        <v>54.72</v>
      </c>
      <c r="I9" s="14" t="n">
        <v>52.63</v>
      </c>
      <c r="J9" s="14" t="n">
        <v>34.96</v>
      </c>
      <c r="K9" s="14" t="n">
        <v>33.21</v>
      </c>
      <c r="L9" s="14" t="n">
        <v>-1.76</v>
      </c>
      <c r="M9" s="14" t="n">
        <v>-0.18</v>
      </c>
      <c r="N9" s="14" t="n">
        <v>19.13</v>
      </c>
      <c r="O9" s="14" t="n">
        <v>12.47</v>
      </c>
      <c r="P9" s="14" t="n">
        <v>-4.52</v>
      </c>
      <c r="Q9" s="14" t="n">
        <v>13.16</v>
      </c>
      <c r="R9" s="14" t="n">
        <v>9.76</v>
      </c>
      <c r="S9" s="14" t="n">
        <v>8.93</v>
      </c>
      <c r="T9" s="14" t="n">
        <v>9.29</v>
      </c>
      <c r="U9" s="14" t="n">
        <v>0.92</v>
      </c>
      <c r="V9" s="14" t="n">
        <v>0.08</v>
      </c>
      <c r="W9" s="14" t="n">
        <v>0.17</v>
      </c>
      <c r="X9" s="14" t="n">
        <v>5.56</v>
      </c>
      <c r="Y9" s="14" t="n">
        <v>8.17</v>
      </c>
      <c r="Z9" s="16" t="n">
        <v>21210.95</v>
      </c>
      <c r="AA9" s="14" t="n">
        <v>3.07</v>
      </c>
      <c r="AB9" s="14" t="n">
        <v>0.3</v>
      </c>
      <c r="AC9" s="14" t="n">
        <v>-1.54</v>
      </c>
      <c r="AD9" s="16" t="n">
        <v>686361536</v>
      </c>
    </row>
    <row r="10" customFormat="false" ht="15.75" hidden="false" customHeight="false" outlineLevel="0" collapsed="false">
      <c r="A10" s="14" t="s">
        <v>33</v>
      </c>
      <c r="B10" s="14" t="n">
        <v>29.06</v>
      </c>
      <c r="C10" s="14" t="n">
        <v>2.44</v>
      </c>
      <c r="D10" s="14" t="n">
        <v>24.94</v>
      </c>
      <c r="E10" s="14" t="n">
        <v>1.72</v>
      </c>
      <c r="F10" s="14" t="n">
        <v>1.04</v>
      </c>
      <c r="G10" s="14" t="n">
        <v>46.45</v>
      </c>
      <c r="H10" s="14" t="n">
        <v>39.31</v>
      </c>
      <c r="I10" s="14" t="n">
        <v>7.58</v>
      </c>
      <c r="J10" s="14" t="n">
        <v>4.81</v>
      </c>
      <c r="K10" s="14" t="n">
        <v>5.27</v>
      </c>
      <c r="L10" s="14" t="n">
        <v>0.46</v>
      </c>
      <c r="M10" s="14" t="n">
        <v>0.16</v>
      </c>
      <c r="N10" s="14" t="n">
        <v>1.89</v>
      </c>
      <c r="O10" s="14" t="n">
        <v>6.48</v>
      </c>
      <c r="P10" s="14" t="n">
        <v>-1.81</v>
      </c>
      <c r="Q10" s="14" t="n">
        <v>1.61</v>
      </c>
      <c r="R10" s="14" t="n">
        <v>6.9</v>
      </c>
      <c r="S10" s="14" t="n">
        <v>4.18</v>
      </c>
      <c r="T10" s="14" t="n">
        <v>22.82</v>
      </c>
      <c r="U10" s="14" t="n">
        <v>0.61</v>
      </c>
      <c r="V10" s="14" t="n">
        <v>0.39</v>
      </c>
      <c r="W10" s="14" t="n">
        <v>0.55</v>
      </c>
      <c r="X10" s="14" t="n">
        <v>13.49</v>
      </c>
      <c r="Y10" s="14" t="n">
        <v>-7.94</v>
      </c>
      <c r="Z10" s="16" t="n">
        <v>32178735.78</v>
      </c>
      <c r="AA10" s="14" t="n">
        <v>16.91</v>
      </c>
      <c r="AB10" s="14" t="n">
        <v>1.17</v>
      </c>
      <c r="AC10" s="14" t="n">
        <v>-0.77</v>
      </c>
      <c r="AD10" s="16" t="n">
        <v>2984289783.2</v>
      </c>
    </row>
    <row r="11" customFormat="false" ht="15.75" hidden="false" customHeight="false" outlineLevel="0" collapsed="false">
      <c r="A11" s="14" t="s">
        <v>34</v>
      </c>
      <c r="B11" s="14" t="n">
        <v>26.01</v>
      </c>
      <c r="D11" s="14" t="n">
        <v>-4.72</v>
      </c>
      <c r="E11" s="14" t="n">
        <v>-8.87</v>
      </c>
      <c r="F11" s="14" t="n">
        <v>0.79</v>
      </c>
      <c r="G11" s="14" t="n">
        <v>19.18</v>
      </c>
      <c r="H11" s="14" t="n">
        <v>-17.42</v>
      </c>
      <c r="I11" s="14" t="n">
        <v>-25.58</v>
      </c>
      <c r="J11" s="14" t="n">
        <v>-6.94</v>
      </c>
      <c r="K11" s="14" t="n">
        <v>-6.55</v>
      </c>
      <c r="L11" s="14" t="n">
        <v>0.5</v>
      </c>
      <c r="N11" s="14" t="n">
        <v>1.21</v>
      </c>
      <c r="O11" s="14" t="n">
        <v>-3.94</v>
      </c>
      <c r="P11" s="14" t="n">
        <v>-1.01</v>
      </c>
      <c r="Q11" s="14" t="n">
        <v>0.52</v>
      </c>
      <c r="R11" s="14" t="n">
        <v>-187.86</v>
      </c>
      <c r="S11" s="14" t="n">
        <v>-16.72</v>
      </c>
      <c r="T11" s="14" t="n">
        <v>127.9</v>
      </c>
      <c r="U11" s="14" t="n">
        <v>-0.09</v>
      </c>
      <c r="V11" s="14" t="n">
        <v>1.09</v>
      </c>
      <c r="W11" s="14" t="n">
        <v>0.65</v>
      </c>
      <c r="X11" s="14" t="n">
        <v>1.88</v>
      </c>
      <c r="Z11" s="16" t="n">
        <v>27788.31</v>
      </c>
      <c r="AA11" s="14" t="n">
        <v>-2.93</v>
      </c>
      <c r="AB11" s="14" t="n">
        <v>-5.51</v>
      </c>
      <c r="AC11" s="14" t="n">
        <v>-0.06</v>
      </c>
      <c r="AD11" s="16" t="n">
        <v>225693756.27</v>
      </c>
    </row>
    <row r="12" customFormat="false" ht="15.75" hidden="false" customHeight="false" outlineLevel="0" collapsed="false">
      <c r="A12" s="14" t="s">
        <v>35</v>
      </c>
      <c r="B12" s="14" t="n">
        <v>21.51</v>
      </c>
      <c r="D12" s="14" t="n">
        <v>-3.91</v>
      </c>
      <c r="E12" s="14" t="n">
        <v>-7.34</v>
      </c>
      <c r="F12" s="14" t="n">
        <v>0.65</v>
      </c>
      <c r="G12" s="14" t="n">
        <v>19.18</v>
      </c>
      <c r="H12" s="14" t="n">
        <v>-17.42</v>
      </c>
      <c r="I12" s="14" t="n">
        <v>-25.58</v>
      </c>
      <c r="J12" s="14" t="n">
        <v>-5.74</v>
      </c>
      <c r="K12" s="14" t="n">
        <v>-6.55</v>
      </c>
      <c r="L12" s="14" t="n">
        <v>0.5</v>
      </c>
      <c r="N12" s="14" t="n">
        <v>1</v>
      </c>
      <c r="O12" s="14" t="n">
        <v>-3.25</v>
      </c>
      <c r="P12" s="14" t="n">
        <v>-0.84</v>
      </c>
      <c r="Q12" s="14" t="n">
        <v>0.52</v>
      </c>
      <c r="R12" s="14" t="n">
        <v>-187.86</v>
      </c>
      <c r="S12" s="14" t="n">
        <v>-16.72</v>
      </c>
      <c r="T12" s="14" t="n">
        <v>127.9</v>
      </c>
      <c r="U12" s="14" t="n">
        <v>-0.09</v>
      </c>
      <c r="V12" s="14" t="n">
        <v>1.09</v>
      </c>
      <c r="W12" s="14" t="n">
        <v>0.65</v>
      </c>
      <c r="X12" s="14" t="n">
        <v>1.88</v>
      </c>
      <c r="Z12" s="16" t="n">
        <v>6804.4</v>
      </c>
      <c r="AA12" s="14" t="n">
        <v>-2.93</v>
      </c>
      <c r="AB12" s="14" t="n">
        <v>-5.51</v>
      </c>
      <c r="AC12" s="14" t="n">
        <v>-0.05</v>
      </c>
      <c r="AD12" s="16" t="n">
        <v>225693756.27</v>
      </c>
    </row>
    <row r="13" customFormat="false" ht="15.75" hidden="false" customHeight="false" outlineLevel="0" collapsed="false">
      <c r="A13" s="14" t="s">
        <v>36</v>
      </c>
      <c r="B13" s="14" t="n">
        <v>51.5</v>
      </c>
      <c r="D13" s="14" t="n">
        <v>-9.35</v>
      </c>
      <c r="E13" s="14" t="n">
        <v>-17.57</v>
      </c>
      <c r="F13" s="14" t="n">
        <v>1.56</v>
      </c>
      <c r="G13" s="14" t="n">
        <v>19.18</v>
      </c>
      <c r="H13" s="14" t="n">
        <v>-17.42</v>
      </c>
      <c r="I13" s="14" t="n">
        <v>-25.58</v>
      </c>
      <c r="J13" s="14" t="n">
        <v>-13.73</v>
      </c>
      <c r="K13" s="14" t="n">
        <v>-6.55</v>
      </c>
      <c r="L13" s="14" t="n">
        <v>0.5</v>
      </c>
      <c r="N13" s="14" t="n">
        <v>2.39</v>
      </c>
      <c r="O13" s="14" t="n">
        <v>-7.79</v>
      </c>
      <c r="P13" s="14" t="n">
        <v>-2</v>
      </c>
      <c r="Q13" s="14" t="n">
        <v>0.52</v>
      </c>
      <c r="R13" s="14" t="n">
        <v>-187.86</v>
      </c>
      <c r="S13" s="14" t="n">
        <v>-16.72</v>
      </c>
      <c r="T13" s="14" t="n">
        <v>127.9</v>
      </c>
      <c r="U13" s="14" t="n">
        <v>-0.09</v>
      </c>
      <c r="V13" s="14" t="n">
        <v>1.09</v>
      </c>
      <c r="W13" s="14" t="n">
        <v>0.65</v>
      </c>
      <c r="X13" s="14" t="n">
        <v>1.88</v>
      </c>
      <c r="Z13" s="16" t="n">
        <v>7166.86</v>
      </c>
      <c r="AA13" s="14" t="n">
        <v>-2.93</v>
      </c>
      <c r="AB13" s="14" t="n">
        <v>-5.51</v>
      </c>
      <c r="AC13" s="14" t="n">
        <v>-0.11</v>
      </c>
      <c r="AD13" s="16" t="n">
        <v>225693756.27</v>
      </c>
    </row>
    <row r="14" customFormat="false" ht="15.75" hidden="false" customHeight="false" outlineLevel="0" collapsed="false">
      <c r="A14" s="14" t="s">
        <v>37</v>
      </c>
      <c r="B14" s="14" t="n">
        <v>33</v>
      </c>
      <c r="D14" s="14" t="n">
        <v>53.99</v>
      </c>
      <c r="E14" s="14" t="n">
        <v>2.61</v>
      </c>
      <c r="F14" s="14" t="n">
        <v>0.8</v>
      </c>
      <c r="G14" s="14" t="n">
        <v>14.88</v>
      </c>
      <c r="H14" s="14" t="n">
        <v>4.78</v>
      </c>
      <c r="I14" s="14" t="n">
        <v>2.83</v>
      </c>
      <c r="J14" s="14" t="n">
        <v>31.98</v>
      </c>
      <c r="K14" s="14" t="n">
        <v>33.58</v>
      </c>
      <c r="L14" s="14" t="n">
        <v>1.6</v>
      </c>
      <c r="M14" s="14" t="n">
        <v>0.13</v>
      </c>
      <c r="N14" s="14" t="n">
        <v>1.53</v>
      </c>
      <c r="O14" s="14" t="n">
        <v>4.05</v>
      </c>
      <c r="P14" s="14" t="n">
        <v>-3.04</v>
      </c>
      <c r="Q14" s="14" t="n">
        <v>1.37</v>
      </c>
      <c r="R14" s="14" t="n">
        <v>4.84</v>
      </c>
      <c r="S14" s="14" t="n">
        <v>1.48</v>
      </c>
      <c r="T14" s="14" t="n">
        <v>5.79</v>
      </c>
      <c r="U14" s="14" t="n">
        <v>0.31</v>
      </c>
      <c r="V14" s="14" t="n">
        <v>0.69</v>
      </c>
      <c r="W14" s="14" t="n">
        <v>0.52</v>
      </c>
      <c r="Z14" s="16" t="n">
        <v>8094061.49</v>
      </c>
      <c r="AA14" s="14" t="n">
        <v>12.63</v>
      </c>
      <c r="AB14" s="14" t="n">
        <v>0.61</v>
      </c>
      <c r="AD14" s="16" t="n">
        <v>3003025629.09</v>
      </c>
    </row>
    <row r="15" customFormat="false" ht="15.75" hidden="false" customHeight="false" outlineLevel="0" collapsed="false">
      <c r="A15" s="14" t="s">
        <v>39</v>
      </c>
      <c r="B15" s="14" t="n">
        <v>43.5</v>
      </c>
      <c r="D15" s="14" t="n">
        <v>104.23</v>
      </c>
      <c r="E15" s="14" t="n">
        <v>8.32</v>
      </c>
      <c r="F15" s="14" t="n">
        <v>5.28</v>
      </c>
      <c r="G15" s="14" t="n">
        <v>53.23</v>
      </c>
      <c r="H15" s="14" t="n">
        <v>13.11</v>
      </c>
      <c r="I15" s="14" t="n">
        <v>6.98</v>
      </c>
      <c r="J15" s="14" t="n">
        <v>55.44</v>
      </c>
      <c r="K15" s="14" t="n">
        <v>58.37</v>
      </c>
      <c r="L15" s="14" t="n">
        <v>-1.49</v>
      </c>
      <c r="M15" s="14" t="n">
        <v>-0.22</v>
      </c>
      <c r="N15" s="14" t="n">
        <v>7.27</v>
      </c>
      <c r="O15" s="14" t="n">
        <v>17.33</v>
      </c>
      <c r="P15" s="14" t="n">
        <v>-12</v>
      </c>
      <c r="Q15" s="14" t="n">
        <v>2.19</v>
      </c>
      <c r="R15" s="14" t="n">
        <v>7.98</v>
      </c>
      <c r="S15" s="14" t="n">
        <v>5.06</v>
      </c>
      <c r="T15" s="14" t="n">
        <v>11.74</v>
      </c>
      <c r="U15" s="14" t="n">
        <v>0.63</v>
      </c>
      <c r="V15" s="14" t="n">
        <v>0.35</v>
      </c>
      <c r="W15" s="14" t="n">
        <v>0.73</v>
      </c>
      <c r="X15" s="14" t="n">
        <v>-3.59</v>
      </c>
      <c r="Y15" s="14" t="n">
        <v>-13.58</v>
      </c>
      <c r="Z15" s="16" t="n">
        <v>208542.44</v>
      </c>
      <c r="AA15" s="14" t="n">
        <v>5.23</v>
      </c>
      <c r="AB15" s="14" t="n">
        <v>0.42</v>
      </c>
      <c r="AC15" s="14" t="n">
        <v>-127.93</v>
      </c>
      <c r="AD15" s="16" t="n">
        <v>27614533056.63</v>
      </c>
    </row>
    <row r="16" customFormat="false" ht="15.75" hidden="false" customHeight="false" outlineLevel="0" collapsed="false">
      <c r="A16" s="14" t="s">
        <v>40</v>
      </c>
      <c r="B16" s="14" t="n">
        <v>50.87</v>
      </c>
      <c r="D16" s="14" t="n">
        <v>121.72</v>
      </c>
      <c r="E16" s="14" t="n">
        <v>9.72</v>
      </c>
      <c r="F16" s="14" t="n">
        <v>6.16</v>
      </c>
      <c r="G16" s="14" t="n">
        <v>53.23</v>
      </c>
      <c r="H16" s="14" t="n">
        <v>13.11</v>
      </c>
      <c r="I16" s="14" t="n">
        <v>6.98</v>
      </c>
      <c r="J16" s="14" t="n">
        <v>64.75</v>
      </c>
      <c r="K16" s="14" t="n">
        <v>58.37</v>
      </c>
      <c r="L16" s="14" t="n">
        <v>-1.49</v>
      </c>
      <c r="M16" s="14" t="n">
        <v>-0.22</v>
      </c>
      <c r="N16" s="14" t="n">
        <v>8.49</v>
      </c>
      <c r="O16" s="14" t="n">
        <v>20.24</v>
      </c>
      <c r="P16" s="14" t="n">
        <v>-14.01</v>
      </c>
      <c r="Q16" s="14" t="n">
        <v>2.19</v>
      </c>
      <c r="R16" s="14" t="n">
        <v>7.98</v>
      </c>
      <c r="S16" s="14" t="n">
        <v>5.06</v>
      </c>
      <c r="T16" s="14" t="n">
        <v>11.74</v>
      </c>
      <c r="U16" s="14" t="n">
        <v>0.63</v>
      </c>
      <c r="V16" s="14" t="n">
        <v>0.35</v>
      </c>
      <c r="W16" s="14" t="n">
        <v>0.73</v>
      </c>
      <c r="X16" s="14" t="n">
        <v>-3.59</v>
      </c>
      <c r="Y16" s="14" t="n">
        <v>-13.58</v>
      </c>
      <c r="Z16" s="16" t="n">
        <v>89341866.98</v>
      </c>
      <c r="AA16" s="14" t="n">
        <v>5.23</v>
      </c>
      <c r="AB16" s="14" t="n">
        <v>0.42</v>
      </c>
      <c r="AC16" s="14" t="n">
        <v>-149.4</v>
      </c>
      <c r="AD16" s="16" t="n">
        <v>27614533056.63</v>
      </c>
    </row>
    <row r="17" customFormat="false" ht="15.75" hidden="false" customHeight="false" outlineLevel="0" collapsed="false">
      <c r="A17" s="14" t="s">
        <v>41</v>
      </c>
      <c r="B17" s="14" t="n">
        <v>8.06</v>
      </c>
      <c r="D17" s="14" t="n">
        <v>-7.46</v>
      </c>
      <c r="E17" s="14" t="n">
        <v>2.56</v>
      </c>
      <c r="F17" s="14" t="n">
        <v>0.57</v>
      </c>
      <c r="G17" s="14" t="n">
        <v>24.13</v>
      </c>
      <c r="H17" s="14" t="n">
        <v>-4.96</v>
      </c>
      <c r="I17" s="14" t="n">
        <v>-36.79</v>
      </c>
      <c r="J17" s="14" t="n">
        <v>-55.33</v>
      </c>
      <c r="K17" s="14" t="n">
        <v>-106.32</v>
      </c>
      <c r="L17" s="14" t="n">
        <v>-51.2</v>
      </c>
      <c r="M17" s="14" t="n">
        <v>2.37</v>
      </c>
      <c r="N17" s="14" t="n">
        <v>2.75</v>
      </c>
      <c r="O17" s="14" t="n">
        <v>-3.14</v>
      </c>
      <c r="P17" s="14" t="n">
        <v>-0.63</v>
      </c>
      <c r="Q17" s="14" t="n">
        <v>0.32</v>
      </c>
      <c r="R17" s="14" t="n">
        <v>-34.25</v>
      </c>
      <c r="S17" s="14" t="n">
        <v>-7.7</v>
      </c>
      <c r="T17" s="14" t="n">
        <v>-1.38</v>
      </c>
      <c r="U17" s="14" t="n">
        <v>0.22</v>
      </c>
      <c r="V17" s="14" t="n">
        <v>0.77</v>
      </c>
      <c r="W17" s="14" t="n">
        <v>0.21</v>
      </c>
      <c r="Z17" s="16" t="n">
        <v>250214.95</v>
      </c>
      <c r="AA17" s="14" t="n">
        <v>3.17</v>
      </c>
      <c r="AB17" s="14" t="n">
        <v>-1.09</v>
      </c>
      <c r="AC17" s="14" t="n">
        <v>-0.02</v>
      </c>
      <c r="AD17" s="16" t="n">
        <v>1563732825.42</v>
      </c>
    </row>
    <row r="18" customFormat="false" ht="15.75" hidden="false" customHeight="false" outlineLevel="0" collapsed="false">
      <c r="A18" s="14" t="s">
        <v>42</v>
      </c>
      <c r="B18" s="14" t="n">
        <v>28.32</v>
      </c>
      <c r="C18" s="14" t="n">
        <v>0.8</v>
      </c>
      <c r="D18" s="14" t="n">
        <v>70.47</v>
      </c>
      <c r="E18" s="14" t="n">
        <v>1.14</v>
      </c>
      <c r="F18" s="14" t="n">
        <v>0.69</v>
      </c>
      <c r="G18" s="14" t="n">
        <v>65.03</v>
      </c>
      <c r="H18" s="14" t="n">
        <v>30.24</v>
      </c>
      <c r="I18" s="14" t="n">
        <v>13.99</v>
      </c>
      <c r="J18" s="14" t="n">
        <v>32.6</v>
      </c>
      <c r="K18" s="14" t="n">
        <v>35.02</v>
      </c>
      <c r="L18" s="14" t="n">
        <v>2.51</v>
      </c>
      <c r="M18" s="14" t="n">
        <v>0.09</v>
      </c>
      <c r="N18" s="14" t="n">
        <v>9.86</v>
      </c>
      <c r="O18" s="14" t="n">
        <v>5.42</v>
      </c>
      <c r="P18" s="14" t="n">
        <v>-0.83</v>
      </c>
      <c r="Q18" s="14" t="n">
        <v>4.32</v>
      </c>
      <c r="R18" s="14" t="n">
        <v>1.62</v>
      </c>
      <c r="S18" s="14" t="n">
        <v>0.99</v>
      </c>
      <c r="T18" s="14" t="n">
        <v>2.07</v>
      </c>
      <c r="U18" s="14" t="n">
        <v>0.61</v>
      </c>
      <c r="V18" s="14" t="n">
        <v>0.3</v>
      </c>
      <c r="W18" s="14" t="n">
        <v>0.07</v>
      </c>
      <c r="X18" s="14" t="n">
        <v>19.22</v>
      </c>
      <c r="Y18" s="14" t="n">
        <v>-0.15</v>
      </c>
      <c r="Z18" s="16" t="n">
        <v>49338540.56</v>
      </c>
      <c r="AA18" s="14" t="n">
        <v>24.8</v>
      </c>
      <c r="AB18" s="14" t="n">
        <v>0.4</v>
      </c>
      <c r="AC18" s="14" t="n">
        <v>6.65</v>
      </c>
      <c r="AD18" s="16" t="n">
        <v>7521369617.4</v>
      </c>
    </row>
    <row r="19" customFormat="false" ht="15.75" hidden="false" customHeight="false" outlineLevel="0" collapsed="false">
      <c r="A19" s="14" t="s">
        <v>43</v>
      </c>
      <c r="B19" s="14" t="n">
        <v>26.59</v>
      </c>
      <c r="C19" s="14" t="n">
        <v>3.16</v>
      </c>
      <c r="D19" s="14" t="n">
        <v>7.16</v>
      </c>
      <c r="E19" s="14" t="n">
        <v>1.28</v>
      </c>
      <c r="F19" s="14" t="n">
        <v>0.33</v>
      </c>
      <c r="G19" s="14" t="n">
        <v>60.24</v>
      </c>
      <c r="H19" s="14" t="n">
        <v>58.47</v>
      </c>
      <c r="I19" s="14" t="n">
        <v>16.65</v>
      </c>
      <c r="J19" s="14" t="n">
        <v>2.04</v>
      </c>
      <c r="K19" s="14" t="n">
        <v>3.94</v>
      </c>
      <c r="L19" s="14" t="n">
        <v>1.9</v>
      </c>
      <c r="M19" s="14" t="n">
        <v>1.19</v>
      </c>
      <c r="N19" s="14" t="n">
        <v>1.19</v>
      </c>
      <c r="O19" s="14" t="n">
        <v>4.67</v>
      </c>
      <c r="P19" s="14" t="n">
        <v>-0.4</v>
      </c>
      <c r="Q19" s="14" t="n">
        <v>1.71</v>
      </c>
      <c r="R19" s="14" t="n">
        <v>17.83</v>
      </c>
      <c r="S19" s="14" t="n">
        <v>4.62</v>
      </c>
      <c r="T19" s="14" t="n">
        <v>15.55</v>
      </c>
      <c r="U19" s="14" t="n">
        <v>0.26</v>
      </c>
      <c r="V19" s="14" t="n">
        <v>0.59</v>
      </c>
      <c r="W19" s="14" t="n">
        <v>0.28</v>
      </c>
      <c r="X19" s="14" t="n">
        <v>32.68</v>
      </c>
      <c r="Y19" s="14" t="n">
        <v>29.19</v>
      </c>
      <c r="Z19" s="16" t="n">
        <v>21720935.41</v>
      </c>
      <c r="AA19" s="14" t="n">
        <v>20.79</v>
      </c>
      <c r="AB19" s="14" t="n">
        <v>3.71</v>
      </c>
      <c r="AC19" s="14" t="n">
        <v>0.11</v>
      </c>
      <c r="AD19" s="16" t="n">
        <v>7765482876.17</v>
      </c>
    </row>
    <row r="20" customFormat="false" ht="15.75" hidden="false" customHeight="false" outlineLevel="0" collapsed="false">
      <c r="A20" s="14" t="s">
        <v>44</v>
      </c>
      <c r="B20" s="14" t="n">
        <v>8.68</v>
      </c>
      <c r="C20" s="14" t="n">
        <v>3.23</v>
      </c>
      <c r="D20" s="14" t="n">
        <v>7.02</v>
      </c>
      <c r="E20" s="14" t="n">
        <v>1.25</v>
      </c>
      <c r="F20" s="14" t="n">
        <v>0.32</v>
      </c>
      <c r="G20" s="14" t="n">
        <v>60.24</v>
      </c>
      <c r="H20" s="14" t="n">
        <v>58.47</v>
      </c>
      <c r="I20" s="14" t="n">
        <v>16.65</v>
      </c>
      <c r="J20" s="14" t="n">
        <v>2</v>
      </c>
      <c r="K20" s="14" t="n">
        <v>3.94</v>
      </c>
      <c r="L20" s="14" t="n">
        <v>1.9</v>
      </c>
      <c r="M20" s="14" t="n">
        <v>1.19</v>
      </c>
      <c r="N20" s="14" t="n">
        <v>1.17</v>
      </c>
      <c r="O20" s="14" t="n">
        <v>4.58</v>
      </c>
      <c r="P20" s="14" t="n">
        <v>-0.39</v>
      </c>
      <c r="Q20" s="14" t="n">
        <v>1.71</v>
      </c>
      <c r="R20" s="14" t="n">
        <v>17.83</v>
      </c>
      <c r="S20" s="14" t="n">
        <v>4.62</v>
      </c>
      <c r="T20" s="14" t="n">
        <v>15.55</v>
      </c>
      <c r="U20" s="14" t="n">
        <v>0.26</v>
      </c>
      <c r="V20" s="14" t="n">
        <v>0.59</v>
      </c>
      <c r="W20" s="14" t="n">
        <v>0.28</v>
      </c>
      <c r="X20" s="14" t="n">
        <v>32.68</v>
      </c>
      <c r="Y20" s="14" t="n">
        <v>29.19</v>
      </c>
      <c r="Z20" s="16" t="n">
        <v>201107.07</v>
      </c>
      <c r="AA20" s="14" t="n">
        <v>6.93</v>
      </c>
      <c r="AB20" s="14" t="n">
        <v>1.24</v>
      </c>
      <c r="AC20" s="14" t="n">
        <v>0.11</v>
      </c>
      <c r="AD20" s="16" t="n">
        <v>7765482876.17</v>
      </c>
    </row>
    <row r="21" customFormat="false" ht="15.75" hidden="false" customHeight="false" outlineLevel="0" collapsed="false">
      <c r="A21" s="14" t="s">
        <v>45</v>
      </c>
      <c r="B21" s="14" t="n">
        <v>8.96</v>
      </c>
      <c r="C21" s="14" t="n">
        <v>3.13</v>
      </c>
      <c r="D21" s="14" t="n">
        <v>7.25</v>
      </c>
      <c r="E21" s="14" t="n">
        <v>1.29</v>
      </c>
      <c r="F21" s="14" t="n">
        <v>0.33</v>
      </c>
      <c r="G21" s="14" t="n">
        <v>60.24</v>
      </c>
      <c r="H21" s="14" t="n">
        <v>58.47</v>
      </c>
      <c r="I21" s="14" t="n">
        <v>16.65</v>
      </c>
      <c r="J21" s="14" t="n">
        <v>2.06</v>
      </c>
      <c r="K21" s="14" t="n">
        <v>3.94</v>
      </c>
      <c r="L21" s="14" t="n">
        <v>1.9</v>
      </c>
      <c r="M21" s="14" t="n">
        <v>1.19</v>
      </c>
      <c r="N21" s="14" t="n">
        <v>1.21</v>
      </c>
      <c r="O21" s="14" t="n">
        <v>4.73</v>
      </c>
      <c r="P21" s="14" t="n">
        <v>-0.4</v>
      </c>
      <c r="Q21" s="14" t="n">
        <v>1.71</v>
      </c>
      <c r="R21" s="14" t="n">
        <v>17.83</v>
      </c>
      <c r="S21" s="14" t="n">
        <v>4.62</v>
      </c>
      <c r="T21" s="14" t="n">
        <v>15.55</v>
      </c>
      <c r="U21" s="14" t="n">
        <v>0.26</v>
      </c>
      <c r="V21" s="14" t="n">
        <v>0.59</v>
      </c>
      <c r="W21" s="14" t="n">
        <v>0.28</v>
      </c>
      <c r="X21" s="14" t="n">
        <v>32.68</v>
      </c>
      <c r="Y21" s="14" t="n">
        <v>29.19</v>
      </c>
      <c r="Z21" s="16" t="n">
        <v>246511.49</v>
      </c>
      <c r="AA21" s="14" t="n">
        <v>6.93</v>
      </c>
      <c r="AB21" s="14" t="n">
        <v>1.24</v>
      </c>
      <c r="AC21" s="14" t="n">
        <v>0.12</v>
      </c>
      <c r="AD21" s="16" t="n">
        <v>7765482876.17</v>
      </c>
    </row>
    <row r="22" customFormat="false" ht="15.75" hidden="false" customHeight="false" outlineLevel="0" collapsed="false">
      <c r="A22" s="14" t="s">
        <v>46</v>
      </c>
      <c r="B22" s="14" t="n">
        <v>9.23</v>
      </c>
      <c r="E22" s="14" t="n">
        <v>2.56</v>
      </c>
      <c r="F22" s="14" t="n">
        <v>0.74</v>
      </c>
      <c r="G22" s="14" t="n">
        <v>39.38</v>
      </c>
      <c r="H22" s="14" t="n">
        <v>-12.13</v>
      </c>
      <c r="I22" s="14" t="n">
        <v>0</v>
      </c>
      <c r="J22" s="14" t="n">
        <v>-10.07</v>
      </c>
      <c r="K22" s="14" t="n">
        <v>-15.02</v>
      </c>
      <c r="L22" s="14" t="n">
        <v>-4.99</v>
      </c>
      <c r="M22" s="14" t="n">
        <v>1.27</v>
      </c>
      <c r="N22" s="14" t="n">
        <v>1.22</v>
      </c>
      <c r="O22" s="14" t="n">
        <v>9.56</v>
      </c>
      <c r="P22" s="14" t="n">
        <v>-1.49</v>
      </c>
      <c r="Q22" s="14" t="n">
        <v>1.18</v>
      </c>
      <c r="R22" s="14" t="n">
        <v>0</v>
      </c>
      <c r="S22" s="14" t="n">
        <v>0</v>
      </c>
      <c r="T22" s="14" t="n">
        <v>-10.34</v>
      </c>
      <c r="U22" s="14" t="n">
        <v>0.29</v>
      </c>
      <c r="V22" s="14" t="n">
        <v>0.71</v>
      </c>
      <c r="W22" s="14" t="n">
        <v>0.6</v>
      </c>
      <c r="X22" s="14" t="n">
        <v>-7.53</v>
      </c>
      <c r="Z22" s="16" t="n">
        <v>76223911.95</v>
      </c>
      <c r="AA22" s="14" t="n">
        <v>3.61</v>
      </c>
      <c r="AB22" s="14" t="n">
        <v>0</v>
      </c>
      <c r="AD22" s="16" t="n">
        <v>2409950666.19</v>
      </c>
    </row>
    <row r="23" customFormat="false" ht="15.75" hidden="false" customHeight="false" outlineLevel="0" collapsed="false">
      <c r="A23" s="14" t="s">
        <v>47</v>
      </c>
      <c r="B23" s="14" t="n">
        <v>43.84</v>
      </c>
      <c r="C23" s="14" t="n">
        <v>0.22</v>
      </c>
      <c r="D23" s="14" t="n">
        <v>74.07</v>
      </c>
      <c r="E23" s="14" t="n">
        <v>3.99</v>
      </c>
      <c r="F23" s="14" t="n">
        <v>2.54</v>
      </c>
      <c r="G23" s="14" t="n">
        <v>21.92</v>
      </c>
      <c r="H23" s="14" t="n">
        <v>18.24</v>
      </c>
      <c r="I23" s="14" t="n">
        <v>8.14</v>
      </c>
      <c r="J23" s="14" t="n">
        <v>33.04</v>
      </c>
      <c r="K23" s="14" t="n">
        <v>31.58</v>
      </c>
      <c r="L23" s="14" t="n">
        <v>-1.29</v>
      </c>
      <c r="M23" s="14" t="n">
        <v>-0.16</v>
      </c>
      <c r="N23" s="14" t="n">
        <v>6.03</v>
      </c>
      <c r="O23" s="14" t="n">
        <v>9.66</v>
      </c>
      <c r="P23" s="14" t="n">
        <v>-4.46</v>
      </c>
      <c r="Q23" s="14" t="n">
        <v>2.58</v>
      </c>
      <c r="R23" s="14" t="n">
        <v>5.39</v>
      </c>
      <c r="S23" s="14" t="n">
        <v>3.43</v>
      </c>
      <c r="T23" s="14" t="n">
        <v>7.16</v>
      </c>
      <c r="U23" s="14" t="n">
        <v>0.64</v>
      </c>
      <c r="V23" s="14" t="n">
        <v>0.34</v>
      </c>
      <c r="W23" s="14" t="n">
        <v>0.42</v>
      </c>
      <c r="Z23" s="16" t="n">
        <v>20460328.27</v>
      </c>
      <c r="AA23" s="14" t="n">
        <v>10.98</v>
      </c>
      <c r="AB23" s="14" t="n">
        <v>0.59</v>
      </c>
      <c r="AC23" s="14" t="n">
        <v>0.74</v>
      </c>
      <c r="AD23" s="16" t="n">
        <v>4923991636.8</v>
      </c>
    </row>
    <row r="24" customFormat="false" ht="15.75" hidden="false" customHeight="false" outlineLevel="0" collapsed="false">
      <c r="A24" s="14" t="s">
        <v>48</v>
      </c>
      <c r="B24" s="14" t="n">
        <v>13.68</v>
      </c>
      <c r="D24" s="14" t="n">
        <v>185.5</v>
      </c>
      <c r="E24" s="14" t="n">
        <v>2.16</v>
      </c>
      <c r="F24" s="14" t="n">
        <v>1.11</v>
      </c>
      <c r="G24" s="14" t="n">
        <v>52.2</v>
      </c>
      <c r="H24" s="14" t="n">
        <v>12.99</v>
      </c>
      <c r="I24" s="14" t="n">
        <v>1.99</v>
      </c>
      <c r="J24" s="14" t="n">
        <v>28.4</v>
      </c>
      <c r="K24" s="14" t="n">
        <v>29.47</v>
      </c>
      <c r="L24" s="14" t="n">
        <v>1.21</v>
      </c>
      <c r="M24" s="14" t="n">
        <v>0.09</v>
      </c>
      <c r="N24" s="14" t="n">
        <v>3.69</v>
      </c>
      <c r="O24" s="14" t="n">
        <v>4.05</v>
      </c>
      <c r="P24" s="14" t="n">
        <v>-1.77</v>
      </c>
      <c r="Q24" s="14" t="n">
        <v>3.76</v>
      </c>
      <c r="R24" s="14" t="n">
        <v>1.16</v>
      </c>
      <c r="S24" s="14" t="n">
        <v>0.6</v>
      </c>
      <c r="T24" s="14" t="n">
        <v>4.73</v>
      </c>
      <c r="U24" s="14" t="n">
        <v>0.51</v>
      </c>
      <c r="V24" s="14" t="n">
        <v>0.48</v>
      </c>
      <c r="W24" s="14" t="n">
        <v>0.3</v>
      </c>
      <c r="X24" s="14" t="n">
        <v>11.24</v>
      </c>
      <c r="Z24" s="16" t="n">
        <v>29804062.34</v>
      </c>
      <c r="AA24" s="14" t="n">
        <v>6.34</v>
      </c>
      <c r="AB24" s="14" t="n">
        <v>0.07</v>
      </c>
      <c r="AC24" s="14" t="n">
        <v>-1.28</v>
      </c>
      <c r="AD24" s="16" t="n">
        <v>5500693124.1</v>
      </c>
    </row>
    <row r="25" customFormat="false" ht="15.75" hidden="false" customHeight="false" outlineLevel="0" collapsed="false">
      <c r="A25" s="14" t="s">
        <v>49</v>
      </c>
      <c r="B25" s="14" t="n">
        <v>47.95</v>
      </c>
      <c r="D25" s="16" t="n">
        <v>4176.33</v>
      </c>
      <c r="E25" s="14" t="n">
        <v>1.91</v>
      </c>
      <c r="F25" s="14" t="n">
        <v>1.23</v>
      </c>
      <c r="G25" s="14" t="n">
        <v>100</v>
      </c>
      <c r="H25" s="14" t="n">
        <v>-2.85</v>
      </c>
      <c r="I25" s="14" t="n">
        <v>0.12</v>
      </c>
      <c r="J25" s="14" t="n">
        <v>-176.41</v>
      </c>
      <c r="K25" s="14" t="n">
        <v>-176.63</v>
      </c>
      <c r="N25" s="14" t="n">
        <v>5.03</v>
      </c>
      <c r="O25" s="14" t="n">
        <v>5.06</v>
      </c>
      <c r="P25" s="14" t="n">
        <v>-1.9</v>
      </c>
      <c r="Q25" s="14" t="n">
        <v>3.28</v>
      </c>
      <c r="R25" s="14" t="n">
        <v>0.05</v>
      </c>
      <c r="S25" s="14" t="n">
        <v>0.03</v>
      </c>
      <c r="U25" s="14" t="n">
        <v>0.65</v>
      </c>
      <c r="V25" s="14" t="n">
        <v>0.35</v>
      </c>
      <c r="W25" s="14" t="n">
        <v>0.25</v>
      </c>
      <c r="X25" s="14" t="n">
        <v>-11.42</v>
      </c>
      <c r="Z25" s="16" t="n">
        <v>4977049.88</v>
      </c>
      <c r="AA25" s="14" t="n">
        <v>25.14</v>
      </c>
      <c r="AB25" s="14" t="n">
        <v>0.01</v>
      </c>
      <c r="AC25" s="14" t="n">
        <v>-39.42</v>
      </c>
      <c r="AD25" s="16" t="n">
        <v>551964842.72</v>
      </c>
    </row>
    <row r="26" customFormat="false" ht="15.75" hidden="false" customHeight="false" outlineLevel="0" collapsed="false">
      <c r="A26" s="14" t="s">
        <v>50</v>
      </c>
      <c r="B26" s="14" t="n">
        <v>197.64</v>
      </c>
      <c r="D26" s="14" t="n">
        <v>0.07</v>
      </c>
      <c r="E26" s="14" t="n">
        <v>0.01</v>
      </c>
      <c r="F26" s="14" t="n">
        <v>0.01</v>
      </c>
      <c r="G26" s="14" t="n">
        <v>50.3</v>
      </c>
      <c r="H26" s="14" t="n">
        <v>486.77</v>
      </c>
      <c r="I26" s="14" t="n">
        <v>396.44</v>
      </c>
      <c r="J26" s="14" t="n">
        <v>0.06</v>
      </c>
      <c r="K26" s="14" t="n">
        <v>0.75</v>
      </c>
      <c r="L26" s="14" t="n">
        <v>0.04</v>
      </c>
      <c r="M26" s="14" t="n">
        <v>0.01</v>
      </c>
      <c r="N26" s="14" t="n">
        <v>0.28</v>
      </c>
      <c r="O26" s="14" t="n">
        <v>0.05</v>
      </c>
      <c r="P26" s="14" t="n">
        <v>-0.01</v>
      </c>
      <c r="Q26" s="14" t="n">
        <v>2.15</v>
      </c>
      <c r="R26" s="14" t="n">
        <v>20.23</v>
      </c>
      <c r="S26" s="14" t="n">
        <v>10.85</v>
      </c>
      <c r="T26" s="14" t="n">
        <v>19.69</v>
      </c>
      <c r="U26" s="14" t="n">
        <v>0.54</v>
      </c>
      <c r="V26" s="14" t="n">
        <v>0.46</v>
      </c>
      <c r="W26" s="14" t="n">
        <v>0.03</v>
      </c>
      <c r="X26" s="14" t="n">
        <v>-22.74</v>
      </c>
      <c r="Y26" s="14" t="n">
        <v>84.17</v>
      </c>
      <c r="AA26" s="16" t="n">
        <v>13700.51</v>
      </c>
      <c r="AB26" s="16" t="n">
        <v>2771.98</v>
      </c>
      <c r="AC26" s="14" t="n">
        <v>0</v>
      </c>
      <c r="AD26" s="16" t="n">
        <v>44442750</v>
      </c>
    </row>
    <row r="27" customFormat="false" ht="15.75" hidden="false" customHeight="false" outlineLevel="0" collapsed="false">
      <c r="A27" s="14" t="s">
        <v>51</v>
      </c>
      <c r="B27" s="16" t="n">
        <v>3500</v>
      </c>
      <c r="D27" s="14" t="n">
        <v>1.26</v>
      </c>
      <c r="E27" s="14" t="n">
        <v>0.26</v>
      </c>
      <c r="F27" s="14" t="n">
        <v>0.14</v>
      </c>
      <c r="G27" s="14" t="n">
        <v>50.3</v>
      </c>
      <c r="H27" s="14" t="n">
        <v>486.77</v>
      </c>
      <c r="I27" s="14" t="n">
        <v>396.44</v>
      </c>
      <c r="J27" s="14" t="n">
        <v>1.03</v>
      </c>
      <c r="K27" s="14" t="n">
        <v>0.75</v>
      </c>
      <c r="L27" s="14" t="n">
        <v>0.04</v>
      </c>
      <c r="M27" s="14" t="n">
        <v>0.01</v>
      </c>
      <c r="N27" s="14" t="n">
        <v>5.01</v>
      </c>
      <c r="O27" s="14" t="n">
        <v>0.88</v>
      </c>
      <c r="P27" s="14" t="n">
        <v>-0.19</v>
      </c>
      <c r="Q27" s="14" t="n">
        <v>2.15</v>
      </c>
      <c r="R27" s="14" t="n">
        <v>20.23</v>
      </c>
      <c r="S27" s="14" t="n">
        <v>10.85</v>
      </c>
      <c r="T27" s="14" t="n">
        <v>19.69</v>
      </c>
      <c r="U27" s="14" t="n">
        <v>0.54</v>
      </c>
      <c r="V27" s="14" t="n">
        <v>0.46</v>
      </c>
      <c r="W27" s="14" t="n">
        <v>0.03</v>
      </c>
      <c r="X27" s="14" t="n">
        <v>-22.74</v>
      </c>
      <c r="Y27" s="14" t="n">
        <v>84.17</v>
      </c>
      <c r="AA27" s="16" t="n">
        <v>13700.51</v>
      </c>
      <c r="AB27" s="16" t="n">
        <v>2771.98</v>
      </c>
      <c r="AC27" s="14" t="n">
        <v>0</v>
      </c>
      <c r="AD27" s="16" t="n">
        <v>44442750</v>
      </c>
    </row>
    <row r="28" customFormat="false" ht="15.75" hidden="false" customHeight="false" outlineLevel="0" collapsed="false">
      <c r="A28" s="14" t="s">
        <v>52</v>
      </c>
      <c r="B28" s="14" t="n">
        <v>94.43</v>
      </c>
      <c r="C28" s="14" t="n">
        <v>0.59</v>
      </c>
      <c r="D28" s="14" t="n">
        <v>179.91</v>
      </c>
      <c r="E28" s="14" t="n">
        <v>6.88</v>
      </c>
      <c r="F28" s="16" t="n">
        <v>3329.09</v>
      </c>
      <c r="G28" s="14" t="n">
        <v>48.54</v>
      </c>
      <c r="H28" s="14" t="n">
        <v>5.2</v>
      </c>
      <c r="I28" s="14" t="n">
        <v>3.06</v>
      </c>
      <c r="J28" s="14" t="n">
        <v>105.84</v>
      </c>
      <c r="K28" s="14" t="n">
        <v>107.05</v>
      </c>
      <c r="L28" s="14" t="n">
        <v>1.04</v>
      </c>
      <c r="M28" s="14" t="n">
        <v>0.07</v>
      </c>
      <c r="N28" s="14" t="n">
        <v>5.5</v>
      </c>
      <c r="O28" s="14" t="n">
        <v>17.49</v>
      </c>
      <c r="P28" s="14" t="n">
        <v>-7.19</v>
      </c>
      <c r="Q28" s="14" t="n">
        <v>1.55</v>
      </c>
      <c r="R28" s="14" t="n">
        <v>3.83</v>
      </c>
      <c r="S28" s="16" t="n">
        <v>1850.45</v>
      </c>
      <c r="T28" s="14" t="n">
        <v>3.96</v>
      </c>
      <c r="U28" s="14" t="n">
        <v>483.64</v>
      </c>
      <c r="V28" s="14" t="n">
        <v>516.36</v>
      </c>
      <c r="W28" s="14" t="n">
        <v>604.97</v>
      </c>
      <c r="X28" s="14" t="n">
        <v>7.26</v>
      </c>
      <c r="Y28" s="14" t="n">
        <v>-16.5</v>
      </c>
      <c r="Z28" s="16" t="n">
        <v>51464328.39</v>
      </c>
      <c r="AA28" s="14" t="n">
        <v>13.76</v>
      </c>
      <c r="AB28" s="14" t="n">
        <v>0.53</v>
      </c>
      <c r="AC28" s="14" t="n">
        <v>-2.64</v>
      </c>
      <c r="AD28" s="16" t="n">
        <v>9455021188.6</v>
      </c>
    </row>
    <row r="29" customFormat="false" ht="15.75" hidden="false" customHeight="false" outlineLevel="0" collapsed="false">
      <c r="A29" s="14" t="s">
        <v>53</v>
      </c>
      <c r="B29" s="14" t="n">
        <v>85.82</v>
      </c>
      <c r="C29" s="14" t="n">
        <v>0.37</v>
      </c>
      <c r="D29" s="14" t="n">
        <v>19.5</v>
      </c>
      <c r="E29" s="14" t="n">
        <v>14.51</v>
      </c>
      <c r="F29" s="14" t="n">
        <v>1.31</v>
      </c>
      <c r="G29" s="14" t="n">
        <v>17.64</v>
      </c>
      <c r="H29" s="14" t="n">
        <v>5.34</v>
      </c>
      <c r="I29" s="14" t="n">
        <v>3.03</v>
      </c>
      <c r="J29" s="14" t="n">
        <v>11.08</v>
      </c>
      <c r="K29" s="14" t="n">
        <v>13.35</v>
      </c>
      <c r="L29" s="14" t="n">
        <v>2.31</v>
      </c>
      <c r="M29" s="14" t="n">
        <v>3.02</v>
      </c>
      <c r="N29" s="14" t="n">
        <v>0.59</v>
      </c>
      <c r="O29" s="14" t="n">
        <v>-141.54</v>
      </c>
      <c r="P29" s="14" t="n">
        <v>-2.19</v>
      </c>
      <c r="Q29" s="14" t="n">
        <v>0.98</v>
      </c>
      <c r="R29" s="14" t="n">
        <v>74.4</v>
      </c>
      <c r="S29" s="14" t="n">
        <v>6.72</v>
      </c>
      <c r="T29" s="14" t="n">
        <v>18.34</v>
      </c>
      <c r="U29" s="14" t="n">
        <v>0.09</v>
      </c>
      <c r="V29" s="14" t="n">
        <v>0.91</v>
      </c>
      <c r="W29" s="14" t="n">
        <v>2.21</v>
      </c>
      <c r="Z29" s="16" t="n">
        <v>129615444.8</v>
      </c>
      <c r="AA29" s="14" t="n">
        <v>5.91</v>
      </c>
      <c r="AB29" s="14" t="n">
        <v>4.4</v>
      </c>
      <c r="AD29" s="16" t="n">
        <v>22995957954.96</v>
      </c>
    </row>
    <row r="30" customFormat="false" ht="15.75" hidden="false" customHeight="false" outlineLevel="0" collapsed="false">
      <c r="A30" s="14" t="s">
        <v>55</v>
      </c>
      <c r="B30" s="14" t="n">
        <v>8.13</v>
      </c>
      <c r="D30" s="14" t="n">
        <v>-1.34</v>
      </c>
      <c r="E30" s="14" t="n">
        <v>1.63</v>
      </c>
      <c r="F30" s="14" t="n">
        <v>0.12</v>
      </c>
      <c r="G30" s="14" t="n">
        <v>5.49</v>
      </c>
      <c r="H30" s="14" t="n">
        <v>-10.47</v>
      </c>
      <c r="I30" s="14" t="n">
        <v>-16.68</v>
      </c>
      <c r="J30" s="14" t="n">
        <v>-2.13</v>
      </c>
      <c r="K30" s="14" t="n">
        <v>-4.84</v>
      </c>
      <c r="L30" s="14" t="n">
        <v>-2.67</v>
      </c>
      <c r="M30" s="14" t="n">
        <v>2.05</v>
      </c>
      <c r="N30" s="14" t="n">
        <v>0.22</v>
      </c>
      <c r="O30" s="14" t="n">
        <v>-0.55</v>
      </c>
      <c r="P30" s="14" t="n">
        <v>-0.15</v>
      </c>
      <c r="Q30" s="14" t="n">
        <v>0.48</v>
      </c>
      <c r="R30" s="14" t="n">
        <v>-122.21</v>
      </c>
      <c r="S30" s="14" t="n">
        <v>-9.16</v>
      </c>
      <c r="T30" s="14" t="n">
        <v>-29.94</v>
      </c>
      <c r="U30" s="14" t="n">
        <v>0.07</v>
      </c>
      <c r="V30" s="14" t="n">
        <v>0.93</v>
      </c>
      <c r="W30" s="14" t="n">
        <v>0.55</v>
      </c>
      <c r="X30" s="14" t="n">
        <v>-16.98</v>
      </c>
      <c r="Z30" s="16" t="n">
        <v>2331651.29</v>
      </c>
      <c r="AA30" s="14" t="n">
        <v>4.98</v>
      </c>
      <c r="AB30" s="14" t="n">
        <v>-6.08</v>
      </c>
      <c r="AC30" s="14" t="n">
        <v>0.02</v>
      </c>
      <c r="AD30" s="16" t="n">
        <v>220657379.76</v>
      </c>
    </row>
    <row r="31" customFormat="false" ht="15.75" hidden="false" customHeight="false" outlineLevel="0" collapsed="false">
      <c r="A31" s="14" t="s">
        <v>56</v>
      </c>
      <c r="B31" s="14" t="n">
        <v>7.83</v>
      </c>
      <c r="C31" s="14" t="n">
        <v>3.83</v>
      </c>
      <c r="D31" s="14" t="n">
        <v>12.67</v>
      </c>
      <c r="E31" s="14" t="n">
        <v>10.57</v>
      </c>
      <c r="F31" s="14" t="n">
        <v>5.12</v>
      </c>
      <c r="G31" s="14" t="n">
        <v>100</v>
      </c>
      <c r="H31" s="14" t="n">
        <v>35.35</v>
      </c>
      <c r="I31" s="14" t="n">
        <v>35.5</v>
      </c>
      <c r="J31" s="14" t="n">
        <v>12.73</v>
      </c>
      <c r="K31" s="14" t="n">
        <v>11.68</v>
      </c>
      <c r="L31" s="14" t="n">
        <v>-1.11</v>
      </c>
      <c r="M31" s="14" t="n">
        <v>-0.93</v>
      </c>
      <c r="N31" s="14" t="n">
        <v>4.5</v>
      </c>
      <c r="O31" s="14" t="n">
        <v>6.89</v>
      </c>
      <c r="P31" s="14" t="n">
        <v>-282.5</v>
      </c>
      <c r="Q31" s="14" t="n">
        <v>4.12</v>
      </c>
      <c r="R31" s="14" t="n">
        <v>83.41</v>
      </c>
      <c r="S31" s="14" t="n">
        <v>40.42</v>
      </c>
      <c r="T31" s="14" t="n">
        <v>78.92</v>
      </c>
      <c r="U31" s="14" t="n">
        <v>0.48</v>
      </c>
      <c r="V31" s="14" t="n">
        <v>0.52</v>
      </c>
      <c r="W31" s="14" t="n">
        <v>1.14</v>
      </c>
      <c r="Z31" s="16" t="n">
        <v>942107.76</v>
      </c>
      <c r="AA31" s="14" t="n">
        <v>0.74</v>
      </c>
      <c r="AB31" s="14" t="n">
        <v>0.62</v>
      </c>
      <c r="AC31" s="14" t="n">
        <v>0.07</v>
      </c>
      <c r="AD31" s="16" t="n">
        <v>164684072.72</v>
      </c>
    </row>
    <row r="32" customFormat="false" ht="15.75" hidden="false" customHeight="false" outlineLevel="0" collapsed="false">
      <c r="A32" s="14" t="s">
        <v>57</v>
      </c>
      <c r="B32" s="14" t="n">
        <v>65.94</v>
      </c>
      <c r="C32" s="14" t="n">
        <v>6.96</v>
      </c>
      <c r="D32" s="14" t="n">
        <v>8.64</v>
      </c>
      <c r="E32" s="14" t="n">
        <v>3.05</v>
      </c>
      <c r="F32" s="14" t="n">
        <v>1.44</v>
      </c>
      <c r="G32" s="14" t="n">
        <v>45.23</v>
      </c>
      <c r="H32" s="14" t="n">
        <v>31.96</v>
      </c>
      <c r="I32" s="14" t="n">
        <v>27.16</v>
      </c>
      <c r="J32" s="14" t="n">
        <v>7.34</v>
      </c>
      <c r="K32" s="14" t="n">
        <v>6.79</v>
      </c>
      <c r="L32" s="14" t="n">
        <v>-0.55</v>
      </c>
      <c r="M32" s="14" t="n">
        <v>-0.23</v>
      </c>
      <c r="N32" s="14" t="n">
        <v>2.35</v>
      </c>
      <c r="O32" s="14" t="n">
        <v>12.76</v>
      </c>
      <c r="P32" s="14" t="n">
        <v>-2.53</v>
      </c>
      <c r="Q32" s="14" t="n">
        <v>1.36</v>
      </c>
      <c r="R32" s="14" t="n">
        <v>35.29</v>
      </c>
      <c r="S32" s="14" t="n">
        <v>16.69</v>
      </c>
      <c r="T32" s="14" t="n">
        <v>27.8</v>
      </c>
      <c r="U32" s="14" t="n">
        <v>0.47</v>
      </c>
      <c r="V32" s="14" t="n">
        <v>0.53</v>
      </c>
      <c r="W32" s="14" t="n">
        <v>0.61</v>
      </c>
      <c r="Z32" s="16" t="n">
        <v>20849574</v>
      </c>
      <c r="AA32" s="14" t="n">
        <v>21.63</v>
      </c>
      <c r="AB32" s="14" t="n">
        <v>7.63</v>
      </c>
      <c r="AC32" s="14" t="n">
        <v>0</v>
      </c>
      <c r="AD32" s="16" t="n">
        <v>4667587510.8</v>
      </c>
    </row>
    <row r="33" customFormat="false" ht="15.75" hidden="false" customHeight="false" outlineLevel="0" collapsed="false">
      <c r="A33" s="14" t="s">
        <v>59</v>
      </c>
      <c r="B33" s="14" t="n">
        <v>24.3</v>
      </c>
      <c r="D33" s="14" t="n">
        <v>-1.66</v>
      </c>
      <c r="E33" s="14" t="n">
        <v>1.68</v>
      </c>
      <c r="F33" s="14" t="n">
        <v>0.24</v>
      </c>
      <c r="G33" s="14" t="n">
        <v>-12.48</v>
      </c>
      <c r="H33" s="14" t="n">
        <v>-102.43</v>
      </c>
      <c r="I33" s="14" t="n">
        <v>-126.07</v>
      </c>
      <c r="J33" s="14" t="n">
        <v>-2.04</v>
      </c>
      <c r="K33" s="14" t="n">
        <v>-4.6</v>
      </c>
      <c r="L33" s="14" t="n">
        <v>-2.56</v>
      </c>
      <c r="M33" s="14" t="n">
        <v>2.11</v>
      </c>
      <c r="N33" s="14" t="n">
        <v>2.09</v>
      </c>
      <c r="O33" s="14" t="n">
        <v>2.61</v>
      </c>
      <c r="P33" s="14" t="n">
        <v>-0.4</v>
      </c>
      <c r="Q33" s="14" t="n">
        <v>1.31</v>
      </c>
      <c r="R33" s="14" t="n">
        <v>-101.29</v>
      </c>
      <c r="S33" s="14" t="n">
        <v>-14.69</v>
      </c>
      <c r="T33" s="14" t="n">
        <v>-20.92</v>
      </c>
      <c r="U33" s="14" t="n">
        <v>0.14</v>
      </c>
      <c r="V33" s="14" t="n">
        <v>0.85</v>
      </c>
      <c r="W33" s="14" t="n">
        <v>0.12</v>
      </c>
      <c r="Z33" s="16" t="n">
        <v>244953.56</v>
      </c>
      <c r="AA33" s="14" t="n">
        <v>14.46</v>
      </c>
      <c r="AB33" s="14" t="n">
        <v>-14.65</v>
      </c>
      <c r="AC33" s="14" t="n">
        <v>0.09</v>
      </c>
      <c r="AD33" s="16" t="n">
        <v>544703794.2</v>
      </c>
    </row>
    <row r="34" customFormat="false" ht="15.75" hidden="false" customHeight="false" outlineLevel="0" collapsed="false">
      <c r="A34" s="14" t="s">
        <v>60</v>
      </c>
      <c r="B34" s="14" t="n">
        <v>7.2</v>
      </c>
      <c r="D34" s="14" t="n">
        <v>1</v>
      </c>
      <c r="E34" s="14" t="n">
        <v>-2.23</v>
      </c>
      <c r="F34" s="14" t="n">
        <v>3.14</v>
      </c>
      <c r="G34" s="14" t="n">
        <v>-490.3</v>
      </c>
      <c r="H34" s="16" t="n">
        <v>8092.3</v>
      </c>
      <c r="I34" s="16" t="n">
        <v>7652.35</v>
      </c>
      <c r="J34" s="14" t="n">
        <v>0.94</v>
      </c>
      <c r="K34" s="14" t="n">
        <v>0.86</v>
      </c>
      <c r="L34" s="14" t="n">
        <v>0</v>
      </c>
      <c r="N34" s="14" t="n">
        <v>76.19</v>
      </c>
      <c r="O34" s="14" t="n">
        <v>176.05</v>
      </c>
      <c r="P34" s="14" t="n">
        <v>-7.69</v>
      </c>
      <c r="Q34" s="14" t="n">
        <v>1.03</v>
      </c>
      <c r="R34" s="14" t="n">
        <v>-223.59</v>
      </c>
      <c r="S34" s="14" t="n">
        <v>315.76</v>
      </c>
      <c r="T34" s="14" t="n">
        <v>-236.26</v>
      </c>
      <c r="U34" s="14" t="n">
        <v>-1.41</v>
      </c>
      <c r="V34" s="14" t="n">
        <v>2.41</v>
      </c>
      <c r="W34" s="14" t="n">
        <v>0.04</v>
      </c>
      <c r="X34" s="14" t="n">
        <v>-38.42</v>
      </c>
      <c r="Z34" s="16" t="n">
        <v>1590824.2</v>
      </c>
      <c r="AA34" s="14" t="n">
        <v>-3.28</v>
      </c>
      <c r="AB34" s="14" t="n">
        <v>7.33</v>
      </c>
      <c r="AC34" s="14" t="n">
        <v>-0.01</v>
      </c>
      <c r="AD34" s="16" t="n">
        <v>132924000</v>
      </c>
    </row>
    <row r="35" customFormat="false" ht="15.75" hidden="false" customHeight="false" outlineLevel="0" collapsed="false">
      <c r="A35" s="14" t="s">
        <v>61</v>
      </c>
      <c r="B35" s="14" t="n">
        <v>6.38</v>
      </c>
      <c r="D35" s="14" t="n">
        <v>0.87</v>
      </c>
      <c r="E35" s="14" t="n">
        <v>-1.95</v>
      </c>
      <c r="F35" s="14" t="n">
        <v>2.75</v>
      </c>
      <c r="G35" s="14" t="n">
        <v>-490.3</v>
      </c>
      <c r="H35" s="16" t="n">
        <v>8092.3</v>
      </c>
      <c r="I35" s="16" t="n">
        <v>7652.35</v>
      </c>
      <c r="J35" s="14" t="n">
        <v>0.82</v>
      </c>
      <c r="K35" s="14" t="n">
        <v>0.86</v>
      </c>
      <c r="L35" s="14" t="n">
        <v>0</v>
      </c>
      <c r="N35" s="14" t="n">
        <v>66.59</v>
      </c>
      <c r="O35" s="14" t="n">
        <v>153.87</v>
      </c>
      <c r="P35" s="14" t="n">
        <v>-6.72</v>
      </c>
      <c r="Q35" s="14" t="n">
        <v>1.03</v>
      </c>
      <c r="R35" s="14" t="n">
        <v>-223.59</v>
      </c>
      <c r="S35" s="14" t="n">
        <v>315.76</v>
      </c>
      <c r="T35" s="14" t="n">
        <v>-236.26</v>
      </c>
      <c r="U35" s="14" t="n">
        <v>-1.41</v>
      </c>
      <c r="V35" s="14" t="n">
        <v>2.41</v>
      </c>
      <c r="W35" s="14" t="n">
        <v>0.04</v>
      </c>
      <c r="X35" s="14" t="n">
        <v>-38.42</v>
      </c>
      <c r="Z35" s="16" t="n">
        <v>6334139.49</v>
      </c>
      <c r="AA35" s="14" t="n">
        <v>-3.28</v>
      </c>
      <c r="AB35" s="14" t="n">
        <v>7.33</v>
      </c>
      <c r="AC35" s="14" t="n">
        <v>0</v>
      </c>
      <c r="AD35" s="16" t="n">
        <v>132924000</v>
      </c>
    </row>
    <row r="36" customFormat="false" ht="15.75" hidden="false" customHeight="false" outlineLevel="0" collapsed="false">
      <c r="A36" s="14" t="s">
        <v>62</v>
      </c>
      <c r="B36" s="14" t="n">
        <v>44.72</v>
      </c>
      <c r="D36" s="14" t="n">
        <v>-7.53</v>
      </c>
      <c r="E36" s="14" t="n">
        <v>-3.33</v>
      </c>
      <c r="F36" s="14" t="n">
        <v>3.7</v>
      </c>
      <c r="G36" s="14" t="n">
        <v>-3.66</v>
      </c>
      <c r="H36" s="14" t="n">
        <v>-37.84</v>
      </c>
      <c r="I36" s="14" t="n">
        <v>-156.71</v>
      </c>
      <c r="J36" s="14" t="n">
        <v>-31.17</v>
      </c>
      <c r="K36" s="14" t="n">
        <v>-34.16</v>
      </c>
      <c r="L36" s="14" t="n">
        <v>-3.04</v>
      </c>
      <c r="N36" s="14" t="n">
        <v>11.8</v>
      </c>
      <c r="O36" s="14" t="n">
        <v>-9.88</v>
      </c>
      <c r="P36" s="14" t="n">
        <v>-5.29</v>
      </c>
      <c r="Q36" s="14" t="n">
        <v>0.45</v>
      </c>
      <c r="R36" s="14" t="n">
        <v>-44.18</v>
      </c>
      <c r="S36" s="14" t="n">
        <v>-49.17</v>
      </c>
      <c r="T36" s="14" t="n">
        <v>19.84</v>
      </c>
      <c r="U36" s="14" t="n">
        <v>-1.11</v>
      </c>
      <c r="V36" s="14" t="n">
        <v>2.11</v>
      </c>
      <c r="W36" s="14" t="n">
        <v>0.31</v>
      </c>
      <c r="X36" s="14" t="n">
        <v>-1.7</v>
      </c>
      <c r="Z36" s="16" t="n">
        <v>276647244.93</v>
      </c>
      <c r="AA36" s="14" t="n">
        <v>-13.39</v>
      </c>
      <c r="AB36" s="14" t="n">
        <v>-5.92</v>
      </c>
      <c r="AC36" s="14" t="n">
        <v>0.54</v>
      </c>
      <c r="AD36" s="16" t="n">
        <v>56131392046.86</v>
      </c>
    </row>
    <row r="37" customFormat="false" ht="15.75" hidden="false" customHeight="false" outlineLevel="0" collapsed="false">
      <c r="A37" s="14" t="s">
        <v>63</v>
      </c>
      <c r="B37" s="14" t="n">
        <v>17.01</v>
      </c>
      <c r="C37" s="14" t="n">
        <v>6.34</v>
      </c>
      <c r="D37" s="14" t="n">
        <v>23.78</v>
      </c>
      <c r="E37" s="14" t="n">
        <v>4.28</v>
      </c>
      <c r="F37" s="14" t="n">
        <v>2.26</v>
      </c>
      <c r="G37" s="14" t="n">
        <v>90.38</v>
      </c>
      <c r="H37" s="14" t="n">
        <v>61.43</v>
      </c>
      <c r="I37" s="14" t="n">
        <v>44.64</v>
      </c>
      <c r="J37" s="14" t="n">
        <v>17.28</v>
      </c>
      <c r="K37" s="14" t="n">
        <v>15.85</v>
      </c>
      <c r="L37" s="14" t="n">
        <v>-1.42</v>
      </c>
      <c r="M37" s="14" t="n">
        <v>-0.35</v>
      </c>
      <c r="N37" s="14" t="n">
        <v>10.61</v>
      </c>
      <c r="O37" s="14" t="n">
        <v>14.12</v>
      </c>
      <c r="P37" s="14" t="n">
        <v>-3.56</v>
      </c>
      <c r="Q37" s="14" t="n">
        <v>1.78</v>
      </c>
      <c r="R37" s="14" t="n">
        <v>18</v>
      </c>
      <c r="S37" s="14" t="n">
        <v>9.49</v>
      </c>
      <c r="T37" s="14" t="n">
        <v>13.99</v>
      </c>
      <c r="U37" s="14" t="n">
        <v>0.53</v>
      </c>
      <c r="V37" s="14" t="n">
        <v>0.47</v>
      </c>
      <c r="W37" s="14" t="n">
        <v>0.21</v>
      </c>
      <c r="X37" s="14" t="n">
        <v>33.29</v>
      </c>
      <c r="Y37" s="14" t="n">
        <v>13.5</v>
      </c>
      <c r="Z37" s="16" t="n">
        <v>801989418.71</v>
      </c>
      <c r="AA37" s="14" t="n">
        <v>3.97</v>
      </c>
      <c r="AB37" s="14" t="n">
        <v>0.72</v>
      </c>
      <c r="AC37" s="14" t="n">
        <v>0.6</v>
      </c>
      <c r="AD37" s="16" t="n">
        <v>104142000000</v>
      </c>
    </row>
    <row r="38" customFormat="false" ht="15.75" hidden="false" customHeight="false" outlineLevel="0" collapsed="false">
      <c r="A38" s="14" t="s">
        <v>64</v>
      </c>
      <c r="B38" s="14" t="n">
        <v>77.3</v>
      </c>
      <c r="D38" s="14" t="n">
        <v>-4.7</v>
      </c>
      <c r="E38" s="14" t="n">
        <v>1.05</v>
      </c>
      <c r="F38" s="14" t="n">
        <v>0.31</v>
      </c>
      <c r="G38" s="14" t="n">
        <v>40.93</v>
      </c>
      <c r="H38" s="14" t="n">
        <v>-4.94</v>
      </c>
      <c r="I38" s="14" t="n">
        <v>-18.01</v>
      </c>
      <c r="J38" s="14" t="n">
        <v>-17.14</v>
      </c>
      <c r="K38" s="14" t="n">
        <v>-11.94</v>
      </c>
      <c r="L38" s="14" t="n">
        <v>5.2</v>
      </c>
      <c r="M38" s="14" t="n">
        <v>-0.32</v>
      </c>
      <c r="N38" s="14" t="n">
        <v>0.85</v>
      </c>
      <c r="O38" s="14" t="n">
        <v>-5.58</v>
      </c>
      <c r="P38" s="14" t="n">
        <v>-0.4</v>
      </c>
      <c r="Q38" s="14" t="n">
        <v>0.8</v>
      </c>
      <c r="R38" s="14" t="n">
        <v>-22.36</v>
      </c>
      <c r="S38" s="14" t="n">
        <v>-6.62</v>
      </c>
      <c r="T38" s="14" t="n">
        <v>-9.16</v>
      </c>
      <c r="U38" s="14" t="n">
        <v>0.3</v>
      </c>
      <c r="V38" s="14" t="n">
        <v>0.7</v>
      </c>
      <c r="W38" s="14" t="n">
        <v>0.37</v>
      </c>
      <c r="Z38" s="16" t="n">
        <v>69593.94</v>
      </c>
      <c r="AA38" s="14" t="n">
        <v>73.48</v>
      </c>
      <c r="AB38" s="14" t="n">
        <v>-16.43</v>
      </c>
      <c r="AC38" s="14" t="n">
        <v>-0.04</v>
      </c>
      <c r="AD38" s="16" t="n">
        <v>186994111</v>
      </c>
    </row>
    <row r="39" customFormat="false" ht="15.75" hidden="false" customHeight="false" outlineLevel="0" collapsed="false">
      <c r="A39" s="14" t="s">
        <v>65</v>
      </c>
      <c r="B39" s="14" t="n">
        <v>19.99</v>
      </c>
      <c r="C39" s="14" t="n">
        <v>3</v>
      </c>
      <c r="D39" s="14" t="n">
        <v>8.95</v>
      </c>
      <c r="E39" s="14" t="n">
        <v>1.62</v>
      </c>
      <c r="F39" s="14" t="n">
        <v>0.9</v>
      </c>
      <c r="G39" s="14" t="n">
        <v>51.82</v>
      </c>
      <c r="H39" s="14" t="n">
        <v>11.93</v>
      </c>
      <c r="I39" s="14" t="n">
        <v>13.25</v>
      </c>
      <c r="J39" s="14" t="n">
        <v>9.94</v>
      </c>
      <c r="K39" s="14" t="n">
        <v>9.19</v>
      </c>
      <c r="L39" s="14" t="n">
        <v>-0.83</v>
      </c>
      <c r="M39" s="14" t="n">
        <v>-0.14</v>
      </c>
      <c r="N39" s="14" t="n">
        <v>1.19</v>
      </c>
      <c r="O39" s="14" t="n">
        <v>2.31</v>
      </c>
      <c r="P39" s="14" t="n">
        <v>-2.69</v>
      </c>
      <c r="Q39" s="14" t="n">
        <v>2.4</v>
      </c>
      <c r="R39" s="14" t="n">
        <v>18.11</v>
      </c>
      <c r="S39" s="14" t="n">
        <v>10.04</v>
      </c>
      <c r="T39" s="14" t="n">
        <v>10.39</v>
      </c>
      <c r="U39" s="14" t="n">
        <v>0.55</v>
      </c>
      <c r="V39" s="14" t="n">
        <v>0.41</v>
      </c>
      <c r="W39" s="14" t="n">
        <v>0.76</v>
      </c>
      <c r="X39" s="14" t="n">
        <v>7.78</v>
      </c>
      <c r="Y39" s="14" t="n">
        <v>1.84</v>
      </c>
      <c r="Z39" s="16" t="n">
        <v>20942.94</v>
      </c>
      <c r="AA39" s="14" t="n">
        <v>12.34</v>
      </c>
      <c r="AB39" s="14" t="n">
        <v>2.23</v>
      </c>
      <c r="AC39" s="14" t="n">
        <v>0.04</v>
      </c>
      <c r="AD39" s="16" t="n">
        <v>197666000</v>
      </c>
    </row>
    <row r="40" customFormat="false" ht="15.75" hidden="false" customHeight="false" outlineLevel="0" collapsed="false">
      <c r="A40" s="14" t="s">
        <v>66</v>
      </c>
      <c r="B40" s="14" t="n">
        <v>20.35</v>
      </c>
      <c r="C40" s="14" t="n">
        <v>3.29</v>
      </c>
      <c r="D40" s="14" t="n">
        <v>9.11</v>
      </c>
      <c r="E40" s="14" t="n">
        <v>1.65</v>
      </c>
      <c r="F40" s="14" t="n">
        <v>0.91</v>
      </c>
      <c r="G40" s="14" t="n">
        <v>51.82</v>
      </c>
      <c r="H40" s="14" t="n">
        <v>11.93</v>
      </c>
      <c r="I40" s="14" t="n">
        <v>13.25</v>
      </c>
      <c r="J40" s="14" t="n">
        <v>10.12</v>
      </c>
      <c r="K40" s="14" t="n">
        <v>9.19</v>
      </c>
      <c r="L40" s="14" t="n">
        <v>-0.83</v>
      </c>
      <c r="M40" s="14" t="n">
        <v>-0.14</v>
      </c>
      <c r="N40" s="14" t="n">
        <v>1.21</v>
      </c>
      <c r="O40" s="14" t="n">
        <v>2.36</v>
      </c>
      <c r="P40" s="14" t="n">
        <v>-2.74</v>
      </c>
      <c r="Q40" s="14" t="n">
        <v>2.4</v>
      </c>
      <c r="R40" s="14" t="n">
        <v>18.11</v>
      </c>
      <c r="S40" s="14" t="n">
        <v>10.04</v>
      </c>
      <c r="T40" s="14" t="n">
        <v>10.39</v>
      </c>
      <c r="U40" s="14" t="n">
        <v>0.55</v>
      </c>
      <c r="V40" s="14" t="n">
        <v>0.41</v>
      </c>
      <c r="W40" s="14" t="n">
        <v>0.76</v>
      </c>
      <c r="X40" s="14" t="n">
        <v>7.78</v>
      </c>
      <c r="Y40" s="14" t="n">
        <v>1.84</v>
      </c>
      <c r="Z40" s="16" t="n">
        <v>108100.57</v>
      </c>
      <c r="AA40" s="14" t="n">
        <v>12.34</v>
      </c>
      <c r="AB40" s="14" t="n">
        <v>2.23</v>
      </c>
      <c r="AC40" s="14" t="n">
        <v>0.04</v>
      </c>
      <c r="AD40" s="16" t="n">
        <v>197666000</v>
      </c>
    </row>
    <row r="41" customFormat="false" ht="15.75" hidden="false" customHeight="false" outlineLevel="0" collapsed="false">
      <c r="A41" s="14" t="s">
        <v>67</v>
      </c>
      <c r="B41" s="14" t="n">
        <v>89</v>
      </c>
      <c r="D41" s="14" t="n">
        <v>21.62</v>
      </c>
      <c r="E41" s="14" t="n">
        <v>4.94</v>
      </c>
      <c r="F41" s="14" t="n">
        <v>3.23</v>
      </c>
      <c r="G41" s="14" t="n">
        <v>21.72</v>
      </c>
      <c r="H41" s="14" t="n">
        <v>11.4</v>
      </c>
      <c r="I41" s="14" t="n">
        <v>11.43</v>
      </c>
      <c r="J41" s="14" t="n">
        <v>21.68</v>
      </c>
      <c r="K41" s="14" t="n">
        <v>20.76</v>
      </c>
      <c r="L41" s="14" t="n">
        <v>-0.91</v>
      </c>
      <c r="M41" s="14" t="n">
        <v>-0.21</v>
      </c>
      <c r="N41" s="14" t="n">
        <v>2.47</v>
      </c>
      <c r="O41" s="14" t="n">
        <v>68.24</v>
      </c>
      <c r="P41" s="14" t="n">
        <v>-5.14</v>
      </c>
      <c r="Q41" s="14" t="n">
        <v>1.15</v>
      </c>
      <c r="R41" s="14" t="n">
        <v>22.84</v>
      </c>
      <c r="S41" s="14" t="n">
        <v>14.95</v>
      </c>
      <c r="T41" s="14" t="n">
        <v>16.51</v>
      </c>
      <c r="U41" s="14" t="n">
        <v>0.65</v>
      </c>
      <c r="V41" s="14" t="n">
        <v>0.35</v>
      </c>
      <c r="W41" s="14" t="n">
        <v>1.31</v>
      </c>
      <c r="X41" s="14" t="n">
        <v>10.9</v>
      </c>
      <c r="Y41" s="14" t="n">
        <v>33.53</v>
      </c>
      <c r="Z41" s="16" t="n">
        <v>42861.9</v>
      </c>
      <c r="AA41" s="14" t="n">
        <v>18.02</v>
      </c>
      <c r="AB41" s="14" t="n">
        <v>4.12</v>
      </c>
      <c r="AC41" s="14" t="n">
        <v>0.47</v>
      </c>
      <c r="AD41" s="16" t="n">
        <v>464777758</v>
      </c>
    </row>
    <row r="42" customFormat="false" ht="15.75" hidden="false" customHeight="false" outlineLevel="0" collapsed="false">
      <c r="A42" s="14" t="s">
        <v>68</v>
      </c>
      <c r="B42" s="14" t="n">
        <v>40</v>
      </c>
      <c r="C42" s="14" t="n">
        <v>6.5</v>
      </c>
      <c r="D42" s="14" t="n">
        <v>3.51</v>
      </c>
      <c r="E42" s="14" t="n">
        <v>0.48</v>
      </c>
      <c r="F42" s="14" t="n">
        <v>0.05</v>
      </c>
      <c r="G42" s="14" t="n">
        <v>43.93</v>
      </c>
      <c r="H42" s="14" t="n">
        <v>58.9</v>
      </c>
      <c r="I42" s="14" t="n">
        <v>38.31</v>
      </c>
      <c r="J42" s="14" t="n">
        <v>2.28</v>
      </c>
      <c r="K42" s="14" t="n">
        <v>2.28</v>
      </c>
      <c r="N42" s="14" t="n">
        <v>1.34</v>
      </c>
      <c r="O42" s="14" t="n">
        <v>1.74</v>
      </c>
      <c r="P42" s="14" t="n">
        <v>-0.06</v>
      </c>
      <c r="R42" s="14" t="n">
        <v>13.57</v>
      </c>
      <c r="S42" s="14" t="n">
        <v>1.56</v>
      </c>
      <c r="U42" s="14" t="n">
        <v>0.11</v>
      </c>
      <c r="V42" s="14" t="n">
        <v>0.89</v>
      </c>
      <c r="W42" s="14" t="n">
        <v>0.04</v>
      </c>
      <c r="X42" s="14" t="n">
        <v>-8.12</v>
      </c>
      <c r="Y42" s="14" t="n">
        <v>1.3</v>
      </c>
      <c r="Z42" s="16" t="n">
        <v>97890.68</v>
      </c>
      <c r="AA42" s="14" t="n">
        <v>84</v>
      </c>
      <c r="AB42" s="14" t="n">
        <v>11.4</v>
      </c>
      <c r="AC42" s="14" t="n">
        <v>0.54</v>
      </c>
      <c r="AD42" s="16" t="n">
        <v>1185838680</v>
      </c>
    </row>
    <row r="43" customFormat="false" ht="15.75" hidden="false" customHeight="false" outlineLevel="0" collapsed="false">
      <c r="A43" s="14" t="s">
        <v>69</v>
      </c>
      <c r="B43" s="14" t="n">
        <v>32.33</v>
      </c>
      <c r="C43" s="14" t="n">
        <v>6.25</v>
      </c>
      <c r="D43" s="14" t="n">
        <v>6.87</v>
      </c>
      <c r="E43" s="14" t="n">
        <v>0.73</v>
      </c>
      <c r="F43" s="14" t="n">
        <v>0.05</v>
      </c>
      <c r="G43" s="14" t="n">
        <v>28.46</v>
      </c>
      <c r="H43" s="14" t="n">
        <v>11.98</v>
      </c>
      <c r="I43" s="14" t="n">
        <v>12.78</v>
      </c>
      <c r="J43" s="14" t="n">
        <v>7.33</v>
      </c>
      <c r="K43" s="14" t="n">
        <v>7.34</v>
      </c>
      <c r="N43" s="14" t="n">
        <v>0.88</v>
      </c>
      <c r="O43" s="14" t="n">
        <v>1.59</v>
      </c>
      <c r="P43" s="14" t="n">
        <v>-0.05</v>
      </c>
      <c r="Q43" s="14" t="n">
        <v>13.92</v>
      </c>
      <c r="R43" s="14" t="n">
        <v>10.57</v>
      </c>
      <c r="S43" s="14" t="n">
        <v>0.71</v>
      </c>
      <c r="U43" s="14" t="n">
        <v>0.07</v>
      </c>
      <c r="V43" s="14" t="n">
        <v>0.93</v>
      </c>
      <c r="W43" s="14" t="n">
        <v>0.06</v>
      </c>
      <c r="X43" s="14" t="n">
        <v>-11.56</v>
      </c>
      <c r="Y43" s="14" t="n">
        <v>-3.39</v>
      </c>
      <c r="Z43" s="16" t="n">
        <v>473756490.05</v>
      </c>
      <c r="AA43" s="14" t="n">
        <v>44.53</v>
      </c>
      <c r="AB43" s="14" t="n">
        <v>4.7</v>
      </c>
      <c r="AC43" s="14" t="n">
        <v>-0.27</v>
      </c>
      <c r="AD43" s="16" t="n">
        <v>92753548937.4</v>
      </c>
    </row>
    <row r="44" customFormat="false" ht="15.75" hidden="false" customHeight="false" outlineLevel="0" collapsed="false">
      <c r="A44" s="14" t="s">
        <v>70</v>
      </c>
      <c r="B44" s="14" t="n">
        <v>21.99</v>
      </c>
      <c r="C44" s="14" t="n">
        <v>2.74</v>
      </c>
      <c r="D44" s="14" t="n">
        <v>11.08</v>
      </c>
      <c r="E44" s="14" t="n">
        <v>1.48</v>
      </c>
      <c r="F44" s="14" t="n">
        <v>0.15</v>
      </c>
      <c r="G44" s="14" t="n">
        <v>36.57</v>
      </c>
      <c r="H44" s="14" t="n">
        <v>20.6</v>
      </c>
      <c r="I44" s="14" t="n">
        <v>22.22</v>
      </c>
      <c r="J44" s="14" t="n">
        <v>11.95</v>
      </c>
      <c r="K44" s="14" t="n">
        <v>13.08</v>
      </c>
      <c r="N44" s="14" t="n">
        <v>2.46</v>
      </c>
      <c r="O44" s="14" t="n">
        <v>2.03</v>
      </c>
      <c r="P44" s="14" t="n">
        <v>-0.17</v>
      </c>
      <c r="Q44" s="14" t="n">
        <v>6.19</v>
      </c>
      <c r="R44" s="14" t="n">
        <v>13.39</v>
      </c>
      <c r="S44" s="14" t="n">
        <v>1.39</v>
      </c>
      <c r="U44" s="14" t="n">
        <v>0.1</v>
      </c>
      <c r="V44" s="14" t="n">
        <v>0.9</v>
      </c>
      <c r="W44" s="14" t="n">
        <v>0.06</v>
      </c>
      <c r="X44" s="14" t="n">
        <v>-3</v>
      </c>
      <c r="Y44" s="14" t="n">
        <v>-2.54</v>
      </c>
      <c r="Z44" s="16" t="n">
        <v>180773437.68</v>
      </c>
      <c r="AA44" s="14" t="n">
        <v>14.84</v>
      </c>
      <c r="AB44" s="14" t="n">
        <v>1.99</v>
      </c>
      <c r="AC44" s="14" t="n">
        <v>3.56</v>
      </c>
      <c r="AD44" s="16" t="n">
        <v>234282188269.26</v>
      </c>
    </row>
    <row r="45" customFormat="false" ht="15.75" hidden="false" customHeight="false" outlineLevel="0" collapsed="false">
      <c r="A45" s="14" t="s">
        <v>71</v>
      </c>
      <c r="B45" s="14" t="n">
        <v>26.05</v>
      </c>
      <c r="C45" s="14" t="n">
        <v>2.55</v>
      </c>
      <c r="D45" s="14" t="n">
        <v>13.12</v>
      </c>
      <c r="E45" s="14" t="n">
        <v>1.76</v>
      </c>
      <c r="F45" s="14" t="n">
        <v>0.18</v>
      </c>
      <c r="G45" s="14" t="n">
        <v>36.57</v>
      </c>
      <c r="H45" s="14" t="n">
        <v>20.6</v>
      </c>
      <c r="I45" s="14" t="n">
        <v>22.22</v>
      </c>
      <c r="J45" s="14" t="n">
        <v>14.15</v>
      </c>
      <c r="K45" s="14" t="n">
        <v>13.08</v>
      </c>
      <c r="N45" s="14" t="n">
        <v>2.92</v>
      </c>
      <c r="O45" s="14" t="n">
        <v>2.4</v>
      </c>
      <c r="P45" s="14" t="n">
        <v>-0.2</v>
      </c>
      <c r="Q45" s="14" t="n">
        <v>6.19</v>
      </c>
      <c r="R45" s="14" t="n">
        <v>13.39</v>
      </c>
      <c r="S45" s="14" t="n">
        <v>1.39</v>
      </c>
      <c r="U45" s="14" t="n">
        <v>0.1</v>
      </c>
      <c r="V45" s="14" t="n">
        <v>0.9</v>
      </c>
      <c r="W45" s="14" t="n">
        <v>0.06</v>
      </c>
      <c r="X45" s="14" t="n">
        <v>-3</v>
      </c>
      <c r="Y45" s="14" t="n">
        <v>-2.54</v>
      </c>
      <c r="Z45" s="16" t="n">
        <v>974244727.73</v>
      </c>
      <c r="AA45" s="14" t="n">
        <v>14.84</v>
      </c>
      <c r="AB45" s="14" t="n">
        <v>1.99</v>
      </c>
      <c r="AC45" s="14" t="n">
        <v>4.22</v>
      </c>
      <c r="AD45" s="16" t="n">
        <v>234282188269.26</v>
      </c>
    </row>
    <row r="46" customFormat="false" ht="15.75" hidden="false" customHeight="false" outlineLevel="0" collapsed="false">
      <c r="A46" s="14" t="s">
        <v>72</v>
      </c>
      <c r="B46" s="16" t="n">
        <v>3936.42</v>
      </c>
      <c r="C46" s="14" t="n">
        <v>0.01</v>
      </c>
      <c r="D46" s="16" t="n">
        <v>14941.03</v>
      </c>
      <c r="E46" s="16" t="n">
        <v>1266.22</v>
      </c>
      <c r="F46" s="14" t="n">
        <v>175.86</v>
      </c>
      <c r="G46" s="14" t="n">
        <v>12.27</v>
      </c>
      <c r="H46" s="14" t="n">
        <v>3.44</v>
      </c>
      <c r="I46" s="14" t="n">
        <v>1</v>
      </c>
      <c r="J46" s="16" t="n">
        <v>4341.93</v>
      </c>
      <c r="K46" s="16" t="n">
        <v>4349.43</v>
      </c>
      <c r="L46" s="14" t="n">
        <v>7.5</v>
      </c>
      <c r="M46" s="14" t="n">
        <v>2.19</v>
      </c>
      <c r="N46" s="14" t="n">
        <v>149.41</v>
      </c>
      <c r="O46" s="16" t="n">
        <v>2692.28</v>
      </c>
      <c r="P46" s="14" t="n">
        <v>-320.05</v>
      </c>
      <c r="Q46" s="14" t="n">
        <v>1.17</v>
      </c>
      <c r="R46" s="14" t="n">
        <v>8.47</v>
      </c>
      <c r="S46" s="14" t="n">
        <v>1.18</v>
      </c>
      <c r="T46" s="14" t="n">
        <v>6.61</v>
      </c>
      <c r="U46" s="14" t="n">
        <v>0.14</v>
      </c>
      <c r="V46" s="14" t="n">
        <v>0.86</v>
      </c>
      <c r="W46" s="14" t="n">
        <v>1.18</v>
      </c>
      <c r="X46" s="14" t="n">
        <v>45.38</v>
      </c>
      <c r="Y46" s="14" t="n">
        <v>25.57</v>
      </c>
      <c r="AA46" s="14" t="n">
        <v>3.11</v>
      </c>
      <c r="AB46" s="14" t="n">
        <v>0.26</v>
      </c>
      <c r="AC46" s="14" t="n">
        <v>581.24</v>
      </c>
      <c r="AD46" s="16" t="n">
        <v>160451699191.56</v>
      </c>
    </row>
    <row r="47" customFormat="false" ht="15.75" hidden="false" customHeight="false" outlineLevel="0" collapsed="false">
      <c r="A47" s="14" t="s">
        <v>73</v>
      </c>
      <c r="B47" s="14" t="n">
        <v>2.32</v>
      </c>
      <c r="D47" s="14" t="n">
        <v>-1.39</v>
      </c>
      <c r="E47" s="14" t="n">
        <v>3.38</v>
      </c>
      <c r="F47" s="14" t="n">
        <v>0.95</v>
      </c>
      <c r="G47" s="14" t="n">
        <v>60.12</v>
      </c>
      <c r="H47" s="14" t="n">
        <v>-118.42</v>
      </c>
      <c r="I47" s="14" t="n">
        <v>-127.65</v>
      </c>
      <c r="J47" s="14" t="n">
        <v>-1.5</v>
      </c>
      <c r="K47" s="14" t="n">
        <v>-1.23</v>
      </c>
      <c r="L47" s="14" t="n">
        <v>0.28</v>
      </c>
      <c r="M47" s="14" t="n">
        <v>-0.62</v>
      </c>
      <c r="N47" s="14" t="n">
        <v>1.78</v>
      </c>
      <c r="O47" s="14" t="n">
        <v>-10.42</v>
      </c>
      <c r="P47" s="14" t="n">
        <v>-1.31</v>
      </c>
      <c r="Q47" s="14" t="n">
        <v>0.75</v>
      </c>
      <c r="R47" s="14" t="n">
        <v>-242.34</v>
      </c>
      <c r="S47" s="14" t="n">
        <v>-68.06</v>
      </c>
      <c r="T47" s="14" t="n">
        <v>-223.44</v>
      </c>
      <c r="U47" s="14" t="n">
        <v>0.28</v>
      </c>
      <c r="V47" s="14" t="n">
        <v>0.72</v>
      </c>
      <c r="W47" s="14" t="n">
        <v>0.53</v>
      </c>
      <c r="X47" s="14" t="n">
        <v>-9.38</v>
      </c>
      <c r="Z47" s="16" t="n">
        <v>10994852.17</v>
      </c>
      <c r="AA47" s="14" t="n">
        <v>0.69</v>
      </c>
      <c r="AB47" s="14" t="n">
        <v>-1.67</v>
      </c>
      <c r="AC47" s="14" t="n">
        <v>0.11</v>
      </c>
      <c r="AD47" s="16" t="n">
        <v>182193831.68</v>
      </c>
    </row>
    <row r="48" customFormat="false" ht="15.75" hidden="false" customHeight="false" outlineLevel="0" collapsed="false">
      <c r="A48" s="14" t="s">
        <v>74</v>
      </c>
      <c r="B48" s="14" t="n">
        <v>23.61</v>
      </c>
      <c r="C48" s="14" t="n">
        <v>5.72</v>
      </c>
      <c r="D48" s="14" t="n">
        <v>11.98</v>
      </c>
      <c r="E48" s="14" t="n">
        <v>6.6</v>
      </c>
      <c r="F48" s="14" t="n">
        <v>4.57</v>
      </c>
      <c r="J48" s="14" t="n">
        <v>9.62</v>
      </c>
      <c r="K48" s="14" t="n">
        <v>9.64</v>
      </c>
      <c r="O48" s="14" t="n">
        <v>26.62</v>
      </c>
      <c r="P48" s="14" t="n">
        <v>-6.68</v>
      </c>
      <c r="Q48" s="14" t="n">
        <v>2.2</v>
      </c>
      <c r="R48" s="14" t="n">
        <v>55.06</v>
      </c>
      <c r="S48" s="14" t="n">
        <v>38.17</v>
      </c>
      <c r="U48" s="14" t="n">
        <v>0.69</v>
      </c>
      <c r="V48" s="14" t="n">
        <v>0.31</v>
      </c>
      <c r="W48" s="14" t="n">
        <v>0</v>
      </c>
      <c r="Y48" s="14" t="n">
        <v>-1.76</v>
      </c>
      <c r="Z48" s="16" t="n">
        <v>128974109.34</v>
      </c>
      <c r="AA48" s="14" t="n">
        <v>3.58</v>
      </c>
      <c r="AB48" s="14" t="n">
        <v>1.97</v>
      </c>
      <c r="AC48" s="14" t="n">
        <v>-0.3</v>
      </c>
      <c r="AD48" s="16" t="n">
        <v>47360000000</v>
      </c>
    </row>
    <row r="49" customFormat="false" ht="15.75" hidden="false" customHeight="false" outlineLevel="0" collapsed="false">
      <c r="A49" s="14" t="s">
        <v>75</v>
      </c>
      <c r="B49" s="14" t="n">
        <v>12.86</v>
      </c>
      <c r="D49" s="14" t="n">
        <v>-0.35</v>
      </c>
      <c r="E49" s="14" t="n">
        <v>-0.12</v>
      </c>
      <c r="F49" s="14" t="n">
        <v>0.03</v>
      </c>
      <c r="G49" s="14" t="n">
        <v>-119.02</v>
      </c>
      <c r="H49" s="14" t="n">
        <v>-353.49</v>
      </c>
      <c r="I49" s="14" t="n">
        <v>-350</v>
      </c>
      <c r="J49" s="14" t="n">
        <v>-0.35</v>
      </c>
      <c r="K49" s="14" t="n">
        <v>-4.46</v>
      </c>
      <c r="L49" s="14" t="n">
        <v>-4.11</v>
      </c>
      <c r="N49" s="14" t="n">
        <v>1.22</v>
      </c>
      <c r="O49" s="14" t="n">
        <v>-0.08</v>
      </c>
      <c r="P49" s="14" t="n">
        <v>-0.05</v>
      </c>
      <c r="Q49" s="14" t="n">
        <v>0.52</v>
      </c>
      <c r="R49" s="14" t="n">
        <v>-35.27</v>
      </c>
      <c r="S49" s="14" t="n">
        <v>-8.81</v>
      </c>
      <c r="T49" s="14" t="n">
        <v>-89.53</v>
      </c>
      <c r="U49" s="14" t="n">
        <v>-0.25</v>
      </c>
      <c r="V49" s="14" t="n">
        <v>1.25</v>
      </c>
      <c r="W49" s="14" t="n">
        <v>0.03</v>
      </c>
      <c r="X49" s="14" t="n">
        <v>-46.07</v>
      </c>
      <c r="Z49" s="16" t="n">
        <v>64687.17</v>
      </c>
      <c r="AA49" s="14" t="n">
        <v>-104.27</v>
      </c>
      <c r="AB49" s="14" t="n">
        <v>-36.78</v>
      </c>
      <c r="AC49" s="14" t="n">
        <v>0.01</v>
      </c>
      <c r="AD49" s="16" t="n">
        <v>20814273.92</v>
      </c>
    </row>
    <row r="50" customFormat="false" ht="15.75" hidden="false" customHeight="false" outlineLevel="0" collapsed="false">
      <c r="A50" s="14" t="s">
        <v>76</v>
      </c>
      <c r="B50" s="14" t="n">
        <v>13</v>
      </c>
      <c r="D50" s="14" t="n">
        <v>-0.36</v>
      </c>
      <c r="E50" s="14" t="n">
        <v>-0.13</v>
      </c>
      <c r="F50" s="14" t="n">
        <v>0.03</v>
      </c>
      <c r="G50" s="14" t="n">
        <v>-119.02</v>
      </c>
      <c r="H50" s="14" t="n">
        <v>-353.49</v>
      </c>
      <c r="I50" s="14" t="n">
        <v>-350</v>
      </c>
      <c r="J50" s="14" t="n">
        <v>-0.35</v>
      </c>
      <c r="K50" s="14" t="n">
        <v>-4.46</v>
      </c>
      <c r="L50" s="14" t="n">
        <v>-4.11</v>
      </c>
      <c r="N50" s="14" t="n">
        <v>1.25</v>
      </c>
      <c r="O50" s="14" t="n">
        <v>-0.09</v>
      </c>
      <c r="P50" s="14" t="n">
        <v>-0.05</v>
      </c>
      <c r="Q50" s="14" t="n">
        <v>0.52</v>
      </c>
      <c r="R50" s="14" t="n">
        <v>-35.27</v>
      </c>
      <c r="S50" s="14" t="n">
        <v>-8.81</v>
      </c>
      <c r="T50" s="14" t="n">
        <v>-89.53</v>
      </c>
      <c r="U50" s="14" t="n">
        <v>-0.25</v>
      </c>
      <c r="V50" s="14" t="n">
        <v>1.25</v>
      </c>
      <c r="W50" s="14" t="n">
        <v>0.03</v>
      </c>
      <c r="X50" s="14" t="n">
        <v>-46.07</v>
      </c>
      <c r="Z50" s="16" t="n">
        <v>135580.12</v>
      </c>
      <c r="AA50" s="14" t="n">
        <v>-104.27</v>
      </c>
      <c r="AB50" s="14" t="n">
        <v>-36.78</v>
      </c>
      <c r="AC50" s="14" t="n">
        <v>0.01</v>
      </c>
      <c r="AD50" s="16" t="n">
        <v>20814273.92</v>
      </c>
    </row>
    <row r="51" customFormat="false" ht="15.75" hidden="false" customHeight="false" outlineLevel="0" collapsed="false">
      <c r="A51" s="14" t="s">
        <v>77</v>
      </c>
      <c r="B51" s="14" t="n">
        <v>9.47</v>
      </c>
      <c r="C51" s="14" t="n">
        <v>10.88</v>
      </c>
      <c r="D51" s="14" t="n">
        <v>7.59</v>
      </c>
      <c r="E51" s="14" t="n">
        <v>5.13</v>
      </c>
      <c r="F51" s="14" t="n">
        <v>0.29</v>
      </c>
      <c r="G51" s="14" t="n">
        <v>19.14</v>
      </c>
      <c r="H51" s="14" t="n">
        <v>8.97</v>
      </c>
      <c r="I51" s="14" t="n">
        <v>3.26</v>
      </c>
      <c r="J51" s="14" t="n">
        <v>2.76</v>
      </c>
      <c r="K51" s="14" t="n">
        <v>5.61</v>
      </c>
      <c r="L51" s="14" t="n">
        <v>2.85</v>
      </c>
      <c r="M51" s="14" t="n">
        <v>5.31</v>
      </c>
      <c r="N51" s="14" t="n">
        <v>0.25</v>
      </c>
      <c r="O51" s="14" t="n">
        <v>0.89</v>
      </c>
      <c r="P51" s="14" t="n">
        <v>-0.89</v>
      </c>
      <c r="Q51" s="14" t="n">
        <v>1.9</v>
      </c>
      <c r="R51" s="14" t="n">
        <v>67.61</v>
      </c>
      <c r="S51" s="14" t="n">
        <v>3.77</v>
      </c>
      <c r="T51" s="14" t="n">
        <v>14.26</v>
      </c>
      <c r="U51" s="14" t="n">
        <v>0.06</v>
      </c>
      <c r="V51" s="14" t="n">
        <v>0.94</v>
      </c>
      <c r="W51" s="14" t="n">
        <v>1.16</v>
      </c>
      <c r="X51" s="14" t="n">
        <v>15.3</v>
      </c>
      <c r="Z51" s="16" t="n">
        <v>76528579.76</v>
      </c>
      <c r="AA51" s="14" t="n">
        <v>1.84</v>
      </c>
      <c r="AB51" s="14" t="n">
        <v>1.25</v>
      </c>
      <c r="AC51" s="14" t="n">
        <v>0.07</v>
      </c>
      <c r="AD51" s="16" t="n">
        <v>5199539721.2</v>
      </c>
    </row>
    <row r="52" customFormat="false" ht="15.75" hidden="false" customHeight="false" outlineLevel="0" collapsed="false">
      <c r="A52" s="14" t="s">
        <v>78</v>
      </c>
      <c r="B52" s="14" t="n">
        <v>5.26</v>
      </c>
      <c r="C52" s="14" t="n">
        <v>4.17</v>
      </c>
      <c r="D52" s="14" t="n">
        <v>7.91</v>
      </c>
      <c r="E52" s="14" t="n">
        <v>0.94</v>
      </c>
      <c r="F52" s="14" t="n">
        <v>0.05</v>
      </c>
      <c r="G52" s="14" t="n">
        <v>51.44</v>
      </c>
      <c r="H52" s="14" t="n">
        <v>22.72</v>
      </c>
      <c r="I52" s="14" t="n">
        <v>14.43</v>
      </c>
      <c r="J52" s="14" t="n">
        <v>5.02</v>
      </c>
      <c r="K52" s="14" t="n">
        <v>5.19</v>
      </c>
      <c r="N52" s="14" t="n">
        <v>1.14</v>
      </c>
      <c r="O52" s="14" t="n">
        <v>0.36</v>
      </c>
      <c r="P52" s="14" t="n">
        <v>-0.06</v>
      </c>
      <c r="R52" s="14" t="n">
        <v>11.91</v>
      </c>
      <c r="S52" s="14" t="n">
        <v>0.65</v>
      </c>
      <c r="U52" s="14" t="n">
        <v>0.05</v>
      </c>
      <c r="V52" s="14" t="n">
        <v>0.95</v>
      </c>
      <c r="W52" s="14" t="n">
        <v>0.05</v>
      </c>
      <c r="X52" s="14" t="n">
        <v>-7.16</v>
      </c>
      <c r="Y52" s="14" t="n">
        <v>7.23</v>
      </c>
      <c r="Z52" s="16" t="n">
        <v>208980.54</v>
      </c>
      <c r="AA52" s="14" t="n">
        <v>5.58</v>
      </c>
      <c r="AB52" s="14" t="n">
        <v>0.67</v>
      </c>
      <c r="AC52" s="14" t="n">
        <v>-0.77</v>
      </c>
      <c r="AD52" s="16" t="n">
        <v>1715886173.2</v>
      </c>
    </row>
    <row r="53" customFormat="false" ht="15.75" hidden="false" customHeight="false" outlineLevel="0" collapsed="false">
      <c r="A53" s="14" t="s">
        <v>79</v>
      </c>
      <c r="B53" s="14" t="n">
        <v>6.01</v>
      </c>
      <c r="C53" s="14" t="n">
        <v>3.65</v>
      </c>
      <c r="D53" s="14" t="n">
        <v>9.04</v>
      </c>
      <c r="E53" s="14" t="n">
        <v>1.08</v>
      </c>
      <c r="F53" s="14" t="n">
        <v>0.06</v>
      </c>
      <c r="G53" s="14" t="n">
        <v>51.44</v>
      </c>
      <c r="H53" s="14" t="n">
        <v>22.72</v>
      </c>
      <c r="I53" s="14" t="n">
        <v>14.43</v>
      </c>
      <c r="J53" s="14" t="n">
        <v>5.74</v>
      </c>
      <c r="K53" s="14" t="n">
        <v>5.19</v>
      </c>
      <c r="N53" s="14" t="n">
        <v>1.3</v>
      </c>
      <c r="O53" s="14" t="n">
        <v>0.41</v>
      </c>
      <c r="P53" s="14" t="n">
        <v>-0.07</v>
      </c>
      <c r="R53" s="14" t="n">
        <v>11.91</v>
      </c>
      <c r="S53" s="14" t="n">
        <v>0.65</v>
      </c>
      <c r="U53" s="14" t="n">
        <v>0.05</v>
      </c>
      <c r="V53" s="14" t="n">
        <v>0.95</v>
      </c>
      <c r="W53" s="14" t="n">
        <v>0.05</v>
      </c>
      <c r="X53" s="14" t="n">
        <v>-7.16</v>
      </c>
      <c r="Y53" s="14" t="n">
        <v>7.23</v>
      </c>
      <c r="Z53" s="16" t="n">
        <v>20701.27</v>
      </c>
      <c r="AA53" s="14" t="n">
        <v>5.58</v>
      </c>
      <c r="AB53" s="14" t="n">
        <v>0.67</v>
      </c>
      <c r="AC53" s="14" t="n">
        <v>-0.87</v>
      </c>
      <c r="AD53" s="16" t="n">
        <v>1715886173.2</v>
      </c>
    </row>
    <row r="54" customFormat="false" ht="15.75" hidden="false" customHeight="false" outlineLevel="0" collapsed="false">
      <c r="A54" s="14" t="s">
        <v>80</v>
      </c>
      <c r="B54" s="14" t="n">
        <v>0</v>
      </c>
      <c r="D54" s="14" t="n">
        <v>0</v>
      </c>
      <c r="E54" s="14" t="n">
        <v>0</v>
      </c>
      <c r="F54" s="14" t="n">
        <v>0</v>
      </c>
      <c r="J54" s="14" t="n">
        <v>0</v>
      </c>
      <c r="L54" s="14" t="n">
        <v>-14.51</v>
      </c>
      <c r="M54" s="14" t="n">
        <v>-0.29</v>
      </c>
      <c r="O54" s="14" t="n">
        <v>0</v>
      </c>
      <c r="P54" s="14" t="n">
        <v>0</v>
      </c>
      <c r="Q54" s="14" t="n">
        <v>19.68</v>
      </c>
      <c r="R54" s="14" t="n">
        <v>4.71</v>
      </c>
      <c r="S54" s="14" t="n">
        <v>4.56</v>
      </c>
      <c r="T54" s="14" t="n">
        <v>-0.39</v>
      </c>
      <c r="U54" s="14" t="n">
        <v>0.97</v>
      </c>
      <c r="V54" s="14" t="n">
        <v>0.03</v>
      </c>
      <c r="W54" s="14" t="n">
        <v>0</v>
      </c>
      <c r="Y54" s="14" t="n">
        <v>-3.4</v>
      </c>
      <c r="AA54" s="16" t="n">
        <v>259543.93</v>
      </c>
      <c r="AB54" s="16" t="n">
        <v>12220.36</v>
      </c>
      <c r="AC54" s="14" t="n">
        <v>0</v>
      </c>
    </row>
    <row r="55" customFormat="false" ht="15.75" hidden="false" customHeight="false" outlineLevel="0" collapsed="false">
      <c r="A55" s="14" t="s">
        <v>81</v>
      </c>
      <c r="B55" s="14" t="n">
        <v>0</v>
      </c>
      <c r="D55" s="14" t="n">
        <v>0</v>
      </c>
      <c r="E55" s="14" t="n">
        <v>0</v>
      </c>
      <c r="F55" s="14" t="n">
        <v>0</v>
      </c>
      <c r="J55" s="14" t="n">
        <v>0</v>
      </c>
      <c r="L55" s="14" t="n">
        <v>-14.51</v>
      </c>
      <c r="M55" s="14" t="n">
        <v>-0.29</v>
      </c>
      <c r="O55" s="14" t="n">
        <v>0</v>
      </c>
      <c r="P55" s="14" t="n">
        <v>0</v>
      </c>
      <c r="Q55" s="14" t="n">
        <v>19.68</v>
      </c>
      <c r="R55" s="14" t="n">
        <v>4.71</v>
      </c>
      <c r="S55" s="14" t="n">
        <v>4.56</v>
      </c>
      <c r="T55" s="14" t="n">
        <v>-0.39</v>
      </c>
      <c r="U55" s="14" t="n">
        <v>0.97</v>
      </c>
      <c r="V55" s="14" t="n">
        <v>0.03</v>
      </c>
      <c r="W55" s="14" t="n">
        <v>0</v>
      </c>
      <c r="Y55" s="14" t="n">
        <v>-3.4</v>
      </c>
      <c r="AA55" s="16" t="n">
        <v>259543.93</v>
      </c>
      <c r="AB55" s="16" t="n">
        <v>12220.36</v>
      </c>
      <c r="AC55" s="14" t="n">
        <v>0</v>
      </c>
    </row>
    <row r="56" customFormat="false" ht="15.75" hidden="false" customHeight="false" outlineLevel="0" collapsed="false">
      <c r="A56" s="14" t="s">
        <v>82</v>
      </c>
      <c r="B56" s="14" t="n">
        <v>35.86</v>
      </c>
      <c r="C56" s="14" t="n">
        <v>2.76</v>
      </c>
      <c r="D56" s="14" t="n">
        <v>8.9</v>
      </c>
      <c r="E56" s="14" t="n">
        <v>1.08</v>
      </c>
      <c r="F56" s="14" t="n">
        <v>0.08</v>
      </c>
      <c r="G56" s="14" t="n">
        <v>73.94</v>
      </c>
      <c r="H56" s="14" t="n">
        <v>14.55</v>
      </c>
      <c r="I56" s="14" t="n">
        <v>9.82</v>
      </c>
      <c r="J56" s="14" t="n">
        <v>6</v>
      </c>
      <c r="K56" s="14" t="n">
        <v>5.09</v>
      </c>
      <c r="N56" s="14" t="n">
        <v>0.87</v>
      </c>
      <c r="O56" s="14" t="n">
        <v>-0.5</v>
      </c>
      <c r="P56" s="14" t="n">
        <v>-0.16</v>
      </c>
      <c r="Q56" s="14" t="n">
        <v>0.77</v>
      </c>
      <c r="R56" s="14" t="n">
        <v>12.1</v>
      </c>
      <c r="S56" s="14" t="n">
        <v>0.87</v>
      </c>
      <c r="U56" s="14" t="n">
        <v>0.07</v>
      </c>
      <c r="V56" s="14" t="n">
        <v>0.93</v>
      </c>
      <c r="W56" s="14" t="n">
        <v>0.09</v>
      </c>
      <c r="X56" s="14" t="n">
        <v>0.74</v>
      </c>
      <c r="Y56" s="14" t="n">
        <v>14.88</v>
      </c>
      <c r="Z56" s="16" t="n">
        <v>32538.48</v>
      </c>
      <c r="AA56" s="14" t="n">
        <v>33.3</v>
      </c>
      <c r="AB56" s="14" t="n">
        <v>4.03</v>
      </c>
      <c r="AC56" s="14" t="n">
        <v>-0.37</v>
      </c>
      <c r="AD56" s="16" t="n">
        <v>465125288.7</v>
      </c>
    </row>
    <row r="57" customFormat="false" ht="15.75" hidden="false" customHeight="false" outlineLevel="0" collapsed="false">
      <c r="A57" s="14" t="s">
        <v>83</v>
      </c>
      <c r="B57" s="14" t="n">
        <v>25</v>
      </c>
      <c r="C57" s="14" t="n">
        <v>4.36</v>
      </c>
      <c r="D57" s="14" t="n">
        <v>6.2</v>
      </c>
      <c r="E57" s="14" t="n">
        <v>0.75</v>
      </c>
      <c r="F57" s="14" t="n">
        <v>0.05</v>
      </c>
      <c r="G57" s="14" t="n">
        <v>73.94</v>
      </c>
      <c r="H57" s="14" t="n">
        <v>14.55</v>
      </c>
      <c r="I57" s="14" t="n">
        <v>9.82</v>
      </c>
      <c r="J57" s="14" t="n">
        <v>4.19</v>
      </c>
      <c r="K57" s="14" t="n">
        <v>5.09</v>
      </c>
      <c r="N57" s="14" t="n">
        <v>0.61</v>
      </c>
      <c r="O57" s="14" t="n">
        <v>-0.35</v>
      </c>
      <c r="P57" s="14" t="n">
        <v>-0.11</v>
      </c>
      <c r="Q57" s="14" t="n">
        <v>0.77</v>
      </c>
      <c r="R57" s="14" t="n">
        <v>12.1</v>
      </c>
      <c r="S57" s="14" t="n">
        <v>0.87</v>
      </c>
      <c r="U57" s="14" t="n">
        <v>0.07</v>
      </c>
      <c r="V57" s="14" t="n">
        <v>0.93</v>
      </c>
      <c r="W57" s="14" t="n">
        <v>0.09</v>
      </c>
      <c r="X57" s="14" t="n">
        <v>0.74</v>
      </c>
      <c r="Y57" s="14" t="n">
        <v>14.88</v>
      </c>
      <c r="Z57" s="16" t="n">
        <v>27537.41</v>
      </c>
      <c r="AA57" s="14" t="n">
        <v>33.3</v>
      </c>
      <c r="AB57" s="14" t="n">
        <v>4.03</v>
      </c>
      <c r="AC57" s="14" t="n">
        <v>-0.26</v>
      </c>
      <c r="AD57" s="16" t="n">
        <v>465125288.7</v>
      </c>
    </row>
    <row r="58" customFormat="false" ht="15.75" hidden="false" customHeight="false" outlineLevel="0" collapsed="false">
      <c r="A58" s="14" t="s">
        <v>84</v>
      </c>
      <c r="B58" s="14" t="n">
        <v>73.99</v>
      </c>
      <c r="C58" s="14" t="n">
        <v>0.06</v>
      </c>
      <c r="D58" s="16" t="n">
        <v>3229.7</v>
      </c>
      <c r="E58" s="14" t="n">
        <v>17.49</v>
      </c>
      <c r="F58" s="14" t="n">
        <v>2.67</v>
      </c>
      <c r="G58" s="14" t="n">
        <v>60.24</v>
      </c>
      <c r="H58" s="14" t="n">
        <v>-5.79</v>
      </c>
      <c r="I58" s="14" t="n">
        <v>1.61</v>
      </c>
      <c r="J58" s="14" t="n">
        <v>-899.71</v>
      </c>
      <c r="K58" s="14" t="n">
        <v>-894.98</v>
      </c>
      <c r="N58" s="14" t="n">
        <v>52.14</v>
      </c>
      <c r="O58" s="14" t="n">
        <v>-21.28</v>
      </c>
      <c r="P58" s="14" t="n">
        <v>-4.78</v>
      </c>
      <c r="Q58" s="14" t="n">
        <v>0.78</v>
      </c>
      <c r="R58" s="14" t="n">
        <v>0.54</v>
      </c>
      <c r="S58" s="14" t="n">
        <v>0.08</v>
      </c>
      <c r="U58" s="14" t="n">
        <v>0.15</v>
      </c>
      <c r="V58" s="14" t="n">
        <v>0.85</v>
      </c>
      <c r="W58" s="14" t="n">
        <v>0.05</v>
      </c>
      <c r="X58" s="14" t="n">
        <v>14.14</v>
      </c>
      <c r="Z58" s="16" t="n">
        <v>285979653.83</v>
      </c>
      <c r="AA58" s="14" t="n">
        <v>4.24</v>
      </c>
      <c r="AB58" s="14" t="n">
        <v>0.02</v>
      </c>
      <c r="AC58" s="14" t="n">
        <v>-46.68</v>
      </c>
      <c r="AD58" s="16" t="n">
        <v>56370148122.3</v>
      </c>
    </row>
    <row r="59" customFormat="false" ht="15.75" hidden="false" customHeight="false" outlineLevel="0" collapsed="false">
      <c r="A59" s="14" t="s">
        <v>85</v>
      </c>
      <c r="B59" s="14" t="n">
        <v>24.28</v>
      </c>
      <c r="C59" s="14" t="n">
        <v>0.06</v>
      </c>
      <c r="D59" s="16" t="n">
        <v>3174.8</v>
      </c>
      <c r="E59" s="14" t="n">
        <v>17.19</v>
      </c>
      <c r="F59" s="14" t="n">
        <v>2.63</v>
      </c>
      <c r="G59" s="14" t="n">
        <v>60.24</v>
      </c>
      <c r="H59" s="14" t="n">
        <v>-5.79</v>
      </c>
      <c r="I59" s="14" t="n">
        <v>1.61</v>
      </c>
      <c r="J59" s="14" t="n">
        <v>-884.42</v>
      </c>
      <c r="K59" s="14" t="n">
        <v>-894.98</v>
      </c>
      <c r="N59" s="14" t="n">
        <v>51.25</v>
      </c>
      <c r="O59" s="14" t="n">
        <v>-20.92</v>
      </c>
      <c r="P59" s="14" t="n">
        <v>-4.7</v>
      </c>
      <c r="Q59" s="14" t="n">
        <v>0.78</v>
      </c>
      <c r="R59" s="14" t="n">
        <v>0.54</v>
      </c>
      <c r="S59" s="14" t="n">
        <v>0.08</v>
      </c>
      <c r="U59" s="14" t="n">
        <v>0.15</v>
      </c>
      <c r="V59" s="14" t="n">
        <v>0.85</v>
      </c>
      <c r="W59" s="14" t="n">
        <v>0.05</v>
      </c>
      <c r="X59" s="14" t="n">
        <v>14.14</v>
      </c>
      <c r="Z59" s="16" t="n">
        <v>20040856.27</v>
      </c>
      <c r="AA59" s="14" t="n">
        <v>1.41</v>
      </c>
      <c r="AB59" s="14" t="n">
        <v>0.01</v>
      </c>
      <c r="AC59" s="14" t="n">
        <v>-45.89</v>
      </c>
      <c r="AD59" s="16" t="n">
        <v>56370148122.3</v>
      </c>
    </row>
    <row r="60" customFormat="false" ht="15.75" hidden="false" customHeight="false" outlineLevel="0" collapsed="false">
      <c r="A60" s="14" t="s">
        <v>86</v>
      </c>
      <c r="B60" s="14" t="n">
        <v>24.71</v>
      </c>
      <c r="C60" s="14" t="n">
        <v>0.06</v>
      </c>
      <c r="D60" s="16" t="n">
        <v>3233.62</v>
      </c>
      <c r="E60" s="14" t="n">
        <v>17.51</v>
      </c>
      <c r="F60" s="14" t="n">
        <v>2.68</v>
      </c>
      <c r="G60" s="14" t="n">
        <v>60.24</v>
      </c>
      <c r="H60" s="14" t="n">
        <v>-5.79</v>
      </c>
      <c r="I60" s="14" t="n">
        <v>1.61</v>
      </c>
      <c r="J60" s="14" t="n">
        <v>-900.8</v>
      </c>
      <c r="K60" s="14" t="n">
        <v>-894.98</v>
      </c>
      <c r="N60" s="14" t="n">
        <v>52.2</v>
      </c>
      <c r="O60" s="14" t="n">
        <v>-21.31</v>
      </c>
      <c r="P60" s="14" t="n">
        <v>-4.78</v>
      </c>
      <c r="Q60" s="14" t="n">
        <v>0.78</v>
      </c>
      <c r="R60" s="14" t="n">
        <v>0.54</v>
      </c>
      <c r="S60" s="14" t="n">
        <v>0.08</v>
      </c>
      <c r="U60" s="14" t="n">
        <v>0.15</v>
      </c>
      <c r="V60" s="14" t="n">
        <v>0.85</v>
      </c>
      <c r="W60" s="14" t="n">
        <v>0.05</v>
      </c>
      <c r="X60" s="14" t="n">
        <v>14.14</v>
      </c>
      <c r="Z60" s="16" t="n">
        <v>150367581.27</v>
      </c>
      <c r="AA60" s="14" t="n">
        <v>1.41</v>
      </c>
      <c r="AB60" s="14" t="n">
        <v>0.01</v>
      </c>
      <c r="AC60" s="14" t="n">
        <v>-46.74</v>
      </c>
      <c r="AD60" s="16" t="n">
        <v>56370148122.3</v>
      </c>
    </row>
    <row r="61" customFormat="false" ht="15.75" hidden="false" customHeight="false" outlineLevel="0" collapsed="false">
      <c r="A61" s="14" t="s">
        <v>87</v>
      </c>
      <c r="B61" s="14" t="n">
        <v>15.47</v>
      </c>
      <c r="D61" s="14" t="n">
        <v>-14.81</v>
      </c>
      <c r="E61" s="14" t="n">
        <v>6.08</v>
      </c>
      <c r="F61" s="14" t="n">
        <v>2.49</v>
      </c>
      <c r="G61" s="14" t="n">
        <v>21.66</v>
      </c>
      <c r="H61" s="14" t="n">
        <v>-92.41</v>
      </c>
      <c r="I61" s="14" t="n">
        <v>-112.13</v>
      </c>
      <c r="J61" s="14" t="n">
        <v>-17.97</v>
      </c>
      <c r="K61" s="14" t="n">
        <v>-19.59</v>
      </c>
      <c r="L61" s="14" t="n">
        <v>-1.62</v>
      </c>
      <c r="M61" s="14" t="n">
        <v>0.55</v>
      </c>
      <c r="N61" s="14" t="n">
        <v>16.61</v>
      </c>
      <c r="O61" s="14" t="n">
        <v>8.81</v>
      </c>
      <c r="P61" s="14" t="n">
        <v>-4.09</v>
      </c>
      <c r="Q61" s="14" t="n">
        <v>3.56</v>
      </c>
      <c r="R61" s="14" t="n">
        <v>-41.04</v>
      </c>
      <c r="S61" s="14" t="n">
        <v>-16.79</v>
      </c>
      <c r="T61" s="14" t="n">
        <v>-16.28</v>
      </c>
      <c r="U61" s="14" t="n">
        <v>0.41</v>
      </c>
      <c r="V61" s="14" t="n">
        <v>0.59</v>
      </c>
      <c r="W61" s="14" t="n">
        <v>0.15</v>
      </c>
      <c r="Z61" s="16" t="n">
        <v>186811.17</v>
      </c>
      <c r="AA61" s="14" t="n">
        <v>2.54</v>
      </c>
      <c r="AB61" s="14" t="n">
        <v>-1.04</v>
      </c>
      <c r="AC61" s="14" t="n">
        <v>-0.8</v>
      </c>
      <c r="AD61" s="16" t="n">
        <v>1046893255.92</v>
      </c>
    </row>
    <row r="62" customFormat="false" ht="15.75" hidden="false" customHeight="false" outlineLevel="0" collapsed="false">
      <c r="A62" s="14" t="s">
        <v>88</v>
      </c>
      <c r="B62" s="14" t="n">
        <v>12.07</v>
      </c>
      <c r="D62" s="14" t="n">
        <v>-6.02</v>
      </c>
      <c r="E62" s="14" t="n">
        <v>1.98</v>
      </c>
      <c r="F62" s="14" t="n">
        <v>0.9</v>
      </c>
      <c r="G62" s="14" t="n">
        <v>59.01</v>
      </c>
      <c r="H62" s="14" t="n">
        <v>-20.55</v>
      </c>
      <c r="I62" s="14" t="n">
        <v>-25.67</v>
      </c>
      <c r="J62" s="14" t="n">
        <v>-7.52</v>
      </c>
      <c r="K62" s="14" t="n">
        <v>-7.96</v>
      </c>
      <c r="L62" s="14" t="n">
        <v>-0.48</v>
      </c>
      <c r="M62" s="14" t="n">
        <v>0.13</v>
      </c>
      <c r="N62" s="14" t="n">
        <v>1.54</v>
      </c>
      <c r="O62" s="14" t="n">
        <v>8.57</v>
      </c>
      <c r="P62" s="14" t="n">
        <v>-1.18</v>
      </c>
      <c r="Q62" s="14" t="n">
        <v>1.8</v>
      </c>
      <c r="R62" s="14" t="n">
        <v>-32.9</v>
      </c>
      <c r="S62" s="14" t="n">
        <v>-15.01</v>
      </c>
      <c r="T62" s="14" t="n">
        <v>-19.86</v>
      </c>
      <c r="U62" s="14" t="n">
        <v>0.46</v>
      </c>
      <c r="V62" s="14" t="n">
        <v>0.54</v>
      </c>
      <c r="W62" s="14" t="n">
        <v>0.58</v>
      </c>
      <c r="X62" s="14" t="n">
        <v>18.7</v>
      </c>
      <c r="Z62" s="16" t="n">
        <v>25662441.8</v>
      </c>
      <c r="AA62" s="14" t="n">
        <v>6.1</v>
      </c>
      <c r="AB62" s="14" t="n">
        <v>-2.01</v>
      </c>
      <c r="AC62" s="14" t="n">
        <v>0</v>
      </c>
      <c r="AD62" s="16" t="n">
        <v>3309772472.94</v>
      </c>
    </row>
    <row r="63" customFormat="false" ht="15.75" hidden="false" customHeight="false" outlineLevel="0" collapsed="false">
      <c r="A63" s="14" t="s">
        <v>89</v>
      </c>
      <c r="B63" s="14" t="n">
        <v>47.58</v>
      </c>
      <c r="D63" s="14" t="n">
        <v>72.58</v>
      </c>
      <c r="E63" s="14" t="n">
        <v>27.86</v>
      </c>
      <c r="F63" s="14" t="n">
        <v>5.97</v>
      </c>
      <c r="G63" s="14" t="n">
        <v>49.75</v>
      </c>
      <c r="H63" s="14" t="n">
        <v>35.08</v>
      </c>
      <c r="I63" s="14" t="n">
        <v>21.57</v>
      </c>
      <c r="J63" s="14" t="n">
        <v>44.62</v>
      </c>
      <c r="K63" s="14" t="n">
        <v>47.47</v>
      </c>
      <c r="L63" s="14" t="n">
        <v>2.91</v>
      </c>
      <c r="M63" s="14" t="n">
        <v>1.82</v>
      </c>
      <c r="N63" s="14" t="n">
        <v>15.65</v>
      </c>
      <c r="O63" s="14" t="n">
        <v>18.36</v>
      </c>
      <c r="P63" s="14" t="n">
        <v>-16.52</v>
      </c>
      <c r="Q63" s="14" t="n">
        <v>2.04</v>
      </c>
      <c r="R63" s="14" t="n">
        <v>38.38</v>
      </c>
      <c r="S63" s="14" t="n">
        <v>8.23</v>
      </c>
      <c r="T63" s="14" t="n">
        <v>13.26</v>
      </c>
      <c r="U63" s="14" t="n">
        <v>0.21</v>
      </c>
      <c r="V63" s="14" t="n">
        <v>0.79</v>
      </c>
      <c r="W63" s="14" t="n">
        <v>0.38</v>
      </c>
      <c r="Z63" s="16" t="n">
        <v>12966283.68</v>
      </c>
      <c r="AA63" s="14" t="n">
        <v>1.71</v>
      </c>
      <c r="AB63" s="14" t="n">
        <v>0.66</v>
      </c>
      <c r="AD63" s="16" t="n">
        <v>8521212102.5</v>
      </c>
    </row>
    <row r="64" customFormat="false" ht="15.75" hidden="false" customHeight="false" outlineLevel="0" collapsed="false">
      <c r="A64" s="14" t="s">
        <v>91</v>
      </c>
      <c r="B64" s="14" t="n">
        <v>21</v>
      </c>
      <c r="C64" s="14" t="n">
        <v>3.7</v>
      </c>
      <c r="D64" s="14" t="n">
        <v>7.09</v>
      </c>
      <c r="E64" s="14" t="n">
        <v>1.06</v>
      </c>
      <c r="F64" s="14" t="n">
        <v>0.1</v>
      </c>
      <c r="G64" s="14" t="n">
        <v>75.83</v>
      </c>
      <c r="H64" s="14" t="n">
        <v>11.45</v>
      </c>
      <c r="I64" s="14" t="n">
        <v>7.23</v>
      </c>
      <c r="J64" s="14" t="n">
        <v>4.47</v>
      </c>
      <c r="K64" s="14" t="n">
        <v>4.33</v>
      </c>
      <c r="N64" s="14" t="n">
        <v>0.51</v>
      </c>
      <c r="O64" s="14" t="n">
        <v>0.51</v>
      </c>
      <c r="P64" s="14" t="n">
        <v>-0.2</v>
      </c>
      <c r="Q64" s="14" t="n">
        <v>1.73</v>
      </c>
      <c r="R64" s="14" t="n">
        <v>14.95</v>
      </c>
      <c r="S64" s="14" t="n">
        <v>1.45</v>
      </c>
      <c r="U64" s="14" t="n">
        <v>0.1</v>
      </c>
      <c r="V64" s="14" t="n">
        <v>0.9</v>
      </c>
      <c r="W64" s="14" t="n">
        <v>0.2</v>
      </c>
      <c r="X64" s="14" t="n">
        <v>-9.42</v>
      </c>
      <c r="Y64" s="14" t="n">
        <v>12.08</v>
      </c>
      <c r="Z64" s="16" t="n">
        <v>12376.18</v>
      </c>
      <c r="AA64" s="14" t="n">
        <v>19.82</v>
      </c>
      <c r="AB64" s="14" t="n">
        <v>2.96</v>
      </c>
      <c r="AC64" s="14" t="n">
        <v>0.4</v>
      </c>
      <c r="AD64" s="16" t="n">
        <v>1066213612.68</v>
      </c>
    </row>
    <row r="65" customFormat="false" ht="15.75" hidden="false" customHeight="false" outlineLevel="0" collapsed="false">
      <c r="A65" s="14" t="s">
        <v>92</v>
      </c>
      <c r="B65" s="14" t="n">
        <v>19.26</v>
      </c>
      <c r="C65" s="14" t="n">
        <v>4.43</v>
      </c>
      <c r="D65" s="14" t="n">
        <v>6.5</v>
      </c>
      <c r="E65" s="14" t="n">
        <v>0.97</v>
      </c>
      <c r="F65" s="14" t="n">
        <v>0.09</v>
      </c>
      <c r="G65" s="14" t="n">
        <v>75.83</v>
      </c>
      <c r="H65" s="14" t="n">
        <v>11.45</v>
      </c>
      <c r="I65" s="14" t="n">
        <v>7.23</v>
      </c>
      <c r="J65" s="14" t="n">
        <v>4.1</v>
      </c>
      <c r="K65" s="14" t="n">
        <v>4.33</v>
      </c>
      <c r="N65" s="14" t="n">
        <v>0.47</v>
      </c>
      <c r="O65" s="14" t="n">
        <v>0.47</v>
      </c>
      <c r="P65" s="14" t="n">
        <v>-0.18</v>
      </c>
      <c r="Q65" s="14" t="n">
        <v>1.73</v>
      </c>
      <c r="R65" s="14" t="n">
        <v>14.95</v>
      </c>
      <c r="S65" s="14" t="n">
        <v>1.45</v>
      </c>
      <c r="U65" s="14" t="n">
        <v>0.1</v>
      </c>
      <c r="V65" s="14" t="n">
        <v>0.9</v>
      </c>
      <c r="W65" s="14" t="n">
        <v>0.2</v>
      </c>
      <c r="X65" s="14" t="n">
        <v>-9.42</v>
      </c>
      <c r="Y65" s="14" t="n">
        <v>12.08</v>
      </c>
      <c r="Z65" s="16" t="n">
        <v>137415.32</v>
      </c>
      <c r="AA65" s="14" t="n">
        <v>19.82</v>
      </c>
      <c r="AB65" s="14" t="n">
        <v>2.96</v>
      </c>
      <c r="AC65" s="14" t="n">
        <v>0.37</v>
      </c>
      <c r="AD65" s="16" t="n">
        <v>1066213612.68</v>
      </c>
    </row>
    <row r="66" customFormat="false" ht="15.75" hidden="false" customHeight="false" outlineLevel="0" collapsed="false">
      <c r="A66" s="14" t="s">
        <v>93</v>
      </c>
      <c r="B66" s="14" t="n">
        <v>4.82</v>
      </c>
      <c r="C66" s="14" t="n">
        <v>3.71</v>
      </c>
      <c r="D66" s="14" t="n">
        <v>9.2</v>
      </c>
      <c r="E66" s="14" t="n">
        <v>0.7</v>
      </c>
      <c r="F66" s="14" t="n">
        <v>0.1</v>
      </c>
      <c r="G66" s="14" t="n">
        <v>73.01</v>
      </c>
      <c r="H66" s="14" t="n">
        <v>8.63</v>
      </c>
      <c r="I66" s="14" t="n">
        <v>7.38</v>
      </c>
      <c r="J66" s="14" t="n">
        <v>7.86</v>
      </c>
      <c r="K66" s="14" t="n">
        <v>7.84</v>
      </c>
      <c r="N66" s="14" t="n">
        <v>0.68</v>
      </c>
      <c r="P66" s="14" t="n">
        <v>-0.1</v>
      </c>
      <c r="R66" s="14" t="n">
        <v>7.6</v>
      </c>
      <c r="S66" s="14" t="n">
        <v>1.06</v>
      </c>
      <c r="U66" s="14" t="n">
        <v>0.14</v>
      </c>
      <c r="V66" s="14" t="n">
        <v>0.86</v>
      </c>
      <c r="W66" s="14" t="n">
        <v>0.14</v>
      </c>
      <c r="X66" s="14" t="n">
        <v>11.98</v>
      </c>
      <c r="Y66" s="14" t="n">
        <v>8.39</v>
      </c>
      <c r="Z66" s="16" t="n">
        <v>9284043.39</v>
      </c>
      <c r="AA66" s="14" t="n">
        <v>6.9</v>
      </c>
      <c r="AB66" s="14" t="n">
        <v>0.52</v>
      </c>
      <c r="AC66" s="14" t="n">
        <v>-0.52</v>
      </c>
      <c r="AD66" s="16" t="n">
        <v>2805347896.91</v>
      </c>
    </row>
    <row r="67" customFormat="false" ht="15.75" hidden="false" customHeight="false" outlineLevel="0" collapsed="false">
      <c r="A67" s="14" t="s">
        <v>94</v>
      </c>
      <c r="B67" s="14" t="n">
        <v>23</v>
      </c>
      <c r="D67" s="14" t="n">
        <v>52.95</v>
      </c>
      <c r="E67" s="14" t="n">
        <v>0.89</v>
      </c>
      <c r="F67" s="14" t="n">
        <v>0.55</v>
      </c>
      <c r="G67" s="14" t="n">
        <v>82.13</v>
      </c>
      <c r="H67" s="14" t="n">
        <v>33.89</v>
      </c>
      <c r="I67" s="14" t="n">
        <v>19.5</v>
      </c>
      <c r="J67" s="14" t="n">
        <v>30.46</v>
      </c>
      <c r="K67" s="14" t="n">
        <v>30.11</v>
      </c>
      <c r="N67" s="14" t="n">
        <v>10.32</v>
      </c>
      <c r="O67" s="14" t="n">
        <v>3.82</v>
      </c>
      <c r="P67" s="14" t="n">
        <v>-0.74</v>
      </c>
      <c r="Q67" s="14" t="n">
        <v>2.25</v>
      </c>
      <c r="R67" s="14" t="n">
        <v>1.68</v>
      </c>
      <c r="S67" s="14" t="n">
        <v>1.03</v>
      </c>
      <c r="U67" s="14" t="n">
        <v>0.62</v>
      </c>
      <c r="V67" s="14" t="n">
        <v>0.38</v>
      </c>
      <c r="W67" s="14" t="n">
        <v>0.05</v>
      </c>
      <c r="X67" s="14" t="n">
        <v>-1.79</v>
      </c>
      <c r="Y67" s="14" t="n">
        <v>-9.57</v>
      </c>
      <c r="Z67" s="16" t="n">
        <v>46873.55</v>
      </c>
      <c r="AA67" s="14" t="n">
        <v>25.91</v>
      </c>
      <c r="AB67" s="14" t="n">
        <v>0.43</v>
      </c>
      <c r="AC67" s="14" t="n">
        <v>-1.98</v>
      </c>
      <c r="AD67" s="16" t="n">
        <v>109701342.6</v>
      </c>
    </row>
    <row r="68" customFormat="false" ht="15.75" hidden="false" customHeight="false" outlineLevel="0" collapsed="false">
      <c r="A68" s="14" t="s">
        <v>95</v>
      </c>
      <c r="B68" s="14" t="n">
        <v>21.2</v>
      </c>
      <c r="C68" s="14" t="n">
        <v>6.6</v>
      </c>
      <c r="D68" s="14" t="n">
        <v>48.8</v>
      </c>
      <c r="E68" s="14" t="n">
        <v>0.82</v>
      </c>
      <c r="F68" s="14" t="n">
        <v>0.5</v>
      </c>
      <c r="G68" s="14" t="n">
        <v>82.13</v>
      </c>
      <c r="H68" s="14" t="n">
        <v>33.89</v>
      </c>
      <c r="I68" s="14" t="n">
        <v>19.5</v>
      </c>
      <c r="J68" s="14" t="n">
        <v>28.08</v>
      </c>
      <c r="K68" s="14" t="n">
        <v>30.11</v>
      </c>
      <c r="N68" s="14" t="n">
        <v>9.52</v>
      </c>
      <c r="O68" s="14" t="n">
        <v>3.52</v>
      </c>
      <c r="P68" s="14" t="n">
        <v>-0.68</v>
      </c>
      <c r="Q68" s="14" t="n">
        <v>2.25</v>
      </c>
      <c r="R68" s="14" t="n">
        <v>1.68</v>
      </c>
      <c r="S68" s="14" t="n">
        <v>1.03</v>
      </c>
      <c r="U68" s="14" t="n">
        <v>0.62</v>
      </c>
      <c r="V68" s="14" t="n">
        <v>0.38</v>
      </c>
      <c r="W68" s="14" t="n">
        <v>0.05</v>
      </c>
      <c r="X68" s="14" t="n">
        <v>-1.79</v>
      </c>
      <c r="Y68" s="14" t="n">
        <v>-9.57</v>
      </c>
      <c r="Z68" s="16" t="n">
        <v>35771.64</v>
      </c>
      <c r="AA68" s="14" t="n">
        <v>25.91</v>
      </c>
      <c r="AB68" s="14" t="n">
        <v>0.43</v>
      </c>
      <c r="AC68" s="14" t="n">
        <v>-1.83</v>
      </c>
      <c r="AD68" s="16" t="n">
        <v>109701342.6</v>
      </c>
    </row>
    <row r="69" customFormat="false" ht="15.75" hidden="false" customHeight="false" outlineLevel="0" collapsed="false">
      <c r="A69" s="14" t="s">
        <v>96</v>
      </c>
      <c r="B69" s="14" t="n">
        <v>235.14</v>
      </c>
      <c r="C69" s="14" t="n">
        <v>3.39</v>
      </c>
      <c r="D69" s="14" t="n">
        <v>32.59</v>
      </c>
      <c r="E69" s="14" t="n">
        <v>0.57</v>
      </c>
      <c r="F69" s="14" t="n">
        <v>0.5</v>
      </c>
      <c r="G69" s="14" t="n">
        <v>32.57</v>
      </c>
      <c r="H69" s="14" t="n">
        <v>8.31</v>
      </c>
      <c r="I69" s="14" t="n">
        <v>14.53</v>
      </c>
      <c r="J69" s="14" t="n">
        <v>56.96</v>
      </c>
      <c r="K69" s="14" t="n">
        <v>-19.32</v>
      </c>
      <c r="L69" s="14" t="n">
        <v>-77.22</v>
      </c>
      <c r="M69" s="14" t="n">
        <v>-0.77</v>
      </c>
      <c r="N69" s="14" t="n">
        <v>4.73</v>
      </c>
      <c r="O69" s="14" t="n">
        <v>0.67</v>
      </c>
      <c r="P69" s="14" t="n">
        <v>-2.28</v>
      </c>
      <c r="Q69" s="14" t="n">
        <v>31.35</v>
      </c>
      <c r="R69" s="14" t="n">
        <v>1.74</v>
      </c>
      <c r="S69" s="14" t="n">
        <v>1.54</v>
      </c>
      <c r="T69" s="14" t="n">
        <v>0.11</v>
      </c>
      <c r="U69" s="14" t="n">
        <v>0.89</v>
      </c>
      <c r="V69" s="14" t="n">
        <v>0.11</v>
      </c>
      <c r="W69" s="14" t="n">
        <v>0.11</v>
      </c>
      <c r="X69" s="14" t="n">
        <v>1.12</v>
      </c>
      <c r="Y69" s="14" t="n">
        <v>-20.41</v>
      </c>
      <c r="Z69" s="16" t="n">
        <v>46479.3</v>
      </c>
      <c r="AA69" s="14" t="n">
        <v>412.22</v>
      </c>
      <c r="AB69" s="14" t="n">
        <v>7.18</v>
      </c>
      <c r="AC69" s="14" t="n">
        <v>1.15</v>
      </c>
      <c r="AD69" s="16" t="n">
        <v>108230500</v>
      </c>
    </row>
    <row r="70" customFormat="false" ht="15.75" hidden="false" customHeight="false" outlineLevel="0" collapsed="false">
      <c r="A70" s="14" t="s">
        <v>97</v>
      </c>
      <c r="B70" s="14" t="n">
        <v>22.88</v>
      </c>
      <c r="D70" s="14" t="n">
        <v>36.73</v>
      </c>
      <c r="E70" s="14" t="n">
        <v>2</v>
      </c>
      <c r="F70" s="14" t="n">
        <v>1.36</v>
      </c>
      <c r="G70" s="14" t="n">
        <v>56.87</v>
      </c>
      <c r="H70" s="14" t="n">
        <v>38.34</v>
      </c>
      <c r="I70" s="14" t="n">
        <v>27.27</v>
      </c>
      <c r="J70" s="14" t="n">
        <v>26.13</v>
      </c>
      <c r="K70" s="14" t="n">
        <v>11.33</v>
      </c>
      <c r="L70" s="14" t="n">
        <v>-14.67</v>
      </c>
      <c r="M70" s="14" t="n">
        <v>-1.12</v>
      </c>
      <c r="N70" s="14" t="n">
        <v>10.02</v>
      </c>
      <c r="O70" s="14" t="n">
        <v>2.63</v>
      </c>
      <c r="P70" s="14" t="n">
        <v>-8.26</v>
      </c>
      <c r="Q70" s="14" t="n">
        <v>2.62</v>
      </c>
      <c r="R70" s="14" t="n">
        <v>5.45</v>
      </c>
      <c r="S70" s="14" t="n">
        <v>3.71</v>
      </c>
      <c r="T70" s="14" t="n">
        <v>4.76</v>
      </c>
      <c r="U70" s="14" t="n">
        <v>0.68</v>
      </c>
      <c r="V70" s="14" t="n">
        <v>0.32</v>
      </c>
      <c r="W70" s="14" t="n">
        <v>0.14</v>
      </c>
      <c r="Z70" s="16" t="n">
        <v>24086128.9</v>
      </c>
      <c r="AA70" s="14" t="n">
        <v>11.46</v>
      </c>
      <c r="AB70" s="14" t="n">
        <v>0.62</v>
      </c>
      <c r="AD70" s="16" t="n">
        <v>2076363661.28</v>
      </c>
    </row>
    <row r="71" customFormat="false" ht="15.75" hidden="false" customHeight="false" outlineLevel="0" collapsed="false">
      <c r="A71" s="14" t="s">
        <v>99</v>
      </c>
      <c r="B71" s="14" t="n">
        <v>67.3</v>
      </c>
      <c r="C71" s="14" t="n">
        <v>4.17</v>
      </c>
      <c r="D71" s="14" t="n">
        <v>5.44</v>
      </c>
      <c r="E71" s="14" t="n">
        <v>0.89</v>
      </c>
      <c r="F71" s="14" t="n">
        <v>0.09</v>
      </c>
      <c r="G71" s="14" t="n">
        <v>66.03</v>
      </c>
      <c r="H71" s="14" t="n">
        <v>47.13</v>
      </c>
      <c r="I71" s="14" t="n">
        <v>28.57</v>
      </c>
      <c r="J71" s="14" t="n">
        <v>3.3</v>
      </c>
      <c r="K71" s="14" t="n">
        <v>3.3</v>
      </c>
      <c r="N71" s="14" t="n">
        <v>1.55</v>
      </c>
      <c r="O71" s="14" t="n">
        <v>0.92</v>
      </c>
      <c r="P71" s="14" t="n">
        <v>-0.17</v>
      </c>
      <c r="Q71" s="14" t="n">
        <v>1.31</v>
      </c>
      <c r="R71" s="14" t="n">
        <v>16.34</v>
      </c>
      <c r="S71" s="14" t="n">
        <v>1.73</v>
      </c>
      <c r="U71" s="14" t="n">
        <v>0.11</v>
      </c>
      <c r="V71" s="14" t="n">
        <v>0.89</v>
      </c>
      <c r="W71" s="14" t="n">
        <v>0.06</v>
      </c>
      <c r="X71" s="14" t="n">
        <v>-9.48</v>
      </c>
      <c r="Y71" s="14" t="n">
        <v>27.23</v>
      </c>
      <c r="Z71" s="16" t="n">
        <v>34073.24</v>
      </c>
      <c r="AA71" s="14" t="n">
        <v>75.66</v>
      </c>
      <c r="AB71" s="14" t="n">
        <v>12.37</v>
      </c>
      <c r="AC71" s="14" t="n">
        <v>-0.14</v>
      </c>
      <c r="AD71" s="16" t="n">
        <v>5812799527.2</v>
      </c>
    </row>
    <row r="72" customFormat="false" ht="15.75" hidden="false" customHeight="false" outlineLevel="0" collapsed="false">
      <c r="A72" s="14" t="s">
        <v>100</v>
      </c>
      <c r="B72" s="14" t="n">
        <v>11.54</v>
      </c>
      <c r="C72" s="14" t="n">
        <v>0.66</v>
      </c>
      <c r="D72" s="14" t="n">
        <v>130.68</v>
      </c>
      <c r="E72" s="16" t="n">
        <v>3359.98</v>
      </c>
      <c r="F72" s="16" t="n">
        <v>2515.6</v>
      </c>
      <c r="G72" s="14" t="n">
        <v>44.97</v>
      </c>
      <c r="H72" s="14" t="n">
        <v>11.91</v>
      </c>
      <c r="I72" s="14" t="n">
        <v>7.41</v>
      </c>
      <c r="J72" s="14" t="n">
        <v>81.27</v>
      </c>
      <c r="K72" s="14" t="n">
        <v>81.12</v>
      </c>
      <c r="L72" s="14" t="n">
        <v>-0.02</v>
      </c>
      <c r="M72" s="14" t="n">
        <v>-0.63</v>
      </c>
      <c r="N72" s="14" t="n">
        <v>9.68</v>
      </c>
      <c r="O72" s="16" t="n">
        <v>4874.3</v>
      </c>
      <c r="P72" s="16" t="n">
        <v>-6225.75</v>
      </c>
      <c r="Q72" s="14" t="n">
        <v>7.46</v>
      </c>
      <c r="R72" s="16" t="n">
        <v>2571.14</v>
      </c>
      <c r="S72" s="16" t="n">
        <v>1925</v>
      </c>
      <c r="T72" s="16" t="n">
        <v>3033.17</v>
      </c>
      <c r="U72" s="14" t="n">
        <v>0.75</v>
      </c>
      <c r="V72" s="14" t="n">
        <v>0.25</v>
      </c>
      <c r="W72" s="14" t="n">
        <v>259.95</v>
      </c>
      <c r="Z72" s="16" t="n">
        <v>10493238.93</v>
      </c>
      <c r="AA72" s="14" t="n">
        <v>0</v>
      </c>
      <c r="AB72" s="14" t="n">
        <v>0.09</v>
      </c>
      <c r="AC72" s="14" t="n">
        <v>-5.27</v>
      </c>
      <c r="AD72" s="16" t="n">
        <v>6088963507.2</v>
      </c>
    </row>
    <row r="73" customFormat="false" ht="15.75" hidden="false" customHeight="false" outlineLevel="0" collapsed="false">
      <c r="A73" s="14" t="s">
        <v>101</v>
      </c>
      <c r="B73" s="14" t="n">
        <v>0</v>
      </c>
      <c r="D73" s="14" t="n">
        <v>0</v>
      </c>
      <c r="E73" s="14" t="n">
        <v>0</v>
      </c>
      <c r="F73" s="14" t="n">
        <v>0</v>
      </c>
      <c r="G73" s="14" t="n">
        <v>34.84</v>
      </c>
      <c r="H73" s="14" t="n">
        <v>6.49</v>
      </c>
      <c r="I73" s="14" t="n">
        <v>-1.16</v>
      </c>
      <c r="J73" s="14" t="n">
        <v>0</v>
      </c>
      <c r="K73" s="14" t="n">
        <v>8.39</v>
      </c>
      <c r="L73" s="14" t="n">
        <v>3.92</v>
      </c>
      <c r="N73" s="14" t="n">
        <v>0</v>
      </c>
      <c r="O73" s="14" t="n">
        <v>0</v>
      </c>
      <c r="P73" s="14" t="n">
        <v>0</v>
      </c>
      <c r="Q73" s="14" t="n">
        <v>0.53</v>
      </c>
      <c r="R73" s="14" t="n">
        <v>-4.77</v>
      </c>
      <c r="S73" s="14" t="n">
        <v>-2</v>
      </c>
      <c r="T73" s="14" t="n">
        <v>319.46</v>
      </c>
      <c r="U73" s="14" t="n">
        <v>-0.42</v>
      </c>
      <c r="V73" s="14" t="n">
        <v>1.42</v>
      </c>
      <c r="W73" s="14" t="n">
        <v>1.72</v>
      </c>
      <c r="X73" s="14" t="n">
        <v>1.1</v>
      </c>
      <c r="AA73" s="14" t="n">
        <v>-1.04</v>
      </c>
      <c r="AB73" s="14" t="n">
        <v>-0.05</v>
      </c>
      <c r="AC73" s="14" t="n">
        <v>0</v>
      </c>
      <c r="AD73" s="16" t="n">
        <v>321983490.44</v>
      </c>
    </row>
    <row r="74" customFormat="false" ht="15.75" hidden="false" customHeight="false" outlineLevel="0" collapsed="false">
      <c r="A74" s="14" t="s">
        <v>102</v>
      </c>
      <c r="B74" s="14" t="n">
        <v>2.6</v>
      </c>
      <c r="D74" s="14" t="n">
        <v>-52.36</v>
      </c>
      <c r="E74" s="14" t="n">
        <v>-2.5</v>
      </c>
      <c r="F74" s="14" t="n">
        <v>1.05</v>
      </c>
      <c r="G74" s="14" t="n">
        <v>34.84</v>
      </c>
      <c r="H74" s="14" t="n">
        <v>6.49</v>
      </c>
      <c r="I74" s="14" t="n">
        <v>-1.16</v>
      </c>
      <c r="J74" s="14" t="n">
        <v>9.39</v>
      </c>
      <c r="K74" s="14" t="n">
        <v>8.39</v>
      </c>
      <c r="L74" s="14" t="n">
        <v>3.92</v>
      </c>
      <c r="N74" s="14" t="n">
        <v>0.61</v>
      </c>
      <c r="O74" s="14" t="n">
        <v>-3</v>
      </c>
      <c r="P74" s="14" t="n">
        <v>-1.71</v>
      </c>
      <c r="Q74" s="14" t="n">
        <v>0.53</v>
      </c>
      <c r="R74" s="14" t="n">
        <v>-4.77</v>
      </c>
      <c r="S74" s="14" t="n">
        <v>-2</v>
      </c>
      <c r="T74" s="14" t="n">
        <v>319.46</v>
      </c>
      <c r="U74" s="14" t="n">
        <v>-0.42</v>
      </c>
      <c r="V74" s="14" t="n">
        <v>1.42</v>
      </c>
      <c r="W74" s="14" t="n">
        <v>1.72</v>
      </c>
      <c r="X74" s="14" t="n">
        <v>1.1</v>
      </c>
      <c r="Z74" s="16" t="n">
        <v>1078460.02</v>
      </c>
      <c r="AA74" s="14" t="n">
        <v>-1.04</v>
      </c>
      <c r="AB74" s="14" t="n">
        <v>-0.05</v>
      </c>
      <c r="AC74" s="14" t="n">
        <v>-0.96</v>
      </c>
      <c r="AD74" s="16" t="n">
        <v>321983490.44</v>
      </c>
    </row>
    <row r="75" customFormat="false" ht="15.75" hidden="false" customHeight="false" outlineLevel="0" collapsed="false">
      <c r="A75" s="14" t="s">
        <v>103</v>
      </c>
      <c r="B75" s="14" t="n">
        <v>121.18</v>
      </c>
      <c r="C75" s="14" t="n">
        <v>1</v>
      </c>
      <c r="D75" s="14" t="n">
        <v>23.84</v>
      </c>
      <c r="E75" s="14" t="n">
        <v>3.81</v>
      </c>
      <c r="F75" s="14" t="n">
        <v>0.38</v>
      </c>
      <c r="G75" s="14" t="n">
        <v>18.8</v>
      </c>
      <c r="H75" s="14" t="n">
        <v>35.6</v>
      </c>
      <c r="I75" s="14" t="n">
        <v>37.23</v>
      </c>
      <c r="J75" s="14" t="n">
        <v>24.93</v>
      </c>
      <c r="K75" s="14" t="n">
        <v>24.94</v>
      </c>
      <c r="N75" s="14" t="n">
        <v>8.87</v>
      </c>
      <c r="O75" s="14" t="n">
        <v>6.37</v>
      </c>
      <c r="P75" s="14" t="n">
        <v>-1.28</v>
      </c>
      <c r="Q75" s="14" t="n">
        <v>1.09</v>
      </c>
      <c r="R75" s="14" t="n">
        <v>15.98</v>
      </c>
      <c r="S75" s="14" t="n">
        <v>1.61</v>
      </c>
      <c r="U75" s="14" t="n">
        <v>0.1</v>
      </c>
      <c r="V75" s="14" t="n">
        <v>0.9</v>
      </c>
      <c r="W75" s="14" t="n">
        <v>0.04</v>
      </c>
      <c r="X75" s="14" t="n">
        <v>2.49</v>
      </c>
      <c r="Y75" s="14" t="n">
        <v>41.61</v>
      </c>
      <c r="Z75" s="16" t="n">
        <v>461586616.88</v>
      </c>
      <c r="AA75" s="14" t="n">
        <v>31.8</v>
      </c>
      <c r="AB75" s="14" t="n">
        <v>5.08</v>
      </c>
      <c r="AC75" s="14" t="n">
        <v>0.2</v>
      </c>
      <c r="AD75" s="16" t="n">
        <v>115927114916.75</v>
      </c>
    </row>
    <row r="76" customFormat="false" ht="15.75" hidden="false" customHeight="false" outlineLevel="0" collapsed="false">
      <c r="A76" s="14" t="s">
        <v>104</v>
      </c>
      <c r="B76" s="14" t="n">
        <v>72.49</v>
      </c>
      <c r="C76" s="14" t="n">
        <v>0.56</v>
      </c>
      <c r="D76" s="14" t="n">
        <v>42.7</v>
      </c>
      <c r="E76" s="14" t="n">
        <v>6.83</v>
      </c>
      <c r="F76" s="14" t="n">
        <v>0.69</v>
      </c>
      <c r="G76" s="14" t="n">
        <v>18.8</v>
      </c>
      <c r="H76" s="14" t="n">
        <v>35.6</v>
      </c>
      <c r="I76" s="14" t="n">
        <v>37.23</v>
      </c>
      <c r="J76" s="14" t="n">
        <v>44.66</v>
      </c>
      <c r="K76" s="14" t="n">
        <v>24.94</v>
      </c>
      <c r="N76" s="14" t="n">
        <v>15.9</v>
      </c>
      <c r="O76" s="14" t="n">
        <v>11.4</v>
      </c>
      <c r="P76" s="14" t="n">
        <v>-2.3</v>
      </c>
      <c r="Q76" s="14" t="n">
        <v>1.09</v>
      </c>
      <c r="R76" s="14" t="n">
        <v>15.98</v>
      </c>
      <c r="S76" s="14" t="n">
        <v>1.61</v>
      </c>
      <c r="U76" s="14" t="n">
        <v>0.1</v>
      </c>
      <c r="V76" s="14" t="n">
        <v>0.9</v>
      </c>
      <c r="W76" s="14" t="n">
        <v>0.04</v>
      </c>
      <c r="X76" s="14" t="n">
        <v>2.49</v>
      </c>
      <c r="Y76" s="14" t="n">
        <v>41.61</v>
      </c>
      <c r="Z76" s="16" t="n">
        <v>681088.95</v>
      </c>
      <c r="AA76" s="14" t="n">
        <v>10.6</v>
      </c>
      <c r="AB76" s="14" t="n">
        <v>1.69</v>
      </c>
      <c r="AC76" s="14" t="n">
        <v>0.36</v>
      </c>
      <c r="AD76" s="16" t="n">
        <v>115927114916.75</v>
      </c>
    </row>
    <row r="77" customFormat="false" ht="15.75" hidden="false" customHeight="false" outlineLevel="0" collapsed="false">
      <c r="A77" s="14" t="s">
        <v>105</v>
      </c>
      <c r="B77" s="14" t="n">
        <v>29.09</v>
      </c>
      <c r="C77" s="14" t="n">
        <v>1.39</v>
      </c>
      <c r="D77" s="14" t="n">
        <v>17.17</v>
      </c>
      <c r="E77" s="14" t="n">
        <v>2.74</v>
      </c>
      <c r="F77" s="14" t="n">
        <v>0.28</v>
      </c>
      <c r="G77" s="14" t="n">
        <v>18.8</v>
      </c>
      <c r="H77" s="14" t="n">
        <v>35.6</v>
      </c>
      <c r="I77" s="14" t="n">
        <v>37.23</v>
      </c>
      <c r="J77" s="14" t="n">
        <v>17.96</v>
      </c>
      <c r="K77" s="14" t="n">
        <v>24.94</v>
      </c>
      <c r="N77" s="14" t="n">
        <v>6.39</v>
      </c>
      <c r="O77" s="14" t="n">
        <v>4.59</v>
      </c>
      <c r="P77" s="14" t="n">
        <v>-0.92</v>
      </c>
      <c r="Q77" s="14" t="n">
        <v>1.09</v>
      </c>
      <c r="R77" s="14" t="n">
        <v>15.98</v>
      </c>
      <c r="S77" s="14" t="n">
        <v>1.61</v>
      </c>
      <c r="U77" s="14" t="n">
        <v>0.1</v>
      </c>
      <c r="V77" s="14" t="n">
        <v>0.9</v>
      </c>
      <c r="W77" s="14" t="n">
        <v>0.04</v>
      </c>
      <c r="X77" s="14" t="n">
        <v>2.49</v>
      </c>
      <c r="Y77" s="14" t="n">
        <v>41.61</v>
      </c>
      <c r="Z77" s="16" t="n">
        <v>368232.34</v>
      </c>
      <c r="AA77" s="14" t="n">
        <v>10.6</v>
      </c>
      <c r="AB77" s="14" t="n">
        <v>1.69</v>
      </c>
      <c r="AC77" s="14" t="n">
        <v>0.14</v>
      </c>
      <c r="AD77" s="16" t="n">
        <v>115927114916.75</v>
      </c>
    </row>
    <row r="78" customFormat="false" ht="15.75" hidden="false" customHeight="false" outlineLevel="0" collapsed="false">
      <c r="A78" s="14" t="s">
        <v>106</v>
      </c>
      <c r="B78" s="14" t="n">
        <v>24.12</v>
      </c>
      <c r="C78" s="14" t="n">
        <v>0.88</v>
      </c>
      <c r="D78" s="14" t="n">
        <v>43.02</v>
      </c>
      <c r="E78" s="14" t="n">
        <v>5.35</v>
      </c>
      <c r="F78" s="14" t="n">
        <v>0.74</v>
      </c>
      <c r="G78" s="14" t="n">
        <v>68.22</v>
      </c>
      <c r="H78" s="14" t="n">
        <v>10.69</v>
      </c>
      <c r="I78" s="14" t="n">
        <v>7.41</v>
      </c>
      <c r="J78" s="14" t="n">
        <v>29.8</v>
      </c>
      <c r="K78" s="14" t="n">
        <v>29.8</v>
      </c>
      <c r="N78" s="14" t="n">
        <v>3.19</v>
      </c>
      <c r="O78" s="14" t="n">
        <v>-4.27</v>
      </c>
      <c r="P78" s="14" t="n">
        <v>-1.26</v>
      </c>
      <c r="Q78" s="14" t="n">
        <v>0.7</v>
      </c>
      <c r="R78" s="14" t="n">
        <v>12.43</v>
      </c>
      <c r="S78" s="14" t="n">
        <v>1.72</v>
      </c>
      <c r="U78" s="14" t="n">
        <v>0.14</v>
      </c>
      <c r="V78" s="14" t="n">
        <v>0.86</v>
      </c>
      <c r="W78" s="14" t="n">
        <v>0.23</v>
      </c>
      <c r="X78" s="14" t="n">
        <v>4.82</v>
      </c>
      <c r="Y78" s="14" t="n">
        <v>34.24</v>
      </c>
      <c r="Z78" s="16" t="n">
        <v>146517452.9</v>
      </c>
      <c r="AA78" s="14" t="n">
        <v>4.51</v>
      </c>
      <c r="AB78" s="14" t="n">
        <v>0.56</v>
      </c>
      <c r="AC78" s="14" t="n">
        <v>-14.28</v>
      </c>
      <c r="AD78" s="16" t="n">
        <v>29053903077.31</v>
      </c>
    </row>
    <row r="79" customFormat="false" ht="15.75" hidden="false" customHeight="false" outlineLevel="0" collapsed="false">
      <c r="A79" s="14" t="s">
        <v>107</v>
      </c>
      <c r="B79" s="14" t="n">
        <v>182.07</v>
      </c>
      <c r="C79" s="14" t="n">
        <v>4.89</v>
      </c>
      <c r="D79" s="14" t="n">
        <v>9.29</v>
      </c>
      <c r="E79" s="16" t="n">
        <v>1123.06</v>
      </c>
      <c r="F79" s="14" t="n">
        <v>145.17</v>
      </c>
      <c r="G79" s="14" t="n">
        <v>81.26</v>
      </c>
      <c r="H79" s="14" t="n">
        <v>32.25</v>
      </c>
      <c r="I79" s="14" t="n">
        <v>15.93</v>
      </c>
      <c r="J79" s="14" t="n">
        <v>4.59</v>
      </c>
      <c r="K79" s="14" t="n">
        <v>4.59</v>
      </c>
      <c r="N79" s="14" t="n">
        <v>1.48</v>
      </c>
      <c r="O79" s="14" t="n">
        <v>723.41</v>
      </c>
      <c r="P79" s="14" t="n">
        <v>-181.61</v>
      </c>
      <c r="R79" s="16" t="n">
        <v>12083.68</v>
      </c>
      <c r="S79" s="16" t="n">
        <v>1561.94</v>
      </c>
      <c r="U79" s="14" t="n">
        <v>0.13</v>
      </c>
      <c r="V79" s="14" t="n">
        <v>0.87</v>
      </c>
      <c r="W79" s="14" t="n">
        <v>98.07</v>
      </c>
      <c r="X79" s="14" t="n">
        <v>3.12</v>
      </c>
      <c r="Y79" s="14" t="n">
        <v>3.4</v>
      </c>
      <c r="AA79" s="14" t="n">
        <v>0.16</v>
      </c>
      <c r="AB79" s="14" t="n">
        <v>19.59</v>
      </c>
      <c r="AC79" s="14" t="n">
        <v>-0.23</v>
      </c>
      <c r="AD79" s="16" t="n">
        <v>1733606633.43</v>
      </c>
    </row>
    <row r="80" customFormat="false" ht="15.75" hidden="false" customHeight="false" outlineLevel="0" collapsed="false">
      <c r="A80" s="14" t="s">
        <v>108</v>
      </c>
      <c r="B80" s="14" t="n">
        <v>44.05</v>
      </c>
      <c r="D80" s="14" t="n">
        <v>6.98</v>
      </c>
      <c r="E80" s="14" t="n">
        <v>0.66</v>
      </c>
      <c r="F80" s="14" t="n">
        <v>0.09</v>
      </c>
      <c r="G80" s="14" t="n">
        <v>51.56</v>
      </c>
      <c r="H80" s="14" t="n">
        <v>21.77</v>
      </c>
      <c r="I80" s="14" t="n">
        <v>5.61</v>
      </c>
      <c r="J80" s="14" t="n">
        <v>1.8</v>
      </c>
      <c r="K80" s="14" t="n">
        <v>1.8</v>
      </c>
      <c r="N80" s="14" t="n">
        <v>0.39</v>
      </c>
      <c r="P80" s="14" t="n">
        <v>-0.12</v>
      </c>
      <c r="R80" s="14" t="n">
        <v>9.46</v>
      </c>
      <c r="S80" s="14" t="n">
        <v>1.35</v>
      </c>
      <c r="U80" s="14" t="n">
        <v>0.14</v>
      </c>
      <c r="V80" s="14" t="n">
        <v>0.86</v>
      </c>
      <c r="W80" s="14" t="n">
        <v>0.24</v>
      </c>
      <c r="X80" s="14" t="n">
        <v>14.99</v>
      </c>
      <c r="Y80" s="14" t="n">
        <v>-24.79</v>
      </c>
      <c r="AA80" s="14" t="n">
        <v>66.71</v>
      </c>
      <c r="AB80" s="14" t="n">
        <v>6.31</v>
      </c>
      <c r="AC80" s="14" t="n">
        <v>-0.11</v>
      </c>
      <c r="AD80" s="16" t="n">
        <v>1533769021</v>
      </c>
    </row>
    <row r="81" customFormat="false" ht="15.75" hidden="false" customHeight="false" outlineLevel="0" collapsed="false">
      <c r="A81" s="14" t="s">
        <v>110</v>
      </c>
      <c r="B81" s="14" t="n">
        <v>0.62</v>
      </c>
      <c r="D81" s="14" t="n">
        <v>0.06</v>
      </c>
      <c r="E81" s="14" t="n">
        <v>-0.24</v>
      </c>
      <c r="F81" s="14" t="n">
        <v>0.99</v>
      </c>
      <c r="G81" s="14" t="n">
        <v>98.02</v>
      </c>
      <c r="H81" s="16" t="n">
        <v>1029.99</v>
      </c>
      <c r="I81" s="16" t="n">
        <v>13896.67</v>
      </c>
      <c r="J81" s="14" t="n">
        <v>0.8</v>
      </c>
      <c r="K81" s="14" t="n">
        <v>1.66</v>
      </c>
      <c r="L81" s="14" t="n">
        <v>0.85</v>
      </c>
      <c r="N81" s="14" t="n">
        <v>8.28</v>
      </c>
      <c r="O81" s="14" t="n">
        <v>-0.38</v>
      </c>
      <c r="P81" s="14" t="n">
        <v>-1.18</v>
      </c>
      <c r="Q81" s="14" t="n">
        <v>0.06</v>
      </c>
      <c r="R81" s="14" t="n">
        <v>-402.5</v>
      </c>
      <c r="S81" s="16" t="n">
        <v>1669.02</v>
      </c>
      <c r="T81" s="14" t="n">
        <v>-36.75</v>
      </c>
      <c r="U81" s="14" t="n">
        <v>-4.15</v>
      </c>
      <c r="V81" s="14" t="n">
        <v>5.15</v>
      </c>
      <c r="W81" s="14" t="n">
        <v>0.12</v>
      </c>
      <c r="X81" s="14" t="n">
        <v>-68.85</v>
      </c>
      <c r="AA81" s="14" t="n">
        <v>-2.58</v>
      </c>
      <c r="AB81" s="14" t="n">
        <v>10.4</v>
      </c>
      <c r="AC81" s="14" t="n">
        <v>0</v>
      </c>
      <c r="AD81" s="16" t="n">
        <v>70110298.74</v>
      </c>
    </row>
    <row r="82" customFormat="false" ht="15.75" hidden="false" customHeight="false" outlineLevel="0" collapsed="false">
      <c r="A82" s="14" t="s">
        <v>111</v>
      </c>
      <c r="B82" s="14" t="n">
        <v>62.97</v>
      </c>
      <c r="C82" s="14" t="n">
        <v>7.86</v>
      </c>
      <c r="D82" s="14" t="n">
        <v>7.04</v>
      </c>
      <c r="E82" s="14" t="n">
        <v>1.8</v>
      </c>
      <c r="F82" s="14" t="n">
        <v>1.64</v>
      </c>
      <c r="J82" s="14" t="n">
        <v>7.05</v>
      </c>
      <c r="K82" s="14" t="n">
        <v>7.46</v>
      </c>
      <c r="L82" s="14" t="n">
        <v>-0.4</v>
      </c>
      <c r="M82" s="14" t="n">
        <v>-0.1</v>
      </c>
      <c r="O82" s="14" t="n">
        <v>206.34</v>
      </c>
      <c r="P82" s="14" t="n">
        <v>-1.82</v>
      </c>
      <c r="Q82" s="14" t="n">
        <v>1.09</v>
      </c>
      <c r="R82" s="14" t="n">
        <v>25.6</v>
      </c>
      <c r="S82" s="14" t="n">
        <v>23.3</v>
      </c>
      <c r="T82" s="14" t="n">
        <v>25.54</v>
      </c>
      <c r="U82" s="14" t="n">
        <v>0.91</v>
      </c>
      <c r="V82" s="14" t="n">
        <v>0.09</v>
      </c>
      <c r="W82" s="14" t="n">
        <v>0</v>
      </c>
      <c r="Z82" s="16" t="n">
        <v>2568576.54</v>
      </c>
      <c r="AA82" s="14" t="n">
        <v>34.95</v>
      </c>
      <c r="AB82" s="14" t="n">
        <v>8.95</v>
      </c>
      <c r="AC82" s="14" t="n">
        <v>0</v>
      </c>
      <c r="AD82" s="16" t="n">
        <v>24422778629.25</v>
      </c>
    </row>
    <row r="83" customFormat="false" ht="15.75" hidden="false" customHeight="false" outlineLevel="0" collapsed="false">
      <c r="A83" s="14" t="s">
        <v>112</v>
      </c>
      <c r="B83" s="14" t="n">
        <v>73.99</v>
      </c>
      <c r="C83" s="14" t="n">
        <v>7.36</v>
      </c>
      <c r="D83" s="14" t="n">
        <v>8.27</v>
      </c>
      <c r="E83" s="14" t="n">
        <v>2.12</v>
      </c>
      <c r="F83" s="14" t="n">
        <v>1.93</v>
      </c>
      <c r="J83" s="14" t="n">
        <v>8.29</v>
      </c>
      <c r="K83" s="14" t="n">
        <v>7.46</v>
      </c>
      <c r="L83" s="14" t="n">
        <v>-0.4</v>
      </c>
      <c r="M83" s="14" t="n">
        <v>-0.1</v>
      </c>
      <c r="O83" s="14" t="n">
        <v>242.44</v>
      </c>
      <c r="P83" s="14" t="n">
        <v>-2.13</v>
      </c>
      <c r="Q83" s="14" t="n">
        <v>1.09</v>
      </c>
      <c r="R83" s="14" t="n">
        <v>25.6</v>
      </c>
      <c r="S83" s="14" t="n">
        <v>23.3</v>
      </c>
      <c r="T83" s="14" t="n">
        <v>25.54</v>
      </c>
      <c r="U83" s="14" t="n">
        <v>0.91</v>
      </c>
      <c r="V83" s="14" t="n">
        <v>0.09</v>
      </c>
      <c r="W83" s="14" t="n">
        <v>0</v>
      </c>
      <c r="Z83" s="16" t="n">
        <v>166526030.93</v>
      </c>
      <c r="AA83" s="14" t="n">
        <v>34.95</v>
      </c>
      <c r="AB83" s="14" t="n">
        <v>8.95</v>
      </c>
      <c r="AC83" s="14" t="n">
        <v>0</v>
      </c>
      <c r="AD83" s="16" t="n">
        <v>24422778629.25</v>
      </c>
    </row>
    <row r="84" customFormat="false" ht="15.75" hidden="false" customHeight="false" outlineLevel="0" collapsed="false">
      <c r="A84" s="14" t="s">
        <v>113</v>
      </c>
      <c r="B84" s="14" t="n">
        <v>22.28</v>
      </c>
      <c r="Z84" s="16" t="n">
        <v>27538234.57</v>
      </c>
      <c r="AB84" s="14" t="n">
        <v>0</v>
      </c>
      <c r="AD84" s="16" t="n">
        <v>6991693224</v>
      </c>
    </row>
    <row r="85" customFormat="false" ht="15.75" hidden="false" customHeight="false" outlineLevel="0" collapsed="false">
      <c r="A85" s="14" t="s">
        <v>114</v>
      </c>
      <c r="B85" s="14" t="n">
        <v>26.51</v>
      </c>
      <c r="C85" s="14" t="n">
        <v>9.46</v>
      </c>
      <c r="D85" s="14" t="n">
        <v>7.4</v>
      </c>
      <c r="E85" s="14" t="n">
        <v>2.42</v>
      </c>
      <c r="F85" s="14" t="n">
        <v>1.05</v>
      </c>
      <c r="G85" s="14" t="n">
        <v>6.23</v>
      </c>
      <c r="H85" s="14" t="n">
        <v>5.72</v>
      </c>
      <c r="I85" s="14" t="n">
        <v>4.82</v>
      </c>
      <c r="J85" s="14" t="n">
        <v>6.23</v>
      </c>
      <c r="K85" s="14" t="n">
        <v>7.44</v>
      </c>
      <c r="L85" s="14" t="n">
        <v>1.2</v>
      </c>
      <c r="M85" s="14" t="n">
        <v>0.47</v>
      </c>
      <c r="N85" s="14" t="n">
        <v>0.36</v>
      </c>
      <c r="O85" s="14" t="n">
        <v>3.08</v>
      </c>
      <c r="P85" s="14" t="n">
        <v>-2.11</v>
      </c>
      <c r="Q85" s="14" t="n">
        <v>3.13</v>
      </c>
      <c r="R85" s="14" t="n">
        <v>32.78</v>
      </c>
      <c r="S85" s="14" t="n">
        <v>14.23</v>
      </c>
      <c r="T85" s="14" t="n">
        <v>17.39</v>
      </c>
      <c r="U85" s="14" t="n">
        <v>0.43</v>
      </c>
      <c r="V85" s="14" t="n">
        <v>0.57</v>
      </c>
      <c r="W85" s="14" t="n">
        <v>2.95</v>
      </c>
      <c r="X85" s="14" t="n">
        <v>-3.48</v>
      </c>
      <c r="Z85" s="16" t="n">
        <v>219648247.2</v>
      </c>
      <c r="AA85" s="14" t="n">
        <v>10.9</v>
      </c>
      <c r="AB85" s="14" t="n">
        <v>3.57</v>
      </c>
      <c r="AC85" s="14" t="n">
        <v>0.07</v>
      </c>
      <c r="AD85" s="16" t="n">
        <v>30825900000</v>
      </c>
    </row>
    <row r="86" customFormat="false" ht="15.75" hidden="false" customHeight="false" outlineLevel="0" collapsed="false">
      <c r="A86" s="14" t="s">
        <v>115</v>
      </c>
      <c r="B86" s="14" t="n">
        <v>27.18</v>
      </c>
      <c r="D86" s="14" t="n">
        <v>15.19</v>
      </c>
      <c r="E86" s="14" t="n">
        <v>2.66</v>
      </c>
      <c r="F86" s="14" t="n">
        <v>0.43</v>
      </c>
      <c r="G86" s="14" t="n">
        <v>22.9</v>
      </c>
      <c r="H86" s="14" t="n">
        <v>7.1</v>
      </c>
      <c r="I86" s="14" t="n">
        <v>3.54</v>
      </c>
      <c r="J86" s="14" t="n">
        <v>7.57</v>
      </c>
      <c r="K86" s="14" t="n">
        <v>12.73</v>
      </c>
      <c r="L86" s="14" t="n">
        <v>5.16</v>
      </c>
      <c r="M86" s="14" t="n">
        <v>1.81</v>
      </c>
      <c r="N86" s="14" t="n">
        <v>0.54</v>
      </c>
      <c r="O86" s="14" t="n">
        <v>2.68</v>
      </c>
      <c r="P86" s="14" t="n">
        <v>-0.82</v>
      </c>
      <c r="Q86" s="14" t="n">
        <v>1.51</v>
      </c>
      <c r="R86" s="14" t="n">
        <v>17.52</v>
      </c>
      <c r="S86" s="14" t="n">
        <v>2.83</v>
      </c>
      <c r="T86" s="14" t="n">
        <v>8.31</v>
      </c>
      <c r="U86" s="14" t="n">
        <v>0.16</v>
      </c>
      <c r="V86" s="14" t="n">
        <v>0.84</v>
      </c>
      <c r="W86" s="14" t="n">
        <v>0.8</v>
      </c>
      <c r="X86" s="14" t="n">
        <v>4.16</v>
      </c>
      <c r="Y86" s="14" t="n">
        <v>-14.99</v>
      </c>
      <c r="Z86" s="16" t="n">
        <v>362916541.51</v>
      </c>
      <c r="AA86" s="14" t="n">
        <v>10.22</v>
      </c>
      <c r="AB86" s="14" t="n">
        <v>1.79</v>
      </c>
      <c r="AC86" s="14" t="n">
        <v>0.95</v>
      </c>
      <c r="AD86" s="16" t="n">
        <v>22107397023.66</v>
      </c>
    </row>
    <row r="87" customFormat="false" ht="15.75" hidden="false" customHeight="false" outlineLevel="0" collapsed="false">
      <c r="A87" s="14" t="s">
        <v>116</v>
      </c>
      <c r="B87" s="14" t="n">
        <v>9.09</v>
      </c>
      <c r="C87" s="14" t="n">
        <v>4</v>
      </c>
      <c r="D87" s="14" t="n">
        <v>19.81</v>
      </c>
      <c r="E87" s="14" t="n">
        <v>0.54</v>
      </c>
      <c r="F87" s="14" t="n">
        <v>0.22</v>
      </c>
      <c r="G87" s="14" t="n">
        <v>-431.4</v>
      </c>
      <c r="H87" s="14" t="n">
        <v>277.43</v>
      </c>
      <c r="I87" s="14" t="n">
        <v>172.09</v>
      </c>
      <c r="J87" s="14" t="n">
        <v>12.29</v>
      </c>
      <c r="K87" s="14" t="n">
        <v>-13.47</v>
      </c>
      <c r="L87" s="14" t="n">
        <v>-29.1</v>
      </c>
      <c r="M87" s="14" t="n">
        <v>-1.28</v>
      </c>
      <c r="N87" s="14" t="n">
        <v>34.08</v>
      </c>
      <c r="O87" s="14" t="n">
        <v>0.51</v>
      </c>
      <c r="P87" s="14" t="n">
        <v>-0.55</v>
      </c>
      <c r="Q87" s="14" t="n">
        <v>3.4</v>
      </c>
      <c r="R87" s="14" t="n">
        <v>2.72</v>
      </c>
      <c r="S87" s="14" t="n">
        <v>1.11</v>
      </c>
      <c r="T87" s="14" t="n">
        <v>2.12</v>
      </c>
      <c r="U87" s="14" t="n">
        <v>0.41</v>
      </c>
      <c r="V87" s="14" t="n">
        <v>0.4</v>
      </c>
      <c r="W87" s="14" t="n">
        <v>0.01</v>
      </c>
      <c r="X87" s="14" t="n">
        <v>-1.53</v>
      </c>
      <c r="Y87" s="14" t="n">
        <v>-7.25</v>
      </c>
      <c r="Z87" s="16" t="n">
        <v>3965.82</v>
      </c>
      <c r="AA87" s="14" t="n">
        <v>16.86</v>
      </c>
      <c r="AB87" s="14" t="n">
        <v>0.46</v>
      </c>
      <c r="AC87" s="14" t="n">
        <v>-0.61</v>
      </c>
      <c r="AD87" s="16" t="n">
        <v>851658559.88</v>
      </c>
    </row>
    <row r="88" customFormat="false" ht="15.75" hidden="false" customHeight="false" outlineLevel="0" collapsed="false">
      <c r="A88" s="14" t="s">
        <v>117</v>
      </c>
      <c r="B88" s="14" t="n">
        <v>6.67</v>
      </c>
      <c r="D88" s="14" t="n">
        <v>14.53</v>
      </c>
      <c r="E88" s="14" t="n">
        <v>0.4</v>
      </c>
      <c r="F88" s="14" t="n">
        <v>0.16</v>
      </c>
      <c r="G88" s="14" t="n">
        <v>-431.4</v>
      </c>
      <c r="H88" s="14" t="n">
        <v>277.43</v>
      </c>
      <c r="I88" s="14" t="n">
        <v>172.09</v>
      </c>
      <c r="J88" s="14" t="n">
        <v>9.01</v>
      </c>
      <c r="K88" s="14" t="n">
        <v>-13.47</v>
      </c>
      <c r="L88" s="14" t="n">
        <v>-29.1</v>
      </c>
      <c r="M88" s="14" t="n">
        <v>-1.28</v>
      </c>
      <c r="N88" s="14" t="n">
        <v>25.01</v>
      </c>
      <c r="O88" s="14" t="n">
        <v>0.38</v>
      </c>
      <c r="P88" s="14" t="n">
        <v>-0.4</v>
      </c>
      <c r="Q88" s="14" t="n">
        <v>3.4</v>
      </c>
      <c r="R88" s="14" t="n">
        <v>2.72</v>
      </c>
      <c r="S88" s="14" t="n">
        <v>1.11</v>
      </c>
      <c r="T88" s="14" t="n">
        <v>2.12</v>
      </c>
      <c r="U88" s="14" t="n">
        <v>0.41</v>
      </c>
      <c r="V88" s="14" t="n">
        <v>0.4</v>
      </c>
      <c r="W88" s="14" t="n">
        <v>0.01</v>
      </c>
      <c r="X88" s="14" t="n">
        <v>-1.53</v>
      </c>
      <c r="Y88" s="14" t="n">
        <v>-7.25</v>
      </c>
      <c r="Z88" s="16" t="n">
        <v>3657.86</v>
      </c>
      <c r="AA88" s="14" t="n">
        <v>16.86</v>
      </c>
      <c r="AB88" s="14" t="n">
        <v>0.46</v>
      </c>
      <c r="AC88" s="14" t="n">
        <v>-0.44</v>
      </c>
      <c r="AD88" s="16" t="n">
        <v>851658559.88</v>
      </c>
    </row>
    <row r="89" customFormat="false" ht="15.75" hidden="false" customHeight="false" outlineLevel="0" collapsed="false">
      <c r="A89" s="14" t="s">
        <v>118</v>
      </c>
      <c r="B89" s="14" t="n">
        <v>8.81</v>
      </c>
      <c r="D89" s="14" t="n">
        <v>19.2</v>
      </c>
      <c r="E89" s="14" t="n">
        <v>0.52</v>
      </c>
      <c r="F89" s="14" t="n">
        <v>0.21</v>
      </c>
      <c r="G89" s="14" t="n">
        <v>-431.4</v>
      </c>
      <c r="H89" s="14" t="n">
        <v>277.43</v>
      </c>
      <c r="I89" s="14" t="n">
        <v>172.09</v>
      </c>
      <c r="J89" s="14" t="n">
        <v>11.91</v>
      </c>
      <c r="K89" s="14" t="n">
        <v>-13.47</v>
      </c>
      <c r="L89" s="14" t="n">
        <v>-29.1</v>
      </c>
      <c r="M89" s="14" t="n">
        <v>-1.28</v>
      </c>
      <c r="N89" s="14" t="n">
        <v>33.03</v>
      </c>
      <c r="O89" s="14" t="n">
        <v>0.5</v>
      </c>
      <c r="P89" s="14" t="n">
        <v>-0.53</v>
      </c>
      <c r="Q89" s="14" t="n">
        <v>3.4</v>
      </c>
      <c r="R89" s="14" t="n">
        <v>2.72</v>
      </c>
      <c r="S89" s="14" t="n">
        <v>1.11</v>
      </c>
      <c r="T89" s="14" t="n">
        <v>2.12</v>
      </c>
      <c r="U89" s="14" t="n">
        <v>0.41</v>
      </c>
      <c r="V89" s="14" t="n">
        <v>0.4</v>
      </c>
      <c r="W89" s="14" t="n">
        <v>0.01</v>
      </c>
      <c r="X89" s="14" t="n">
        <v>-1.53</v>
      </c>
      <c r="Y89" s="14" t="n">
        <v>-7.25</v>
      </c>
      <c r="Z89" s="16" t="n">
        <v>14283.58</v>
      </c>
      <c r="AA89" s="14" t="n">
        <v>16.86</v>
      </c>
      <c r="AB89" s="14" t="n">
        <v>0.46</v>
      </c>
      <c r="AC89" s="14" t="n">
        <v>-0.59</v>
      </c>
      <c r="AD89" s="16" t="n">
        <v>851658559.88</v>
      </c>
    </row>
    <row r="90" customFormat="false" ht="15.75" hidden="false" customHeight="false" outlineLevel="0" collapsed="false">
      <c r="A90" s="14" t="s">
        <v>119</v>
      </c>
      <c r="B90" s="14" t="n">
        <v>10.8</v>
      </c>
      <c r="C90" s="14" t="n">
        <v>2.81</v>
      </c>
      <c r="D90" s="14" t="n">
        <v>23.53</v>
      </c>
      <c r="E90" s="14" t="n">
        <v>0.64</v>
      </c>
      <c r="F90" s="14" t="n">
        <v>0.26</v>
      </c>
      <c r="G90" s="14" t="n">
        <v>-431.4</v>
      </c>
      <c r="H90" s="14" t="n">
        <v>277.43</v>
      </c>
      <c r="I90" s="14" t="n">
        <v>172.09</v>
      </c>
      <c r="J90" s="14" t="n">
        <v>14.6</v>
      </c>
      <c r="K90" s="14" t="n">
        <v>-13.47</v>
      </c>
      <c r="L90" s="14" t="n">
        <v>-29.1</v>
      </c>
      <c r="M90" s="14" t="n">
        <v>-1.28</v>
      </c>
      <c r="N90" s="14" t="n">
        <v>40.49</v>
      </c>
      <c r="O90" s="14" t="n">
        <v>0.61</v>
      </c>
      <c r="P90" s="14" t="n">
        <v>-0.66</v>
      </c>
      <c r="Q90" s="14" t="n">
        <v>3.4</v>
      </c>
      <c r="R90" s="14" t="n">
        <v>2.72</v>
      </c>
      <c r="S90" s="14" t="n">
        <v>1.11</v>
      </c>
      <c r="T90" s="14" t="n">
        <v>2.12</v>
      </c>
      <c r="U90" s="14" t="n">
        <v>0.41</v>
      </c>
      <c r="V90" s="14" t="n">
        <v>0.4</v>
      </c>
      <c r="W90" s="14" t="n">
        <v>0.01</v>
      </c>
      <c r="X90" s="14" t="n">
        <v>-1.53</v>
      </c>
      <c r="Y90" s="14" t="n">
        <v>-7.25</v>
      </c>
      <c r="Z90" s="16" t="n">
        <v>1739.86</v>
      </c>
      <c r="AA90" s="14" t="n">
        <v>16.86</v>
      </c>
      <c r="AB90" s="14" t="n">
        <v>0.46</v>
      </c>
      <c r="AC90" s="14" t="n">
        <v>-0.72</v>
      </c>
      <c r="AD90" s="16" t="n">
        <v>851658559.88</v>
      </c>
    </row>
    <row r="91" customFormat="false" ht="15.75" hidden="false" customHeight="false" outlineLevel="0" collapsed="false">
      <c r="A91" s="14" t="s">
        <v>120</v>
      </c>
      <c r="B91" s="14" t="n">
        <v>14.91</v>
      </c>
      <c r="C91" s="14" t="n">
        <v>4.88</v>
      </c>
      <c r="D91" s="14" t="n">
        <v>32.49</v>
      </c>
      <c r="E91" s="14" t="n">
        <v>0.88</v>
      </c>
      <c r="F91" s="14" t="n">
        <v>0.36</v>
      </c>
      <c r="G91" s="14" t="n">
        <v>-431.4</v>
      </c>
      <c r="H91" s="14" t="n">
        <v>277.43</v>
      </c>
      <c r="I91" s="14" t="n">
        <v>172.09</v>
      </c>
      <c r="J91" s="14" t="n">
        <v>20.15</v>
      </c>
      <c r="K91" s="14" t="n">
        <v>-13.47</v>
      </c>
      <c r="L91" s="14" t="n">
        <v>-29.1</v>
      </c>
      <c r="M91" s="14" t="n">
        <v>-1.28</v>
      </c>
      <c r="N91" s="14" t="n">
        <v>55.9</v>
      </c>
      <c r="O91" s="14" t="n">
        <v>0.84</v>
      </c>
      <c r="P91" s="14" t="n">
        <v>-0.91</v>
      </c>
      <c r="Q91" s="14" t="n">
        <v>3.4</v>
      </c>
      <c r="R91" s="14" t="n">
        <v>2.72</v>
      </c>
      <c r="S91" s="14" t="n">
        <v>1.11</v>
      </c>
      <c r="T91" s="14" t="n">
        <v>2.12</v>
      </c>
      <c r="U91" s="14" t="n">
        <v>0.41</v>
      </c>
      <c r="V91" s="14" t="n">
        <v>0.4</v>
      </c>
      <c r="W91" s="14" t="n">
        <v>0.01</v>
      </c>
      <c r="X91" s="14" t="n">
        <v>-1.53</v>
      </c>
      <c r="Y91" s="14" t="n">
        <v>-7.25</v>
      </c>
      <c r="Z91" s="16" t="n">
        <v>2530.4</v>
      </c>
      <c r="AA91" s="14" t="n">
        <v>16.86</v>
      </c>
      <c r="AB91" s="14" t="n">
        <v>0.46</v>
      </c>
      <c r="AC91" s="14" t="n">
        <v>-0.99</v>
      </c>
      <c r="AD91" s="16" t="n">
        <v>851658559.88</v>
      </c>
    </row>
    <row r="92" customFormat="false" ht="15.75" hidden="false" customHeight="false" outlineLevel="0" collapsed="false">
      <c r="A92" s="14" t="s">
        <v>121</v>
      </c>
      <c r="B92" s="14" t="n">
        <v>5.4</v>
      </c>
      <c r="C92" s="14" t="n">
        <v>7.86</v>
      </c>
      <c r="D92" s="14" t="n">
        <v>11.77</v>
      </c>
      <c r="E92" s="14" t="n">
        <v>0.32</v>
      </c>
      <c r="F92" s="14" t="n">
        <v>0.13</v>
      </c>
      <c r="G92" s="14" t="n">
        <v>-431.4</v>
      </c>
      <c r="H92" s="14" t="n">
        <v>277.43</v>
      </c>
      <c r="I92" s="14" t="n">
        <v>172.09</v>
      </c>
      <c r="J92" s="14" t="n">
        <v>7.3</v>
      </c>
      <c r="K92" s="14" t="n">
        <v>-13.47</v>
      </c>
      <c r="L92" s="14" t="n">
        <v>-29.1</v>
      </c>
      <c r="M92" s="14" t="n">
        <v>-1.28</v>
      </c>
      <c r="N92" s="14" t="n">
        <v>20.25</v>
      </c>
      <c r="O92" s="14" t="n">
        <v>0.31</v>
      </c>
      <c r="P92" s="14" t="n">
        <v>-0.33</v>
      </c>
      <c r="Q92" s="14" t="n">
        <v>3.4</v>
      </c>
      <c r="R92" s="14" t="n">
        <v>2.72</v>
      </c>
      <c r="S92" s="14" t="n">
        <v>1.11</v>
      </c>
      <c r="T92" s="14" t="n">
        <v>2.12</v>
      </c>
      <c r="U92" s="14" t="n">
        <v>0.41</v>
      </c>
      <c r="V92" s="14" t="n">
        <v>0.4</v>
      </c>
      <c r="W92" s="14" t="n">
        <v>0.01</v>
      </c>
      <c r="X92" s="14" t="n">
        <v>-1.53</v>
      </c>
      <c r="Y92" s="14" t="n">
        <v>-7.25</v>
      </c>
      <c r="AA92" s="14" t="n">
        <v>16.86</v>
      </c>
      <c r="AB92" s="14" t="n">
        <v>0.46</v>
      </c>
      <c r="AC92" s="14" t="n">
        <v>-0.36</v>
      </c>
      <c r="AD92" s="16" t="n">
        <v>851658559.88</v>
      </c>
    </row>
    <row r="93" customFormat="false" ht="15.75" hidden="false" customHeight="false" outlineLevel="0" collapsed="false">
      <c r="A93" s="14" t="s">
        <v>122</v>
      </c>
      <c r="B93" s="14" t="n">
        <v>9.75</v>
      </c>
      <c r="C93" s="14" t="n">
        <v>3.11</v>
      </c>
      <c r="D93" s="14" t="n">
        <v>21.24</v>
      </c>
      <c r="E93" s="14" t="n">
        <v>0.58</v>
      </c>
      <c r="F93" s="14" t="n">
        <v>0.24</v>
      </c>
      <c r="G93" s="14" t="n">
        <v>-431.4</v>
      </c>
      <c r="H93" s="14" t="n">
        <v>277.43</v>
      </c>
      <c r="I93" s="14" t="n">
        <v>172.09</v>
      </c>
      <c r="J93" s="14" t="n">
        <v>13.18</v>
      </c>
      <c r="K93" s="14" t="n">
        <v>-13.47</v>
      </c>
      <c r="L93" s="14" t="n">
        <v>-29.1</v>
      </c>
      <c r="M93" s="14" t="n">
        <v>-1.28</v>
      </c>
      <c r="N93" s="14" t="n">
        <v>36.56</v>
      </c>
      <c r="O93" s="14" t="n">
        <v>0.55</v>
      </c>
      <c r="P93" s="14" t="n">
        <v>-0.59</v>
      </c>
      <c r="Q93" s="14" t="n">
        <v>3.4</v>
      </c>
      <c r="R93" s="14" t="n">
        <v>2.72</v>
      </c>
      <c r="S93" s="14" t="n">
        <v>1.11</v>
      </c>
      <c r="T93" s="14" t="n">
        <v>2.12</v>
      </c>
      <c r="U93" s="14" t="n">
        <v>0.41</v>
      </c>
      <c r="V93" s="14" t="n">
        <v>0.4</v>
      </c>
      <c r="W93" s="14" t="n">
        <v>0.01</v>
      </c>
      <c r="X93" s="14" t="n">
        <v>-1.53</v>
      </c>
      <c r="Y93" s="14" t="n">
        <v>-7.25</v>
      </c>
      <c r="Z93" s="16" t="n">
        <v>5629.46</v>
      </c>
      <c r="AA93" s="14" t="n">
        <v>16.86</v>
      </c>
      <c r="AB93" s="14" t="n">
        <v>0.46</v>
      </c>
      <c r="AC93" s="14" t="n">
        <v>-0.65</v>
      </c>
      <c r="AD93" s="16" t="n">
        <v>851658559.88</v>
      </c>
    </row>
    <row r="94" customFormat="false" ht="15.75" hidden="false" customHeight="false" outlineLevel="0" collapsed="false">
      <c r="A94" s="14" t="s">
        <v>123</v>
      </c>
      <c r="B94" s="14" t="n">
        <v>10</v>
      </c>
      <c r="C94" s="14" t="n">
        <v>0.05</v>
      </c>
      <c r="D94" s="14" t="n">
        <v>11.07</v>
      </c>
      <c r="E94" s="14" t="n">
        <v>0.57</v>
      </c>
      <c r="F94" s="14" t="n">
        <v>0.05</v>
      </c>
      <c r="G94" s="14" t="n">
        <v>19.66</v>
      </c>
      <c r="H94" s="14" t="n">
        <v>17.92</v>
      </c>
      <c r="I94" s="14" t="n">
        <v>11.83</v>
      </c>
      <c r="J94" s="14" t="n">
        <v>7.3</v>
      </c>
      <c r="K94" s="14" t="n">
        <v>6.9</v>
      </c>
      <c r="N94" s="14" t="n">
        <v>1.31</v>
      </c>
      <c r="O94" s="14" t="n">
        <v>0.42</v>
      </c>
      <c r="P94" s="14" t="n">
        <v>-0.12</v>
      </c>
      <c r="Q94" s="14" t="n">
        <v>1.28</v>
      </c>
      <c r="R94" s="14" t="n">
        <v>5.18</v>
      </c>
      <c r="S94" s="14" t="n">
        <v>0.47</v>
      </c>
      <c r="U94" s="14" t="n">
        <v>0.09</v>
      </c>
      <c r="V94" s="14" t="n">
        <v>0.91</v>
      </c>
      <c r="W94" s="14" t="n">
        <v>0.04</v>
      </c>
      <c r="X94" s="14" t="n">
        <v>-14.49</v>
      </c>
      <c r="Y94" s="14" t="n">
        <v>-2.44</v>
      </c>
      <c r="Z94" s="16" t="n">
        <v>19692.29</v>
      </c>
      <c r="AA94" s="14" t="n">
        <v>17.46</v>
      </c>
      <c r="AB94" s="14" t="n">
        <v>0.9</v>
      </c>
      <c r="AC94" s="14" t="n">
        <v>0.42</v>
      </c>
      <c r="AD94" s="16" t="n">
        <v>836840003</v>
      </c>
    </row>
    <row r="95" customFormat="false" ht="15.75" hidden="false" customHeight="false" outlineLevel="0" collapsed="false">
      <c r="A95" s="14" t="s">
        <v>124</v>
      </c>
      <c r="B95" s="14" t="n">
        <v>8.6</v>
      </c>
      <c r="C95" s="14" t="n">
        <v>6.73</v>
      </c>
      <c r="D95" s="14" t="n">
        <v>9.52</v>
      </c>
      <c r="E95" s="14" t="n">
        <v>0.49</v>
      </c>
      <c r="F95" s="14" t="n">
        <v>0.04</v>
      </c>
      <c r="G95" s="14" t="n">
        <v>19.66</v>
      </c>
      <c r="H95" s="14" t="n">
        <v>17.92</v>
      </c>
      <c r="I95" s="14" t="n">
        <v>11.83</v>
      </c>
      <c r="J95" s="14" t="n">
        <v>6.28</v>
      </c>
      <c r="K95" s="14" t="n">
        <v>6.9</v>
      </c>
      <c r="N95" s="14" t="n">
        <v>1.13</v>
      </c>
      <c r="O95" s="14" t="n">
        <v>0.36</v>
      </c>
      <c r="P95" s="14" t="n">
        <v>-0.1</v>
      </c>
      <c r="Q95" s="14" t="n">
        <v>1.28</v>
      </c>
      <c r="R95" s="14" t="n">
        <v>5.18</v>
      </c>
      <c r="S95" s="14" t="n">
        <v>0.47</v>
      </c>
      <c r="U95" s="14" t="n">
        <v>0.09</v>
      </c>
      <c r="V95" s="14" t="n">
        <v>0.91</v>
      </c>
      <c r="W95" s="14" t="n">
        <v>0.04</v>
      </c>
      <c r="X95" s="14" t="n">
        <v>-14.49</v>
      </c>
      <c r="Y95" s="14" t="n">
        <v>-2.44</v>
      </c>
      <c r="Z95" s="16" t="n">
        <v>28536.03</v>
      </c>
      <c r="AA95" s="14" t="n">
        <v>17.46</v>
      </c>
      <c r="AB95" s="14" t="n">
        <v>0.9</v>
      </c>
      <c r="AC95" s="14" t="n">
        <v>0.36</v>
      </c>
      <c r="AD95" s="16" t="n">
        <v>836840003</v>
      </c>
    </row>
    <row r="96" customFormat="false" ht="15.75" hidden="false" customHeight="false" outlineLevel="0" collapsed="false">
      <c r="A96" s="14" t="s">
        <v>125</v>
      </c>
      <c r="B96" s="14" t="n">
        <v>57.08</v>
      </c>
      <c r="D96" s="14" t="n">
        <v>-82.93</v>
      </c>
      <c r="E96" s="14" t="n">
        <v>105.74</v>
      </c>
      <c r="F96" s="14" t="n">
        <v>0.48</v>
      </c>
      <c r="G96" s="14" t="n">
        <v>25.18</v>
      </c>
      <c r="H96" s="14" t="n">
        <v>9.17</v>
      </c>
      <c r="I96" s="14" t="n">
        <v>-0.8</v>
      </c>
      <c r="J96" s="14" t="n">
        <v>7.23</v>
      </c>
      <c r="K96" s="14" t="n">
        <v>11.44</v>
      </c>
      <c r="L96" s="14" t="n">
        <v>4.1</v>
      </c>
      <c r="M96" s="14" t="n">
        <v>59.89</v>
      </c>
      <c r="N96" s="14" t="n">
        <v>0.66</v>
      </c>
      <c r="O96" s="14" t="n">
        <v>7.26</v>
      </c>
      <c r="P96" s="14" t="n">
        <v>-0.84</v>
      </c>
      <c r="Q96" s="14" t="n">
        <v>1.19</v>
      </c>
      <c r="R96" s="14" t="n">
        <v>-127.49</v>
      </c>
      <c r="S96" s="14" t="n">
        <v>-0.58</v>
      </c>
      <c r="T96" s="14" t="n">
        <v>15.45</v>
      </c>
      <c r="U96" s="14" t="n">
        <v>0</v>
      </c>
      <c r="V96" s="14" t="n">
        <v>1.02</v>
      </c>
      <c r="W96" s="14" t="n">
        <v>0.73</v>
      </c>
      <c r="X96" s="14" t="n">
        <v>4.54</v>
      </c>
      <c r="Z96" s="16" t="n">
        <v>1050458.07</v>
      </c>
      <c r="AA96" s="14" t="n">
        <v>0.54</v>
      </c>
      <c r="AB96" s="14" t="n">
        <v>-0.69</v>
      </c>
      <c r="AC96" s="14" t="n">
        <v>0.89</v>
      </c>
      <c r="AD96" s="16" t="n">
        <v>46235081489.36</v>
      </c>
    </row>
    <row r="97" customFormat="false" ht="15.75" hidden="false" customHeight="false" outlineLevel="0" collapsed="false">
      <c r="A97" s="14" t="s">
        <v>126</v>
      </c>
      <c r="B97" s="14" t="n">
        <v>58.64</v>
      </c>
      <c r="D97" s="14" t="n">
        <v>-85.36</v>
      </c>
      <c r="E97" s="14" t="n">
        <v>108.83</v>
      </c>
      <c r="F97" s="14" t="n">
        <v>0.5</v>
      </c>
      <c r="G97" s="14" t="n">
        <v>25.18</v>
      </c>
      <c r="H97" s="14" t="n">
        <v>9.17</v>
      </c>
      <c r="I97" s="14" t="n">
        <v>-0.8</v>
      </c>
      <c r="J97" s="14" t="n">
        <v>7.44</v>
      </c>
      <c r="K97" s="14" t="n">
        <v>11.44</v>
      </c>
      <c r="L97" s="14" t="n">
        <v>4.1</v>
      </c>
      <c r="M97" s="14" t="n">
        <v>59.89</v>
      </c>
      <c r="N97" s="14" t="n">
        <v>0.68</v>
      </c>
      <c r="O97" s="14" t="n">
        <v>7.47</v>
      </c>
      <c r="P97" s="14" t="n">
        <v>-0.86</v>
      </c>
      <c r="Q97" s="14" t="n">
        <v>1.19</v>
      </c>
      <c r="R97" s="14" t="n">
        <v>-127.49</v>
      </c>
      <c r="S97" s="14" t="n">
        <v>-0.58</v>
      </c>
      <c r="T97" s="14" t="n">
        <v>15.45</v>
      </c>
      <c r="U97" s="14" t="n">
        <v>0</v>
      </c>
      <c r="V97" s="14" t="n">
        <v>1.02</v>
      </c>
      <c r="W97" s="14" t="n">
        <v>0.73</v>
      </c>
      <c r="X97" s="14" t="n">
        <v>4.54</v>
      </c>
      <c r="Z97" s="16" t="n">
        <v>212410029.29</v>
      </c>
      <c r="AA97" s="14" t="n">
        <v>0.54</v>
      </c>
      <c r="AB97" s="14" t="n">
        <v>-0.69</v>
      </c>
      <c r="AC97" s="14" t="n">
        <v>0.92</v>
      </c>
      <c r="AD97" s="16" t="n">
        <v>46235081489.36</v>
      </c>
    </row>
    <row r="98" customFormat="false" ht="15.75" hidden="false" customHeight="false" outlineLevel="0" collapsed="false">
      <c r="A98" s="14" t="s">
        <v>127</v>
      </c>
      <c r="B98" s="14" t="n">
        <v>44</v>
      </c>
      <c r="D98" s="14" t="n">
        <v>-61.12</v>
      </c>
      <c r="E98" s="14" t="n">
        <v>77.92</v>
      </c>
      <c r="F98" s="14" t="n">
        <v>0.36</v>
      </c>
      <c r="G98" s="14" t="n">
        <v>25.18</v>
      </c>
      <c r="H98" s="14" t="n">
        <v>9.17</v>
      </c>
      <c r="I98" s="14" t="n">
        <v>-0.8</v>
      </c>
      <c r="J98" s="14" t="n">
        <v>5.33</v>
      </c>
      <c r="K98" s="14" t="n">
        <v>11.44</v>
      </c>
      <c r="L98" s="14" t="n">
        <v>4.1</v>
      </c>
      <c r="M98" s="14" t="n">
        <v>59.89</v>
      </c>
      <c r="N98" s="14" t="n">
        <v>0.49</v>
      </c>
      <c r="O98" s="14" t="n">
        <v>5.35</v>
      </c>
      <c r="P98" s="14" t="n">
        <v>-0.62</v>
      </c>
      <c r="Q98" s="14" t="n">
        <v>1.19</v>
      </c>
      <c r="R98" s="14" t="n">
        <v>-127.49</v>
      </c>
      <c r="S98" s="14" t="n">
        <v>-0.58</v>
      </c>
      <c r="T98" s="14" t="n">
        <v>15.45</v>
      </c>
      <c r="U98" s="14" t="n">
        <v>0</v>
      </c>
      <c r="V98" s="14" t="n">
        <v>1.02</v>
      </c>
      <c r="W98" s="14" t="n">
        <v>0.73</v>
      </c>
      <c r="X98" s="14" t="n">
        <v>4.54</v>
      </c>
      <c r="Z98" s="16" t="n">
        <v>13531.27</v>
      </c>
      <c r="AA98" s="14" t="n">
        <v>0.54</v>
      </c>
      <c r="AB98" s="14" t="n">
        <v>-0.69</v>
      </c>
      <c r="AC98" s="14" t="n">
        <v>0.66</v>
      </c>
      <c r="AD98" s="16" t="n">
        <v>46235081489.36</v>
      </c>
    </row>
    <row r="99" customFormat="false" ht="15.75" hidden="false" customHeight="false" outlineLevel="0" collapsed="false">
      <c r="A99" s="14" t="s">
        <v>128</v>
      </c>
      <c r="B99" s="14" t="n">
        <v>10</v>
      </c>
      <c r="D99" s="14" t="n">
        <v>-24.53</v>
      </c>
      <c r="E99" s="14" t="n">
        <v>0.81</v>
      </c>
      <c r="F99" s="14" t="n">
        <v>0.45</v>
      </c>
      <c r="G99" s="14" t="n">
        <v>87.56</v>
      </c>
      <c r="H99" s="14" t="n">
        <v>-40.7</v>
      </c>
      <c r="I99" s="14" t="n">
        <v>-41.28</v>
      </c>
      <c r="J99" s="14" t="n">
        <v>-24.88</v>
      </c>
      <c r="K99" s="14" t="n">
        <v>-31.59</v>
      </c>
      <c r="L99" s="14" t="n">
        <v>-6.7</v>
      </c>
      <c r="M99" s="14" t="n">
        <v>0.22</v>
      </c>
      <c r="N99" s="14" t="n">
        <v>10.13</v>
      </c>
      <c r="O99" s="14" t="n">
        <v>4.92</v>
      </c>
      <c r="P99" s="14" t="n">
        <v>-0.5</v>
      </c>
      <c r="Q99" s="14" t="n">
        <v>4.7</v>
      </c>
      <c r="R99" s="14" t="n">
        <v>-3.29</v>
      </c>
      <c r="S99" s="14" t="n">
        <v>-1.81</v>
      </c>
      <c r="T99" s="14" t="n">
        <v>-3.45</v>
      </c>
      <c r="U99" s="14" t="n">
        <v>0.55</v>
      </c>
      <c r="V99" s="14" t="n">
        <v>0.42</v>
      </c>
      <c r="W99" s="14" t="n">
        <v>0.04</v>
      </c>
      <c r="X99" s="14" t="n">
        <v>-7.67</v>
      </c>
      <c r="Z99" s="16" t="n">
        <v>177075788.76</v>
      </c>
      <c r="AA99" s="14" t="n">
        <v>12.37</v>
      </c>
      <c r="AB99" s="14" t="n">
        <v>-0.41</v>
      </c>
      <c r="AC99" s="14" t="n">
        <v>0.19</v>
      </c>
      <c r="AD99" s="16" t="n">
        <v>8731413330</v>
      </c>
    </row>
    <row r="100" customFormat="false" ht="15.75" hidden="false" customHeight="false" outlineLevel="0" collapsed="false">
      <c r="A100" s="14" t="s">
        <v>129</v>
      </c>
      <c r="B100" s="14" t="n">
        <v>9.03</v>
      </c>
      <c r="C100" s="14" t="n">
        <v>2.18</v>
      </c>
      <c r="D100" s="14" t="n">
        <v>21.66</v>
      </c>
      <c r="E100" s="14" t="n">
        <v>0.61</v>
      </c>
      <c r="F100" s="14" t="n">
        <v>0.4</v>
      </c>
      <c r="G100" s="14" t="n">
        <v>100</v>
      </c>
      <c r="H100" s="14" t="n">
        <v>108.2</v>
      </c>
      <c r="I100" s="14" t="n">
        <v>64.18</v>
      </c>
      <c r="J100" s="14" t="n">
        <v>12.85</v>
      </c>
      <c r="K100" s="14" t="n">
        <v>18.13</v>
      </c>
      <c r="L100" s="14" t="n">
        <v>5.25</v>
      </c>
      <c r="M100" s="14" t="n">
        <v>0.25</v>
      </c>
      <c r="N100" s="14" t="n">
        <v>13.9</v>
      </c>
      <c r="O100" s="14" t="n">
        <v>7.42</v>
      </c>
      <c r="P100" s="14" t="n">
        <v>-0.44</v>
      </c>
      <c r="Q100" s="14" t="n">
        <v>2.44</v>
      </c>
      <c r="R100" s="14" t="n">
        <v>2.82</v>
      </c>
      <c r="S100" s="14" t="n">
        <v>1.86</v>
      </c>
      <c r="T100" s="14" t="n">
        <v>2.54</v>
      </c>
      <c r="U100" s="14" t="n">
        <v>0.66</v>
      </c>
      <c r="V100" s="14" t="n">
        <v>0.34</v>
      </c>
      <c r="W100" s="14" t="n">
        <v>0.03</v>
      </c>
      <c r="X100" s="14" t="n">
        <v>-15.19</v>
      </c>
      <c r="Z100" s="16" t="n">
        <v>16780780.88</v>
      </c>
      <c r="AA100" s="14" t="n">
        <v>14.82</v>
      </c>
      <c r="AB100" s="14" t="n">
        <v>0.42</v>
      </c>
      <c r="AC100" s="14" t="n">
        <v>-0.37</v>
      </c>
      <c r="AD100" s="16" t="n">
        <v>4457998266.81</v>
      </c>
    </row>
    <row r="101" customFormat="false" ht="15.75" hidden="false" customHeight="false" outlineLevel="0" collapsed="false">
      <c r="A101" s="14" t="s">
        <v>130</v>
      </c>
      <c r="B101" s="14" t="n">
        <v>0</v>
      </c>
      <c r="D101" s="14" t="n">
        <v>0</v>
      </c>
      <c r="E101" s="14" t="n">
        <v>0</v>
      </c>
      <c r="F101" s="14" t="n">
        <v>0</v>
      </c>
      <c r="G101" s="14" t="n">
        <v>33.03</v>
      </c>
      <c r="H101" s="14" t="n">
        <v>11.55</v>
      </c>
      <c r="I101" s="14" t="n">
        <v>6.97</v>
      </c>
      <c r="J101" s="14" t="n">
        <v>0</v>
      </c>
      <c r="K101" s="14" t="n">
        <v>-0.91</v>
      </c>
      <c r="L101" s="14" t="n">
        <v>-0.91</v>
      </c>
      <c r="M101" s="14" t="n">
        <v>-0.51</v>
      </c>
      <c r="N101" s="14" t="n">
        <v>0</v>
      </c>
      <c r="O101" s="14" t="n">
        <v>0</v>
      </c>
      <c r="P101" s="14" t="n">
        <v>0</v>
      </c>
      <c r="Q101" s="14" t="n">
        <v>1.99</v>
      </c>
      <c r="R101" s="14" t="n">
        <v>33.98</v>
      </c>
      <c r="S101" s="14" t="n">
        <v>12.97</v>
      </c>
      <c r="T101" s="14" t="n">
        <v>22.84</v>
      </c>
      <c r="U101" s="14" t="n">
        <v>0.38</v>
      </c>
      <c r="V101" s="14" t="n">
        <v>0.61</v>
      </c>
      <c r="W101" s="14" t="n">
        <v>1.86</v>
      </c>
      <c r="X101" s="14" t="n">
        <v>3.8</v>
      </c>
      <c r="Y101" s="14" t="n">
        <v>47.08</v>
      </c>
      <c r="AA101" s="14" t="n">
        <v>0.82</v>
      </c>
      <c r="AB101" s="14" t="n">
        <v>0.28</v>
      </c>
      <c r="AC101" s="14" t="n">
        <v>0</v>
      </c>
      <c r="AD101" s="14" t="n">
        <v>0</v>
      </c>
    </row>
    <row r="102" customFormat="false" ht="15.75" hidden="false" customHeight="false" outlineLevel="0" collapsed="false">
      <c r="A102" s="14" t="s">
        <v>131</v>
      </c>
      <c r="B102" s="14" t="n">
        <v>14.58</v>
      </c>
      <c r="C102" s="14" t="n">
        <v>5.18</v>
      </c>
      <c r="D102" s="14" t="n">
        <v>7.96</v>
      </c>
      <c r="E102" s="14" t="n">
        <v>0.7</v>
      </c>
      <c r="F102" s="14" t="n">
        <v>0.06</v>
      </c>
      <c r="G102" s="14" t="n">
        <v>73.88</v>
      </c>
      <c r="H102" s="14" t="n">
        <v>13.83</v>
      </c>
      <c r="I102" s="14" t="n">
        <v>10.33</v>
      </c>
      <c r="J102" s="14" t="n">
        <v>5.95</v>
      </c>
      <c r="K102" s="14" t="n">
        <v>5.67</v>
      </c>
      <c r="N102" s="14" t="n">
        <v>0.82</v>
      </c>
      <c r="O102" s="14" t="n">
        <v>1.34</v>
      </c>
      <c r="P102" s="14" t="n">
        <v>-0.07</v>
      </c>
      <c r="Q102" s="14" t="n">
        <v>1.92</v>
      </c>
      <c r="R102" s="14" t="n">
        <v>8.73</v>
      </c>
      <c r="S102" s="14" t="n">
        <v>0.78</v>
      </c>
      <c r="U102" s="14" t="n">
        <v>0.09</v>
      </c>
      <c r="V102" s="14" t="n">
        <v>0.91</v>
      </c>
      <c r="W102" s="14" t="n">
        <v>0.08</v>
      </c>
      <c r="X102" s="14" t="n">
        <v>-5.25</v>
      </c>
      <c r="Y102" s="14" t="n">
        <v>-6.77</v>
      </c>
      <c r="Z102" s="16" t="n">
        <v>223083.44</v>
      </c>
      <c r="AA102" s="14" t="n">
        <v>20.98</v>
      </c>
      <c r="AB102" s="14" t="n">
        <v>1.83</v>
      </c>
      <c r="AC102" s="14" t="n">
        <v>-0.21</v>
      </c>
      <c r="AD102" s="16" t="n">
        <v>5687569866.06</v>
      </c>
    </row>
    <row r="103" customFormat="false" ht="15.75" hidden="false" customHeight="false" outlineLevel="0" collapsed="false">
      <c r="A103" s="14" t="s">
        <v>132</v>
      </c>
      <c r="B103" s="14" t="n">
        <v>19.64</v>
      </c>
      <c r="C103" s="14" t="n">
        <v>5.02</v>
      </c>
      <c r="D103" s="14" t="n">
        <v>10.73</v>
      </c>
      <c r="E103" s="14" t="n">
        <v>0.94</v>
      </c>
      <c r="F103" s="14" t="n">
        <v>0.08</v>
      </c>
      <c r="G103" s="14" t="n">
        <v>73.88</v>
      </c>
      <c r="H103" s="14" t="n">
        <v>13.83</v>
      </c>
      <c r="I103" s="14" t="n">
        <v>10.33</v>
      </c>
      <c r="J103" s="14" t="n">
        <v>8.01</v>
      </c>
      <c r="K103" s="14" t="n">
        <v>5.67</v>
      </c>
      <c r="N103" s="14" t="n">
        <v>1.11</v>
      </c>
      <c r="O103" s="14" t="n">
        <v>1.8</v>
      </c>
      <c r="P103" s="14" t="n">
        <v>-0.09</v>
      </c>
      <c r="Q103" s="14" t="n">
        <v>1.92</v>
      </c>
      <c r="R103" s="14" t="n">
        <v>8.73</v>
      </c>
      <c r="S103" s="14" t="n">
        <v>0.78</v>
      </c>
      <c r="U103" s="14" t="n">
        <v>0.09</v>
      </c>
      <c r="V103" s="14" t="n">
        <v>0.91</v>
      </c>
      <c r="W103" s="14" t="n">
        <v>0.08</v>
      </c>
      <c r="X103" s="14" t="n">
        <v>-5.25</v>
      </c>
      <c r="Y103" s="14" t="n">
        <v>-6.77</v>
      </c>
      <c r="Z103" s="16" t="n">
        <v>19112.52</v>
      </c>
      <c r="AA103" s="14" t="n">
        <v>20.98</v>
      </c>
      <c r="AB103" s="14" t="n">
        <v>1.83</v>
      </c>
      <c r="AC103" s="14" t="n">
        <v>-0.28</v>
      </c>
      <c r="AD103" s="16" t="n">
        <v>5687569866.06</v>
      </c>
    </row>
    <row r="104" customFormat="false" ht="15.75" hidden="false" customHeight="false" outlineLevel="0" collapsed="false">
      <c r="A104" s="14" t="s">
        <v>133</v>
      </c>
      <c r="B104" s="14" t="n">
        <v>13.18</v>
      </c>
      <c r="C104" s="14" t="n">
        <v>5.73</v>
      </c>
      <c r="D104" s="14" t="n">
        <v>7.2</v>
      </c>
      <c r="E104" s="14" t="n">
        <v>0.63</v>
      </c>
      <c r="F104" s="14" t="n">
        <v>0.06</v>
      </c>
      <c r="G104" s="14" t="n">
        <v>73.88</v>
      </c>
      <c r="H104" s="14" t="n">
        <v>13.83</v>
      </c>
      <c r="I104" s="14" t="n">
        <v>10.33</v>
      </c>
      <c r="J104" s="14" t="n">
        <v>5.38</v>
      </c>
      <c r="K104" s="14" t="n">
        <v>5.67</v>
      </c>
      <c r="N104" s="14" t="n">
        <v>0.74</v>
      </c>
      <c r="O104" s="14" t="n">
        <v>1.21</v>
      </c>
      <c r="P104" s="14" t="n">
        <v>-0.06</v>
      </c>
      <c r="Q104" s="14" t="n">
        <v>1.92</v>
      </c>
      <c r="R104" s="14" t="n">
        <v>8.73</v>
      </c>
      <c r="S104" s="14" t="n">
        <v>0.78</v>
      </c>
      <c r="U104" s="14" t="n">
        <v>0.09</v>
      </c>
      <c r="V104" s="14" t="n">
        <v>0.91</v>
      </c>
      <c r="W104" s="14" t="n">
        <v>0.08</v>
      </c>
      <c r="X104" s="14" t="n">
        <v>-5.25</v>
      </c>
      <c r="Y104" s="14" t="n">
        <v>-6.77</v>
      </c>
      <c r="Z104" s="16" t="n">
        <v>22307841.54</v>
      </c>
      <c r="AA104" s="14" t="n">
        <v>20.98</v>
      </c>
      <c r="AB104" s="14" t="n">
        <v>1.83</v>
      </c>
      <c r="AC104" s="14" t="n">
        <v>-0.19</v>
      </c>
      <c r="AD104" s="16" t="n">
        <v>5687569866.06</v>
      </c>
    </row>
    <row r="105" customFormat="false" ht="15.75" hidden="false" customHeight="false" outlineLevel="0" collapsed="false">
      <c r="A105" s="14" t="s">
        <v>134</v>
      </c>
      <c r="B105" s="14" t="n">
        <v>9</v>
      </c>
      <c r="D105" s="14" t="n">
        <v>10.22</v>
      </c>
      <c r="E105" s="14" t="n">
        <v>-10.84</v>
      </c>
      <c r="F105" s="14" t="n">
        <v>0.78</v>
      </c>
      <c r="G105" s="14" t="n">
        <v>26.77</v>
      </c>
      <c r="H105" s="14" t="n">
        <v>17.92</v>
      </c>
      <c r="I105" s="14" t="n">
        <v>5.55</v>
      </c>
      <c r="J105" s="14" t="n">
        <v>3.17</v>
      </c>
      <c r="K105" s="14" t="n">
        <v>5.46</v>
      </c>
      <c r="L105" s="14" t="n">
        <v>2.3</v>
      </c>
      <c r="N105" s="14" t="n">
        <v>0.57</v>
      </c>
      <c r="O105" s="14" t="n">
        <v>-1.59</v>
      </c>
      <c r="P105" s="14" t="n">
        <v>-1.13</v>
      </c>
      <c r="Q105" s="14" t="n">
        <v>0.39</v>
      </c>
      <c r="R105" s="14" t="n">
        <v>-106.05</v>
      </c>
      <c r="S105" s="14" t="n">
        <v>7.59</v>
      </c>
      <c r="T105" s="14" t="n">
        <v>30.9</v>
      </c>
      <c r="U105" s="14" t="n">
        <v>-0.07</v>
      </c>
      <c r="V105" s="14" t="n">
        <v>1.07</v>
      </c>
      <c r="W105" s="14" t="n">
        <v>1.37</v>
      </c>
      <c r="X105" s="14" t="n">
        <v>10.88</v>
      </c>
      <c r="Z105" s="16" t="n">
        <v>1097133.5</v>
      </c>
      <c r="AA105" s="14" t="n">
        <v>-0.83</v>
      </c>
      <c r="AB105" s="14" t="n">
        <v>0.88</v>
      </c>
      <c r="AC105" s="14" t="n">
        <v>-0.06</v>
      </c>
      <c r="AD105" s="16" t="n">
        <v>9183864834</v>
      </c>
    </row>
    <row r="106" customFormat="false" ht="15.75" hidden="false" customHeight="false" outlineLevel="0" collapsed="false">
      <c r="A106" s="14" t="s">
        <v>135</v>
      </c>
      <c r="B106" s="14" t="n">
        <v>35.01</v>
      </c>
      <c r="C106" s="14" t="n">
        <v>5.43</v>
      </c>
      <c r="D106" s="14" t="n">
        <v>27.68</v>
      </c>
      <c r="E106" s="14" t="n">
        <v>6.15</v>
      </c>
      <c r="F106" s="14" t="n">
        <v>0.46</v>
      </c>
      <c r="G106" s="14" t="n">
        <v>75.89</v>
      </c>
      <c r="H106" s="14" t="n">
        <v>26.24</v>
      </c>
      <c r="I106" s="14" t="n">
        <v>18.59</v>
      </c>
      <c r="J106" s="14" t="n">
        <v>19.6</v>
      </c>
      <c r="K106" s="14" t="n">
        <v>18.01</v>
      </c>
      <c r="N106" s="14" t="n">
        <v>5.14</v>
      </c>
      <c r="O106" s="14" t="n">
        <v>-2.26</v>
      </c>
      <c r="P106" s="14" t="n">
        <v>-0.54</v>
      </c>
      <c r="Q106" s="14" t="n">
        <v>0.43</v>
      </c>
      <c r="R106" s="14" t="n">
        <v>22.22</v>
      </c>
      <c r="S106" s="14" t="n">
        <v>1.66</v>
      </c>
      <c r="U106" s="14" t="n">
        <v>0.07</v>
      </c>
      <c r="V106" s="14" t="n">
        <v>0.93</v>
      </c>
      <c r="W106" s="14" t="n">
        <v>0.09</v>
      </c>
      <c r="X106" s="14" t="n">
        <v>-2.43</v>
      </c>
      <c r="Y106" s="14" t="n">
        <v>29.66</v>
      </c>
      <c r="Z106" s="16" t="n">
        <v>36405.24</v>
      </c>
      <c r="AA106" s="14" t="n">
        <v>5.69</v>
      </c>
      <c r="AB106" s="14" t="n">
        <v>1.27</v>
      </c>
      <c r="AC106" s="14" t="n">
        <v>992.71</v>
      </c>
      <c r="AD106" s="16" t="n">
        <v>11681468965</v>
      </c>
    </row>
    <row r="107" customFormat="false" ht="15.75" hidden="false" customHeight="false" outlineLevel="0" collapsed="false">
      <c r="A107" s="14" t="s">
        <v>136</v>
      </c>
      <c r="B107" s="14" t="n">
        <v>22.6</v>
      </c>
      <c r="C107" s="14" t="n">
        <v>9.26</v>
      </c>
      <c r="D107" s="14" t="n">
        <v>17.87</v>
      </c>
      <c r="E107" s="14" t="n">
        <v>3.97</v>
      </c>
      <c r="F107" s="14" t="n">
        <v>0.3</v>
      </c>
      <c r="G107" s="14" t="n">
        <v>75.89</v>
      </c>
      <c r="H107" s="14" t="n">
        <v>26.24</v>
      </c>
      <c r="I107" s="14" t="n">
        <v>18.59</v>
      </c>
      <c r="J107" s="14" t="n">
        <v>12.65</v>
      </c>
      <c r="K107" s="14" t="n">
        <v>18.01</v>
      </c>
      <c r="N107" s="14" t="n">
        <v>3.32</v>
      </c>
      <c r="O107" s="14" t="n">
        <v>-1.46</v>
      </c>
      <c r="P107" s="14" t="n">
        <v>-0.35</v>
      </c>
      <c r="Q107" s="14" t="n">
        <v>0.43</v>
      </c>
      <c r="R107" s="14" t="n">
        <v>22.22</v>
      </c>
      <c r="S107" s="14" t="n">
        <v>1.66</v>
      </c>
      <c r="U107" s="14" t="n">
        <v>0.07</v>
      </c>
      <c r="V107" s="14" t="n">
        <v>0.93</v>
      </c>
      <c r="W107" s="14" t="n">
        <v>0.09</v>
      </c>
      <c r="X107" s="14" t="n">
        <v>-2.43</v>
      </c>
      <c r="Y107" s="14" t="n">
        <v>29.66</v>
      </c>
      <c r="Z107" s="16" t="n">
        <v>85809.79</v>
      </c>
      <c r="AA107" s="14" t="n">
        <v>5.69</v>
      </c>
      <c r="AB107" s="14" t="n">
        <v>1.27</v>
      </c>
      <c r="AC107" s="14" t="n">
        <v>640.83</v>
      </c>
      <c r="AD107" s="16" t="n">
        <v>11681468965</v>
      </c>
    </row>
    <row r="108" customFormat="false" ht="15.75" hidden="false" customHeight="false" outlineLevel="0" collapsed="false">
      <c r="A108" s="14" t="s">
        <v>137</v>
      </c>
      <c r="B108" s="14" t="n">
        <v>67.91</v>
      </c>
      <c r="D108" s="14" t="n">
        <v>-142.92</v>
      </c>
      <c r="E108" s="14" t="n">
        <v>4.12</v>
      </c>
      <c r="F108" s="14" t="n">
        <v>1.94</v>
      </c>
      <c r="G108" s="14" t="n">
        <v>28.59</v>
      </c>
      <c r="H108" s="14" t="n">
        <v>1.12</v>
      </c>
      <c r="I108" s="14" t="n">
        <v>-2.34</v>
      </c>
      <c r="J108" s="14" t="n">
        <v>298.65</v>
      </c>
      <c r="K108" s="14" t="n">
        <v>280.99</v>
      </c>
      <c r="L108" s="14" t="n">
        <v>-17.92</v>
      </c>
      <c r="M108" s="14" t="n">
        <v>-0.25</v>
      </c>
      <c r="N108" s="14" t="n">
        <v>3.35</v>
      </c>
      <c r="O108" s="14" t="n">
        <v>5.25</v>
      </c>
      <c r="P108" s="14" t="n">
        <v>-5.36</v>
      </c>
      <c r="Q108" s="14" t="n">
        <v>2.38</v>
      </c>
      <c r="R108" s="14" t="n">
        <v>-2.89</v>
      </c>
      <c r="S108" s="14" t="n">
        <v>-1.36</v>
      </c>
      <c r="T108" s="14" t="n">
        <v>0.6</v>
      </c>
      <c r="U108" s="14" t="n">
        <v>0.47</v>
      </c>
      <c r="V108" s="14" t="n">
        <v>0.53</v>
      </c>
      <c r="W108" s="14" t="n">
        <v>0.58</v>
      </c>
      <c r="X108" s="14" t="n">
        <v>2.35</v>
      </c>
      <c r="Z108" s="16" t="n">
        <v>191980535</v>
      </c>
      <c r="AA108" s="14" t="n">
        <v>16.48</v>
      </c>
      <c r="AB108" s="14" t="n">
        <v>-0.48</v>
      </c>
      <c r="AC108" s="14" t="n">
        <v>19.95</v>
      </c>
      <c r="AD108" s="16" t="n">
        <v>38108235246.48</v>
      </c>
    </row>
    <row r="109" customFormat="false" ht="15.75" hidden="false" customHeight="false" outlineLevel="0" collapsed="false">
      <c r="A109" s="14" t="s">
        <v>138</v>
      </c>
      <c r="B109" s="16" t="n">
        <v>11091.73</v>
      </c>
      <c r="D109" s="16" t="n">
        <v>5869.16</v>
      </c>
      <c r="E109" s="16" t="n">
        <v>4350.09</v>
      </c>
      <c r="F109" s="14" t="n">
        <v>843.43</v>
      </c>
      <c r="G109" s="14" t="n">
        <v>17.64</v>
      </c>
      <c r="H109" s="14" t="n">
        <v>9.15</v>
      </c>
      <c r="I109" s="14" t="n">
        <v>5.11</v>
      </c>
      <c r="J109" s="16" t="n">
        <v>3276.08</v>
      </c>
      <c r="K109" s="14" t="n">
        <v>5.71</v>
      </c>
      <c r="L109" s="14" t="n">
        <v>0.25</v>
      </c>
      <c r="M109" s="14" t="n">
        <v>0.33</v>
      </c>
      <c r="N109" s="14" t="n">
        <v>299.67</v>
      </c>
      <c r="O109" s="16" t="n">
        <v>10849.04</v>
      </c>
      <c r="P109" s="16" t="n">
        <v>-1815.6</v>
      </c>
      <c r="Q109" s="14" t="n">
        <v>1.17</v>
      </c>
      <c r="R109" s="14" t="n">
        <v>74.12</v>
      </c>
      <c r="S109" s="14" t="n">
        <v>14.37</v>
      </c>
      <c r="T109" s="14" t="n">
        <v>51.78</v>
      </c>
      <c r="U109" s="14" t="n">
        <v>0.19</v>
      </c>
      <c r="V109" s="14" t="n">
        <v>0.81</v>
      </c>
      <c r="W109" s="14" t="n">
        <v>2.81</v>
      </c>
      <c r="X109" s="14" t="n">
        <v>5.92</v>
      </c>
      <c r="Y109" s="14" t="n">
        <v>-24.36</v>
      </c>
      <c r="AA109" s="14" t="n">
        <v>2.55</v>
      </c>
      <c r="AB109" s="14" t="n">
        <v>1.89</v>
      </c>
      <c r="AC109" s="14" t="n">
        <v>25.16</v>
      </c>
      <c r="AD109" s="16" t="n">
        <v>274771902.32</v>
      </c>
    </row>
    <row r="110" customFormat="false" ht="15.75" hidden="false" customHeight="false" outlineLevel="0" collapsed="false">
      <c r="A110" s="14" t="s">
        <v>139</v>
      </c>
      <c r="B110" s="14" t="n">
        <v>98.18</v>
      </c>
      <c r="D110" s="14" t="n">
        <v>46.66</v>
      </c>
      <c r="E110" s="14" t="n">
        <v>10.19</v>
      </c>
      <c r="F110" s="14" t="n">
        <v>0.29</v>
      </c>
      <c r="G110" s="14" t="n">
        <v>23.86</v>
      </c>
      <c r="H110" s="14" t="n">
        <v>8.41</v>
      </c>
      <c r="I110" s="14" t="n">
        <v>1.87</v>
      </c>
      <c r="J110" s="14" t="n">
        <v>10.4</v>
      </c>
      <c r="K110" s="14" t="n">
        <v>15.81</v>
      </c>
      <c r="L110" s="14" t="n">
        <v>8.81</v>
      </c>
      <c r="M110" s="14" t="n">
        <v>8.64</v>
      </c>
      <c r="N110" s="14" t="n">
        <v>0.87</v>
      </c>
      <c r="O110" s="14" t="n">
        <v>1.15</v>
      </c>
      <c r="P110" s="14" t="n">
        <v>-0.55</v>
      </c>
      <c r="Q110" s="14" t="n">
        <v>2.2</v>
      </c>
      <c r="R110" s="14" t="n">
        <v>21.85</v>
      </c>
      <c r="S110" s="14" t="n">
        <v>0.63</v>
      </c>
      <c r="T110" s="14" t="n">
        <v>7.22</v>
      </c>
      <c r="U110" s="14" t="n">
        <v>0.03</v>
      </c>
      <c r="V110" s="14" t="n">
        <v>0.97</v>
      </c>
      <c r="W110" s="14" t="n">
        <v>0.34</v>
      </c>
      <c r="X110" s="14" t="n">
        <v>-7.97</v>
      </c>
      <c r="Y110" s="14" t="n">
        <v>-33.18</v>
      </c>
      <c r="AA110" s="14" t="n">
        <v>9.63</v>
      </c>
      <c r="AB110" s="14" t="n">
        <v>2.1</v>
      </c>
      <c r="AC110" s="14" t="n">
        <v>-0.44</v>
      </c>
      <c r="AD110" s="16" t="n">
        <v>24582197.2</v>
      </c>
    </row>
    <row r="111" customFormat="false" ht="15.75" hidden="false" customHeight="false" outlineLevel="0" collapsed="false">
      <c r="A111" s="14" t="s">
        <v>140</v>
      </c>
      <c r="B111" s="14" t="n">
        <v>50</v>
      </c>
      <c r="D111" s="14" t="n">
        <v>23.76</v>
      </c>
      <c r="E111" s="14" t="n">
        <v>5.19</v>
      </c>
      <c r="F111" s="14" t="n">
        <v>0.15</v>
      </c>
      <c r="G111" s="14" t="n">
        <v>23.86</v>
      </c>
      <c r="H111" s="14" t="n">
        <v>8.41</v>
      </c>
      <c r="I111" s="14" t="n">
        <v>1.87</v>
      </c>
      <c r="J111" s="14" t="n">
        <v>5.29</v>
      </c>
      <c r="K111" s="14" t="n">
        <v>15.81</v>
      </c>
      <c r="L111" s="14" t="n">
        <v>8.81</v>
      </c>
      <c r="M111" s="14" t="n">
        <v>8.64</v>
      </c>
      <c r="N111" s="14" t="n">
        <v>0.45</v>
      </c>
      <c r="O111" s="14" t="n">
        <v>0.59</v>
      </c>
      <c r="P111" s="14" t="n">
        <v>-0.28</v>
      </c>
      <c r="Q111" s="14" t="n">
        <v>2.2</v>
      </c>
      <c r="R111" s="14" t="n">
        <v>21.85</v>
      </c>
      <c r="S111" s="14" t="n">
        <v>0.63</v>
      </c>
      <c r="T111" s="14" t="n">
        <v>7.22</v>
      </c>
      <c r="U111" s="14" t="n">
        <v>0.03</v>
      </c>
      <c r="V111" s="14" t="n">
        <v>0.97</v>
      </c>
      <c r="W111" s="14" t="n">
        <v>0.34</v>
      </c>
      <c r="X111" s="14" t="n">
        <v>-7.97</v>
      </c>
      <c r="Y111" s="14" t="n">
        <v>-33.18</v>
      </c>
      <c r="Z111" s="16" t="n">
        <v>9554</v>
      </c>
      <c r="AA111" s="14" t="n">
        <v>9.63</v>
      </c>
      <c r="AB111" s="14" t="n">
        <v>2.1</v>
      </c>
      <c r="AC111" s="14" t="n">
        <v>-0.23</v>
      </c>
      <c r="AD111" s="16" t="n">
        <v>24582197.2</v>
      </c>
    </row>
    <row r="112" customFormat="false" ht="15.75" hidden="false" customHeight="false" outlineLevel="0" collapsed="false">
      <c r="A112" s="14" t="s">
        <v>141</v>
      </c>
      <c r="B112" s="14" t="n">
        <v>6</v>
      </c>
      <c r="D112" s="14" t="n">
        <v>16.59</v>
      </c>
      <c r="E112" s="14" t="n">
        <v>2.57</v>
      </c>
      <c r="F112" s="14" t="n">
        <v>0.92</v>
      </c>
      <c r="G112" s="14" t="n">
        <v>44.54</v>
      </c>
      <c r="H112" s="14" t="n">
        <v>7.73</v>
      </c>
      <c r="I112" s="14" t="n">
        <v>10.53</v>
      </c>
      <c r="J112" s="14" t="n">
        <v>22.63</v>
      </c>
      <c r="K112" s="14" t="n">
        <v>28.08</v>
      </c>
      <c r="L112" s="14" t="n">
        <v>5.45</v>
      </c>
      <c r="M112" s="14" t="n">
        <v>0.62</v>
      </c>
      <c r="N112" s="14" t="n">
        <v>1.75</v>
      </c>
      <c r="O112" s="14" t="n">
        <v>-36.44</v>
      </c>
      <c r="P112" s="14" t="n">
        <v>-1.42</v>
      </c>
      <c r="Q112" s="14" t="n">
        <v>0.93</v>
      </c>
      <c r="R112" s="14" t="n">
        <v>15.47</v>
      </c>
      <c r="S112" s="14" t="n">
        <v>5.54</v>
      </c>
      <c r="T112" s="14" t="n">
        <v>1.58</v>
      </c>
      <c r="U112" s="14" t="n">
        <v>0.36</v>
      </c>
      <c r="V112" s="14" t="n">
        <v>0.64</v>
      </c>
      <c r="W112" s="14" t="n">
        <v>0.53</v>
      </c>
      <c r="X112" s="14" t="n">
        <v>-11.36</v>
      </c>
      <c r="Z112" s="16" t="n">
        <v>740817.27</v>
      </c>
      <c r="AA112" s="14" t="n">
        <v>2.34</v>
      </c>
      <c r="AB112" s="14" t="n">
        <v>0.36</v>
      </c>
      <c r="AC112" s="14" t="n">
        <v>-0.46</v>
      </c>
      <c r="AD112" s="16" t="n">
        <v>253590480</v>
      </c>
    </row>
    <row r="113" customFormat="false" ht="15.75" hidden="false" customHeight="false" outlineLevel="0" collapsed="false">
      <c r="A113" s="14" t="s">
        <v>142</v>
      </c>
      <c r="B113" s="14" t="n">
        <v>6.25</v>
      </c>
      <c r="D113" s="14" t="n">
        <v>17.29</v>
      </c>
      <c r="E113" s="14" t="n">
        <v>2.67</v>
      </c>
      <c r="F113" s="14" t="n">
        <v>0.96</v>
      </c>
      <c r="G113" s="14" t="n">
        <v>44.54</v>
      </c>
      <c r="H113" s="14" t="n">
        <v>7.73</v>
      </c>
      <c r="I113" s="14" t="n">
        <v>10.53</v>
      </c>
      <c r="J113" s="14" t="n">
        <v>23.57</v>
      </c>
      <c r="K113" s="14" t="n">
        <v>28.08</v>
      </c>
      <c r="L113" s="14" t="n">
        <v>5.45</v>
      </c>
      <c r="M113" s="14" t="n">
        <v>0.62</v>
      </c>
      <c r="N113" s="14" t="n">
        <v>1.82</v>
      </c>
      <c r="O113" s="14" t="n">
        <v>-37.95</v>
      </c>
      <c r="P113" s="14" t="n">
        <v>-1.48</v>
      </c>
      <c r="Q113" s="14" t="n">
        <v>0.93</v>
      </c>
      <c r="R113" s="14" t="n">
        <v>15.47</v>
      </c>
      <c r="S113" s="14" t="n">
        <v>5.54</v>
      </c>
      <c r="T113" s="14" t="n">
        <v>1.58</v>
      </c>
      <c r="U113" s="14" t="n">
        <v>0.36</v>
      </c>
      <c r="V113" s="14" t="n">
        <v>0.64</v>
      </c>
      <c r="W113" s="14" t="n">
        <v>0.53</v>
      </c>
      <c r="X113" s="14" t="n">
        <v>-11.36</v>
      </c>
      <c r="AA113" s="14" t="n">
        <v>2.34</v>
      </c>
      <c r="AB113" s="14" t="n">
        <v>0.36</v>
      </c>
      <c r="AC113" s="14" t="n">
        <v>-0.48</v>
      </c>
      <c r="AD113" s="16" t="n">
        <v>253590480</v>
      </c>
    </row>
    <row r="114" customFormat="false" ht="15.75" hidden="false" customHeight="false" outlineLevel="0" collapsed="false">
      <c r="A114" s="14" t="s">
        <v>143</v>
      </c>
      <c r="B114" s="14" t="n">
        <v>9.64</v>
      </c>
      <c r="C114" s="14" t="n">
        <v>6.35</v>
      </c>
      <c r="D114" s="14" t="n">
        <v>7.71</v>
      </c>
      <c r="E114" s="14" t="n">
        <v>1.32</v>
      </c>
      <c r="F114" s="14" t="n">
        <v>0.58</v>
      </c>
      <c r="G114" s="14" t="n">
        <v>22.25</v>
      </c>
      <c r="H114" s="14" t="n">
        <v>8.33</v>
      </c>
      <c r="I114" s="14" t="n">
        <v>6.2</v>
      </c>
      <c r="J114" s="14" t="n">
        <v>5.73</v>
      </c>
      <c r="K114" s="14" t="n">
        <v>7.72</v>
      </c>
      <c r="L114" s="14" t="n">
        <v>2.01</v>
      </c>
      <c r="M114" s="14" t="n">
        <v>0.46</v>
      </c>
      <c r="N114" s="14" t="n">
        <v>0.48</v>
      </c>
      <c r="O114" s="14" t="n">
        <v>1.62</v>
      </c>
      <c r="P114" s="14" t="n">
        <v>-1.51</v>
      </c>
      <c r="Q114" s="14" t="n">
        <v>2.38</v>
      </c>
      <c r="R114" s="14" t="n">
        <v>17.08</v>
      </c>
      <c r="S114" s="14" t="n">
        <v>7.5</v>
      </c>
      <c r="T114" s="14" t="n">
        <v>10.8</v>
      </c>
      <c r="U114" s="14" t="n">
        <v>0.44</v>
      </c>
      <c r="V114" s="14" t="n">
        <v>0.56</v>
      </c>
      <c r="W114" s="14" t="n">
        <v>1.21</v>
      </c>
      <c r="X114" s="14" t="n">
        <v>12.04</v>
      </c>
      <c r="Y114" s="14" t="n">
        <v>33.1</v>
      </c>
      <c r="Z114" s="16" t="n">
        <v>13040322.59</v>
      </c>
      <c r="AA114" s="14" t="n">
        <v>7.32</v>
      </c>
      <c r="AB114" s="14" t="n">
        <v>1.25</v>
      </c>
      <c r="AC114" s="14" t="n">
        <v>0.15</v>
      </c>
      <c r="AD114" s="16" t="n">
        <v>3555700000</v>
      </c>
    </row>
    <row r="115" customFormat="false" ht="15.75" hidden="false" customHeight="false" outlineLevel="0" collapsed="false">
      <c r="A115" s="14" t="s">
        <v>144</v>
      </c>
      <c r="B115" s="14" t="n">
        <v>23.38</v>
      </c>
      <c r="C115" s="14" t="n">
        <v>2.02</v>
      </c>
      <c r="D115" s="14" t="n">
        <v>19.43</v>
      </c>
      <c r="E115" s="14" t="n">
        <v>3.23</v>
      </c>
      <c r="F115" s="14" t="n">
        <v>1.81</v>
      </c>
      <c r="G115" s="14" t="n">
        <v>30.59</v>
      </c>
      <c r="H115" s="14" t="n">
        <v>16.35</v>
      </c>
      <c r="I115" s="14" t="n">
        <v>10.78</v>
      </c>
      <c r="J115" s="14" t="n">
        <v>12.81</v>
      </c>
      <c r="K115" s="14" t="n">
        <v>13.51</v>
      </c>
      <c r="L115" s="14" t="n">
        <v>0.73</v>
      </c>
      <c r="M115" s="14" t="n">
        <v>0.18</v>
      </c>
      <c r="N115" s="14" t="n">
        <v>2.09</v>
      </c>
      <c r="O115" s="14" t="n">
        <v>57.76</v>
      </c>
      <c r="P115" s="14" t="n">
        <v>-2.54</v>
      </c>
      <c r="Q115" s="14" t="n">
        <v>1.12</v>
      </c>
      <c r="R115" s="14" t="n">
        <v>16.63</v>
      </c>
      <c r="S115" s="14" t="n">
        <v>9.32</v>
      </c>
      <c r="T115" s="14" t="n">
        <v>13.18</v>
      </c>
      <c r="U115" s="14" t="n">
        <v>0.56</v>
      </c>
      <c r="V115" s="14" t="n">
        <v>0.44</v>
      </c>
      <c r="W115" s="14" t="n">
        <v>0.86</v>
      </c>
      <c r="X115" s="14" t="n">
        <v>-0.29</v>
      </c>
      <c r="Y115" s="14" t="n">
        <v>19.73</v>
      </c>
      <c r="Z115" s="16" t="n">
        <v>8502215.56</v>
      </c>
      <c r="AA115" s="14" t="n">
        <v>7.23</v>
      </c>
      <c r="AB115" s="14" t="n">
        <v>1.2</v>
      </c>
      <c r="AC115" s="14" t="n">
        <v>0.33</v>
      </c>
      <c r="AD115" s="16" t="n">
        <v>974358000</v>
      </c>
    </row>
    <row r="116" customFormat="false" ht="15.75" hidden="false" customHeight="false" outlineLevel="0" collapsed="false">
      <c r="A116" s="14" t="s">
        <v>145</v>
      </c>
      <c r="B116" s="14" t="n">
        <v>49.09</v>
      </c>
      <c r="C116" s="14" t="n">
        <v>0.08</v>
      </c>
      <c r="D116" s="14" t="n">
        <v>353.31</v>
      </c>
      <c r="E116" s="14" t="n">
        <v>17.3</v>
      </c>
      <c r="F116" s="14" t="n">
        <v>15.57</v>
      </c>
      <c r="G116" s="14" t="n">
        <v>16.35</v>
      </c>
      <c r="H116" s="14" t="n">
        <v>16.35</v>
      </c>
      <c r="I116" s="14" t="n">
        <v>12.07</v>
      </c>
      <c r="J116" s="14" t="n">
        <v>260.89</v>
      </c>
      <c r="K116" s="14" t="n">
        <v>251.85</v>
      </c>
      <c r="L116" s="14" t="n">
        <v>-9.78</v>
      </c>
      <c r="M116" s="14" t="n">
        <v>-0.65</v>
      </c>
      <c r="N116" s="14" t="n">
        <v>42.66</v>
      </c>
      <c r="O116" s="14" t="n">
        <v>25.4</v>
      </c>
      <c r="P116" s="14" t="n">
        <v>-46.84</v>
      </c>
      <c r="Q116" s="14" t="n">
        <v>12.23</v>
      </c>
      <c r="R116" s="14" t="n">
        <v>4.9</v>
      </c>
      <c r="S116" s="14" t="n">
        <v>4.41</v>
      </c>
      <c r="T116" s="14" t="n">
        <v>4.28</v>
      </c>
      <c r="U116" s="14" t="n">
        <v>0.9</v>
      </c>
      <c r="V116" s="14" t="n">
        <v>0.06</v>
      </c>
      <c r="W116" s="14" t="n">
        <v>0.36</v>
      </c>
      <c r="Z116" s="16" t="n">
        <v>135914338.59</v>
      </c>
      <c r="AA116" s="14" t="n">
        <v>2.84</v>
      </c>
      <c r="AB116" s="14" t="n">
        <v>0.14</v>
      </c>
      <c r="AD116" s="16" t="n">
        <v>6226825250</v>
      </c>
    </row>
    <row r="117" customFormat="false" ht="15.75" hidden="false" customHeight="false" outlineLevel="0" collapsed="false">
      <c r="A117" s="14" t="s">
        <v>146</v>
      </c>
      <c r="B117" s="14" t="n">
        <v>14.3</v>
      </c>
      <c r="C117" s="14" t="n">
        <v>0.26</v>
      </c>
      <c r="D117" s="14" t="n">
        <v>96.18</v>
      </c>
      <c r="E117" s="14" t="n">
        <v>8.05</v>
      </c>
      <c r="F117" s="14" t="n">
        <v>3.01</v>
      </c>
      <c r="G117" s="14" t="n">
        <v>50.07</v>
      </c>
      <c r="H117" s="14" t="n">
        <v>23.09</v>
      </c>
      <c r="I117" s="14" t="n">
        <v>10.43</v>
      </c>
      <c r="J117" s="14" t="n">
        <v>43.42</v>
      </c>
      <c r="K117" s="14" t="n">
        <v>39.55</v>
      </c>
      <c r="L117" s="14" t="n">
        <v>5.13</v>
      </c>
      <c r="M117" s="14" t="n">
        <v>0.95</v>
      </c>
      <c r="N117" s="14" t="n">
        <v>10.03</v>
      </c>
      <c r="O117" s="14" t="n">
        <v>-734.09</v>
      </c>
      <c r="P117" s="14" t="n">
        <v>-3.45</v>
      </c>
      <c r="Q117" s="14" t="n">
        <v>0.97</v>
      </c>
      <c r="R117" s="14" t="n">
        <v>8.37</v>
      </c>
      <c r="S117" s="14" t="n">
        <v>3.13</v>
      </c>
      <c r="T117" s="14" t="n">
        <v>6.91</v>
      </c>
      <c r="U117" s="14" t="n">
        <v>0.37</v>
      </c>
      <c r="V117" s="14" t="n">
        <v>0.63</v>
      </c>
      <c r="W117" s="14" t="n">
        <v>0.3</v>
      </c>
      <c r="X117" s="14" t="n">
        <v>7.49</v>
      </c>
      <c r="Y117" s="14" t="n">
        <v>59.39</v>
      </c>
      <c r="Z117" s="16" t="n">
        <v>1520</v>
      </c>
      <c r="AA117" s="14" t="n">
        <v>1.78</v>
      </c>
      <c r="AB117" s="14" t="n">
        <v>0.15</v>
      </c>
      <c r="AC117" s="14" t="n">
        <v>6.89</v>
      </c>
      <c r="AD117" s="16" t="n">
        <v>9067999874.79</v>
      </c>
    </row>
    <row r="118" customFormat="false" ht="15.75" hidden="false" customHeight="false" outlineLevel="0" collapsed="false">
      <c r="A118" s="14" t="s">
        <v>147</v>
      </c>
      <c r="B118" s="14" t="n">
        <v>8.37</v>
      </c>
      <c r="C118" s="14" t="n">
        <v>0.49</v>
      </c>
      <c r="D118" s="14" t="n">
        <v>56.29</v>
      </c>
      <c r="E118" s="14" t="n">
        <v>4.71</v>
      </c>
      <c r="F118" s="14" t="n">
        <v>1.76</v>
      </c>
      <c r="G118" s="14" t="n">
        <v>50.07</v>
      </c>
      <c r="H118" s="14" t="n">
        <v>23.09</v>
      </c>
      <c r="I118" s="14" t="n">
        <v>10.43</v>
      </c>
      <c r="J118" s="14" t="n">
        <v>25.42</v>
      </c>
      <c r="K118" s="14" t="n">
        <v>39.55</v>
      </c>
      <c r="L118" s="14" t="n">
        <v>5.13</v>
      </c>
      <c r="M118" s="14" t="n">
        <v>0.95</v>
      </c>
      <c r="N118" s="14" t="n">
        <v>5.87</v>
      </c>
      <c r="O118" s="14" t="n">
        <v>-429.67</v>
      </c>
      <c r="P118" s="14" t="n">
        <v>-2.02</v>
      </c>
      <c r="Q118" s="14" t="n">
        <v>0.97</v>
      </c>
      <c r="R118" s="14" t="n">
        <v>8.37</v>
      </c>
      <c r="S118" s="14" t="n">
        <v>3.13</v>
      </c>
      <c r="T118" s="14" t="n">
        <v>6.91</v>
      </c>
      <c r="U118" s="14" t="n">
        <v>0.37</v>
      </c>
      <c r="V118" s="14" t="n">
        <v>0.63</v>
      </c>
      <c r="W118" s="14" t="n">
        <v>0.3</v>
      </c>
      <c r="X118" s="14" t="n">
        <v>7.49</v>
      </c>
      <c r="Y118" s="14" t="n">
        <v>59.39</v>
      </c>
      <c r="AA118" s="14" t="n">
        <v>1.78</v>
      </c>
      <c r="AB118" s="14" t="n">
        <v>0.15</v>
      </c>
      <c r="AC118" s="14" t="n">
        <v>4.04</v>
      </c>
      <c r="AD118" s="16" t="n">
        <v>9067999874.79</v>
      </c>
    </row>
    <row r="119" customFormat="false" ht="15.75" hidden="false" customHeight="false" outlineLevel="0" collapsed="false">
      <c r="A119" s="14" t="s">
        <v>148</v>
      </c>
      <c r="B119" s="14" t="n">
        <v>103.61</v>
      </c>
      <c r="D119" s="16" t="n">
        <v>1158.1</v>
      </c>
      <c r="E119" s="14" t="n">
        <v>0.11</v>
      </c>
      <c r="F119" s="14" t="n">
        <v>0.06</v>
      </c>
      <c r="G119" s="14" t="n">
        <v>20.89</v>
      </c>
      <c r="H119" s="14" t="n">
        <v>-0.92</v>
      </c>
      <c r="I119" s="14" t="n">
        <v>0.01</v>
      </c>
      <c r="J119" s="14" t="n">
        <v>-10.89</v>
      </c>
      <c r="K119" s="14" t="n">
        <v>-28.26</v>
      </c>
      <c r="L119" s="14" t="n">
        <v>-17.45</v>
      </c>
      <c r="M119" s="14" t="n">
        <v>0.18</v>
      </c>
      <c r="N119" s="14" t="n">
        <v>0.1</v>
      </c>
      <c r="O119" s="14" t="n">
        <v>0.25</v>
      </c>
      <c r="P119" s="14" t="n">
        <v>-0.12</v>
      </c>
      <c r="Q119" s="14" t="n">
        <v>2.07</v>
      </c>
      <c r="R119" s="14" t="n">
        <v>0.01</v>
      </c>
      <c r="S119" s="14" t="n">
        <v>0.01</v>
      </c>
      <c r="T119" s="14" t="n">
        <v>-0.75</v>
      </c>
      <c r="U119" s="14" t="n">
        <v>0.55</v>
      </c>
      <c r="V119" s="14" t="n">
        <v>0.45</v>
      </c>
      <c r="W119" s="14" t="n">
        <v>0.62</v>
      </c>
      <c r="X119" s="14" t="n">
        <v>-4.76</v>
      </c>
      <c r="AA119" s="14" t="n">
        <v>915.95</v>
      </c>
      <c r="AB119" s="14" t="n">
        <v>0.09</v>
      </c>
      <c r="AC119" s="14" t="n">
        <v>-11.6</v>
      </c>
      <c r="AD119" s="16" t="n">
        <v>14940354.78</v>
      </c>
    </row>
    <row r="120" customFormat="false" ht="15.75" hidden="false" customHeight="false" outlineLevel="0" collapsed="false">
      <c r="A120" s="14" t="s">
        <v>149</v>
      </c>
      <c r="B120" s="14" t="n">
        <v>0</v>
      </c>
      <c r="D120" s="14" t="n">
        <v>0</v>
      </c>
      <c r="E120" s="14" t="n">
        <v>0</v>
      </c>
      <c r="F120" s="14" t="n">
        <v>0</v>
      </c>
      <c r="G120" s="14" t="n">
        <v>20.89</v>
      </c>
      <c r="H120" s="14" t="n">
        <v>-0.92</v>
      </c>
      <c r="I120" s="14" t="n">
        <v>0.01</v>
      </c>
      <c r="J120" s="14" t="n">
        <v>0</v>
      </c>
      <c r="K120" s="14" t="n">
        <v>-28.26</v>
      </c>
      <c r="L120" s="14" t="n">
        <v>-17.45</v>
      </c>
      <c r="M120" s="14" t="n">
        <v>0.18</v>
      </c>
      <c r="N120" s="14" t="n">
        <v>0</v>
      </c>
      <c r="O120" s="14" t="n">
        <v>0</v>
      </c>
      <c r="P120" s="14" t="n">
        <v>0</v>
      </c>
      <c r="Q120" s="14" t="n">
        <v>2.07</v>
      </c>
      <c r="R120" s="14" t="n">
        <v>0.01</v>
      </c>
      <c r="S120" s="14" t="n">
        <v>0.01</v>
      </c>
      <c r="T120" s="14" t="n">
        <v>-0.75</v>
      </c>
      <c r="U120" s="14" t="n">
        <v>0.55</v>
      </c>
      <c r="V120" s="14" t="n">
        <v>0.45</v>
      </c>
      <c r="W120" s="14" t="n">
        <v>0.62</v>
      </c>
      <c r="X120" s="14" t="n">
        <v>-4.76</v>
      </c>
      <c r="AA120" s="14" t="n">
        <v>915.95</v>
      </c>
      <c r="AB120" s="14" t="n">
        <v>0.09</v>
      </c>
      <c r="AC120" s="14" t="n">
        <v>0</v>
      </c>
      <c r="AD120" s="16" t="n">
        <v>14940354.78</v>
      </c>
    </row>
    <row r="121" customFormat="false" ht="15.75" hidden="false" customHeight="false" outlineLevel="0" collapsed="false">
      <c r="A121" s="14" t="s">
        <v>150</v>
      </c>
      <c r="B121" s="14" t="n">
        <v>24.73</v>
      </c>
      <c r="C121" s="14" t="n">
        <v>0.28</v>
      </c>
      <c r="D121" s="14" t="n">
        <v>56.79</v>
      </c>
      <c r="E121" s="14" t="n">
        <v>1.14</v>
      </c>
      <c r="F121" s="14" t="n">
        <v>0.35</v>
      </c>
      <c r="G121" s="14" t="n">
        <v>12.42</v>
      </c>
      <c r="H121" s="14" t="n">
        <v>3.9</v>
      </c>
      <c r="I121" s="14" t="n">
        <v>1.12</v>
      </c>
      <c r="J121" s="14" t="n">
        <v>16.37</v>
      </c>
      <c r="K121" s="14" t="n">
        <v>33.26</v>
      </c>
      <c r="L121" s="14" t="n">
        <v>16.9</v>
      </c>
      <c r="M121" s="14" t="n">
        <v>1.18</v>
      </c>
      <c r="N121" s="14" t="n">
        <v>0.64</v>
      </c>
      <c r="O121" s="14" t="n">
        <v>-5.59</v>
      </c>
      <c r="P121" s="14" t="n">
        <v>-0.47</v>
      </c>
      <c r="Q121" s="14" t="n">
        <v>0.81</v>
      </c>
      <c r="R121" s="14" t="n">
        <v>2.01</v>
      </c>
      <c r="S121" s="14" t="n">
        <v>0.61</v>
      </c>
      <c r="T121" s="14" t="n">
        <v>2.59</v>
      </c>
      <c r="U121" s="14" t="n">
        <v>0.3</v>
      </c>
      <c r="V121" s="14" t="n">
        <v>0.7</v>
      </c>
      <c r="W121" s="14" t="n">
        <v>0.55</v>
      </c>
      <c r="X121" s="14" t="n">
        <v>3.81</v>
      </c>
      <c r="Z121" s="16" t="n">
        <v>35461.49</v>
      </c>
      <c r="AA121" s="14" t="n">
        <v>21.62</v>
      </c>
      <c r="AB121" s="14" t="n">
        <v>0.44</v>
      </c>
      <c r="AC121" s="14" t="n">
        <v>-0.76</v>
      </c>
      <c r="AD121" s="16" t="n">
        <v>4120866881.98</v>
      </c>
    </row>
    <row r="122" customFormat="false" ht="15.75" hidden="false" customHeight="false" outlineLevel="0" collapsed="false">
      <c r="A122" s="14" t="s">
        <v>151</v>
      </c>
      <c r="B122" s="14" t="n">
        <v>11.85</v>
      </c>
      <c r="C122" s="14" t="n">
        <v>8.12</v>
      </c>
      <c r="D122" s="14" t="n">
        <v>43.76</v>
      </c>
      <c r="E122" s="14" t="n">
        <v>1.11</v>
      </c>
      <c r="F122" s="14" t="n">
        <v>0.37</v>
      </c>
      <c r="G122" s="14" t="n">
        <v>62.41</v>
      </c>
      <c r="H122" s="14" t="n">
        <v>48.94</v>
      </c>
      <c r="I122" s="14" t="n">
        <v>8.71</v>
      </c>
      <c r="J122" s="14" t="n">
        <v>7.79</v>
      </c>
      <c r="K122" s="14" t="n">
        <v>12.37</v>
      </c>
      <c r="L122" s="14" t="n">
        <v>4.57</v>
      </c>
      <c r="M122" s="14" t="n">
        <v>0.65</v>
      </c>
      <c r="N122" s="14" t="n">
        <v>3.81</v>
      </c>
      <c r="O122" s="14" t="n">
        <v>6.45</v>
      </c>
      <c r="P122" s="14" t="n">
        <v>-0.41</v>
      </c>
      <c r="Q122" s="14" t="n">
        <v>2.51</v>
      </c>
      <c r="R122" s="14" t="n">
        <v>2.53</v>
      </c>
      <c r="S122" s="14" t="n">
        <v>0.85</v>
      </c>
      <c r="T122" s="14" t="n">
        <v>4.62</v>
      </c>
      <c r="U122" s="14" t="n">
        <v>0.34</v>
      </c>
      <c r="V122" s="14" t="n">
        <v>0.39</v>
      </c>
      <c r="W122" s="14" t="n">
        <v>0.1</v>
      </c>
      <c r="X122" s="14" t="n">
        <v>4.82</v>
      </c>
      <c r="Y122" s="14" t="n">
        <v>19.63</v>
      </c>
      <c r="Z122" s="16" t="n">
        <v>5069906.59</v>
      </c>
      <c r="AA122" s="14" t="n">
        <v>10.72</v>
      </c>
      <c r="AB122" s="14" t="n">
        <v>0.27</v>
      </c>
      <c r="AC122" s="14" t="n">
        <v>-4.29</v>
      </c>
      <c r="AD122" s="16" t="n">
        <v>1813416006.6</v>
      </c>
    </row>
    <row r="123" customFormat="false" ht="15.75" hidden="false" customHeight="false" outlineLevel="0" collapsed="false">
      <c r="A123" s="14" t="s">
        <v>152</v>
      </c>
      <c r="B123" s="14" t="n">
        <v>13.27</v>
      </c>
      <c r="C123" s="14" t="n">
        <v>2.07</v>
      </c>
      <c r="D123" s="14" t="n">
        <v>45.44</v>
      </c>
      <c r="E123" s="14" t="n">
        <v>3.13</v>
      </c>
      <c r="F123" s="14" t="n">
        <v>0.78</v>
      </c>
      <c r="G123" s="14" t="n">
        <v>39.69</v>
      </c>
      <c r="H123" s="14" t="n">
        <v>26.87</v>
      </c>
      <c r="I123" s="14" t="n">
        <v>5.39</v>
      </c>
      <c r="J123" s="14" t="n">
        <v>9.11</v>
      </c>
      <c r="K123" s="14" t="n">
        <v>13.68</v>
      </c>
      <c r="L123" s="14" t="n">
        <v>4.58</v>
      </c>
      <c r="M123" s="14" t="n">
        <v>1.57</v>
      </c>
      <c r="N123" s="14" t="n">
        <v>2.45</v>
      </c>
      <c r="O123" s="14" t="n">
        <v>24.25</v>
      </c>
      <c r="P123" s="14" t="n">
        <v>-1.02</v>
      </c>
      <c r="Q123" s="14" t="n">
        <v>1.16</v>
      </c>
      <c r="R123" s="14" t="n">
        <v>6.88</v>
      </c>
      <c r="S123" s="14" t="n">
        <v>1.71</v>
      </c>
      <c r="T123" s="14" t="n">
        <v>6.97</v>
      </c>
      <c r="U123" s="14" t="n">
        <v>0.25</v>
      </c>
      <c r="V123" s="14" t="n">
        <v>0.74</v>
      </c>
      <c r="W123" s="14" t="n">
        <v>0.32</v>
      </c>
      <c r="X123" s="14" t="n">
        <v>3.13</v>
      </c>
      <c r="Y123" s="14" t="n">
        <v>-35.76</v>
      </c>
      <c r="Z123" s="16" t="n">
        <v>145454654.2</v>
      </c>
      <c r="AA123" s="14" t="n">
        <v>4.25</v>
      </c>
      <c r="AB123" s="14" t="n">
        <v>0.29</v>
      </c>
      <c r="AC123" s="14" t="n">
        <v>-0.8</v>
      </c>
      <c r="AD123" s="16" t="n">
        <v>26785200000</v>
      </c>
    </row>
    <row r="124" customFormat="false" ht="15.75" hidden="false" customHeight="false" outlineLevel="0" collapsed="false">
      <c r="A124" s="14" t="s">
        <v>153</v>
      </c>
      <c r="B124" s="14" t="n">
        <v>1.16</v>
      </c>
      <c r="D124" s="14" t="n">
        <v>0.19</v>
      </c>
      <c r="E124" s="14" t="n">
        <v>-0.03</v>
      </c>
      <c r="F124" s="14" t="n">
        <v>0.21</v>
      </c>
      <c r="J124" s="14" t="n">
        <v>-2.04</v>
      </c>
      <c r="K124" s="14" t="n">
        <v>-2.01</v>
      </c>
      <c r="L124" s="14" t="n">
        <v>0.03</v>
      </c>
      <c r="O124" s="14" t="n">
        <v>-0.03</v>
      </c>
      <c r="Q124" s="14" t="n">
        <v>0.11</v>
      </c>
      <c r="R124" s="14" t="n">
        <v>-14.03</v>
      </c>
      <c r="S124" s="14" t="n">
        <v>108.23</v>
      </c>
      <c r="T124" s="14" t="n">
        <v>1.32</v>
      </c>
      <c r="U124" s="14" t="n">
        <v>-7.71</v>
      </c>
      <c r="V124" s="14" t="n">
        <v>8.72</v>
      </c>
      <c r="W124" s="14" t="n">
        <v>0</v>
      </c>
      <c r="AA124" s="14" t="n">
        <v>-43.11</v>
      </c>
      <c r="AB124" s="14" t="n">
        <v>6.05</v>
      </c>
      <c r="AC124" s="14" t="n">
        <v>0</v>
      </c>
      <c r="AD124" s="16" t="n">
        <v>1973425.64</v>
      </c>
    </row>
    <row r="125" customFormat="false" ht="15.75" hidden="false" customHeight="false" outlineLevel="0" collapsed="false">
      <c r="A125" s="14" t="s">
        <v>155</v>
      </c>
      <c r="B125" s="14" t="n">
        <v>14.3</v>
      </c>
      <c r="D125" s="14" t="n">
        <v>-17.68</v>
      </c>
      <c r="E125" s="14" t="n">
        <v>1.75</v>
      </c>
      <c r="F125" s="14" t="n">
        <v>0.65</v>
      </c>
      <c r="G125" s="14" t="n">
        <v>45.6</v>
      </c>
      <c r="H125" s="14" t="n">
        <v>-7.3</v>
      </c>
      <c r="I125" s="14" t="n">
        <v>-6.42</v>
      </c>
      <c r="J125" s="14" t="n">
        <v>-15.56</v>
      </c>
      <c r="K125" s="14" t="n">
        <v>-16.17</v>
      </c>
      <c r="L125" s="14" t="n">
        <v>-0.64</v>
      </c>
      <c r="M125" s="14" t="n">
        <v>0.07</v>
      </c>
      <c r="N125" s="14" t="n">
        <v>1.14</v>
      </c>
      <c r="O125" s="14" t="n">
        <v>4.44</v>
      </c>
      <c r="P125" s="14" t="n">
        <v>-1.15</v>
      </c>
      <c r="Q125" s="14" t="n">
        <v>1.5</v>
      </c>
      <c r="R125" s="14" t="n">
        <v>-9.88</v>
      </c>
      <c r="S125" s="14" t="n">
        <v>-3.67</v>
      </c>
      <c r="T125" s="14" t="n">
        <v>-10.9</v>
      </c>
      <c r="U125" s="14" t="n">
        <v>0.37</v>
      </c>
      <c r="V125" s="14" t="n">
        <v>0.63</v>
      </c>
      <c r="W125" s="14" t="n">
        <v>0.57</v>
      </c>
      <c r="Z125" s="16" t="n">
        <v>20565071.85</v>
      </c>
      <c r="AA125" s="14" t="n">
        <v>8.19</v>
      </c>
      <c r="AB125" s="14" t="n">
        <v>-0.81</v>
      </c>
      <c r="AC125" s="14" t="n">
        <v>-0.05</v>
      </c>
      <c r="AD125" s="16" t="n">
        <v>4401739571.04</v>
      </c>
    </row>
    <row r="126" customFormat="false" ht="15.75" hidden="false" customHeight="false" outlineLevel="0" collapsed="false">
      <c r="A126" s="14" t="s">
        <v>156</v>
      </c>
      <c r="B126" s="14" t="n">
        <v>188</v>
      </c>
      <c r="C126" s="14" t="n">
        <v>20.52</v>
      </c>
      <c r="D126" s="14" t="n">
        <v>1.71</v>
      </c>
      <c r="E126" s="14" t="n">
        <v>1.46</v>
      </c>
      <c r="F126" s="14" t="n">
        <v>0.82</v>
      </c>
      <c r="G126" s="14" t="n">
        <v>-25.51</v>
      </c>
      <c r="H126" s="14" t="n">
        <v>-549.92</v>
      </c>
      <c r="I126" s="14" t="n">
        <v>-473.37</v>
      </c>
      <c r="J126" s="14" t="n">
        <v>1.47</v>
      </c>
      <c r="K126" s="14" t="n">
        <v>0.11</v>
      </c>
      <c r="L126" s="14" t="n">
        <v>-1.37</v>
      </c>
      <c r="M126" s="14" t="n">
        <v>-1.36</v>
      </c>
      <c r="O126" s="14" t="n">
        <v>1.73</v>
      </c>
      <c r="P126" s="14" t="n">
        <v>-5.13</v>
      </c>
      <c r="Q126" s="14" t="n">
        <v>2.3</v>
      </c>
      <c r="R126" s="14" t="n">
        <v>85.42</v>
      </c>
      <c r="S126" s="14" t="n">
        <v>48.11</v>
      </c>
      <c r="T126" s="14" t="n">
        <v>59.91</v>
      </c>
      <c r="U126" s="14" t="n">
        <v>0.56</v>
      </c>
      <c r="V126" s="14" t="n">
        <v>0.37</v>
      </c>
      <c r="W126" s="14" t="n">
        <v>-0.1</v>
      </c>
      <c r="X126" s="14" t="n">
        <v>-36.1</v>
      </c>
      <c r="Y126" s="14" t="n">
        <v>56.67</v>
      </c>
      <c r="Z126" s="16" t="n">
        <v>481408.6</v>
      </c>
      <c r="AA126" s="14" t="n">
        <v>128.72</v>
      </c>
      <c r="AB126" s="14" t="n">
        <v>109.95</v>
      </c>
      <c r="AC126" s="14" t="n">
        <v>0</v>
      </c>
      <c r="AD126" s="16" t="n">
        <v>2724744414</v>
      </c>
    </row>
    <row r="127" customFormat="false" ht="15.75" hidden="false" customHeight="false" outlineLevel="0" collapsed="false">
      <c r="A127" s="14" t="s">
        <v>157</v>
      </c>
      <c r="B127" s="14" t="n">
        <v>194</v>
      </c>
      <c r="C127" s="14" t="n">
        <v>21.05</v>
      </c>
      <c r="D127" s="14" t="n">
        <v>1.76</v>
      </c>
      <c r="E127" s="14" t="n">
        <v>1.51</v>
      </c>
      <c r="F127" s="14" t="n">
        <v>0.85</v>
      </c>
      <c r="G127" s="14" t="n">
        <v>-25.51</v>
      </c>
      <c r="H127" s="14" t="n">
        <v>-549.92</v>
      </c>
      <c r="I127" s="14" t="n">
        <v>-473.37</v>
      </c>
      <c r="J127" s="14" t="n">
        <v>1.52</v>
      </c>
      <c r="K127" s="14" t="n">
        <v>0.11</v>
      </c>
      <c r="L127" s="14" t="n">
        <v>-1.37</v>
      </c>
      <c r="M127" s="14" t="n">
        <v>-1.36</v>
      </c>
      <c r="O127" s="14" t="n">
        <v>1.79</v>
      </c>
      <c r="P127" s="14" t="n">
        <v>-5.3</v>
      </c>
      <c r="Q127" s="14" t="n">
        <v>2.3</v>
      </c>
      <c r="R127" s="14" t="n">
        <v>85.42</v>
      </c>
      <c r="S127" s="14" t="n">
        <v>48.11</v>
      </c>
      <c r="T127" s="14" t="n">
        <v>59.91</v>
      </c>
      <c r="U127" s="14" t="n">
        <v>0.56</v>
      </c>
      <c r="V127" s="14" t="n">
        <v>0.37</v>
      </c>
      <c r="W127" s="14" t="n">
        <v>-0.1</v>
      </c>
      <c r="X127" s="14" t="n">
        <v>-36.1</v>
      </c>
      <c r="Y127" s="14" t="n">
        <v>56.67</v>
      </c>
      <c r="Z127" s="16" t="n">
        <v>223408.64</v>
      </c>
      <c r="AA127" s="14" t="n">
        <v>128.72</v>
      </c>
      <c r="AB127" s="14" t="n">
        <v>109.95</v>
      </c>
      <c r="AC127" s="14" t="n">
        <v>0</v>
      </c>
      <c r="AD127" s="16" t="n">
        <v>2724744414</v>
      </c>
    </row>
    <row r="128" customFormat="false" ht="15.75" hidden="false" customHeight="false" outlineLevel="0" collapsed="false">
      <c r="A128" s="14" t="s">
        <v>158</v>
      </c>
      <c r="B128" s="14" t="n">
        <v>190</v>
      </c>
      <c r="C128" s="14" t="n">
        <v>22.33</v>
      </c>
      <c r="D128" s="14" t="n">
        <v>1.73</v>
      </c>
      <c r="E128" s="14" t="n">
        <v>1.48</v>
      </c>
      <c r="F128" s="14" t="n">
        <v>0.83</v>
      </c>
      <c r="G128" s="14" t="n">
        <v>-25.51</v>
      </c>
      <c r="H128" s="14" t="n">
        <v>-549.92</v>
      </c>
      <c r="I128" s="14" t="n">
        <v>-473.37</v>
      </c>
      <c r="J128" s="14" t="n">
        <v>1.49</v>
      </c>
      <c r="K128" s="14" t="n">
        <v>0.11</v>
      </c>
      <c r="L128" s="14" t="n">
        <v>-1.37</v>
      </c>
      <c r="M128" s="14" t="n">
        <v>-1.36</v>
      </c>
      <c r="O128" s="14" t="n">
        <v>1.75</v>
      </c>
      <c r="P128" s="14" t="n">
        <v>-5.19</v>
      </c>
      <c r="Q128" s="14" t="n">
        <v>2.3</v>
      </c>
      <c r="R128" s="14" t="n">
        <v>85.42</v>
      </c>
      <c r="S128" s="14" t="n">
        <v>48.11</v>
      </c>
      <c r="T128" s="14" t="n">
        <v>59.91</v>
      </c>
      <c r="U128" s="14" t="n">
        <v>0.56</v>
      </c>
      <c r="V128" s="14" t="n">
        <v>0.37</v>
      </c>
      <c r="W128" s="14" t="n">
        <v>-0.1</v>
      </c>
      <c r="X128" s="14" t="n">
        <v>-36.1</v>
      </c>
      <c r="Y128" s="14" t="n">
        <v>56.67</v>
      </c>
      <c r="Z128" s="16" t="n">
        <v>270467.56</v>
      </c>
      <c r="AA128" s="14" t="n">
        <v>128.72</v>
      </c>
      <c r="AB128" s="14" t="n">
        <v>109.95</v>
      </c>
      <c r="AC128" s="14" t="n">
        <v>0</v>
      </c>
      <c r="AD128" s="16" t="n">
        <v>2724744414</v>
      </c>
    </row>
    <row r="129" customFormat="false" ht="15.75" hidden="false" customHeight="false" outlineLevel="0" collapsed="false">
      <c r="A129" s="14" t="s">
        <v>159</v>
      </c>
      <c r="B129" s="14" t="n">
        <v>10.2</v>
      </c>
      <c r="D129" s="14" t="n">
        <v>-3.71</v>
      </c>
      <c r="E129" s="14" t="n">
        <v>0.76</v>
      </c>
      <c r="F129" s="14" t="n">
        <v>0.14</v>
      </c>
      <c r="G129" s="14" t="n">
        <v>16.87</v>
      </c>
      <c r="H129" s="14" t="n">
        <v>1.33</v>
      </c>
      <c r="I129" s="14" t="n">
        <v>-4.11</v>
      </c>
      <c r="J129" s="14" t="n">
        <v>11.45</v>
      </c>
      <c r="K129" s="14" t="n">
        <v>33.44</v>
      </c>
      <c r="L129" s="14" t="n">
        <v>23.02</v>
      </c>
      <c r="M129" s="14" t="n">
        <v>1.53</v>
      </c>
      <c r="N129" s="14" t="n">
        <v>0.15</v>
      </c>
      <c r="O129" s="14" t="n">
        <v>-4.39</v>
      </c>
      <c r="P129" s="14" t="n">
        <v>-0.26</v>
      </c>
      <c r="Q129" s="14" t="n">
        <v>0.93</v>
      </c>
      <c r="R129" s="14" t="n">
        <v>-20.56</v>
      </c>
      <c r="S129" s="14" t="n">
        <v>-3.82</v>
      </c>
      <c r="T129" s="14" t="n">
        <v>2.3</v>
      </c>
      <c r="U129" s="14" t="n">
        <v>0.19</v>
      </c>
      <c r="V129" s="14" t="n">
        <v>0.79</v>
      </c>
      <c r="W129" s="14" t="n">
        <v>0.93</v>
      </c>
      <c r="X129" s="14" t="n">
        <v>9.31</v>
      </c>
      <c r="Z129" s="16" t="n">
        <v>65447.73</v>
      </c>
      <c r="AA129" s="14" t="n">
        <v>13.37</v>
      </c>
      <c r="AB129" s="14" t="n">
        <v>-2.75</v>
      </c>
      <c r="AC129" s="14" t="n">
        <v>-0.02</v>
      </c>
      <c r="AD129" s="16" t="n">
        <v>92770273.6</v>
      </c>
    </row>
    <row r="130" customFormat="false" ht="15.75" hidden="false" customHeight="false" outlineLevel="0" collapsed="false">
      <c r="A130" s="14" t="s">
        <v>160</v>
      </c>
      <c r="B130" s="14" t="n">
        <v>8.05</v>
      </c>
      <c r="D130" s="14" t="n">
        <v>-2.93</v>
      </c>
      <c r="E130" s="14" t="n">
        <v>0.6</v>
      </c>
      <c r="F130" s="14" t="n">
        <v>0.11</v>
      </c>
      <c r="G130" s="14" t="n">
        <v>16.87</v>
      </c>
      <c r="H130" s="14" t="n">
        <v>1.33</v>
      </c>
      <c r="I130" s="14" t="n">
        <v>-4.11</v>
      </c>
      <c r="J130" s="14" t="n">
        <v>9.04</v>
      </c>
      <c r="K130" s="14" t="n">
        <v>33.44</v>
      </c>
      <c r="L130" s="14" t="n">
        <v>23.02</v>
      </c>
      <c r="M130" s="14" t="n">
        <v>1.53</v>
      </c>
      <c r="N130" s="14" t="n">
        <v>0.12</v>
      </c>
      <c r="O130" s="14" t="n">
        <v>-3.46</v>
      </c>
      <c r="P130" s="14" t="n">
        <v>-0.21</v>
      </c>
      <c r="Q130" s="14" t="n">
        <v>0.93</v>
      </c>
      <c r="R130" s="14" t="n">
        <v>-20.56</v>
      </c>
      <c r="S130" s="14" t="n">
        <v>-3.82</v>
      </c>
      <c r="T130" s="14" t="n">
        <v>2.3</v>
      </c>
      <c r="U130" s="14" t="n">
        <v>0.19</v>
      </c>
      <c r="V130" s="14" t="n">
        <v>0.79</v>
      </c>
      <c r="W130" s="14" t="n">
        <v>0.93</v>
      </c>
      <c r="X130" s="14" t="n">
        <v>9.31</v>
      </c>
      <c r="Z130" s="16" t="n">
        <v>383708.71</v>
      </c>
      <c r="AA130" s="14" t="n">
        <v>13.37</v>
      </c>
      <c r="AB130" s="14" t="n">
        <v>-2.75</v>
      </c>
      <c r="AC130" s="14" t="n">
        <v>-0.02</v>
      </c>
      <c r="AD130" s="16" t="n">
        <v>92770273.6</v>
      </c>
    </row>
    <row r="131" customFormat="false" ht="15.75" hidden="false" customHeight="false" outlineLevel="0" collapsed="false">
      <c r="A131" s="14" t="s">
        <v>161</v>
      </c>
      <c r="B131" s="14" t="n">
        <v>41</v>
      </c>
      <c r="C131" s="14" t="n">
        <v>2.58</v>
      </c>
      <c r="D131" s="14" t="n">
        <v>8.38</v>
      </c>
      <c r="E131" s="14" t="n">
        <v>1.67</v>
      </c>
      <c r="F131" s="14" t="n">
        <v>0.49</v>
      </c>
      <c r="G131" s="14" t="n">
        <v>22.41</v>
      </c>
      <c r="H131" s="14" t="n">
        <v>16.01</v>
      </c>
      <c r="I131" s="14" t="n">
        <v>10.78</v>
      </c>
      <c r="J131" s="14" t="n">
        <v>5.65</v>
      </c>
      <c r="K131" s="14" t="n">
        <v>11.14</v>
      </c>
      <c r="L131" s="14" t="n">
        <v>4.36</v>
      </c>
      <c r="M131" s="14" t="n">
        <v>1.29</v>
      </c>
      <c r="N131" s="14" t="n">
        <v>0.9</v>
      </c>
      <c r="O131" s="14" t="n">
        <v>7.93</v>
      </c>
      <c r="P131" s="14" t="n">
        <v>-0.62</v>
      </c>
      <c r="Q131" s="14" t="n">
        <v>1.41</v>
      </c>
      <c r="R131" s="14" t="n">
        <v>19.96</v>
      </c>
      <c r="S131" s="14" t="n">
        <v>5.82</v>
      </c>
      <c r="T131" s="14" t="n">
        <v>10.55</v>
      </c>
      <c r="U131" s="14" t="n">
        <v>0.29</v>
      </c>
      <c r="V131" s="14" t="n">
        <v>0.71</v>
      </c>
      <c r="W131" s="14" t="n">
        <v>0.54</v>
      </c>
      <c r="X131" s="14" t="n">
        <v>10.93</v>
      </c>
      <c r="Y131" s="14" t="n">
        <v>29.39</v>
      </c>
      <c r="Z131" s="16" t="n">
        <v>91701.76</v>
      </c>
      <c r="AA131" s="14" t="n">
        <v>24.51</v>
      </c>
      <c r="AB131" s="14" t="n">
        <v>4.89</v>
      </c>
      <c r="AC131" s="14" t="n">
        <v>0.38</v>
      </c>
      <c r="AD131" s="16" t="n">
        <v>12912677614.04</v>
      </c>
    </row>
    <row r="132" customFormat="false" ht="15.75" hidden="false" customHeight="false" outlineLevel="0" collapsed="false">
      <c r="A132" s="14" t="s">
        <v>162</v>
      </c>
      <c r="B132" s="14" t="n">
        <v>39</v>
      </c>
      <c r="C132" s="14" t="n">
        <v>2.71</v>
      </c>
      <c r="D132" s="14" t="n">
        <v>7.97</v>
      </c>
      <c r="E132" s="14" t="n">
        <v>1.59</v>
      </c>
      <c r="F132" s="14" t="n">
        <v>0.46</v>
      </c>
      <c r="G132" s="14" t="n">
        <v>22.41</v>
      </c>
      <c r="H132" s="14" t="n">
        <v>16.01</v>
      </c>
      <c r="I132" s="14" t="n">
        <v>10.78</v>
      </c>
      <c r="J132" s="14" t="n">
        <v>5.37</v>
      </c>
      <c r="K132" s="14" t="n">
        <v>11.14</v>
      </c>
      <c r="L132" s="14" t="n">
        <v>4.36</v>
      </c>
      <c r="M132" s="14" t="n">
        <v>1.29</v>
      </c>
      <c r="N132" s="14" t="n">
        <v>0.86</v>
      </c>
      <c r="O132" s="14" t="n">
        <v>7.54</v>
      </c>
      <c r="P132" s="14" t="n">
        <v>-0.59</v>
      </c>
      <c r="Q132" s="14" t="n">
        <v>1.41</v>
      </c>
      <c r="R132" s="14" t="n">
        <v>19.96</v>
      </c>
      <c r="S132" s="14" t="n">
        <v>5.82</v>
      </c>
      <c r="T132" s="14" t="n">
        <v>10.55</v>
      </c>
      <c r="U132" s="14" t="n">
        <v>0.29</v>
      </c>
      <c r="V132" s="14" t="n">
        <v>0.71</v>
      </c>
      <c r="W132" s="14" t="n">
        <v>0.54</v>
      </c>
      <c r="X132" s="14" t="n">
        <v>10.93</v>
      </c>
      <c r="Y132" s="14" t="n">
        <v>29.39</v>
      </c>
      <c r="Z132" s="16" t="n">
        <v>22157.8</v>
      </c>
      <c r="AA132" s="14" t="n">
        <v>24.51</v>
      </c>
      <c r="AB132" s="14" t="n">
        <v>4.89</v>
      </c>
      <c r="AC132" s="14" t="n">
        <v>0.37</v>
      </c>
      <c r="AD132" s="16" t="n">
        <v>12912677614.04</v>
      </c>
    </row>
    <row r="133" customFormat="false" ht="15.75" hidden="false" customHeight="false" outlineLevel="0" collapsed="false">
      <c r="A133" s="14" t="s">
        <v>163</v>
      </c>
      <c r="B133" s="14" t="n">
        <v>60.68</v>
      </c>
      <c r="C133" s="14" t="n">
        <v>1.92</v>
      </c>
      <c r="D133" s="14" t="n">
        <v>12.4</v>
      </c>
      <c r="E133" s="14" t="n">
        <v>2.48</v>
      </c>
      <c r="F133" s="14" t="n">
        <v>0.72</v>
      </c>
      <c r="G133" s="14" t="n">
        <v>22.41</v>
      </c>
      <c r="H133" s="14" t="n">
        <v>16.01</v>
      </c>
      <c r="I133" s="14" t="n">
        <v>10.78</v>
      </c>
      <c r="J133" s="14" t="n">
        <v>8.36</v>
      </c>
      <c r="K133" s="14" t="n">
        <v>11.14</v>
      </c>
      <c r="L133" s="14" t="n">
        <v>4.36</v>
      </c>
      <c r="M133" s="14" t="n">
        <v>1.29</v>
      </c>
      <c r="N133" s="14" t="n">
        <v>1.34</v>
      </c>
      <c r="O133" s="14" t="n">
        <v>11.74</v>
      </c>
      <c r="P133" s="14" t="n">
        <v>-0.91</v>
      </c>
      <c r="Q133" s="14" t="n">
        <v>1.41</v>
      </c>
      <c r="R133" s="14" t="n">
        <v>19.96</v>
      </c>
      <c r="S133" s="14" t="n">
        <v>5.82</v>
      </c>
      <c r="T133" s="14" t="n">
        <v>10.55</v>
      </c>
      <c r="U133" s="14" t="n">
        <v>0.29</v>
      </c>
      <c r="V133" s="14" t="n">
        <v>0.71</v>
      </c>
      <c r="W133" s="14" t="n">
        <v>0.54</v>
      </c>
      <c r="X133" s="14" t="n">
        <v>10.93</v>
      </c>
      <c r="Y133" s="14" t="n">
        <v>29.39</v>
      </c>
      <c r="AA133" s="14" t="n">
        <v>24.51</v>
      </c>
      <c r="AB133" s="14" t="n">
        <v>4.89</v>
      </c>
      <c r="AC133" s="14" t="n">
        <v>0.57</v>
      </c>
      <c r="AD133" s="16" t="n">
        <v>12912677614.04</v>
      </c>
    </row>
    <row r="134" customFormat="false" ht="15.75" hidden="false" customHeight="false" outlineLevel="0" collapsed="false">
      <c r="A134" s="14" t="s">
        <v>164</v>
      </c>
      <c r="B134" s="14" t="n">
        <v>61.77</v>
      </c>
      <c r="D134" s="14" t="n">
        <v>-0.46</v>
      </c>
      <c r="E134" s="14" t="n">
        <v>-0.1</v>
      </c>
      <c r="F134" s="14" t="n">
        <v>0.12</v>
      </c>
      <c r="G134" s="14" t="n">
        <v>-0.6</v>
      </c>
      <c r="H134" s="14" t="n">
        <v>-15.81</v>
      </c>
      <c r="I134" s="14" t="n">
        <v>-35.58</v>
      </c>
      <c r="J134" s="14" t="n">
        <v>-1.04</v>
      </c>
      <c r="K134" s="14" t="n">
        <v>-2.74</v>
      </c>
      <c r="L134" s="14" t="n">
        <v>-1.71</v>
      </c>
      <c r="N134" s="14" t="n">
        <v>0.16</v>
      </c>
      <c r="O134" s="14" t="n">
        <v>-0.71</v>
      </c>
      <c r="P134" s="14" t="n">
        <v>-0.16</v>
      </c>
      <c r="Q134" s="14" t="n">
        <v>0.61</v>
      </c>
      <c r="R134" s="14" t="n">
        <v>-21.94</v>
      </c>
      <c r="S134" s="14" t="n">
        <v>-26.13</v>
      </c>
      <c r="T134" s="14" t="n">
        <v>12.72</v>
      </c>
      <c r="U134" s="14" t="n">
        <v>-1.19</v>
      </c>
      <c r="V134" s="14" t="n">
        <v>2.19</v>
      </c>
      <c r="W134" s="14" t="n">
        <v>0.73</v>
      </c>
      <c r="X134" s="14" t="n">
        <v>-0.25</v>
      </c>
      <c r="Z134" s="16" t="n">
        <v>23042.06</v>
      </c>
      <c r="AA134" s="14" t="n">
        <v>-611.03</v>
      </c>
      <c r="AB134" s="14" t="n">
        <v>-134.04</v>
      </c>
      <c r="AC134" s="14" t="n">
        <v>0.14</v>
      </c>
      <c r="AD134" s="16" t="n">
        <v>597689375.64</v>
      </c>
    </row>
    <row r="135" customFormat="false" ht="15.75" hidden="false" customHeight="false" outlineLevel="0" collapsed="false">
      <c r="A135" s="14" t="s">
        <v>165</v>
      </c>
      <c r="B135" s="14" t="n">
        <v>60</v>
      </c>
      <c r="D135" s="14" t="n">
        <v>-0.45</v>
      </c>
      <c r="E135" s="14" t="n">
        <v>-0.1</v>
      </c>
      <c r="F135" s="14" t="n">
        <v>0.12</v>
      </c>
      <c r="G135" s="14" t="n">
        <v>-0.6</v>
      </c>
      <c r="H135" s="14" t="n">
        <v>-15.81</v>
      </c>
      <c r="I135" s="14" t="n">
        <v>-35.58</v>
      </c>
      <c r="J135" s="14" t="n">
        <v>-1.01</v>
      </c>
      <c r="K135" s="14" t="n">
        <v>-2.74</v>
      </c>
      <c r="L135" s="14" t="n">
        <v>-1.71</v>
      </c>
      <c r="N135" s="14" t="n">
        <v>0.16</v>
      </c>
      <c r="O135" s="14" t="n">
        <v>-0.69</v>
      </c>
      <c r="P135" s="14" t="n">
        <v>-0.16</v>
      </c>
      <c r="Q135" s="14" t="n">
        <v>0.61</v>
      </c>
      <c r="R135" s="14" t="n">
        <v>-21.94</v>
      </c>
      <c r="S135" s="14" t="n">
        <v>-26.13</v>
      </c>
      <c r="T135" s="14" t="n">
        <v>12.72</v>
      </c>
      <c r="U135" s="14" t="n">
        <v>-1.19</v>
      </c>
      <c r="V135" s="14" t="n">
        <v>2.19</v>
      </c>
      <c r="W135" s="14" t="n">
        <v>0.73</v>
      </c>
      <c r="X135" s="14" t="n">
        <v>-0.25</v>
      </c>
      <c r="Z135" s="16" t="n">
        <v>11337</v>
      </c>
      <c r="AA135" s="14" t="n">
        <v>-611.03</v>
      </c>
      <c r="AB135" s="14" t="n">
        <v>-134.04</v>
      </c>
      <c r="AC135" s="14" t="n">
        <v>0.13</v>
      </c>
      <c r="AD135" s="16" t="n">
        <v>597689375.64</v>
      </c>
    </row>
    <row r="136" customFormat="false" ht="15.75" hidden="false" customHeight="false" outlineLevel="0" collapsed="false">
      <c r="A136" s="14" t="s">
        <v>166</v>
      </c>
      <c r="B136" s="14" t="n">
        <v>61</v>
      </c>
      <c r="C136" s="14" t="n">
        <v>2.22</v>
      </c>
      <c r="D136" s="14" t="n">
        <v>46.94</v>
      </c>
      <c r="E136" s="14" t="n">
        <v>12.49</v>
      </c>
      <c r="F136" s="14" t="n">
        <v>4.63</v>
      </c>
      <c r="G136" s="14" t="n">
        <v>32.48</v>
      </c>
      <c r="H136" s="14" t="n">
        <v>18.62</v>
      </c>
      <c r="I136" s="14" t="n">
        <v>10.8</v>
      </c>
      <c r="J136" s="14" t="n">
        <v>27.22</v>
      </c>
      <c r="K136" s="14" t="n">
        <v>28.68</v>
      </c>
      <c r="L136" s="14" t="n">
        <v>1.46</v>
      </c>
      <c r="M136" s="14" t="n">
        <v>0.67</v>
      </c>
      <c r="N136" s="14" t="n">
        <v>5.07</v>
      </c>
      <c r="O136" s="14" t="n">
        <v>82.75</v>
      </c>
      <c r="P136" s="14" t="n">
        <v>-6.12</v>
      </c>
      <c r="Q136" s="14" t="n">
        <v>1.3</v>
      </c>
      <c r="R136" s="14" t="n">
        <v>26.61</v>
      </c>
      <c r="S136" s="14" t="n">
        <v>9.86</v>
      </c>
      <c r="T136" s="14" t="n">
        <v>17.22</v>
      </c>
      <c r="U136" s="14" t="n">
        <v>0.37</v>
      </c>
      <c r="V136" s="14" t="n">
        <v>0.63</v>
      </c>
      <c r="W136" s="14" t="n">
        <v>0.91</v>
      </c>
      <c r="X136" s="14" t="n">
        <v>-3.1</v>
      </c>
      <c r="Y136" s="14" t="n">
        <v>4.36</v>
      </c>
      <c r="Z136" s="16" t="n">
        <v>28603.82</v>
      </c>
      <c r="AA136" s="14" t="n">
        <v>4.88</v>
      </c>
      <c r="AB136" s="14" t="n">
        <v>1.3</v>
      </c>
      <c r="AC136" s="14" t="n">
        <v>-3.22</v>
      </c>
      <c r="AD136" s="16" t="n">
        <v>15837901652</v>
      </c>
    </row>
    <row r="137" customFormat="false" ht="15.75" hidden="false" customHeight="false" outlineLevel="0" collapsed="false">
      <c r="A137" s="14" t="s">
        <v>167</v>
      </c>
      <c r="B137" s="14" t="n">
        <v>125.67</v>
      </c>
      <c r="C137" s="14" t="n">
        <v>2.77</v>
      </c>
      <c r="D137" s="14" t="n">
        <v>33.7</v>
      </c>
      <c r="E137" s="14" t="n">
        <v>5.23</v>
      </c>
      <c r="F137" s="14" t="n">
        <v>0.84</v>
      </c>
      <c r="G137" s="14" t="n">
        <v>16.03</v>
      </c>
      <c r="H137" s="14" t="n">
        <v>8.41</v>
      </c>
      <c r="I137" s="14" t="n">
        <v>3.88</v>
      </c>
      <c r="J137" s="14" t="n">
        <v>15.57</v>
      </c>
      <c r="K137" s="14" t="n">
        <v>22.49</v>
      </c>
      <c r="L137" s="14" t="n">
        <v>8.28</v>
      </c>
      <c r="M137" s="14" t="n">
        <v>2.78</v>
      </c>
      <c r="N137" s="14" t="n">
        <v>1.31</v>
      </c>
      <c r="O137" s="14" t="n">
        <v>16.74</v>
      </c>
      <c r="P137" s="14" t="n">
        <v>-1.08</v>
      </c>
      <c r="Q137" s="14" t="n">
        <v>1.29</v>
      </c>
      <c r="R137" s="14" t="n">
        <v>15.52</v>
      </c>
      <c r="S137" s="14" t="n">
        <v>2.48</v>
      </c>
      <c r="T137" s="14" t="n">
        <v>7.23</v>
      </c>
      <c r="U137" s="14" t="n">
        <v>0.16</v>
      </c>
      <c r="V137" s="14" t="n">
        <v>0.84</v>
      </c>
      <c r="W137" s="14" t="n">
        <v>0.64</v>
      </c>
      <c r="X137" s="14" t="n">
        <v>8.76</v>
      </c>
      <c r="Y137" s="14" t="n">
        <v>62.59</v>
      </c>
      <c r="Z137" s="16" t="n">
        <v>92909.67</v>
      </c>
      <c r="AA137" s="14" t="n">
        <v>24.02</v>
      </c>
      <c r="AB137" s="14" t="n">
        <v>3.73</v>
      </c>
      <c r="AC137" s="14" t="n">
        <v>0.64</v>
      </c>
      <c r="AD137" s="16" t="n">
        <v>8558698618.06</v>
      </c>
    </row>
    <row r="138" customFormat="false" ht="15.75" hidden="false" customHeight="false" outlineLevel="0" collapsed="false">
      <c r="A138" s="14" t="s">
        <v>168</v>
      </c>
      <c r="B138" s="14" t="n">
        <v>27.5</v>
      </c>
      <c r="C138" s="14" t="n">
        <v>12.67</v>
      </c>
      <c r="D138" s="14" t="n">
        <v>7.38</v>
      </c>
      <c r="E138" s="14" t="n">
        <v>1.15</v>
      </c>
      <c r="F138" s="14" t="n">
        <v>0.18</v>
      </c>
      <c r="G138" s="14" t="n">
        <v>16.03</v>
      </c>
      <c r="H138" s="14" t="n">
        <v>8.41</v>
      </c>
      <c r="I138" s="14" t="n">
        <v>3.88</v>
      </c>
      <c r="J138" s="14" t="n">
        <v>3.41</v>
      </c>
      <c r="K138" s="14" t="n">
        <v>22.49</v>
      </c>
      <c r="L138" s="14" t="n">
        <v>8.28</v>
      </c>
      <c r="M138" s="14" t="n">
        <v>2.78</v>
      </c>
      <c r="N138" s="14" t="n">
        <v>0.29</v>
      </c>
      <c r="O138" s="14" t="n">
        <v>3.66</v>
      </c>
      <c r="P138" s="14" t="n">
        <v>-0.24</v>
      </c>
      <c r="Q138" s="14" t="n">
        <v>1.29</v>
      </c>
      <c r="R138" s="14" t="n">
        <v>15.52</v>
      </c>
      <c r="S138" s="14" t="n">
        <v>2.48</v>
      </c>
      <c r="T138" s="14" t="n">
        <v>7.23</v>
      </c>
      <c r="U138" s="14" t="n">
        <v>0.16</v>
      </c>
      <c r="V138" s="14" t="n">
        <v>0.84</v>
      </c>
      <c r="W138" s="14" t="n">
        <v>0.64</v>
      </c>
      <c r="X138" s="14" t="n">
        <v>8.76</v>
      </c>
      <c r="Y138" s="14" t="n">
        <v>62.59</v>
      </c>
      <c r="Z138" s="16" t="n">
        <v>25669.72</v>
      </c>
      <c r="AA138" s="14" t="n">
        <v>24.02</v>
      </c>
      <c r="AB138" s="14" t="n">
        <v>3.73</v>
      </c>
      <c r="AC138" s="14" t="n">
        <v>0.14</v>
      </c>
      <c r="AD138" s="16" t="n">
        <v>8558698618.06</v>
      </c>
    </row>
    <row r="139" customFormat="false" ht="15.75" hidden="false" customHeight="false" outlineLevel="0" collapsed="false">
      <c r="A139" s="14" t="s">
        <v>169</v>
      </c>
      <c r="B139" s="14" t="n">
        <v>27.25</v>
      </c>
      <c r="C139" s="14" t="n">
        <v>14.06</v>
      </c>
      <c r="D139" s="14" t="n">
        <v>7.31</v>
      </c>
      <c r="E139" s="14" t="n">
        <v>1.13</v>
      </c>
      <c r="F139" s="14" t="n">
        <v>0.18</v>
      </c>
      <c r="G139" s="14" t="n">
        <v>16.03</v>
      </c>
      <c r="H139" s="14" t="n">
        <v>8.41</v>
      </c>
      <c r="I139" s="14" t="n">
        <v>3.88</v>
      </c>
      <c r="J139" s="14" t="n">
        <v>3.38</v>
      </c>
      <c r="K139" s="14" t="n">
        <v>22.49</v>
      </c>
      <c r="L139" s="14" t="n">
        <v>8.28</v>
      </c>
      <c r="M139" s="14" t="n">
        <v>2.78</v>
      </c>
      <c r="N139" s="14" t="n">
        <v>0.28</v>
      </c>
      <c r="O139" s="14" t="n">
        <v>3.63</v>
      </c>
      <c r="P139" s="14" t="n">
        <v>-0.23</v>
      </c>
      <c r="Q139" s="14" t="n">
        <v>1.29</v>
      </c>
      <c r="R139" s="14" t="n">
        <v>15.52</v>
      </c>
      <c r="S139" s="14" t="n">
        <v>2.48</v>
      </c>
      <c r="T139" s="14" t="n">
        <v>7.23</v>
      </c>
      <c r="U139" s="14" t="n">
        <v>0.16</v>
      </c>
      <c r="V139" s="14" t="n">
        <v>0.84</v>
      </c>
      <c r="W139" s="14" t="n">
        <v>0.64</v>
      </c>
      <c r="X139" s="14" t="n">
        <v>8.76</v>
      </c>
      <c r="Y139" s="14" t="n">
        <v>62.59</v>
      </c>
      <c r="Z139" s="16" t="n">
        <v>51257.54</v>
      </c>
      <c r="AA139" s="14" t="n">
        <v>24.02</v>
      </c>
      <c r="AB139" s="14" t="n">
        <v>3.73</v>
      </c>
      <c r="AC139" s="14" t="n">
        <v>0.14</v>
      </c>
      <c r="AD139" s="16" t="n">
        <v>8558698618.06</v>
      </c>
    </row>
    <row r="140" customFormat="false" ht="15.75" hidden="false" customHeight="false" outlineLevel="0" collapsed="false">
      <c r="A140" s="14" t="s">
        <v>170</v>
      </c>
      <c r="B140" s="14" t="n">
        <v>27.89</v>
      </c>
      <c r="C140" s="14" t="n">
        <v>9.31</v>
      </c>
      <c r="D140" s="14" t="n">
        <v>5.1</v>
      </c>
      <c r="E140" s="14" t="n">
        <v>1.3</v>
      </c>
      <c r="F140" s="14" t="n">
        <v>0.63</v>
      </c>
      <c r="G140" s="14" t="n">
        <v>34.03</v>
      </c>
      <c r="H140" s="14" t="n">
        <v>47.26</v>
      </c>
      <c r="I140" s="14" t="n">
        <v>88.93</v>
      </c>
      <c r="J140" s="14" t="n">
        <v>9.6</v>
      </c>
      <c r="K140" s="14" t="n">
        <v>9.7</v>
      </c>
      <c r="L140" s="14" t="n">
        <v>1.03</v>
      </c>
      <c r="M140" s="14" t="n">
        <v>0.14</v>
      </c>
      <c r="N140" s="14" t="n">
        <v>4.54</v>
      </c>
      <c r="O140" s="16" t="n">
        <v>1134.38</v>
      </c>
      <c r="P140" s="14" t="n">
        <v>-0.69</v>
      </c>
      <c r="Q140" s="14" t="n">
        <v>1.01</v>
      </c>
      <c r="R140" s="14" t="n">
        <v>25.4</v>
      </c>
      <c r="S140" s="14" t="n">
        <v>12.31</v>
      </c>
      <c r="T140" s="14" t="n">
        <v>-5.64</v>
      </c>
      <c r="U140" s="14" t="n">
        <v>0.48</v>
      </c>
      <c r="V140" s="14" t="n">
        <v>0.52</v>
      </c>
      <c r="W140" s="14" t="n">
        <v>0.14</v>
      </c>
      <c r="X140" s="14" t="n">
        <v>-8.26</v>
      </c>
      <c r="Z140" s="16" t="n">
        <v>114456.05</v>
      </c>
      <c r="AA140" s="14" t="n">
        <v>21.53</v>
      </c>
      <c r="AB140" s="14" t="n">
        <v>5.47</v>
      </c>
      <c r="AC140" s="14" t="n">
        <v>0.17</v>
      </c>
      <c r="AD140" s="16" t="n">
        <v>8249793318.37</v>
      </c>
    </row>
    <row r="141" customFormat="false" ht="15.75" hidden="false" customHeight="false" outlineLevel="0" collapsed="false">
      <c r="A141" s="14" t="s">
        <v>171</v>
      </c>
      <c r="B141" s="14" t="n">
        <v>36.02</v>
      </c>
      <c r="C141" s="14" t="n">
        <v>9.35</v>
      </c>
      <c r="D141" s="14" t="n">
        <v>6.59</v>
      </c>
      <c r="E141" s="14" t="n">
        <v>1.67</v>
      </c>
      <c r="F141" s="14" t="n">
        <v>0.81</v>
      </c>
      <c r="G141" s="14" t="n">
        <v>34.03</v>
      </c>
      <c r="H141" s="14" t="n">
        <v>47.26</v>
      </c>
      <c r="I141" s="14" t="n">
        <v>88.93</v>
      </c>
      <c r="J141" s="14" t="n">
        <v>12.4</v>
      </c>
      <c r="K141" s="14" t="n">
        <v>9.7</v>
      </c>
      <c r="L141" s="14" t="n">
        <v>1.03</v>
      </c>
      <c r="M141" s="14" t="n">
        <v>0.14</v>
      </c>
      <c r="N141" s="14" t="n">
        <v>5.86</v>
      </c>
      <c r="O141" s="16" t="n">
        <v>1465.06</v>
      </c>
      <c r="P141" s="14" t="n">
        <v>-0.89</v>
      </c>
      <c r="Q141" s="14" t="n">
        <v>1.01</v>
      </c>
      <c r="R141" s="14" t="n">
        <v>25.4</v>
      </c>
      <c r="S141" s="14" t="n">
        <v>12.31</v>
      </c>
      <c r="T141" s="14" t="n">
        <v>-5.64</v>
      </c>
      <c r="U141" s="14" t="n">
        <v>0.48</v>
      </c>
      <c r="V141" s="14" t="n">
        <v>0.52</v>
      </c>
      <c r="W141" s="14" t="n">
        <v>0.14</v>
      </c>
      <c r="X141" s="14" t="n">
        <v>-8.26</v>
      </c>
      <c r="Z141" s="16" t="n">
        <v>68254.68</v>
      </c>
      <c r="AA141" s="14" t="n">
        <v>21.53</v>
      </c>
      <c r="AB141" s="14" t="n">
        <v>5.47</v>
      </c>
      <c r="AC141" s="14" t="n">
        <v>0.22</v>
      </c>
      <c r="AD141" s="16" t="n">
        <v>8249793318.37</v>
      </c>
    </row>
    <row r="142" customFormat="false" ht="15.75" hidden="false" customHeight="false" outlineLevel="0" collapsed="false">
      <c r="A142" s="14" t="s">
        <v>172</v>
      </c>
      <c r="B142" s="14" t="n">
        <v>23.8</v>
      </c>
      <c r="C142" s="14" t="n">
        <v>10.9</v>
      </c>
      <c r="D142" s="14" t="n">
        <v>4.35</v>
      </c>
      <c r="E142" s="14" t="n">
        <v>1.11</v>
      </c>
      <c r="F142" s="14" t="n">
        <v>0.54</v>
      </c>
      <c r="G142" s="14" t="n">
        <v>34.03</v>
      </c>
      <c r="H142" s="14" t="n">
        <v>47.26</v>
      </c>
      <c r="I142" s="14" t="n">
        <v>88.93</v>
      </c>
      <c r="J142" s="14" t="n">
        <v>8.19</v>
      </c>
      <c r="K142" s="14" t="n">
        <v>9.7</v>
      </c>
      <c r="L142" s="14" t="n">
        <v>1.03</v>
      </c>
      <c r="M142" s="14" t="n">
        <v>0.14</v>
      </c>
      <c r="N142" s="14" t="n">
        <v>3.87</v>
      </c>
      <c r="O142" s="14" t="n">
        <v>968.44</v>
      </c>
      <c r="P142" s="14" t="n">
        <v>-0.59</v>
      </c>
      <c r="Q142" s="14" t="n">
        <v>1.01</v>
      </c>
      <c r="R142" s="14" t="n">
        <v>25.4</v>
      </c>
      <c r="S142" s="14" t="n">
        <v>12.31</v>
      </c>
      <c r="T142" s="14" t="n">
        <v>-5.64</v>
      </c>
      <c r="U142" s="14" t="n">
        <v>0.48</v>
      </c>
      <c r="V142" s="14" t="n">
        <v>0.52</v>
      </c>
      <c r="W142" s="14" t="n">
        <v>0.14</v>
      </c>
      <c r="X142" s="14" t="n">
        <v>-8.26</v>
      </c>
      <c r="Z142" s="16" t="n">
        <v>45737745</v>
      </c>
      <c r="AA142" s="14" t="n">
        <v>21.53</v>
      </c>
      <c r="AB142" s="14" t="n">
        <v>5.47</v>
      </c>
      <c r="AC142" s="14" t="n">
        <v>0.14</v>
      </c>
      <c r="AD142" s="16" t="n">
        <v>8249793318.37</v>
      </c>
    </row>
    <row r="143" customFormat="false" ht="15.75" hidden="false" customHeight="false" outlineLevel="0" collapsed="false">
      <c r="A143" s="14" t="s">
        <v>173</v>
      </c>
      <c r="B143" s="14" t="n">
        <v>160</v>
      </c>
      <c r="C143" s="14" t="n">
        <v>5.31</v>
      </c>
      <c r="D143" s="14" t="n">
        <v>16.69</v>
      </c>
      <c r="E143" s="14" t="n">
        <v>22.56</v>
      </c>
      <c r="F143" s="14" t="n">
        <v>2.13</v>
      </c>
      <c r="G143" s="14" t="n">
        <v>32.67</v>
      </c>
      <c r="H143" s="14" t="n">
        <v>22.78</v>
      </c>
      <c r="I143" s="14" t="n">
        <v>15.29</v>
      </c>
      <c r="J143" s="14" t="n">
        <v>11.21</v>
      </c>
      <c r="K143" s="14" t="n">
        <v>13.8</v>
      </c>
      <c r="L143" s="14" t="n">
        <v>2.6</v>
      </c>
      <c r="M143" s="14" t="n">
        <v>5.23</v>
      </c>
      <c r="N143" s="14" t="n">
        <v>2.55</v>
      </c>
      <c r="O143" s="14" t="n">
        <v>13.53</v>
      </c>
      <c r="P143" s="14" t="n">
        <v>-3.25</v>
      </c>
      <c r="Q143" s="14" t="n">
        <v>1.84</v>
      </c>
      <c r="R143" s="14" t="n">
        <v>135.22</v>
      </c>
      <c r="S143" s="14" t="n">
        <v>12.75</v>
      </c>
      <c r="T143" s="14" t="n">
        <v>22.19</v>
      </c>
      <c r="U143" s="14" t="n">
        <v>0.09</v>
      </c>
      <c r="V143" s="14" t="n">
        <v>0.91</v>
      </c>
      <c r="W143" s="14" t="n">
        <v>0.83</v>
      </c>
      <c r="X143" s="14" t="n">
        <v>4.74</v>
      </c>
      <c r="Y143" s="14" t="n">
        <v>10.49</v>
      </c>
      <c r="Z143" s="16" t="n">
        <v>32889.7</v>
      </c>
      <c r="AA143" s="14" t="n">
        <v>7.09</v>
      </c>
      <c r="AB143" s="14" t="n">
        <v>9.59</v>
      </c>
      <c r="AC143" s="14" t="n">
        <v>-0.94</v>
      </c>
      <c r="AD143" s="16" t="n">
        <v>21203293920</v>
      </c>
    </row>
    <row r="144" customFormat="false" ht="15.75" hidden="false" customHeight="false" outlineLevel="0" collapsed="false">
      <c r="A144" s="14" t="s">
        <v>174</v>
      </c>
      <c r="B144" s="14" t="n">
        <v>152.11</v>
      </c>
      <c r="C144" s="14" t="n">
        <v>6.14</v>
      </c>
      <c r="D144" s="14" t="n">
        <v>15.86</v>
      </c>
      <c r="E144" s="14" t="n">
        <v>21.45</v>
      </c>
      <c r="F144" s="14" t="n">
        <v>2.02</v>
      </c>
      <c r="G144" s="14" t="n">
        <v>32.67</v>
      </c>
      <c r="H144" s="14" t="n">
        <v>22.78</v>
      </c>
      <c r="I144" s="14" t="n">
        <v>15.29</v>
      </c>
      <c r="J144" s="14" t="n">
        <v>10.65</v>
      </c>
      <c r="K144" s="14" t="n">
        <v>13.8</v>
      </c>
      <c r="L144" s="14" t="n">
        <v>2.6</v>
      </c>
      <c r="M144" s="14" t="n">
        <v>5.23</v>
      </c>
      <c r="N144" s="14" t="n">
        <v>2.43</v>
      </c>
      <c r="O144" s="14" t="n">
        <v>12.86</v>
      </c>
      <c r="P144" s="14" t="n">
        <v>-3.09</v>
      </c>
      <c r="Q144" s="14" t="n">
        <v>1.84</v>
      </c>
      <c r="R144" s="14" t="n">
        <v>135.22</v>
      </c>
      <c r="S144" s="14" t="n">
        <v>12.75</v>
      </c>
      <c r="T144" s="14" t="n">
        <v>22.19</v>
      </c>
      <c r="U144" s="14" t="n">
        <v>0.09</v>
      </c>
      <c r="V144" s="14" t="n">
        <v>0.91</v>
      </c>
      <c r="W144" s="14" t="n">
        <v>0.83</v>
      </c>
      <c r="X144" s="14" t="n">
        <v>4.74</v>
      </c>
      <c r="Y144" s="14" t="n">
        <v>10.49</v>
      </c>
      <c r="Z144" s="16" t="n">
        <v>274665.24</v>
      </c>
      <c r="AA144" s="14" t="n">
        <v>7.09</v>
      </c>
      <c r="AB144" s="14" t="n">
        <v>9.59</v>
      </c>
      <c r="AC144" s="14" t="n">
        <v>-0.89</v>
      </c>
      <c r="AD144" s="16" t="n">
        <v>21203293920</v>
      </c>
    </row>
    <row r="145" customFormat="false" ht="15.75" hidden="false" customHeight="false" outlineLevel="0" collapsed="false">
      <c r="A145" s="14" t="s">
        <v>175</v>
      </c>
      <c r="B145" s="14" t="n">
        <v>34.1</v>
      </c>
      <c r="C145" s="14" t="n">
        <v>3.73</v>
      </c>
      <c r="D145" s="14" t="n">
        <v>8.62</v>
      </c>
      <c r="E145" s="14" t="n">
        <v>1.04</v>
      </c>
      <c r="F145" s="14" t="n">
        <v>0.74</v>
      </c>
      <c r="G145" s="14" t="n">
        <v>53.63</v>
      </c>
      <c r="H145" s="14" t="n">
        <v>18.83</v>
      </c>
      <c r="I145" s="14" t="n">
        <v>17.29</v>
      </c>
      <c r="J145" s="14" t="n">
        <v>7.92</v>
      </c>
      <c r="K145" s="14" t="n">
        <v>6.26</v>
      </c>
      <c r="L145" s="14" t="n">
        <v>-1.7</v>
      </c>
      <c r="M145" s="14" t="n">
        <v>-0.22</v>
      </c>
      <c r="N145" s="14" t="n">
        <v>1.49</v>
      </c>
      <c r="O145" s="14" t="n">
        <v>2.63</v>
      </c>
      <c r="P145" s="14" t="n">
        <v>-1.41</v>
      </c>
      <c r="Q145" s="14" t="n">
        <v>2.46</v>
      </c>
      <c r="R145" s="14" t="n">
        <v>12.02</v>
      </c>
      <c r="S145" s="14" t="n">
        <v>8.59</v>
      </c>
      <c r="T145" s="14" t="n">
        <v>10.23</v>
      </c>
      <c r="U145" s="14" t="n">
        <v>0.71</v>
      </c>
      <c r="V145" s="14" t="n">
        <v>0.29</v>
      </c>
      <c r="W145" s="14" t="n">
        <v>0.5</v>
      </c>
      <c r="X145" s="14" t="n">
        <v>3.76</v>
      </c>
      <c r="Y145" s="14" t="n">
        <v>8.78</v>
      </c>
      <c r="Z145" s="16" t="n">
        <v>44745</v>
      </c>
      <c r="AA145" s="14" t="n">
        <v>32.89</v>
      </c>
      <c r="AB145" s="14" t="n">
        <v>3.95</v>
      </c>
      <c r="AC145" s="14" t="n">
        <v>-0.21</v>
      </c>
      <c r="AD145" s="16" t="n">
        <v>672159385.18</v>
      </c>
    </row>
    <row r="146" customFormat="false" ht="15.75" hidden="false" customHeight="false" outlineLevel="0" collapsed="false">
      <c r="A146" s="14" t="s">
        <v>176</v>
      </c>
      <c r="B146" s="14" t="n">
        <v>34.11</v>
      </c>
      <c r="C146" s="14" t="n">
        <v>3.73</v>
      </c>
      <c r="D146" s="14" t="n">
        <v>8.63</v>
      </c>
      <c r="E146" s="14" t="n">
        <v>1.04</v>
      </c>
      <c r="F146" s="14" t="n">
        <v>0.74</v>
      </c>
      <c r="G146" s="14" t="n">
        <v>53.63</v>
      </c>
      <c r="H146" s="14" t="n">
        <v>18.83</v>
      </c>
      <c r="I146" s="14" t="n">
        <v>17.29</v>
      </c>
      <c r="J146" s="14" t="n">
        <v>7.92</v>
      </c>
      <c r="K146" s="14" t="n">
        <v>6.26</v>
      </c>
      <c r="L146" s="14" t="n">
        <v>-1.7</v>
      </c>
      <c r="M146" s="14" t="n">
        <v>-0.22</v>
      </c>
      <c r="N146" s="14" t="n">
        <v>1.49</v>
      </c>
      <c r="O146" s="14" t="n">
        <v>2.63</v>
      </c>
      <c r="P146" s="14" t="n">
        <v>-1.41</v>
      </c>
      <c r="Q146" s="14" t="n">
        <v>2.46</v>
      </c>
      <c r="R146" s="14" t="n">
        <v>12.02</v>
      </c>
      <c r="S146" s="14" t="n">
        <v>8.59</v>
      </c>
      <c r="T146" s="14" t="n">
        <v>10.23</v>
      </c>
      <c r="U146" s="14" t="n">
        <v>0.71</v>
      </c>
      <c r="V146" s="14" t="n">
        <v>0.29</v>
      </c>
      <c r="W146" s="14" t="n">
        <v>0.5</v>
      </c>
      <c r="X146" s="14" t="n">
        <v>3.76</v>
      </c>
      <c r="Y146" s="14" t="n">
        <v>8.78</v>
      </c>
      <c r="Z146" s="16" t="n">
        <v>564177.59</v>
      </c>
      <c r="AA146" s="14" t="n">
        <v>32.89</v>
      </c>
      <c r="AB146" s="14" t="n">
        <v>3.95</v>
      </c>
      <c r="AC146" s="14" t="n">
        <v>-0.21</v>
      </c>
      <c r="AD146" s="16" t="n">
        <v>672159385.18</v>
      </c>
    </row>
    <row r="147" customFormat="false" ht="15.75" hidden="false" customHeight="false" outlineLevel="0" collapsed="false">
      <c r="A147" s="14" t="s">
        <v>177</v>
      </c>
      <c r="B147" s="14" t="n">
        <v>3.59</v>
      </c>
      <c r="C147" s="14" t="n">
        <v>2.59</v>
      </c>
      <c r="D147" s="14" t="n">
        <v>-23.56</v>
      </c>
      <c r="E147" s="14" t="n">
        <v>1.02</v>
      </c>
      <c r="F147" s="14" t="n">
        <v>0.12</v>
      </c>
      <c r="G147" s="14" t="n">
        <v>27.35</v>
      </c>
      <c r="H147" s="14" t="n">
        <v>-0.58</v>
      </c>
      <c r="I147" s="14" t="n">
        <v>-3.72</v>
      </c>
      <c r="J147" s="14" t="n">
        <v>-149.74</v>
      </c>
      <c r="K147" s="14" t="n">
        <v>-149.71</v>
      </c>
      <c r="L147" s="14" t="n">
        <v>-0.39</v>
      </c>
      <c r="M147" s="14" t="n">
        <v>0</v>
      </c>
      <c r="N147" s="14" t="n">
        <v>0.88</v>
      </c>
      <c r="O147" s="14" t="n">
        <v>1.2</v>
      </c>
      <c r="P147" s="14" t="n">
        <v>-0.83</v>
      </c>
      <c r="Q147" s="14" t="n">
        <v>1.13</v>
      </c>
      <c r="R147" s="14" t="n">
        <v>-4.35</v>
      </c>
      <c r="S147" s="14" t="n">
        <v>-0.51</v>
      </c>
      <c r="T147" s="14" t="n">
        <v>-2.34</v>
      </c>
      <c r="U147" s="14" t="n">
        <v>0.12</v>
      </c>
      <c r="V147" s="14" t="n">
        <v>0.88</v>
      </c>
      <c r="W147" s="14" t="n">
        <v>0.14</v>
      </c>
      <c r="X147" s="14" t="n">
        <v>0.11</v>
      </c>
      <c r="Z147" s="16" t="n">
        <v>103629394.85</v>
      </c>
      <c r="AA147" s="14" t="n">
        <v>3.5</v>
      </c>
      <c r="AB147" s="14" t="n">
        <v>-0.15</v>
      </c>
      <c r="AC147" s="14" t="n">
        <v>0.18</v>
      </c>
      <c r="AD147" s="16" t="n">
        <v>9726197918.38</v>
      </c>
    </row>
    <row r="148" customFormat="false" ht="15.75" hidden="false" customHeight="false" outlineLevel="0" collapsed="false">
      <c r="A148" s="14" t="s">
        <v>178</v>
      </c>
      <c r="B148" s="14" t="n">
        <v>70</v>
      </c>
      <c r="C148" s="14" t="n">
        <v>4.52</v>
      </c>
      <c r="D148" s="14" t="n">
        <v>4.71</v>
      </c>
      <c r="E148" s="14" t="n">
        <v>1.24</v>
      </c>
      <c r="F148" s="14" t="n">
        <v>0.26</v>
      </c>
      <c r="G148" s="14" t="n">
        <v>13.42</v>
      </c>
      <c r="H148" s="14" t="n">
        <v>8.09</v>
      </c>
      <c r="I148" s="14" t="n">
        <v>6.19</v>
      </c>
      <c r="J148" s="14" t="n">
        <v>3.6</v>
      </c>
      <c r="K148" s="14" t="n">
        <v>4.85</v>
      </c>
      <c r="L148" s="14" t="n">
        <v>1.31</v>
      </c>
      <c r="M148" s="14" t="n">
        <v>0.45</v>
      </c>
      <c r="N148" s="14" t="n">
        <v>0.29</v>
      </c>
      <c r="O148" s="14" t="n">
        <v>4.26</v>
      </c>
      <c r="P148" s="14" t="n">
        <v>-0.41</v>
      </c>
      <c r="Q148" s="14" t="n">
        <v>1.19</v>
      </c>
      <c r="R148" s="14" t="n">
        <v>26.28</v>
      </c>
      <c r="S148" s="14" t="n">
        <v>5.45</v>
      </c>
      <c r="T148" s="14" t="n">
        <v>12.25</v>
      </c>
      <c r="U148" s="14" t="n">
        <v>0.21</v>
      </c>
      <c r="V148" s="14" t="n">
        <v>0.79</v>
      </c>
      <c r="W148" s="14" t="n">
        <v>0.88</v>
      </c>
      <c r="X148" s="14" t="n">
        <v>4.67</v>
      </c>
      <c r="Y148" s="14" t="n">
        <v>31.75</v>
      </c>
      <c r="Z148" s="16" t="n">
        <v>95873.88</v>
      </c>
      <c r="AA148" s="14" t="n">
        <v>56.62</v>
      </c>
      <c r="AB148" s="14" t="n">
        <v>14.88</v>
      </c>
      <c r="AC148" s="14" t="n">
        <v>0.08</v>
      </c>
      <c r="AD148" s="16" t="n">
        <v>2654152906.54</v>
      </c>
    </row>
    <row r="149" customFormat="false" ht="15.75" hidden="false" customHeight="false" outlineLevel="0" collapsed="false">
      <c r="A149" s="14" t="s">
        <v>179</v>
      </c>
      <c r="B149" s="14" t="n">
        <v>68.01</v>
      </c>
      <c r="C149" s="14" t="n">
        <v>5.12</v>
      </c>
      <c r="D149" s="14" t="n">
        <v>4.57</v>
      </c>
      <c r="E149" s="14" t="n">
        <v>1.2</v>
      </c>
      <c r="F149" s="14" t="n">
        <v>0.25</v>
      </c>
      <c r="G149" s="14" t="n">
        <v>13.42</v>
      </c>
      <c r="H149" s="14" t="n">
        <v>8.09</v>
      </c>
      <c r="I149" s="14" t="n">
        <v>6.19</v>
      </c>
      <c r="J149" s="14" t="n">
        <v>3.5</v>
      </c>
      <c r="K149" s="14" t="n">
        <v>4.85</v>
      </c>
      <c r="L149" s="14" t="n">
        <v>1.31</v>
      </c>
      <c r="M149" s="14" t="n">
        <v>0.45</v>
      </c>
      <c r="N149" s="14" t="n">
        <v>0.28</v>
      </c>
      <c r="O149" s="14" t="n">
        <v>4.14</v>
      </c>
      <c r="P149" s="14" t="n">
        <v>-0.4</v>
      </c>
      <c r="Q149" s="14" t="n">
        <v>1.19</v>
      </c>
      <c r="R149" s="14" t="n">
        <v>26.28</v>
      </c>
      <c r="S149" s="14" t="n">
        <v>5.45</v>
      </c>
      <c r="T149" s="14" t="n">
        <v>12.25</v>
      </c>
      <c r="U149" s="14" t="n">
        <v>0.21</v>
      </c>
      <c r="V149" s="14" t="n">
        <v>0.79</v>
      </c>
      <c r="W149" s="14" t="n">
        <v>0.88</v>
      </c>
      <c r="X149" s="14" t="n">
        <v>4.67</v>
      </c>
      <c r="Y149" s="14" t="n">
        <v>31.75</v>
      </c>
      <c r="Z149" s="16" t="n">
        <v>345474.71</v>
      </c>
      <c r="AA149" s="14" t="n">
        <v>56.62</v>
      </c>
      <c r="AB149" s="14" t="n">
        <v>14.88</v>
      </c>
      <c r="AC149" s="14" t="n">
        <v>0.07</v>
      </c>
      <c r="AD149" s="16" t="n">
        <v>2654152906.54</v>
      </c>
    </row>
    <row r="150" customFormat="false" ht="15.75" hidden="false" customHeight="false" outlineLevel="0" collapsed="false">
      <c r="A150" s="14" t="s">
        <v>180</v>
      </c>
      <c r="B150" s="14" t="n">
        <v>14.71</v>
      </c>
      <c r="C150" s="14" t="n">
        <v>8.33</v>
      </c>
      <c r="D150" s="14" t="n">
        <v>7.46</v>
      </c>
      <c r="E150" s="14" t="n">
        <v>1.39</v>
      </c>
      <c r="F150" s="14" t="n">
        <v>0.47</v>
      </c>
      <c r="G150" s="14" t="n">
        <v>21.44</v>
      </c>
      <c r="H150" s="14" t="n">
        <v>21.87</v>
      </c>
      <c r="I150" s="14" t="n">
        <v>12.72</v>
      </c>
      <c r="J150" s="14" t="n">
        <v>4.34</v>
      </c>
      <c r="K150" s="14" t="n">
        <v>5.45</v>
      </c>
      <c r="L150" s="14" t="n">
        <v>1.58</v>
      </c>
      <c r="M150" s="14" t="n">
        <v>0.51</v>
      </c>
      <c r="N150" s="14" t="n">
        <v>0.95</v>
      </c>
      <c r="O150" s="14" t="n">
        <v>4.44</v>
      </c>
      <c r="P150" s="14" t="n">
        <v>-0.65</v>
      </c>
      <c r="Q150" s="14" t="n">
        <v>1.62</v>
      </c>
      <c r="R150" s="14" t="n">
        <v>18.68</v>
      </c>
      <c r="S150" s="14" t="n">
        <v>6.31</v>
      </c>
      <c r="T150" s="14" t="n">
        <v>14.7</v>
      </c>
      <c r="U150" s="14" t="n">
        <v>0.34</v>
      </c>
      <c r="V150" s="14" t="n">
        <v>0.66</v>
      </c>
      <c r="W150" s="14" t="n">
        <v>0.5</v>
      </c>
      <c r="X150" s="14" t="n">
        <v>2.9</v>
      </c>
      <c r="Y150" s="14" t="n">
        <v>3.02</v>
      </c>
      <c r="Z150" s="16" t="n">
        <v>7367570.66</v>
      </c>
      <c r="AA150" s="14" t="n">
        <v>10.57</v>
      </c>
      <c r="AB150" s="14" t="n">
        <v>1.97</v>
      </c>
      <c r="AC150" s="14" t="n">
        <v>0.16</v>
      </c>
      <c r="AD150" s="16" t="n">
        <v>22220803556.04</v>
      </c>
    </row>
    <row r="151" customFormat="false" ht="15.75" hidden="false" customHeight="false" outlineLevel="0" collapsed="false">
      <c r="A151" s="14" t="s">
        <v>181</v>
      </c>
      <c r="B151" s="14" t="n">
        <v>12.26</v>
      </c>
      <c r="C151" s="14" t="n">
        <v>9.99</v>
      </c>
      <c r="D151" s="14" t="n">
        <v>6.21</v>
      </c>
      <c r="E151" s="14" t="n">
        <v>1.16</v>
      </c>
      <c r="F151" s="14" t="n">
        <v>0.39</v>
      </c>
      <c r="G151" s="14" t="n">
        <v>21.44</v>
      </c>
      <c r="H151" s="14" t="n">
        <v>21.87</v>
      </c>
      <c r="I151" s="14" t="n">
        <v>12.72</v>
      </c>
      <c r="J151" s="14" t="n">
        <v>3.61</v>
      </c>
      <c r="K151" s="14" t="n">
        <v>5.45</v>
      </c>
      <c r="L151" s="14" t="n">
        <v>1.58</v>
      </c>
      <c r="M151" s="14" t="n">
        <v>0.51</v>
      </c>
      <c r="N151" s="14" t="n">
        <v>0.79</v>
      </c>
      <c r="O151" s="14" t="n">
        <v>3.7</v>
      </c>
      <c r="P151" s="14" t="n">
        <v>-0.54</v>
      </c>
      <c r="Q151" s="14" t="n">
        <v>1.62</v>
      </c>
      <c r="R151" s="14" t="n">
        <v>18.68</v>
      </c>
      <c r="S151" s="14" t="n">
        <v>6.31</v>
      </c>
      <c r="T151" s="14" t="n">
        <v>14.7</v>
      </c>
      <c r="U151" s="14" t="n">
        <v>0.34</v>
      </c>
      <c r="V151" s="14" t="n">
        <v>0.66</v>
      </c>
      <c r="W151" s="14" t="n">
        <v>0.5</v>
      </c>
      <c r="X151" s="14" t="n">
        <v>2.9</v>
      </c>
      <c r="Y151" s="14" t="n">
        <v>3.02</v>
      </c>
      <c r="Z151" s="16" t="n">
        <v>107536469.24</v>
      </c>
      <c r="AA151" s="14" t="n">
        <v>10.57</v>
      </c>
      <c r="AB151" s="14" t="n">
        <v>1.97</v>
      </c>
      <c r="AC151" s="14" t="n">
        <v>0.13</v>
      </c>
      <c r="AD151" s="16" t="n">
        <v>22220803556.04</v>
      </c>
    </row>
    <row r="152" customFormat="false" ht="15.75" hidden="false" customHeight="false" outlineLevel="0" collapsed="false">
      <c r="A152" s="14" t="s">
        <v>182</v>
      </c>
      <c r="B152" s="14" t="n">
        <v>9.28</v>
      </c>
      <c r="C152" s="14" t="n">
        <v>0.56</v>
      </c>
      <c r="D152" s="14" t="n">
        <v>8.66</v>
      </c>
      <c r="E152" s="14" t="n">
        <v>3.92</v>
      </c>
      <c r="F152" s="14" t="n">
        <v>2.38</v>
      </c>
      <c r="G152" s="14" t="n">
        <v>62.62</v>
      </c>
      <c r="H152" s="14" t="n">
        <v>51.9</v>
      </c>
      <c r="I152" s="14" t="n">
        <v>34.03</v>
      </c>
      <c r="J152" s="14" t="n">
        <v>5.68</v>
      </c>
      <c r="K152" s="14" t="n">
        <v>5.3</v>
      </c>
      <c r="L152" s="14" t="n">
        <v>-0.41</v>
      </c>
      <c r="M152" s="14" t="n">
        <v>-0.28</v>
      </c>
      <c r="N152" s="14" t="n">
        <v>2.95</v>
      </c>
      <c r="O152" s="14" t="n">
        <v>12.03</v>
      </c>
      <c r="P152" s="14" t="n">
        <v>-3.96</v>
      </c>
      <c r="Q152" s="14" t="n">
        <v>1.98</v>
      </c>
      <c r="R152" s="14" t="n">
        <v>45.24</v>
      </c>
      <c r="S152" s="14" t="n">
        <v>27.48</v>
      </c>
      <c r="T152" s="14" t="n">
        <v>44.14</v>
      </c>
      <c r="U152" s="14" t="n">
        <v>0.61</v>
      </c>
      <c r="V152" s="14" t="n">
        <v>0.39</v>
      </c>
      <c r="W152" s="14" t="n">
        <v>0.81</v>
      </c>
      <c r="Z152" s="16" t="n">
        <v>109401080.71</v>
      </c>
      <c r="AA152" s="14" t="n">
        <v>2.37</v>
      </c>
      <c r="AB152" s="14" t="n">
        <v>1.07</v>
      </c>
      <c r="AC152" s="14" t="n">
        <v>0.11</v>
      </c>
      <c r="AD152" s="16" t="n">
        <v>52110414006.16</v>
      </c>
    </row>
    <row r="153" customFormat="false" ht="15.75" hidden="false" customHeight="false" outlineLevel="0" collapsed="false">
      <c r="A153" s="14" t="s">
        <v>183</v>
      </c>
      <c r="B153" s="14" t="n">
        <v>0</v>
      </c>
      <c r="D153" s="14" t="n">
        <v>0</v>
      </c>
      <c r="E153" s="14" t="n">
        <v>0</v>
      </c>
      <c r="F153" s="14" t="n">
        <v>0</v>
      </c>
      <c r="J153" s="14" t="n">
        <v>0</v>
      </c>
      <c r="K153" s="14" t="n">
        <v>0.07</v>
      </c>
      <c r="L153" s="14" t="n">
        <v>0.07</v>
      </c>
      <c r="M153" s="14" t="n">
        <v>-0.75</v>
      </c>
      <c r="O153" s="14" t="n">
        <v>0</v>
      </c>
      <c r="P153" s="14" t="n">
        <v>0</v>
      </c>
      <c r="Q153" s="14" t="n">
        <v>32.3</v>
      </c>
      <c r="R153" s="16" t="n">
        <v>-1150.77</v>
      </c>
      <c r="S153" s="16" t="n">
        <v>-1124.57</v>
      </c>
      <c r="T153" s="16" t="n">
        <v>-1151.54</v>
      </c>
      <c r="U153" s="14" t="n">
        <v>0.98</v>
      </c>
      <c r="V153" s="14" t="n">
        <v>0.02</v>
      </c>
      <c r="W153" s="14" t="n">
        <v>0</v>
      </c>
      <c r="AA153" s="14" t="n">
        <v>0</v>
      </c>
      <c r="AB153" s="14" t="n">
        <v>0</v>
      </c>
      <c r="AC153" s="14" t="n">
        <v>0</v>
      </c>
      <c r="AD153" s="14" t="n">
        <v>0</v>
      </c>
    </row>
    <row r="154" customFormat="false" ht="15.75" hidden="false" customHeight="false" outlineLevel="0" collapsed="false">
      <c r="A154" s="14" t="s">
        <v>184</v>
      </c>
      <c r="B154" s="14" t="n">
        <v>0</v>
      </c>
      <c r="D154" s="14" t="n">
        <v>0</v>
      </c>
      <c r="E154" s="14" t="n">
        <v>0</v>
      </c>
      <c r="F154" s="14" t="n">
        <v>0</v>
      </c>
      <c r="J154" s="14" t="n">
        <v>0</v>
      </c>
      <c r="K154" s="14" t="n">
        <v>0.07</v>
      </c>
      <c r="L154" s="14" t="n">
        <v>0.07</v>
      </c>
      <c r="M154" s="14" t="n">
        <v>-0.75</v>
      </c>
      <c r="O154" s="14" t="n">
        <v>0</v>
      </c>
      <c r="P154" s="14" t="n">
        <v>0</v>
      </c>
      <c r="Q154" s="14" t="n">
        <v>32.3</v>
      </c>
      <c r="R154" s="16" t="n">
        <v>-1150.77</v>
      </c>
      <c r="S154" s="16" t="n">
        <v>-1124.57</v>
      </c>
      <c r="T154" s="16" t="n">
        <v>-1151.54</v>
      </c>
      <c r="U154" s="14" t="n">
        <v>0.98</v>
      </c>
      <c r="V154" s="14" t="n">
        <v>0.02</v>
      </c>
      <c r="W154" s="14" t="n">
        <v>0</v>
      </c>
      <c r="AA154" s="14" t="n">
        <v>0</v>
      </c>
      <c r="AB154" s="14" t="n">
        <v>0</v>
      </c>
      <c r="AC154" s="14" t="n">
        <v>0</v>
      </c>
      <c r="AD154" s="14" t="n">
        <v>0</v>
      </c>
    </row>
    <row r="155" customFormat="false" ht="15.75" hidden="false" customHeight="false" outlineLevel="0" collapsed="false">
      <c r="A155" s="14" t="s">
        <v>185</v>
      </c>
      <c r="B155" s="14" t="n">
        <v>30.22</v>
      </c>
      <c r="D155" s="14" t="n">
        <v>-16.67</v>
      </c>
      <c r="E155" s="14" t="n">
        <v>-58.27</v>
      </c>
      <c r="F155" s="14" t="n">
        <v>5.43</v>
      </c>
      <c r="G155" s="14" t="n">
        <v>-385.58</v>
      </c>
      <c r="H155" s="14" t="n">
        <v>-466.04</v>
      </c>
      <c r="I155" s="14" t="n">
        <v>-580.88</v>
      </c>
      <c r="J155" s="14" t="n">
        <v>-20.78</v>
      </c>
      <c r="K155" s="14" t="n">
        <v>-23.63</v>
      </c>
      <c r="L155" s="14" t="n">
        <v>-2.85</v>
      </c>
      <c r="N155" s="14" t="n">
        <v>96.85</v>
      </c>
      <c r="O155" s="14" t="n">
        <v>-17.63</v>
      </c>
      <c r="P155" s="14" t="n">
        <v>-5.82</v>
      </c>
      <c r="Q155" s="14" t="n">
        <v>0.18</v>
      </c>
      <c r="R155" s="14" t="n">
        <v>-349.48</v>
      </c>
      <c r="S155" s="14" t="n">
        <v>-32.54</v>
      </c>
      <c r="T155" s="14" t="n">
        <v>-40.52</v>
      </c>
      <c r="U155" s="14" t="n">
        <v>-0.09</v>
      </c>
      <c r="V155" s="14" t="n">
        <v>1.09</v>
      </c>
      <c r="W155" s="14" t="n">
        <v>0.06</v>
      </c>
      <c r="X155" s="14" t="n">
        <v>-13.15</v>
      </c>
      <c r="AA155" s="14" t="n">
        <v>-0.52</v>
      </c>
      <c r="AB155" s="14" t="n">
        <v>-1.81</v>
      </c>
      <c r="AC155" s="14" t="n">
        <v>0</v>
      </c>
      <c r="AD155" s="16" t="n">
        <v>935885083.86</v>
      </c>
    </row>
    <row r="156" customFormat="false" ht="15.75" hidden="false" customHeight="false" outlineLevel="0" collapsed="false">
      <c r="A156" s="14" t="s">
        <v>186</v>
      </c>
      <c r="B156" s="14" t="n">
        <v>87.36</v>
      </c>
      <c r="C156" s="14" t="n">
        <v>2.42</v>
      </c>
      <c r="D156" s="14" t="n">
        <v>25.24</v>
      </c>
      <c r="E156" s="14" t="n">
        <v>2.06</v>
      </c>
      <c r="F156" s="14" t="n">
        <v>0.69</v>
      </c>
      <c r="G156" s="14" t="n">
        <v>11.35</v>
      </c>
      <c r="H156" s="14" t="n">
        <v>6.4</v>
      </c>
      <c r="I156" s="14" t="n">
        <v>4.49</v>
      </c>
      <c r="J156" s="14" t="n">
        <v>17.7</v>
      </c>
      <c r="K156" s="14" t="n">
        <v>19.36</v>
      </c>
      <c r="L156" s="14" t="n">
        <v>6.95</v>
      </c>
      <c r="M156" s="14" t="n">
        <v>0.81</v>
      </c>
      <c r="N156" s="14" t="n">
        <v>1.13</v>
      </c>
      <c r="O156" s="14" t="n">
        <v>28.41</v>
      </c>
      <c r="P156" s="14" t="n">
        <v>-0.96</v>
      </c>
      <c r="Q156" s="14" t="n">
        <v>1.09</v>
      </c>
      <c r="R156" s="14" t="n">
        <v>8.15</v>
      </c>
      <c r="S156" s="14" t="n">
        <v>2.73</v>
      </c>
      <c r="T156" s="14" t="n">
        <v>4.16</v>
      </c>
      <c r="U156" s="14" t="n">
        <v>0.34</v>
      </c>
      <c r="V156" s="14" t="n">
        <v>0.66</v>
      </c>
      <c r="W156" s="14" t="n">
        <v>0.61</v>
      </c>
      <c r="X156" s="14" t="n">
        <v>7.29</v>
      </c>
      <c r="Y156" s="14" t="n">
        <v>-6.09</v>
      </c>
      <c r="Z156" s="16" t="n">
        <v>20634.64</v>
      </c>
      <c r="AA156" s="14" t="n">
        <v>42.48</v>
      </c>
      <c r="AB156" s="14" t="n">
        <v>3.46</v>
      </c>
      <c r="AC156" s="14" t="n">
        <v>-0.57</v>
      </c>
      <c r="AD156" s="16" t="n">
        <v>4770238705.86</v>
      </c>
    </row>
    <row r="157" customFormat="false" ht="15.75" hidden="false" customHeight="false" outlineLevel="0" collapsed="false">
      <c r="A157" s="14" t="s">
        <v>187</v>
      </c>
      <c r="B157" s="14" t="n">
        <v>58.12</v>
      </c>
      <c r="C157" s="14" t="n">
        <v>3.64</v>
      </c>
      <c r="D157" s="14" t="n">
        <v>16.79</v>
      </c>
      <c r="E157" s="14" t="n">
        <v>1.37</v>
      </c>
      <c r="F157" s="14" t="n">
        <v>0.46</v>
      </c>
      <c r="G157" s="14" t="n">
        <v>11.35</v>
      </c>
      <c r="H157" s="14" t="n">
        <v>6.4</v>
      </c>
      <c r="I157" s="14" t="n">
        <v>4.49</v>
      </c>
      <c r="J157" s="14" t="n">
        <v>11.78</v>
      </c>
      <c r="K157" s="14" t="n">
        <v>19.36</v>
      </c>
      <c r="L157" s="14" t="n">
        <v>6.95</v>
      </c>
      <c r="M157" s="14" t="n">
        <v>0.81</v>
      </c>
      <c r="N157" s="14" t="n">
        <v>0.75</v>
      </c>
      <c r="O157" s="14" t="n">
        <v>18.9</v>
      </c>
      <c r="P157" s="14" t="n">
        <v>-0.64</v>
      </c>
      <c r="Q157" s="14" t="n">
        <v>1.09</v>
      </c>
      <c r="R157" s="14" t="n">
        <v>8.15</v>
      </c>
      <c r="S157" s="14" t="n">
        <v>2.73</v>
      </c>
      <c r="T157" s="14" t="n">
        <v>4.16</v>
      </c>
      <c r="U157" s="14" t="n">
        <v>0.34</v>
      </c>
      <c r="V157" s="14" t="n">
        <v>0.66</v>
      </c>
      <c r="W157" s="14" t="n">
        <v>0.61</v>
      </c>
      <c r="X157" s="14" t="n">
        <v>7.29</v>
      </c>
      <c r="Y157" s="14" t="n">
        <v>-6.09</v>
      </c>
      <c r="Z157" s="16" t="n">
        <v>1854238.2</v>
      </c>
      <c r="AA157" s="14" t="n">
        <v>42.48</v>
      </c>
      <c r="AB157" s="14" t="n">
        <v>3.46</v>
      </c>
      <c r="AC157" s="14" t="n">
        <v>-0.38</v>
      </c>
      <c r="AD157" s="16" t="n">
        <v>4770238705.86</v>
      </c>
    </row>
    <row r="158" customFormat="false" ht="15.75" hidden="false" customHeight="false" outlineLevel="0" collapsed="false">
      <c r="A158" s="14" t="s">
        <v>188</v>
      </c>
      <c r="B158" s="14" t="n">
        <v>19.17</v>
      </c>
      <c r="C158" s="14" t="n">
        <v>11.03</v>
      </c>
      <c r="D158" s="14" t="n">
        <v>5.54</v>
      </c>
      <c r="E158" s="14" t="n">
        <v>0.45</v>
      </c>
      <c r="F158" s="14" t="n">
        <v>0.15</v>
      </c>
      <c r="G158" s="14" t="n">
        <v>11.35</v>
      </c>
      <c r="H158" s="14" t="n">
        <v>6.4</v>
      </c>
      <c r="I158" s="14" t="n">
        <v>4.49</v>
      </c>
      <c r="J158" s="14" t="n">
        <v>3.88</v>
      </c>
      <c r="K158" s="14" t="n">
        <v>19.36</v>
      </c>
      <c r="L158" s="14" t="n">
        <v>6.95</v>
      </c>
      <c r="M158" s="14" t="n">
        <v>0.81</v>
      </c>
      <c r="N158" s="14" t="n">
        <v>0.25</v>
      </c>
      <c r="O158" s="14" t="n">
        <v>6.23</v>
      </c>
      <c r="P158" s="14" t="n">
        <v>-0.21</v>
      </c>
      <c r="Q158" s="14" t="n">
        <v>1.09</v>
      </c>
      <c r="R158" s="14" t="n">
        <v>8.15</v>
      </c>
      <c r="S158" s="14" t="n">
        <v>2.73</v>
      </c>
      <c r="T158" s="14" t="n">
        <v>4.16</v>
      </c>
      <c r="U158" s="14" t="n">
        <v>0.34</v>
      </c>
      <c r="V158" s="14" t="n">
        <v>0.66</v>
      </c>
      <c r="W158" s="14" t="n">
        <v>0.61</v>
      </c>
      <c r="X158" s="14" t="n">
        <v>7.29</v>
      </c>
      <c r="Y158" s="14" t="n">
        <v>-6.09</v>
      </c>
      <c r="AA158" s="14" t="n">
        <v>42.48</v>
      </c>
      <c r="AB158" s="14" t="n">
        <v>3.46</v>
      </c>
      <c r="AC158" s="14" t="n">
        <v>-0.13</v>
      </c>
      <c r="AD158" s="16" t="n">
        <v>4770238705.86</v>
      </c>
    </row>
    <row r="159" customFormat="false" ht="15.75" hidden="false" customHeight="false" outlineLevel="0" collapsed="false">
      <c r="A159" s="14" t="s">
        <v>189</v>
      </c>
      <c r="B159" s="14" t="n">
        <v>4.47</v>
      </c>
      <c r="D159" s="14" t="n">
        <v>-1.44</v>
      </c>
      <c r="E159" s="14" t="n">
        <v>0.64</v>
      </c>
      <c r="F159" s="14" t="n">
        <v>0.28</v>
      </c>
      <c r="G159" s="14" t="n">
        <v>64.29</v>
      </c>
      <c r="H159" s="14" t="n">
        <v>-70.58</v>
      </c>
      <c r="I159" s="14" t="n">
        <v>-123.39</v>
      </c>
      <c r="J159" s="14" t="n">
        <v>-2.51</v>
      </c>
      <c r="K159" s="14" t="n">
        <v>-4.32</v>
      </c>
      <c r="L159" s="14" t="n">
        <v>-1.82</v>
      </c>
      <c r="M159" s="14" t="n">
        <v>0.46</v>
      </c>
      <c r="N159" s="14" t="n">
        <v>1.77</v>
      </c>
      <c r="O159" s="14" t="n">
        <v>-6.85</v>
      </c>
      <c r="P159" s="14" t="n">
        <v>-0.39</v>
      </c>
      <c r="Q159" s="14" t="n">
        <v>0.87</v>
      </c>
      <c r="R159" s="14" t="n">
        <v>-44.62</v>
      </c>
      <c r="S159" s="14" t="n">
        <v>-19.66</v>
      </c>
      <c r="T159" s="14" t="n">
        <v>-15.1</v>
      </c>
      <c r="U159" s="14" t="n">
        <v>0.44</v>
      </c>
      <c r="V159" s="14" t="n">
        <v>0.52</v>
      </c>
      <c r="W159" s="14" t="n">
        <v>0.16</v>
      </c>
      <c r="X159" s="14" t="n">
        <v>0.02</v>
      </c>
      <c r="Z159" s="16" t="n">
        <v>174115712.98</v>
      </c>
      <c r="AA159" s="14" t="n">
        <v>7</v>
      </c>
      <c r="AB159" s="14" t="n">
        <v>-3.12</v>
      </c>
      <c r="AC159" s="14" t="n">
        <v>0</v>
      </c>
      <c r="AD159" s="16" t="n">
        <v>8388429758.7</v>
      </c>
    </row>
    <row r="160" customFormat="false" ht="15.75" hidden="false" customHeight="false" outlineLevel="0" collapsed="false">
      <c r="A160" s="14" t="s">
        <v>190</v>
      </c>
      <c r="B160" s="14" t="n">
        <v>2.71</v>
      </c>
      <c r="D160" s="14" t="n">
        <v>0.01</v>
      </c>
      <c r="E160" s="14" t="n">
        <v>0.1</v>
      </c>
      <c r="F160" s="14" t="n">
        <v>0</v>
      </c>
      <c r="G160" s="14" t="n">
        <v>77.52</v>
      </c>
      <c r="H160" s="14" t="n">
        <v>29.14</v>
      </c>
      <c r="I160" s="14" t="n">
        <v>25.45</v>
      </c>
      <c r="J160" s="14" t="n">
        <v>0.01</v>
      </c>
      <c r="K160" s="14" t="n">
        <v>-2.46</v>
      </c>
      <c r="L160" s="14" t="n">
        <v>-2.68</v>
      </c>
      <c r="M160" s="14" t="n">
        <v>-24.5</v>
      </c>
      <c r="N160" s="14" t="n">
        <v>0</v>
      </c>
      <c r="O160" s="14" t="n">
        <v>0</v>
      </c>
      <c r="P160" s="14" t="n">
        <v>-0.02</v>
      </c>
      <c r="Q160" s="14" t="n">
        <v>25.55</v>
      </c>
      <c r="R160" s="14" t="n">
        <v>798.24</v>
      </c>
      <c r="S160" s="14" t="n">
        <v>22.48</v>
      </c>
      <c r="T160" s="14" t="n">
        <v>780.13</v>
      </c>
      <c r="U160" s="14" t="n">
        <v>0.03</v>
      </c>
      <c r="V160" s="14" t="n">
        <v>0.97</v>
      </c>
      <c r="W160" s="14" t="n">
        <v>0.88</v>
      </c>
      <c r="X160" s="14" t="n">
        <v>44.77</v>
      </c>
      <c r="AA160" s="14" t="n">
        <v>26.95</v>
      </c>
      <c r="AB160" s="14" t="n">
        <v>215.13</v>
      </c>
      <c r="AC160" s="14" t="n">
        <v>0</v>
      </c>
      <c r="AD160" s="16" t="n">
        <v>1278894.65</v>
      </c>
    </row>
    <row r="161" customFormat="false" ht="15.75" hidden="false" customHeight="false" outlineLevel="0" collapsed="false">
      <c r="A161" s="14" t="s">
        <v>191</v>
      </c>
      <c r="B161" s="14" t="n">
        <v>82</v>
      </c>
      <c r="C161" s="14" t="n">
        <v>7.5</v>
      </c>
      <c r="D161" s="14" t="n">
        <v>0.38</v>
      </c>
      <c r="E161" s="14" t="n">
        <v>3.04</v>
      </c>
      <c r="F161" s="14" t="n">
        <v>0.09</v>
      </c>
      <c r="G161" s="14" t="n">
        <v>77.52</v>
      </c>
      <c r="H161" s="14" t="n">
        <v>29.14</v>
      </c>
      <c r="I161" s="14" t="n">
        <v>25.45</v>
      </c>
      <c r="J161" s="14" t="n">
        <v>0.33</v>
      </c>
      <c r="K161" s="14" t="n">
        <v>-2.46</v>
      </c>
      <c r="L161" s="14" t="n">
        <v>-2.68</v>
      </c>
      <c r="M161" s="14" t="n">
        <v>-24.5</v>
      </c>
      <c r="N161" s="14" t="n">
        <v>0.1</v>
      </c>
      <c r="O161" s="14" t="n">
        <v>0.11</v>
      </c>
      <c r="P161" s="14" t="n">
        <v>-0.46</v>
      </c>
      <c r="Q161" s="14" t="n">
        <v>25.55</v>
      </c>
      <c r="R161" s="14" t="n">
        <v>798.24</v>
      </c>
      <c r="S161" s="14" t="n">
        <v>22.48</v>
      </c>
      <c r="T161" s="14" t="n">
        <v>780.13</v>
      </c>
      <c r="U161" s="14" t="n">
        <v>0.03</v>
      </c>
      <c r="V161" s="14" t="n">
        <v>0.97</v>
      </c>
      <c r="W161" s="14" t="n">
        <v>0.88</v>
      </c>
      <c r="X161" s="14" t="n">
        <v>44.77</v>
      </c>
      <c r="AA161" s="14" t="n">
        <v>26.95</v>
      </c>
      <c r="AB161" s="14" t="n">
        <v>215.13</v>
      </c>
      <c r="AC161" s="14" t="n">
        <v>0</v>
      </c>
      <c r="AD161" s="16" t="n">
        <v>1278894.65</v>
      </c>
    </row>
    <row r="162" customFormat="false" ht="15.75" hidden="false" customHeight="false" outlineLevel="0" collapsed="false">
      <c r="A162" s="14" t="s">
        <v>192</v>
      </c>
      <c r="B162" s="14" t="n">
        <v>26.99</v>
      </c>
      <c r="C162" s="14" t="n">
        <v>12.24</v>
      </c>
      <c r="D162" s="14" t="n">
        <v>8.41</v>
      </c>
      <c r="E162" s="14" t="n">
        <v>2.09</v>
      </c>
      <c r="F162" s="14" t="n">
        <v>0.6</v>
      </c>
      <c r="G162" s="14" t="n">
        <v>22.42</v>
      </c>
      <c r="H162" s="14" t="n">
        <v>16.88</v>
      </c>
      <c r="I162" s="14" t="n">
        <v>11.6</v>
      </c>
      <c r="J162" s="14" t="n">
        <v>5.77</v>
      </c>
      <c r="K162" s="14" t="n">
        <v>8.36</v>
      </c>
      <c r="L162" s="14" t="n">
        <v>2.59</v>
      </c>
      <c r="M162" s="14" t="n">
        <v>0.94</v>
      </c>
      <c r="N162" s="14" t="n">
        <v>0.97</v>
      </c>
      <c r="O162" s="14" t="n">
        <v>-187.95</v>
      </c>
      <c r="P162" s="14" t="n">
        <v>-0.83</v>
      </c>
      <c r="Q162" s="14" t="n">
        <v>0.99</v>
      </c>
      <c r="R162" s="14" t="n">
        <v>24.88</v>
      </c>
      <c r="S162" s="14" t="n">
        <v>7.11</v>
      </c>
      <c r="T162" s="14" t="n">
        <v>12.46</v>
      </c>
      <c r="U162" s="14" t="n">
        <v>0.29</v>
      </c>
      <c r="V162" s="14" t="n">
        <v>0.71</v>
      </c>
      <c r="W162" s="14" t="n">
        <v>0.61</v>
      </c>
      <c r="X162" s="14" t="n">
        <v>8.45</v>
      </c>
      <c r="Y162" s="14" t="n">
        <v>33.47</v>
      </c>
      <c r="Z162" s="16" t="n">
        <v>51540915.8</v>
      </c>
      <c r="AA162" s="14" t="n">
        <v>12.9</v>
      </c>
      <c r="AB162" s="14" t="n">
        <v>3.21</v>
      </c>
      <c r="AC162" s="14" t="n">
        <v>0.35</v>
      </c>
      <c r="AD162" s="16" t="n">
        <v>31087824791.2</v>
      </c>
    </row>
    <row r="163" customFormat="false" ht="15.75" hidden="false" customHeight="false" outlineLevel="0" collapsed="false">
      <c r="A163" s="14" t="s">
        <v>193</v>
      </c>
      <c r="B163" s="14" t="n">
        <v>29.17</v>
      </c>
      <c r="C163" s="14" t="n">
        <v>1.34</v>
      </c>
      <c r="D163" s="14" t="n">
        <v>3.82</v>
      </c>
      <c r="E163" s="14" t="n">
        <v>0.83</v>
      </c>
      <c r="F163" s="14" t="n">
        <v>0.34</v>
      </c>
      <c r="G163" s="14" t="n">
        <v>27.7</v>
      </c>
      <c r="H163" s="14" t="n">
        <v>22.77</v>
      </c>
      <c r="I163" s="14" t="n">
        <v>21.46</v>
      </c>
      <c r="J163" s="14" t="n">
        <v>3.6</v>
      </c>
      <c r="K163" s="14" t="n">
        <v>5.11</v>
      </c>
      <c r="L163" s="14" t="n">
        <v>1.51</v>
      </c>
      <c r="M163" s="14" t="n">
        <v>0.35</v>
      </c>
      <c r="N163" s="14" t="n">
        <v>0.82</v>
      </c>
      <c r="O163" s="14" t="n">
        <v>12.98</v>
      </c>
      <c r="P163" s="14" t="n">
        <v>-0.45</v>
      </c>
      <c r="Q163" s="14" t="n">
        <v>1.12</v>
      </c>
      <c r="R163" s="14" t="n">
        <v>21.72</v>
      </c>
      <c r="S163" s="14" t="n">
        <v>8.85</v>
      </c>
      <c r="T163" s="14" t="n">
        <v>10.77</v>
      </c>
      <c r="U163" s="14" t="n">
        <v>0.41</v>
      </c>
      <c r="V163" s="14" t="n">
        <v>0.59</v>
      </c>
      <c r="W163" s="14" t="n">
        <v>0.41</v>
      </c>
      <c r="X163" s="14" t="n">
        <v>4.51</v>
      </c>
      <c r="Y163" s="14" t="n">
        <v>25.31</v>
      </c>
      <c r="Z163" s="16" t="n">
        <v>21109309</v>
      </c>
      <c r="AA163" s="14" t="n">
        <v>35.15</v>
      </c>
      <c r="AB163" s="14" t="n">
        <v>7.63</v>
      </c>
      <c r="AC163" s="14" t="n">
        <v>0.06</v>
      </c>
      <c r="AD163" s="16" t="n">
        <v>15954108362.5</v>
      </c>
    </row>
    <row r="164" customFormat="false" ht="15.75" hidden="false" customHeight="false" outlineLevel="0" collapsed="false">
      <c r="A164" s="14" t="s">
        <v>194</v>
      </c>
      <c r="B164" s="14" t="n">
        <v>5.51</v>
      </c>
      <c r="C164" s="14" t="n">
        <v>15.95</v>
      </c>
      <c r="D164" s="14" t="n">
        <v>3.62</v>
      </c>
      <c r="E164" s="14" t="n">
        <v>0.79</v>
      </c>
      <c r="F164" s="14" t="n">
        <v>0.32</v>
      </c>
      <c r="G164" s="14" t="n">
        <v>27.7</v>
      </c>
      <c r="H164" s="14" t="n">
        <v>22.77</v>
      </c>
      <c r="I164" s="14" t="n">
        <v>21.46</v>
      </c>
      <c r="J164" s="14" t="n">
        <v>3.41</v>
      </c>
      <c r="K164" s="14" t="n">
        <v>5.11</v>
      </c>
      <c r="L164" s="14" t="n">
        <v>1.51</v>
      </c>
      <c r="M164" s="14" t="n">
        <v>0.35</v>
      </c>
      <c r="N164" s="14" t="n">
        <v>0.78</v>
      </c>
      <c r="O164" s="14" t="n">
        <v>12.29</v>
      </c>
      <c r="P164" s="14" t="n">
        <v>-0.42</v>
      </c>
      <c r="Q164" s="14" t="n">
        <v>1.12</v>
      </c>
      <c r="R164" s="14" t="n">
        <v>21.72</v>
      </c>
      <c r="S164" s="14" t="n">
        <v>8.85</v>
      </c>
      <c r="T164" s="14" t="n">
        <v>10.77</v>
      </c>
      <c r="U164" s="14" t="n">
        <v>0.41</v>
      </c>
      <c r="V164" s="14" t="n">
        <v>0.59</v>
      </c>
      <c r="W164" s="14" t="n">
        <v>0.41</v>
      </c>
      <c r="X164" s="14" t="n">
        <v>4.51</v>
      </c>
      <c r="Y164" s="14" t="n">
        <v>25.31</v>
      </c>
      <c r="Z164" s="16" t="n">
        <v>11960927.66</v>
      </c>
      <c r="AA164" s="14" t="n">
        <v>7.03</v>
      </c>
      <c r="AB164" s="14" t="n">
        <v>1.53</v>
      </c>
      <c r="AC164" s="14" t="n">
        <v>0.05</v>
      </c>
      <c r="AD164" s="16" t="n">
        <v>15954108362.5</v>
      </c>
    </row>
    <row r="165" customFormat="false" ht="15.75" hidden="false" customHeight="false" outlineLevel="0" collapsed="false">
      <c r="A165" s="14" t="s">
        <v>195</v>
      </c>
      <c r="B165" s="14" t="n">
        <v>45</v>
      </c>
      <c r="C165" s="14" t="n">
        <v>2.83</v>
      </c>
      <c r="D165" s="14" t="n">
        <v>29.48</v>
      </c>
      <c r="E165" s="14" t="n">
        <v>6.4</v>
      </c>
      <c r="F165" s="14" t="n">
        <v>2.61</v>
      </c>
      <c r="G165" s="14" t="n">
        <v>27.7</v>
      </c>
      <c r="H165" s="14" t="n">
        <v>22.77</v>
      </c>
      <c r="I165" s="14" t="n">
        <v>21.46</v>
      </c>
      <c r="J165" s="14" t="n">
        <v>27.79</v>
      </c>
      <c r="K165" s="14" t="n">
        <v>5.11</v>
      </c>
      <c r="L165" s="14" t="n">
        <v>1.51</v>
      </c>
      <c r="M165" s="14" t="n">
        <v>0.35</v>
      </c>
      <c r="N165" s="14" t="n">
        <v>6.33</v>
      </c>
      <c r="O165" s="14" t="n">
        <v>100.16</v>
      </c>
      <c r="P165" s="14" t="n">
        <v>-3.44</v>
      </c>
      <c r="Q165" s="14" t="n">
        <v>1.12</v>
      </c>
      <c r="R165" s="14" t="n">
        <v>21.72</v>
      </c>
      <c r="S165" s="14" t="n">
        <v>8.85</v>
      </c>
      <c r="T165" s="14" t="n">
        <v>10.77</v>
      </c>
      <c r="U165" s="14" t="n">
        <v>0.41</v>
      </c>
      <c r="V165" s="14" t="n">
        <v>0.59</v>
      </c>
      <c r="W165" s="14" t="n">
        <v>0.41</v>
      </c>
      <c r="X165" s="14" t="n">
        <v>4.51</v>
      </c>
      <c r="Y165" s="14" t="n">
        <v>25.31</v>
      </c>
      <c r="Z165" s="16" t="n">
        <v>117252.33</v>
      </c>
      <c r="AA165" s="14" t="n">
        <v>7.03</v>
      </c>
      <c r="AB165" s="14" t="n">
        <v>1.53</v>
      </c>
      <c r="AC165" s="14" t="n">
        <v>0.44</v>
      </c>
      <c r="AD165" s="16" t="n">
        <v>15954108362.5</v>
      </c>
    </row>
    <row r="166" customFormat="false" ht="15.75" hidden="false" customHeight="false" outlineLevel="0" collapsed="false">
      <c r="A166" s="14" t="s">
        <v>196</v>
      </c>
      <c r="B166" s="14" t="n">
        <v>5.96</v>
      </c>
      <c r="C166" s="14" t="n">
        <v>16.27</v>
      </c>
      <c r="D166" s="14" t="n">
        <v>3.9</v>
      </c>
      <c r="E166" s="14" t="n">
        <v>0.85</v>
      </c>
      <c r="F166" s="14" t="n">
        <v>0.34</v>
      </c>
      <c r="G166" s="14" t="n">
        <v>27.7</v>
      </c>
      <c r="H166" s="14" t="n">
        <v>22.77</v>
      </c>
      <c r="I166" s="14" t="n">
        <v>21.46</v>
      </c>
      <c r="J166" s="14" t="n">
        <v>3.67</v>
      </c>
      <c r="K166" s="14" t="n">
        <v>5.11</v>
      </c>
      <c r="L166" s="14" t="n">
        <v>1.51</v>
      </c>
      <c r="M166" s="14" t="n">
        <v>0.35</v>
      </c>
      <c r="N166" s="14" t="n">
        <v>0.84</v>
      </c>
      <c r="O166" s="14" t="n">
        <v>13.24</v>
      </c>
      <c r="P166" s="14" t="n">
        <v>-0.46</v>
      </c>
      <c r="Q166" s="14" t="n">
        <v>1.12</v>
      </c>
      <c r="R166" s="14" t="n">
        <v>21.72</v>
      </c>
      <c r="S166" s="14" t="n">
        <v>8.85</v>
      </c>
      <c r="T166" s="14" t="n">
        <v>10.77</v>
      </c>
      <c r="U166" s="14" t="n">
        <v>0.41</v>
      </c>
      <c r="V166" s="14" t="n">
        <v>0.59</v>
      </c>
      <c r="W166" s="14" t="n">
        <v>0.41</v>
      </c>
      <c r="X166" s="14" t="n">
        <v>4.51</v>
      </c>
      <c r="Y166" s="14" t="n">
        <v>25.31</v>
      </c>
      <c r="Z166" s="16" t="n">
        <v>50598465.39</v>
      </c>
      <c r="AA166" s="14" t="n">
        <v>7.03</v>
      </c>
      <c r="AB166" s="14" t="n">
        <v>1.53</v>
      </c>
      <c r="AC166" s="14" t="n">
        <v>0.06</v>
      </c>
      <c r="AD166" s="16" t="n">
        <v>15954108362.5</v>
      </c>
    </row>
    <row r="167" customFormat="false" ht="15.75" hidden="false" customHeight="false" outlineLevel="0" collapsed="false">
      <c r="A167" s="14" t="s">
        <v>197</v>
      </c>
      <c r="B167" s="14" t="n">
        <v>18.23</v>
      </c>
      <c r="D167" s="14" t="n">
        <v>10.48</v>
      </c>
      <c r="E167" s="14" t="n">
        <v>1.78</v>
      </c>
      <c r="F167" s="14" t="n">
        <v>0.86</v>
      </c>
      <c r="G167" s="14" t="n">
        <v>57.75</v>
      </c>
      <c r="H167" s="14" t="n">
        <v>45.18</v>
      </c>
      <c r="I167" s="14" t="n">
        <v>41.74</v>
      </c>
      <c r="J167" s="14" t="n">
        <v>9.68</v>
      </c>
      <c r="K167" s="14" t="n">
        <v>10.76</v>
      </c>
      <c r="L167" s="14" t="n">
        <v>1.08</v>
      </c>
      <c r="M167" s="14" t="n">
        <v>0.2</v>
      </c>
      <c r="N167" s="14" t="n">
        <v>4.37</v>
      </c>
      <c r="O167" s="14" t="n">
        <v>-6.66</v>
      </c>
      <c r="P167" s="14" t="n">
        <v>-1.01</v>
      </c>
      <c r="Q167" s="14" t="n">
        <v>0.52</v>
      </c>
      <c r="R167" s="14" t="n">
        <v>17.01</v>
      </c>
      <c r="S167" s="14" t="n">
        <v>8.25</v>
      </c>
      <c r="T167" s="14" t="n">
        <v>10.86</v>
      </c>
      <c r="U167" s="14" t="n">
        <v>0.49</v>
      </c>
      <c r="V167" s="14" t="n">
        <v>0.51</v>
      </c>
      <c r="W167" s="14" t="n">
        <v>0.2</v>
      </c>
      <c r="X167" s="14" t="n">
        <v>7.96</v>
      </c>
      <c r="Z167" s="16" t="n">
        <v>5456</v>
      </c>
      <c r="AA167" s="14" t="n">
        <v>10.23</v>
      </c>
      <c r="AB167" s="14" t="n">
        <v>1.74</v>
      </c>
      <c r="AC167" s="14" t="n">
        <v>0.02</v>
      </c>
      <c r="AD167" s="16" t="n">
        <v>10824655047.92</v>
      </c>
    </row>
    <row r="168" customFormat="false" ht="15.75" hidden="false" customHeight="false" outlineLevel="0" collapsed="false">
      <c r="A168" s="14" t="s">
        <v>198</v>
      </c>
      <c r="B168" s="14" t="n">
        <v>24.85</v>
      </c>
      <c r="D168" s="14" t="n">
        <v>-3.55</v>
      </c>
      <c r="E168" s="14" t="n">
        <v>0.57</v>
      </c>
      <c r="F168" s="14" t="n">
        <v>0.51</v>
      </c>
      <c r="G168" s="14" t="n">
        <v>-16.61</v>
      </c>
      <c r="H168" s="14" t="n">
        <v>-749.69</v>
      </c>
      <c r="I168" s="14" t="n">
        <v>-802.93</v>
      </c>
      <c r="J168" s="14" t="n">
        <v>-3.8</v>
      </c>
      <c r="K168" s="14" t="n">
        <v>-2.73</v>
      </c>
      <c r="L168" s="14" t="n">
        <v>1.07</v>
      </c>
      <c r="M168" s="14" t="n">
        <v>-0.16</v>
      </c>
      <c r="N168" s="14" t="n">
        <v>28.49</v>
      </c>
      <c r="O168" s="14" t="n">
        <v>3.88</v>
      </c>
      <c r="P168" s="14" t="n">
        <v>-0.64</v>
      </c>
      <c r="Q168" s="14" t="n">
        <v>2.74</v>
      </c>
      <c r="R168" s="14" t="n">
        <v>-16.1</v>
      </c>
      <c r="S168" s="14" t="n">
        <v>-14.26</v>
      </c>
      <c r="T168" s="14" t="n">
        <v>-16.73</v>
      </c>
      <c r="U168" s="14" t="n">
        <v>0.89</v>
      </c>
      <c r="V168" s="14" t="n">
        <v>0.11</v>
      </c>
      <c r="W168" s="14" t="n">
        <v>0.02</v>
      </c>
      <c r="X168" s="14" t="n">
        <v>-41.45</v>
      </c>
      <c r="Z168" s="16" t="n">
        <v>18783.75</v>
      </c>
      <c r="AA168" s="14" t="n">
        <v>43.52</v>
      </c>
      <c r="AB168" s="14" t="n">
        <v>-7</v>
      </c>
      <c r="AC168" s="14" t="n">
        <v>-0.01</v>
      </c>
      <c r="AD168" s="16" t="n">
        <v>60190502.05</v>
      </c>
    </row>
    <row r="169" customFormat="false" ht="15.75" hidden="false" customHeight="false" outlineLevel="0" collapsed="false">
      <c r="A169" s="14" t="s">
        <v>199</v>
      </c>
      <c r="B169" s="14" t="n">
        <v>14.5</v>
      </c>
      <c r="D169" s="14" t="n">
        <v>32.7</v>
      </c>
      <c r="E169" s="14" t="n">
        <v>2.45</v>
      </c>
      <c r="F169" s="14" t="n">
        <v>0.67</v>
      </c>
      <c r="G169" s="14" t="n">
        <v>30.3</v>
      </c>
      <c r="H169" s="14" t="n">
        <v>7.39</v>
      </c>
      <c r="I169" s="14" t="n">
        <v>2.1</v>
      </c>
      <c r="J169" s="14" t="n">
        <v>9.28</v>
      </c>
      <c r="K169" s="14" t="n">
        <v>13.11</v>
      </c>
      <c r="L169" s="14" t="n">
        <v>3.84</v>
      </c>
      <c r="M169" s="14" t="n">
        <v>1.01</v>
      </c>
      <c r="N169" s="14" t="n">
        <v>0.69</v>
      </c>
      <c r="O169" s="14" t="n">
        <v>4.89</v>
      </c>
      <c r="P169" s="14" t="n">
        <v>-1.69</v>
      </c>
      <c r="Q169" s="14" t="n">
        <v>1.29</v>
      </c>
      <c r="R169" s="14" t="n">
        <v>7.5</v>
      </c>
      <c r="S169" s="14" t="n">
        <v>2.05</v>
      </c>
      <c r="T169" s="14" t="n">
        <v>9.29</v>
      </c>
      <c r="U169" s="14" t="n">
        <v>0.27</v>
      </c>
      <c r="V169" s="14" t="n">
        <v>0.73</v>
      </c>
      <c r="W169" s="14" t="n">
        <v>0.98</v>
      </c>
      <c r="X169" s="14" t="n">
        <v>1.09</v>
      </c>
      <c r="AA169" s="14" t="n">
        <v>5.91</v>
      </c>
      <c r="AB169" s="14" t="n">
        <v>0.44</v>
      </c>
      <c r="AC169" s="14" t="n">
        <v>22.14</v>
      </c>
      <c r="AD169" s="16" t="n">
        <v>465122474</v>
      </c>
    </row>
    <row r="170" customFormat="false" ht="15.75" hidden="false" customHeight="false" outlineLevel="0" collapsed="false">
      <c r="A170" s="14" t="s">
        <v>200</v>
      </c>
      <c r="B170" s="14" t="n">
        <v>21.04</v>
      </c>
      <c r="C170" s="14" t="n">
        <v>3.39</v>
      </c>
      <c r="D170" s="14" t="n">
        <v>12.93</v>
      </c>
      <c r="E170" s="14" t="n">
        <v>2.51</v>
      </c>
      <c r="F170" s="14" t="n">
        <v>0.83</v>
      </c>
      <c r="G170" s="14" t="n">
        <v>19.2</v>
      </c>
      <c r="H170" s="14" t="n">
        <v>6.8</v>
      </c>
      <c r="I170" s="14" t="n">
        <v>4.42</v>
      </c>
      <c r="J170" s="14" t="n">
        <v>8.4</v>
      </c>
      <c r="K170" s="14" t="n">
        <v>10.1</v>
      </c>
      <c r="L170" s="14" t="n">
        <v>1.7</v>
      </c>
      <c r="M170" s="14" t="n">
        <v>0.51</v>
      </c>
      <c r="N170" s="14" t="n">
        <v>0.57</v>
      </c>
      <c r="O170" s="14" t="n">
        <v>66.86</v>
      </c>
      <c r="P170" s="14" t="n">
        <v>-1.52</v>
      </c>
      <c r="Q170" s="14" t="n">
        <v>1.03</v>
      </c>
      <c r="R170" s="14" t="n">
        <v>19.41</v>
      </c>
      <c r="S170" s="14" t="n">
        <v>6.39</v>
      </c>
      <c r="T170" s="14" t="n">
        <v>14.18</v>
      </c>
      <c r="U170" s="14" t="n">
        <v>0.33</v>
      </c>
      <c r="V170" s="14" t="n">
        <v>0.64</v>
      </c>
      <c r="W170" s="14" t="n">
        <v>1.45</v>
      </c>
      <c r="X170" s="14" t="n">
        <v>11.38</v>
      </c>
      <c r="Y170" s="14" t="n">
        <v>23.62</v>
      </c>
      <c r="Z170" s="16" t="n">
        <v>83883256.83</v>
      </c>
      <c r="AA170" s="14" t="n">
        <v>8.38</v>
      </c>
      <c r="AB170" s="14" t="n">
        <v>1.63</v>
      </c>
      <c r="AC170" s="14" t="n">
        <v>0.05</v>
      </c>
      <c r="AD170" s="16" t="n">
        <v>41770551780.4</v>
      </c>
    </row>
    <row r="171" customFormat="false" ht="15.75" hidden="false" customHeight="false" outlineLevel="0" collapsed="false">
      <c r="A171" s="14" t="s">
        <v>201</v>
      </c>
      <c r="B171" s="14" t="n">
        <v>5.9</v>
      </c>
      <c r="D171" s="14" t="n">
        <v>11.71</v>
      </c>
      <c r="E171" s="14" t="n">
        <v>0.61</v>
      </c>
      <c r="F171" s="14" t="n">
        <v>0.1</v>
      </c>
      <c r="G171" s="14" t="n">
        <v>72.65</v>
      </c>
      <c r="H171" s="14" t="n">
        <v>12.13</v>
      </c>
      <c r="I171" s="14" t="n">
        <v>8.99</v>
      </c>
      <c r="J171" s="14" t="n">
        <v>8.69</v>
      </c>
      <c r="K171" s="14" t="n">
        <v>8.85</v>
      </c>
      <c r="N171" s="14" t="n">
        <v>1.05</v>
      </c>
      <c r="O171" s="14" t="n">
        <v>0.39</v>
      </c>
      <c r="P171" s="14" t="n">
        <v>-0.25</v>
      </c>
      <c r="Q171" s="14" t="n">
        <v>1.67</v>
      </c>
      <c r="R171" s="14" t="n">
        <v>5.22</v>
      </c>
      <c r="S171" s="14" t="n">
        <v>0.82</v>
      </c>
      <c r="U171" s="14" t="n">
        <v>0.16</v>
      </c>
      <c r="V171" s="14" t="n">
        <v>0.84</v>
      </c>
      <c r="W171" s="14" t="n">
        <v>0.09</v>
      </c>
      <c r="X171" s="14" t="n">
        <v>-7.18</v>
      </c>
      <c r="Y171" s="14" t="n">
        <v>6.86</v>
      </c>
      <c r="Z171" s="16" t="n">
        <v>62990.44</v>
      </c>
      <c r="AA171" s="14" t="n">
        <v>9.64</v>
      </c>
      <c r="AB171" s="14" t="n">
        <v>0.5</v>
      </c>
      <c r="AC171" s="14" t="n">
        <v>-0.39</v>
      </c>
      <c r="AD171" s="16" t="n">
        <v>618412652.15</v>
      </c>
    </row>
    <row r="172" customFormat="false" ht="15.75" hidden="false" customHeight="false" outlineLevel="0" collapsed="false">
      <c r="A172" s="14" t="s">
        <v>202</v>
      </c>
      <c r="B172" s="14" t="n">
        <v>6.15</v>
      </c>
      <c r="C172" s="14" t="n">
        <v>7.07</v>
      </c>
      <c r="D172" s="14" t="n">
        <v>12.21</v>
      </c>
      <c r="E172" s="14" t="n">
        <v>0.64</v>
      </c>
      <c r="F172" s="14" t="n">
        <v>0.1</v>
      </c>
      <c r="G172" s="14" t="n">
        <v>72.65</v>
      </c>
      <c r="H172" s="14" t="n">
        <v>12.13</v>
      </c>
      <c r="I172" s="14" t="n">
        <v>8.99</v>
      </c>
      <c r="J172" s="14" t="n">
        <v>9.06</v>
      </c>
      <c r="K172" s="14" t="n">
        <v>8.85</v>
      </c>
      <c r="N172" s="14" t="n">
        <v>1.1</v>
      </c>
      <c r="O172" s="14" t="n">
        <v>0.41</v>
      </c>
      <c r="P172" s="14" t="n">
        <v>-0.26</v>
      </c>
      <c r="Q172" s="14" t="n">
        <v>1.67</v>
      </c>
      <c r="R172" s="14" t="n">
        <v>5.22</v>
      </c>
      <c r="S172" s="14" t="n">
        <v>0.82</v>
      </c>
      <c r="U172" s="14" t="n">
        <v>0.16</v>
      </c>
      <c r="V172" s="14" t="n">
        <v>0.84</v>
      </c>
      <c r="W172" s="14" t="n">
        <v>0.09</v>
      </c>
      <c r="X172" s="14" t="n">
        <v>-7.18</v>
      </c>
      <c r="Y172" s="14" t="n">
        <v>6.86</v>
      </c>
      <c r="Z172" s="16" t="n">
        <v>35799.29</v>
      </c>
      <c r="AA172" s="14" t="n">
        <v>9.64</v>
      </c>
      <c r="AB172" s="14" t="n">
        <v>0.5</v>
      </c>
      <c r="AC172" s="14" t="n">
        <v>-0.41</v>
      </c>
      <c r="AD172" s="16" t="n">
        <v>618412652.15</v>
      </c>
    </row>
    <row r="173" customFormat="false" ht="15.75" hidden="false" customHeight="false" outlineLevel="0" collapsed="false">
      <c r="A173" s="14" t="s">
        <v>203</v>
      </c>
      <c r="B173" s="14" t="n">
        <v>88</v>
      </c>
      <c r="C173" s="14" t="n">
        <v>1.68</v>
      </c>
      <c r="D173" s="14" t="n">
        <v>10.76</v>
      </c>
      <c r="E173" s="14" t="n">
        <v>3.22</v>
      </c>
      <c r="F173" s="14" t="n">
        <v>2.32</v>
      </c>
      <c r="G173" s="14" t="n">
        <v>36.52</v>
      </c>
      <c r="H173" s="14" t="n">
        <v>23.7</v>
      </c>
      <c r="I173" s="14" t="n">
        <v>29.02</v>
      </c>
      <c r="J173" s="14" t="n">
        <v>13.18</v>
      </c>
      <c r="K173" s="14" t="n">
        <v>11.35</v>
      </c>
      <c r="L173" s="14" t="n">
        <v>-1.89</v>
      </c>
      <c r="M173" s="14" t="n">
        <v>-0.46</v>
      </c>
      <c r="N173" s="14" t="n">
        <v>3.12</v>
      </c>
      <c r="O173" s="14" t="n">
        <v>3.4</v>
      </c>
      <c r="P173" s="14" t="n">
        <v>-11.42</v>
      </c>
      <c r="Q173" s="14" t="n">
        <v>6.9</v>
      </c>
      <c r="R173" s="14" t="n">
        <v>29.92</v>
      </c>
      <c r="S173" s="14" t="n">
        <v>21.55</v>
      </c>
      <c r="T173" s="14" t="n">
        <v>18.16</v>
      </c>
      <c r="U173" s="14" t="n">
        <v>0.72</v>
      </c>
      <c r="V173" s="14" t="n">
        <v>0.28</v>
      </c>
      <c r="W173" s="14" t="n">
        <v>0.74</v>
      </c>
      <c r="X173" s="14" t="n">
        <v>15.93</v>
      </c>
      <c r="Z173" s="16" t="n">
        <v>15566.57</v>
      </c>
      <c r="AA173" s="14" t="n">
        <v>27.33</v>
      </c>
      <c r="AB173" s="14" t="n">
        <v>8.18</v>
      </c>
      <c r="AC173" s="14" t="n">
        <v>0.08</v>
      </c>
      <c r="AD173" s="16" t="n">
        <v>2566851980.3</v>
      </c>
    </row>
    <row r="174" customFormat="false" ht="15.75" hidden="false" customHeight="false" outlineLevel="0" collapsed="false">
      <c r="A174" s="14" t="s">
        <v>204</v>
      </c>
      <c r="B174" s="14" t="n">
        <v>88.52</v>
      </c>
      <c r="C174" s="14" t="n">
        <v>1.67</v>
      </c>
      <c r="D174" s="14" t="n">
        <v>10.85</v>
      </c>
      <c r="E174" s="14" t="n">
        <v>3.25</v>
      </c>
      <c r="F174" s="14" t="n">
        <v>2.34</v>
      </c>
      <c r="G174" s="14" t="n">
        <v>36.52</v>
      </c>
      <c r="H174" s="14" t="n">
        <v>23.7</v>
      </c>
      <c r="I174" s="14" t="n">
        <v>29.02</v>
      </c>
      <c r="J174" s="14" t="n">
        <v>13.28</v>
      </c>
      <c r="K174" s="14" t="n">
        <v>11.35</v>
      </c>
      <c r="L174" s="14" t="n">
        <v>-1.89</v>
      </c>
      <c r="M174" s="14" t="n">
        <v>-0.46</v>
      </c>
      <c r="N174" s="14" t="n">
        <v>3.15</v>
      </c>
      <c r="O174" s="14" t="n">
        <v>3.43</v>
      </c>
      <c r="P174" s="14" t="n">
        <v>-11.51</v>
      </c>
      <c r="Q174" s="14" t="n">
        <v>6.9</v>
      </c>
      <c r="R174" s="14" t="n">
        <v>29.92</v>
      </c>
      <c r="S174" s="14" t="n">
        <v>21.55</v>
      </c>
      <c r="T174" s="14" t="n">
        <v>18.16</v>
      </c>
      <c r="U174" s="14" t="n">
        <v>0.72</v>
      </c>
      <c r="V174" s="14" t="n">
        <v>0.28</v>
      </c>
      <c r="W174" s="14" t="n">
        <v>0.74</v>
      </c>
      <c r="X174" s="14" t="n">
        <v>15.93</v>
      </c>
      <c r="Z174" s="16" t="n">
        <v>1231257.41</v>
      </c>
      <c r="AA174" s="14" t="n">
        <v>27.33</v>
      </c>
      <c r="AB174" s="14" t="n">
        <v>8.18</v>
      </c>
      <c r="AC174" s="14" t="n">
        <v>0.08</v>
      </c>
      <c r="AD174" s="16" t="n">
        <v>2566851980.3</v>
      </c>
    </row>
    <row r="175" customFormat="false" ht="15.75" hidden="false" customHeight="false" outlineLevel="0" collapsed="false">
      <c r="A175" s="14" t="s">
        <v>205</v>
      </c>
      <c r="B175" s="14" t="n">
        <v>89.99</v>
      </c>
      <c r="C175" s="14" t="n">
        <v>1.65</v>
      </c>
      <c r="D175" s="14" t="n">
        <v>11.01</v>
      </c>
      <c r="E175" s="14" t="n">
        <v>3.29</v>
      </c>
      <c r="F175" s="14" t="n">
        <v>2.37</v>
      </c>
      <c r="G175" s="14" t="n">
        <v>36.52</v>
      </c>
      <c r="H175" s="14" t="n">
        <v>23.7</v>
      </c>
      <c r="I175" s="14" t="n">
        <v>29.02</v>
      </c>
      <c r="J175" s="14" t="n">
        <v>13.48</v>
      </c>
      <c r="K175" s="14" t="n">
        <v>11.35</v>
      </c>
      <c r="L175" s="14" t="n">
        <v>-1.89</v>
      </c>
      <c r="M175" s="14" t="n">
        <v>-0.46</v>
      </c>
      <c r="N175" s="14" t="n">
        <v>3.19</v>
      </c>
      <c r="O175" s="14" t="n">
        <v>3.48</v>
      </c>
      <c r="P175" s="14" t="n">
        <v>-11.68</v>
      </c>
      <c r="Q175" s="14" t="n">
        <v>6.9</v>
      </c>
      <c r="R175" s="14" t="n">
        <v>29.92</v>
      </c>
      <c r="S175" s="14" t="n">
        <v>21.55</v>
      </c>
      <c r="T175" s="14" t="n">
        <v>18.16</v>
      </c>
      <c r="U175" s="14" t="n">
        <v>0.72</v>
      </c>
      <c r="V175" s="14" t="n">
        <v>0.28</v>
      </c>
      <c r="W175" s="14" t="n">
        <v>0.74</v>
      </c>
      <c r="X175" s="14" t="n">
        <v>15.93</v>
      </c>
      <c r="Z175" s="16" t="n">
        <v>399681</v>
      </c>
      <c r="AA175" s="14" t="n">
        <v>27.33</v>
      </c>
      <c r="AB175" s="14" t="n">
        <v>8.18</v>
      </c>
      <c r="AC175" s="14" t="n">
        <v>0.08</v>
      </c>
      <c r="AD175" s="16" t="n">
        <v>2566851980.3</v>
      </c>
    </row>
    <row r="176" customFormat="false" ht="15.75" hidden="false" customHeight="false" outlineLevel="0" collapsed="false">
      <c r="A176" s="14" t="s">
        <v>206</v>
      </c>
      <c r="B176" s="14" t="n">
        <v>65</v>
      </c>
      <c r="C176" s="14" t="n">
        <v>2.86</v>
      </c>
      <c r="D176" s="14" t="n">
        <v>9.71</v>
      </c>
      <c r="E176" s="14" t="n">
        <v>2.87</v>
      </c>
      <c r="F176" s="14" t="n">
        <v>1.32</v>
      </c>
      <c r="G176" s="14" t="n">
        <v>206.75</v>
      </c>
      <c r="H176" s="16" t="n">
        <v>1705.97</v>
      </c>
      <c r="I176" s="16" t="n">
        <v>1762.43</v>
      </c>
      <c r="J176" s="14" t="n">
        <v>10.03</v>
      </c>
      <c r="K176" s="14" t="n">
        <v>8.87</v>
      </c>
      <c r="N176" s="14" t="n">
        <v>171.13</v>
      </c>
      <c r="O176" s="14" t="n">
        <v>12.63</v>
      </c>
      <c r="P176" s="14" t="n">
        <v>-1.64</v>
      </c>
      <c r="Q176" s="14" t="n">
        <v>2.18</v>
      </c>
      <c r="R176" s="14" t="n">
        <v>29.6</v>
      </c>
      <c r="S176" s="14" t="n">
        <v>13.63</v>
      </c>
      <c r="U176" s="14" t="n">
        <v>0.46</v>
      </c>
      <c r="V176" s="14" t="n">
        <v>0.54</v>
      </c>
      <c r="W176" s="14" t="n">
        <v>0.01</v>
      </c>
      <c r="X176" s="14" t="n">
        <v>-41.88</v>
      </c>
      <c r="Y176" s="14" t="n">
        <v>2.02</v>
      </c>
      <c r="Z176" s="16" t="n">
        <v>11485</v>
      </c>
      <c r="AA176" s="14" t="n">
        <v>22.61</v>
      </c>
      <c r="AB176" s="14" t="n">
        <v>6.69</v>
      </c>
      <c r="AC176" s="14" t="n">
        <v>0.04</v>
      </c>
      <c r="AD176" s="16" t="n">
        <v>441600000</v>
      </c>
    </row>
    <row r="177" customFormat="false" ht="15.75" hidden="false" customHeight="false" outlineLevel="0" collapsed="false">
      <c r="A177" s="14" t="s">
        <v>207</v>
      </c>
      <c r="B177" s="14" t="n">
        <v>50</v>
      </c>
      <c r="C177" s="14" t="n">
        <v>4.09</v>
      </c>
      <c r="D177" s="14" t="n">
        <v>7.47</v>
      </c>
      <c r="E177" s="14" t="n">
        <v>2.21</v>
      </c>
      <c r="F177" s="14" t="n">
        <v>1.02</v>
      </c>
      <c r="G177" s="14" t="n">
        <v>206.75</v>
      </c>
      <c r="H177" s="16" t="n">
        <v>1705.97</v>
      </c>
      <c r="I177" s="16" t="n">
        <v>1762.43</v>
      </c>
      <c r="J177" s="14" t="n">
        <v>7.72</v>
      </c>
      <c r="K177" s="14" t="n">
        <v>8.87</v>
      </c>
      <c r="N177" s="14" t="n">
        <v>131.64</v>
      </c>
      <c r="O177" s="14" t="n">
        <v>9.71</v>
      </c>
      <c r="P177" s="14" t="n">
        <v>-1.26</v>
      </c>
      <c r="Q177" s="14" t="n">
        <v>2.18</v>
      </c>
      <c r="R177" s="14" t="n">
        <v>29.6</v>
      </c>
      <c r="S177" s="14" t="n">
        <v>13.63</v>
      </c>
      <c r="U177" s="14" t="n">
        <v>0.46</v>
      </c>
      <c r="V177" s="14" t="n">
        <v>0.54</v>
      </c>
      <c r="W177" s="14" t="n">
        <v>0.01</v>
      </c>
      <c r="X177" s="14" t="n">
        <v>-41.88</v>
      </c>
      <c r="Y177" s="14" t="n">
        <v>2.02</v>
      </c>
      <c r="Z177" s="16" t="n">
        <v>32198.5</v>
      </c>
      <c r="AA177" s="14" t="n">
        <v>22.61</v>
      </c>
      <c r="AB177" s="14" t="n">
        <v>6.69</v>
      </c>
      <c r="AC177" s="14" t="n">
        <v>0.03</v>
      </c>
      <c r="AD177" s="16" t="n">
        <v>441600000</v>
      </c>
    </row>
    <row r="178" customFormat="false" ht="15.75" hidden="false" customHeight="false" outlineLevel="0" collapsed="false">
      <c r="A178" s="14" t="s">
        <v>208</v>
      </c>
      <c r="B178" s="14" t="n">
        <v>23.98</v>
      </c>
      <c r="C178" s="14" t="n">
        <v>1.08</v>
      </c>
      <c r="D178" s="14" t="n">
        <v>32.3</v>
      </c>
      <c r="E178" s="14" t="n">
        <v>4.45</v>
      </c>
      <c r="F178" s="14" t="n">
        <v>0.58</v>
      </c>
      <c r="G178" s="14" t="n">
        <v>27.3</v>
      </c>
      <c r="H178" s="14" t="n">
        <v>18.7</v>
      </c>
      <c r="I178" s="14" t="n">
        <v>9.43</v>
      </c>
      <c r="J178" s="14" t="n">
        <v>16.3</v>
      </c>
      <c r="K178" s="14" t="n">
        <v>27.82</v>
      </c>
      <c r="L178" s="14" t="n">
        <v>11.53</v>
      </c>
      <c r="M178" s="14" t="n">
        <v>3.15</v>
      </c>
      <c r="N178" s="14" t="n">
        <v>3.05</v>
      </c>
      <c r="O178" s="14" t="n">
        <v>4.9</v>
      </c>
      <c r="P178" s="14" t="n">
        <v>-0.75</v>
      </c>
      <c r="Q178" s="14" t="n">
        <v>2.16</v>
      </c>
      <c r="R178" s="14" t="n">
        <v>13.79</v>
      </c>
      <c r="S178" s="14" t="n">
        <v>1.8</v>
      </c>
      <c r="T178" s="14" t="n">
        <v>4.11</v>
      </c>
      <c r="U178" s="14" t="n">
        <v>0.13</v>
      </c>
      <c r="V178" s="14" t="n">
        <v>0.72</v>
      </c>
      <c r="W178" s="14" t="n">
        <v>0.19</v>
      </c>
      <c r="X178" s="14" t="n">
        <v>10.1</v>
      </c>
      <c r="Y178" s="14" t="n">
        <v>0.61</v>
      </c>
      <c r="Z178" s="16" t="n">
        <v>247175709.02</v>
      </c>
      <c r="AA178" s="14" t="n">
        <v>5.37</v>
      </c>
      <c r="AB178" s="14" t="n">
        <v>0.74</v>
      </c>
      <c r="AC178" s="14" t="n">
        <v>-0.93</v>
      </c>
      <c r="AD178" s="16" t="n">
        <v>44827776693.44</v>
      </c>
    </row>
    <row r="179" customFormat="false" ht="15.75" hidden="false" customHeight="false" outlineLevel="0" collapsed="false">
      <c r="A179" s="14" t="s">
        <v>209</v>
      </c>
      <c r="B179" s="14" t="n">
        <v>14.97</v>
      </c>
      <c r="D179" s="16" t="n">
        <v>-4592.27</v>
      </c>
      <c r="E179" s="14" t="n">
        <v>3.88</v>
      </c>
      <c r="F179" s="14" t="n">
        <v>1.21</v>
      </c>
      <c r="G179" s="14" t="n">
        <v>49.17</v>
      </c>
      <c r="H179" s="14" t="n">
        <v>11.64</v>
      </c>
      <c r="I179" s="14" t="n">
        <v>-0.07</v>
      </c>
      <c r="J179" s="14" t="n">
        <v>27.28</v>
      </c>
      <c r="K179" s="14" t="n">
        <v>27.62</v>
      </c>
      <c r="L179" s="14" t="n">
        <v>0.27</v>
      </c>
      <c r="M179" s="14" t="n">
        <v>0.04</v>
      </c>
      <c r="N179" s="14" t="n">
        <v>3.18</v>
      </c>
      <c r="O179" s="14" t="n">
        <v>6.64</v>
      </c>
      <c r="P179" s="14" t="n">
        <v>-1.71</v>
      </c>
      <c r="Q179" s="14" t="n">
        <v>2.6</v>
      </c>
      <c r="R179" s="14" t="n">
        <v>-0.08</v>
      </c>
      <c r="S179" s="14" t="n">
        <v>-0.03</v>
      </c>
      <c r="T179" s="14" t="n">
        <v>7.24</v>
      </c>
      <c r="U179" s="14" t="n">
        <v>0.31</v>
      </c>
      <c r="V179" s="14" t="n">
        <v>0.69</v>
      </c>
      <c r="W179" s="14" t="n">
        <v>0.38</v>
      </c>
      <c r="Z179" s="16" t="n">
        <v>6222244.63</v>
      </c>
      <c r="AA179" s="14" t="n">
        <v>3.87</v>
      </c>
      <c r="AB179" s="14" t="n">
        <v>0</v>
      </c>
      <c r="AC179" s="14" t="n">
        <v>44.95</v>
      </c>
      <c r="AD179" s="16" t="n">
        <v>5746424712</v>
      </c>
    </row>
    <row r="180" customFormat="false" ht="15.75" hidden="false" customHeight="false" outlineLevel="0" collapsed="false">
      <c r="A180" s="14" t="s">
        <v>210</v>
      </c>
      <c r="B180" s="14" t="n">
        <v>15.73</v>
      </c>
      <c r="C180" s="14" t="n">
        <v>18.09</v>
      </c>
      <c r="D180" s="14" t="n">
        <v>6.83</v>
      </c>
      <c r="E180" s="14" t="n">
        <v>0.9</v>
      </c>
      <c r="F180" s="14" t="n">
        <v>0.5</v>
      </c>
      <c r="G180" s="14" t="n">
        <v>44.84</v>
      </c>
      <c r="H180" s="14" t="n">
        <v>24.2</v>
      </c>
      <c r="I180" s="14" t="n">
        <v>16.09</v>
      </c>
      <c r="J180" s="14" t="n">
        <v>4.54</v>
      </c>
      <c r="K180" s="14" t="n">
        <v>6.57</v>
      </c>
      <c r="L180" s="14" t="n">
        <v>2.03</v>
      </c>
      <c r="M180" s="14" t="n">
        <v>0.41</v>
      </c>
      <c r="N180" s="14" t="n">
        <v>1.1</v>
      </c>
      <c r="O180" s="14" t="n">
        <v>13.76</v>
      </c>
      <c r="P180" s="14" t="n">
        <v>-0.62</v>
      </c>
      <c r="Q180" s="14" t="n">
        <v>1.25</v>
      </c>
      <c r="R180" s="14" t="n">
        <v>13.24</v>
      </c>
      <c r="S180" s="14" t="n">
        <v>7.38</v>
      </c>
      <c r="T180" s="14" t="n">
        <v>9.83</v>
      </c>
      <c r="U180" s="14" t="n">
        <v>0.56</v>
      </c>
      <c r="V180" s="14" t="n">
        <v>0.44</v>
      </c>
      <c r="W180" s="14" t="n">
        <v>0.46</v>
      </c>
      <c r="X180" s="14" t="n">
        <v>6.86</v>
      </c>
      <c r="Z180" s="16" t="n">
        <v>30616476.95</v>
      </c>
      <c r="AA180" s="14" t="n">
        <v>17.39</v>
      </c>
      <c r="AB180" s="14" t="n">
        <v>2.3</v>
      </c>
      <c r="AC180" s="14" t="n">
        <v>0.34</v>
      </c>
      <c r="AD180" s="16" t="n">
        <v>5969973183.3</v>
      </c>
    </row>
    <row r="181" customFormat="false" ht="15.75" hidden="false" customHeight="false" outlineLevel="0" collapsed="false">
      <c r="A181" s="14" t="s">
        <v>211</v>
      </c>
      <c r="B181" s="14" t="n">
        <v>44.61</v>
      </c>
      <c r="C181" s="14" t="n">
        <v>1.47</v>
      </c>
      <c r="D181" s="14" t="n">
        <v>5.93</v>
      </c>
      <c r="E181" s="14" t="n">
        <v>4.29</v>
      </c>
      <c r="F181" s="14" t="n">
        <v>0.89</v>
      </c>
      <c r="G181" s="14" t="n">
        <v>41.91</v>
      </c>
      <c r="H181" s="14" t="n">
        <v>34.92</v>
      </c>
      <c r="I181" s="14" t="n">
        <v>28.37</v>
      </c>
      <c r="J181" s="14" t="n">
        <v>4.82</v>
      </c>
      <c r="K181" s="14" t="n">
        <v>6.08</v>
      </c>
      <c r="L181" s="14" t="n">
        <v>1.25</v>
      </c>
      <c r="M181" s="14" t="n">
        <v>1.11</v>
      </c>
      <c r="N181" s="14" t="n">
        <v>1.68</v>
      </c>
      <c r="O181" s="14" t="n">
        <v>4.66</v>
      </c>
      <c r="P181" s="14" t="n">
        <v>-1.55</v>
      </c>
      <c r="Q181" s="14" t="n">
        <v>1.8</v>
      </c>
      <c r="R181" s="14" t="n">
        <v>72.25</v>
      </c>
      <c r="S181" s="14" t="n">
        <v>14.92</v>
      </c>
      <c r="T181" s="14" t="n">
        <v>21.59</v>
      </c>
      <c r="U181" s="14" t="n">
        <v>0.21</v>
      </c>
      <c r="V181" s="14" t="n">
        <v>0.75</v>
      </c>
      <c r="W181" s="14" t="n">
        <v>0.53</v>
      </c>
      <c r="X181" s="14" t="n">
        <v>14.52</v>
      </c>
      <c r="Z181" s="16" t="n">
        <v>491273281.51</v>
      </c>
      <c r="AA181" s="14" t="n">
        <v>10.37</v>
      </c>
      <c r="AB181" s="14" t="n">
        <v>7.49</v>
      </c>
      <c r="AC181" s="14" t="n">
        <v>0</v>
      </c>
      <c r="AD181" s="16" t="n">
        <v>61897447736.67</v>
      </c>
    </row>
    <row r="182" customFormat="false" ht="15.75" hidden="false" customHeight="false" outlineLevel="0" collapsed="false">
      <c r="A182" s="14" t="s">
        <v>212</v>
      </c>
      <c r="B182" s="14" t="n">
        <v>25.5</v>
      </c>
      <c r="C182" s="14" t="n">
        <v>6.66</v>
      </c>
      <c r="D182" s="14" t="n">
        <v>11.5</v>
      </c>
      <c r="E182" s="14" t="n">
        <v>2.99</v>
      </c>
      <c r="F182" s="14" t="n">
        <v>0.88</v>
      </c>
      <c r="G182" s="14" t="n">
        <v>22.69</v>
      </c>
      <c r="H182" s="14" t="n">
        <v>17.01</v>
      </c>
      <c r="I182" s="14" t="n">
        <v>12.81</v>
      </c>
      <c r="J182" s="14" t="n">
        <v>8.66</v>
      </c>
      <c r="K182" s="14" t="n">
        <v>13.95</v>
      </c>
      <c r="L182" s="14" t="n">
        <v>3.14</v>
      </c>
      <c r="M182" s="14" t="n">
        <v>1.09</v>
      </c>
      <c r="N182" s="14" t="n">
        <v>1.47</v>
      </c>
      <c r="O182" s="14" t="n">
        <v>7.91</v>
      </c>
      <c r="P182" s="14" t="n">
        <v>-1.16</v>
      </c>
      <c r="Q182" s="14" t="n">
        <v>1.9</v>
      </c>
      <c r="R182" s="14" t="n">
        <v>26.01</v>
      </c>
      <c r="S182" s="14" t="n">
        <v>7.69</v>
      </c>
      <c r="T182" s="14" t="n">
        <v>12.44</v>
      </c>
      <c r="U182" s="14" t="n">
        <v>0.3</v>
      </c>
      <c r="V182" s="14" t="n">
        <v>0.7</v>
      </c>
      <c r="W182" s="14" t="n">
        <v>0.6</v>
      </c>
      <c r="X182" s="14" t="n">
        <v>9.71</v>
      </c>
      <c r="Y182" s="14" t="n">
        <v>12.94</v>
      </c>
      <c r="Z182" s="16" t="n">
        <v>53172</v>
      </c>
      <c r="AA182" s="14" t="n">
        <v>8.53</v>
      </c>
      <c r="AB182" s="14" t="n">
        <v>2.22</v>
      </c>
      <c r="AC182" s="14" t="n">
        <v>0.47</v>
      </c>
      <c r="AD182" s="16" t="n">
        <v>5351301691.91</v>
      </c>
    </row>
    <row r="183" customFormat="false" ht="15.75" hidden="false" customHeight="false" outlineLevel="0" collapsed="false">
      <c r="A183" s="14" t="s">
        <v>213</v>
      </c>
      <c r="B183" s="14" t="n">
        <v>24</v>
      </c>
      <c r="C183" s="14" t="n">
        <v>7.78</v>
      </c>
      <c r="D183" s="14" t="n">
        <v>10.82</v>
      </c>
      <c r="E183" s="14" t="n">
        <v>2.81</v>
      </c>
      <c r="F183" s="14" t="n">
        <v>0.83</v>
      </c>
      <c r="G183" s="14" t="n">
        <v>22.69</v>
      </c>
      <c r="H183" s="14" t="n">
        <v>17.01</v>
      </c>
      <c r="I183" s="14" t="n">
        <v>12.81</v>
      </c>
      <c r="J183" s="14" t="n">
        <v>8.15</v>
      </c>
      <c r="K183" s="14" t="n">
        <v>13.95</v>
      </c>
      <c r="L183" s="14" t="n">
        <v>3.14</v>
      </c>
      <c r="M183" s="14" t="n">
        <v>1.09</v>
      </c>
      <c r="N183" s="14" t="n">
        <v>1.39</v>
      </c>
      <c r="O183" s="14" t="n">
        <v>7.44</v>
      </c>
      <c r="P183" s="14" t="n">
        <v>-1.09</v>
      </c>
      <c r="Q183" s="14" t="n">
        <v>1.9</v>
      </c>
      <c r="R183" s="14" t="n">
        <v>26.01</v>
      </c>
      <c r="S183" s="14" t="n">
        <v>7.69</v>
      </c>
      <c r="T183" s="14" t="n">
        <v>12.44</v>
      </c>
      <c r="U183" s="14" t="n">
        <v>0.3</v>
      </c>
      <c r="V183" s="14" t="n">
        <v>0.7</v>
      </c>
      <c r="W183" s="14" t="n">
        <v>0.6</v>
      </c>
      <c r="X183" s="14" t="n">
        <v>9.71</v>
      </c>
      <c r="Y183" s="14" t="n">
        <v>12.94</v>
      </c>
      <c r="Z183" s="16" t="n">
        <v>28655.41</v>
      </c>
      <c r="AA183" s="14" t="n">
        <v>8.53</v>
      </c>
      <c r="AB183" s="14" t="n">
        <v>2.22</v>
      </c>
      <c r="AC183" s="14" t="n">
        <v>0.44</v>
      </c>
      <c r="AD183" s="16" t="n">
        <v>5351301691.91</v>
      </c>
    </row>
    <row r="184" customFormat="false" ht="15.75" hidden="false" customHeight="false" outlineLevel="0" collapsed="false">
      <c r="A184" s="14" t="s">
        <v>214</v>
      </c>
      <c r="B184" s="14" t="n">
        <v>54.99</v>
      </c>
      <c r="C184" s="14" t="n">
        <v>3.4</v>
      </c>
      <c r="D184" s="14" t="n">
        <v>24.8</v>
      </c>
      <c r="E184" s="14" t="n">
        <v>6.45</v>
      </c>
      <c r="F184" s="14" t="n">
        <v>1.91</v>
      </c>
      <c r="G184" s="14" t="n">
        <v>22.69</v>
      </c>
      <c r="H184" s="14" t="n">
        <v>17.01</v>
      </c>
      <c r="I184" s="14" t="n">
        <v>12.81</v>
      </c>
      <c r="J184" s="14" t="n">
        <v>18.67</v>
      </c>
      <c r="K184" s="14" t="n">
        <v>13.95</v>
      </c>
      <c r="L184" s="14" t="n">
        <v>3.14</v>
      </c>
      <c r="M184" s="14" t="n">
        <v>1.09</v>
      </c>
      <c r="N184" s="14" t="n">
        <v>3.18</v>
      </c>
      <c r="O184" s="14" t="n">
        <v>17.05</v>
      </c>
      <c r="P184" s="14" t="n">
        <v>-2.5</v>
      </c>
      <c r="Q184" s="14" t="n">
        <v>1.9</v>
      </c>
      <c r="R184" s="14" t="n">
        <v>26.01</v>
      </c>
      <c r="S184" s="14" t="n">
        <v>7.69</v>
      </c>
      <c r="T184" s="14" t="n">
        <v>12.44</v>
      </c>
      <c r="U184" s="14" t="n">
        <v>0.3</v>
      </c>
      <c r="V184" s="14" t="n">
        <v>0.7</v>
      </c>
      <c r="W184" s="14" t="n">
        <v>0.6</v>
      </c>
      <c r="X184" s="14" t="n">
        <v>9.71</v>
      </c>
      <c r="Y184" s="14" t="n">
        <v>12.94</v>
      </c>
      <c r="Z184" s="16" t="n">
        <v>46739.38</v>
      </c>
      <c r="AA184" s="14" t="n">
        <v>8.53</v>
      </c>
      <c r="AB184" s="14" t="n">
        <v>2.22</v>
      </c>
      <c r="AC184" s="14" t="n">
        <v>1</v>
      </c>
      <c r="AD184" s="16" t="n">
        <v>5351301691.91</v>
      </c>
    </row>
    <row r="185" customFormat="false" ht="15.75" hidden="false" customHeight="false" outlineLevel="0" collapsed="false">
      <c r="A185" s="14" t="s">
        <v>215</v>
      </c>
      <c r="B185" s="14" t="n">
        <v>0</v>
      </c>
      <c r="D185" s="14" t="n">
        <v>0</v>
      </c>
      <c r="E185" s="14" t="n">
        <v>0</v>
      </c>
      <c r="F185" s="14" t="n">
        <v>0</v>
      </c>
      <c r="G185" s="14" t="n">
        <v>66.15</v>
      </c>
      <c r="H185" s="14" t="n">
        <v>44.44</v>
      </c>
      <c r="I185" s="14" t="n">
        <v>32.07</v>
      </c>
      <c r="J185" s="14" t="n">
        <v>0</v>
      </c>
      <c r="K185" s="14" t="n">
        <v>-1.67</v>
      </c>
      <c r="L185" s="14" t="n">
        <v>-1.67</v>
      </c>
      <c r="M185" s="14" t="n">
        <v>-0.36</v>
      </c>
      <c r="N185" s="14" t="n">
        <v>0</v>
      </c>
      <c r="O185" s="14" t="n">
        <v>0</v>
      </c>
      <c r="P185" s="14" t="n">
        <v>0</v>
      </c>
      <c r="Q185" s="14" t="n">
        <v>3.28</v>
      </c>
      <c r="R185" s="14" t="n">
        <v>15.73</v>
      </c>
      <c r="S185" s="14" t="n">
        <v>12.76</v>
      </c>
      <c r="T185" s="14" t="n">
        <v>13.44</v>
      </c>
      <c r="U185" s="14" t="n">
        <v>0.81</v>
      </c>
      <c r="V185" s="14" t="n">
        <v>0.19</v>
      </c>
      <c r="W185" s="14" t="n">
        <v>0.4</v>
      </c>
      <c r="X185" s="14" t="n">
        <v>31.33</v>
      </c>
      <c r="Y185" s="14" t="n">
        <v>135.17</v>
      </c>
      <c r="AA185" s="14" t="n">
        <v>2.15</v>
      </c>
      <c r="AB185" s="14" t="n">
        <v>0.34</v>
      </c>
      <c r="AC185" s="14" t="n">
        <v>0</v>
      </c>
      <c r="AD185" s="14" t="n">
        <v>0</v>
      </c>
    </row>
    <row r="186" customFormat="false" ht="15.75" hidden="false" customHeight="false" outlineLevel="0" collapsed="false">
      <c r="A186" s="14" t="s">
        <v>216</v>
      </c>
      <c r="B186" s="14" t="n">
        <v>28.2</v>
      </c>
      <c r="D186" s="14" t="n">
        <v>2.31</v>
      </c>
      <c r="E186" s="14" t="n">
        <v>-0.96</v>
      </c>
      <c r="F186" s="14" t="n">
        <v>0.33</v>
      </c>
      <c r="G186" s="14" t="n">
        <v>40.73</v>
      </c>
      <c r="H186" s="14" t="n">
        <v>20.24</v>
      </c>
      <c r="I186" s="14" t="n">
        <v>18.79</v>
      </c>
      <c r="J186" s="14" t="n">
        <v>2.15</v>
      </c>
      <c r="K186" s="14" t="n">
        <v>8.23</v>
      </c>
      <c r="L186" s="14" t="n">
        <v>6.22</v>
      </c>
      <c r="N186" s="14" t="n">
        <v>0.43</v>
      </c>
      <c r="O186" s="14" t="n">
        <v>1.31</v>
      </c>
      <c r="P186" s="14" t="n">
        <v>-0.83</v>
      </c>
      <c r="Q186" s="14" t="n">
        <v>1.7</v>
      </c>
      <c r="R186" s="14" t="n">
        <v>-41.46</v>
      </c>
      <c r="S186" s="14" t="n">
        <v>14.12</v>
      </c>
      <c r="T186" s="14" t="n">
        <v>15.59</v>
      </c>
      <c r="U186" s="14" t="n">
        <v>-0.34</v>
      </c>
      <c r="V186" s="14" t="n">
        <v>1.34</v>
      </c>
      <c r="W186" s="14" t="n">
        <v>0.75</v>
      </c>
      <c r="X186" s="14" t="n">
        <v>7.67</v>
      </c>
      <c r="Z186" s="16" t="n">
        <v>32577.25</v>
      </c>
      <c r="AA186" s="14" t="n">
        <v>-29.4</v>
      </c>
      <c r="AB186" s="14" t="n">
        <v>12.19</v>
      </c>
      <c r="AC186" s="14" t="n">
        <v>0.01</v>
      </c>
      <c r="AD186" s="16" t="n">
        <v>164345267.8</v>
      </c>
    </row>
    <row r="187" customFormat="false" ht="15.75" hidden="false" customHeight="false" outlineLevel="0" collapsed="false">
      <c r="A187" s="14" t="s">
        <v>217</v>
      </c>
      <c r="B187" s="14" t="n">
        <v>25.04</v>
      </c>
      <c r="D187" s="14" t="n">
        <v>2.05</v>
      </c>
      <c r="E187" s="14" t="n">
        <v>-0.85</v>
      </c>
      <c r="F187" s="14" t="n">
        <v>0.29</v>
      </c>
      <c r="G187" s="14" t="n">
        <v>40.73</v>
      </c>
      <c r="H187" s="14" t="n">
        <v>20.24</v>
      </c>
      <c r="I187" s="14" t="n">
        <v>18.79</v>
      </c>
      <c r="J187" s="14" t="n">
        <v>1.91</v>
      </c>
      <c r="K187" s="14" t="n">
        <v>8.23</v>
      </c>
      <c r="L187" s="14" t="n">
        <v>6.22</v>
      </c>
      <c r="N187" s="14" t="n">
        <v>0.39</v>
      </c>
      <c r="O187" s="14" t="n">
        <v>1.16</v>
      </c>
      <c r="P187" s="14" t="n">
        <v>-0.74</v>
      </c>
      <c r="Q187" s="14" t="n">
        <v>1.7</v>
      </c>
      <c r="R187" s="14" t="n">
        <v>-41.46</v>
      </c>
      <c r="S187" s="14" t="n">
        <v>14.12</v>
      </c>
      <c r="T187" s="14" t="n">
        <v>15.59</v>
      </c>
      <c r="U187" s="14" t="n">
        <v>-0.34</v>
      </c>
      <c r="V187" s="14" t="n">
        <v>1.34</v>
      </c>
      <c r="W187" s="14" t="n">
        <v>0.75</v>
      </c>
      <c r="X187" s="14" t="n">
        <v>7.67</v>
      </c>
      <c r="Z187" s="16" t="n">
        <v>108908.31</v>
      </c>
      <c r="AA187" s="14" t="n">
        <v>-29.4</v>
      </c>
      <c r="AB187" s="14" t="n">
        <v>12.19</v>
      </c>
      <c r="AC187" s="14" t="n">
        <v>0.01</v>
      </c>
      <c r="AD187" s="16" t="n">
        <v>164345267.8</v>
      </c>
    </row>
    <row r="188" customFormat="false" ht="15.75" hidden="false" customHeight="false" outlineLevel="0" collapsed="false">
      <c r="A188" s="14" t="s">
        <v>218</v>
      </c>
      <c r="B188" s="14" t="n">
        <v>12.45</v>
      </c>
      <c r="D188" s="14" t="n">
        <v>-3.62</v>
      </c>
      <c r="E188" s="14" t="n">
        <v>0.46</v>
      </c>
      <c r="F188" s="14" t="n">
        <v>0.09</v>
      </c>
      <c r="G188" s="14" t="n">
        <v>30.19</v>
      </c>
      <c r="H188" s="14" t="n">
        <v>6.63</v>
      </c>
      <c r="I188" s="14" t="n">
        <v>-4.94</v>
      </c>
      <c r="J188" s="14" t="n">
        <v>2.7</v>
      </c>
      <c r="K188" s="14" t="n">
        <v>11.36</v>
      </c>
      <c r="L188" s="14" t="n">
        <v>9.32</v>
      </c>
      <c r="M188" s="14" t="n">
        <v>1.58</v>
      </c>
      <c r="N188" s="14" t="n">
        <v>0.18</v>
      </c>
      <c r="O188" s="14" t="n">
        <v>2.67</v>
      </c>
      <c r="P188" s="14" t="n">
        <v>-0.15</v>
      </c>
      <c r="Q188" s="14" t="n">
        <v>1.09</v>
      </c>
      <c r="R188" s="14" t="n">
        <v>-12.67</v>
      </c>
      <c r="S188" s="14" t="n">
        <v>-2.41</v>
      </c>
      <c r="T188" s="14" t="n">
        <v>4.6</v>
      </c>
      <c r="U188" s="14" t="n">
        <v>0.19</v>
      </c>
      <c r="V188" s="14" t="n">
        <v>0.66</v>
      </c>
      <c r="W188" s="14" t="n">
        <v>0.49</v>
      </c>
      <c r="X188" s="14" t="n">
        <v>-5.17</v>
      </c>
      <c r="Z188" s="16" t="n">
        <v>31065.3</v>
      </c>
      <c r="AA188" s="14" t="n">
        <v>27.13</v>
      </c>
      <c r="AB188" s="14" t="n">
        <v>-3.44</v>
      </c>
      <c r="AC188" s="14" t="n">
        <v>0.06</v>
      </c>
      <c r="AD188" s="16" t="n">
        <v>288440356.73</v>
      </c>
    </row>
    <row r="189" customFormat="false" ht="15.75" hidden="false" customHeight="false" outlineLevel="0" collapsed="false">
      <c r="A189" s="14" t="s">
        <v>219</v>
      </c>
      <c r="B189" s="14" t="n">
        <v>6.89</v>
      </c>
      <c r="D189" s="14" t="n">
        <v>-2.01</v>
      </c>
      <c r="E189" s="14" t="n">
        <v>0.25</v>
      </c>
      <c r="F189" s="14" t="n">
        <v>0.05</v>
      </c>
      <c r="G189" s="14" t="n">
        <v>30.19</v>
      </c>
      <c r="H189" s="14" t="n">
        <v>6.63</v>
      </c>
      <c r="I189" s="14" t="n">
        <v>-4.94</v>
      </c>
      <c r="J189" s="14" t="n">
        <v>1.49</v>
      </c>
      <c r="K189" s="14" t="n">
        <v>11.36</v>
      </c>
      <c r="L189" s="14" t="n">
        <v>9.32</v>
      </c>
      <c r="M189" s="14" t="n">
        <v>1.58</v>
      </c>
      <c r="N189" s="14" t="n">
        <v>0.1</v>
      </c>
      <c r="O189" s="14" t="n">
        <v>1.48</v>
      </c>
      <c r="P189" s="14" t="n">
        <v>-0.08</v>
      </c>
      <c r="Q189" s="14" t="n">
        <v>1.09</v>
      </c>
      <c r="R189" s="14" t="n">
        <v>-12.67</v>
      </c>
      <c r="S189" s="14" t="n">
        <v>-2.41</v>
      </c>
      <c r="T189" s="14" t="n">
        <v>4.6</v>
      </c>
      <c r="U189" s="14" t="n">
        <v>0.19</v>
      </c>
      <c r="V189" s="14" t="n">
        <v>0.66</v>
      </c>
      <c r="W189" s="14" t="n">
        <v>0.49</v>
      </c>
      <c r="X189" s="14" t="n">
        <v>-5.17</v>
      </c>
      <c r="Z189" s="16" t="n">
        <v>208140.68</v>
      </c>
      <c r="AA189" s="14" t="n">
        <v>27.13</v>
      </c>
      <c r="AB189" s="14" t="n">
        <v>-3.44</v>
      </c>
      <c r="AC189" s="14" t="n">
        <v>0.04</v>
      </c>
      <c r="AD189" s="16" t="n">
        <v>288440356.73</v>
      </c>
    </row>
    <row r="190" customFormat="false" ht="15.75" hidden="false" customHeight="false" outlineLevel="0" collapsed="false">
      <c r="A190" s="14" t="s">
        <v>220</v>
      </c>
      <c r="B190" s="14" t="n">
        <v>3.1</v>
      </c>
      <c r="C190" s="14" t="n">
        <v>0.98</v>
      </c>
      <c r="D190" s="14" t="n">
        <v>-84.17</v>
      </c>
      <c r="E190" s="14" t="n">
        <v>1.21</v>
      </c>
      <c r="F190" s="14" t="n">
        <v>0.48</v>
      </c>
      <c r="G190" s="14" t="n">
        <v>14.43</v>
      </c>
      <c r="H190" s="14" t="n">
        <v>3.61</v>
      </c>
      <c r="I190" s="14" t="n">
        <v>-0.82</v>
      </c>
      <c r="J190" s="14" t="n">
        <v>19.2</v>
      </c>
      <c r="K190" s="14" t="n">
        <v>32.18</v>
      </c>
      <c r="L190" s="14" t="n">
        <v>12.67</v>
      </c>
      <c r="M190" s="14" t="n">
        <v>0.8</v>
      </c>
      <c r="N190" s="14" t="n">
        <v>0.69</v>
      </c>
      <c r="O190" s="14" t="n">
        <v>-14.94</v>
      </c>
      <c r="P190" s="14" t="n">
        <v>-0.85</v>
      </c>
      <c r="Q190" s="14" t="n">
        <v>0.93</v>
      </c>
      <c r="R190" s="14" t="n">
        <v>-1.43</v>
      </c>
      <c r="S190" s="14" t="n">
        <v>-0.57</v>
      </c>
      <c r="T190" s="14" t="n">
        <v>2.6</v>
      </c>
      <c r="U190" s="14" t="n">
        <v>0.4</v>
      </c>
      <c r="V190" s="14" t="n">
        <v>0.6</v>
      </c>
      <c r="W190" s="14" t="n">
        <v>0.7</v>
      </c>
      <c r="X190" s="14" t="n">
        <v>6.86</v>
      </c>
      <c r="Z190" s="16" t="n">
        <v>466205.34</v>
      </c>
      <c r="AA190" s="14" t="n">
        <v>2.57</v>
      </c>
      <c r="AB190" s="14" t="n">
        <v>-0.04</v>
      </c>
      <c r="AC190" s="14" t="n">
        <v>0.66</v>
      </c>
      <c r="AD190" s="16" t="n">
        <v>350592259.5</v>
      </c>
    </row>
    <row r="191" customFormat="false" ht="15.75" hidden="false" customHeight="false" outlineLevel="0" collapsed="false">
      <c r="A191" s="14" t="s">
        <v>221</v>
      </c>
      <c r="B191" s="14" t="n">
        <v>3</v>
      </c>
      <c r="C191" s="14" t="n">
        <v>1.01</v>
      </c>
      <c r="D191" s="14" t="n">
        <v>-81.46</v>
      </c>
      <c r="E191" s="14" t="n">
        <v>1.17</v>
      </c>
      <c r="F191" s="14" t="n">
        <v>0.47</v>
      </c>
      <c r="G191" s="14" t="n">
        <v>14.43</v>
      </c>
      <c r="H191" s="14" t="n">
        <v>3.61</v>
      </c>
      <c r="I191" s="14" t="n">
        <v>-0.82</v>
      </c>
      <c r="J191" s="14" t="n">
        <v>18.58</v>
      </c>
      <c r="K191" s="14" t="n">
        <v>32.18</v>
      </c>
      <c r="L191" s="14" t="n">
        <v>12.67</v>
      </c>
      <c r="M191" s="14" t="n">
        <v>0.8</v>
      </c>
      <c r="N191" s="14" t="n">
        <v>0.67</v>
      </c>
      <c r="O191" s="14" t="n">
        <v>-14.46</v>
      </c>
      <c r="P191" s="14" t="n">
        <v>-0.82</v>
      </c>
      <c r="Q191" s="14" t="n">
        <v>0.93</v>
      </c>
      <c r="R191" s="14" t="n">
        <v>-1.43</v>
      </c>
      <c r="S191" s="14" t="n">
        <v>-0.57</v>
      </c>
      <c r="T191" s="14" t="n">
        <v>2.6</v>
      </c>
      <c r="U191" s="14" t="n">
        <v>0.4</v>
      </c>
      <c r="V191" s="14" t="n">
        <v>0.6</v>
      </c>
      <c r="W191" s="14" t="n">
        <v>0.7</v>
      </c>
      <c r="X191" s="14" t="n">
        <v>6.86</v>
      </c>
      <c r="Z191" s="16" t="n">
        <v>808523.39</v>
      </c>
      <c r="AA191" s="14" t="n">
        <v>2.57</v>
      </c>
      <c r="AB191" s="14" t="n">
        <v>-0.04</v>
      </c>
      <c r="AC191" s="14" t="n">
        <v>0.64</v>
      </c>
      <c r="AD191" s="16" t="n">
        <v>350592259.5</v>
      </c>
    </row>
    <row r="192" customFormat="false" ht="15.75" hidden="false" customHeight="false" outlineLevel="0" collapsed="false">
      <c r="A192" s="14" t="s">
        <v>222</v>
      </c>
      <c r="B192" s="14" t="n">
        <v>0</v>
      </c>
      <c r="D192" s="14" t="n">
        <v>0</v>
      </c>
      <c r="E192" s="14" t="n">
        <v>0</v>
      </c>
      <c r="F192" s="14" t="n">
        <v>0</v>
      </c>
      <c r="G192" s="14" t="n">
        <v>14.43</v>
      </c>
      <c r="H192" s="14" t="n">
        <v>3.61</v>
      </c>
      <c r="I192" s="14" t="n">
        <v>-0.82</v>
      </c>
      <c r="J192" s="14" t="n">
        <v>0</v>
      </c>
      <c r="K192" s="14" t="n">
        <v>32.18</v>
      </c>
      <c r="L192" s="14" t="n">
        <v>12.67</v>
      </c>
      <c r="M192" s="14" t="n">
        <v>0.8</v>
      </c>
      <c r="N192" s="14" t="n">
        <v>0</v>
      </c>
      <c r="O192" s="14" t="n">
        <v>0</v>
      </c>
      <c r="P192" s="14" t="n">
        <v>0</v>
      </c>
      <c r="Q192" s="14" t="n">
        <v>0.93</v>
      </c>
      <c r="R192" s="14" t="n">
        <v>-1.43</v>
      </c>
      <c r="S192" s="14" t="n">
        <v>-0.57</v>
      </c>
      <c r="T192" s="14" t="n">
        <v>2.6</v>
      </c>
      <c r="U192" s="14" t="n">
        <v>0.4</v>
      </c>
      <c r="V192" s="14" t="n">
        <v>0.6</v>
      </c>
      <c r="W192" s="14" t="n">
        <v>0.7</v>
      </c>
      <c r="X192" s="14" t="n">
        <v>6.86</v>
      </c>
      <c r="AA192" s="14" t="n">
        <v>2.57</v>
      </c>
      <c r="AB192" s="14" t="n">
        <v>-0.04</v>
      </c>
      <c r="AC192" s="14" t="n">
        <v>0</v>
      </c>
      <c r="AD192" s="16" t="n">
        <v>350592259.5</v>
      </c>
    </row>
    <row r="193" customFormat="false" ht="15.75" hidden="false" customHeight="false" outlineLevel="0" collapsed="false">
      <c r="A193" s="14" t="s">
        <v>223</v>
      </c>
      <c r="B193" s="14" t="n">
        <v>10.1</v>
      </c>
      <c r="C193" s="14" t="n">
        <v>3.9</v>
      </c>
      <c r="D193" s="14" t="n">
        <v>67.53</v>
      </c>
      <c r="E193" s="14" t="n">
        <v>5.46</v>
      </c>
      <c r="F193" s="14" t="n">
        <v>1.54</v>
      </c>
      <c r="G193" s="14" t="n">
        <v>37.69</v>
      </c>
      <c r="H193" s="14" t="n">
        <v>34.37</v>
      </c>
      <c r="I193" s="14" t="n">
        <v>38.59</v>
      </c>
      <c r="J193" s="14" t="n">
        <v>75.83</v>
      </c>
      <c r="K193" s="14" t="n">
        <v>72.12</v>
      </c>
      <c r="L193" s="14" t="n">
        <v>-4.01</v>
      </c>
      <c r="M193" s="14" t="n">
        <v>-0.29</v>
      </c>
      <c r="N193" s="14" t="n">
        <v>26.06</v>
      </c>
      <c r="O193" s="14" t="n">
        <v>3.37</v>
      </c>
      <c r="P193" s="14" t="n">
        <v>-9.65</v>
      </c>
      <c r="Q193" s="14" t="n">
        <v>2.18</v>
      </c>
      <c r="R193" s="14" t="n">
        <v>8.09</v>
      </c>
      <c r="S193" s="14" t="n">
        <v>2.28</v>
      </c>
      <c r="T193" s="14" t="n">
        <v>3.9</v>
      </c>
      <c r="U193" s="14" t="n">
        <v>0.28</v>
      </c>
      <c r="V193" s="14" t="n">
        <v>0.64</v>
      </c>
      <c r="W193" s="14" t="n">
        <v>0.06</v>
      </c>
      <c r="Z193" s="16" t="n">
        <v>8356457.54</v>
      </c>
      <c r="AA193" s="14" t="n">
        <v>1.85</v>
      </c>
      <c r="AB193" s="14" t="n">
        <v>0.15</v>
      </c>
      <c r="AC193" s="14" t="n">
        <v>-0.89</v>
      </c>
      <c r="AD193" s="16" t="n">
        <v>2959613392.32</v>
      </c>
    </row>
    <row r="194" customFormat="false" ht="15.75" hidden="false" customHeight="false" outlineLevel="0" collapsed="false">
      <c r="A194" s="14" t="s">
        <v>224</v>
      </c>
      <c r="B194" s="14" t="n">
        <v>27.62</v>
      </c>
      <c r="D194" s="14" t="n">
        <v>-40.33</v>
      </c>
      <c r="E194" s="14" t="n">
        <v>16</v>
      </c>
      <c r="F194" s="14" t="n">
        <v>1.15</v>
      </c>
      <c r="G194" s="14" t="n">
        <v>100</v>
      </c>
      <c r="H194" s="14" t="n">
        <v>-181.31</v>
      </c>
      <c r="I194" s="14" t="n">
        <v>-35.03</v>
      </c>
      <c r="J194" s="14" t="n">
        <v>-7.79</v>
      </c>
      <c r="K194" s="14" t="n">
        <v>-8.36</v>
      </c>
      <c r="L194" s="14" t="n">
        <v>-0.61</v>
      </c>
      <c r="M194" s="14" t="n">
        <v>1.24</v>
      </c>
      <c r="N194" s="14" t="n">
        <v>14.13</v>
      </c>
      <c r="O194" s="14" t="n">
        <v>53.97</v>
      </c>
      <c r="P194" s="14" t="n">
        <v>-2.75</v>
      </c>
      <c r="Q194" s="14" t="n">
        <v>1.04</v>
      </c>
      <c r="R194" s="14" t="n">
        <v>-39.67</v>
      </c>
      <c r="S194" s="14" t="n">
        <v>-2.86</v>
      </c>
      <c r="T194" s="14" t="n">
        <v>-88.85</v>
      </c>
      <c r="U194" s="14" t="n">
        <v>0.07</v>
      </c>
      <c r="V194" s="14" t="n">
        <v>0.93</v>
      </c>
      <c r="W194" s="14" t="n">
        <v>0.08</v>
      </c>
      <c r="X194" s="14" t="n">
        <v>-6.66</v>
      </c>
      <c r="Z194" s="16" t="n">
        <v>164245500.27</v>
      </c>
      <c r="AA194" s="14" t="n">
        <v>1.73</v>
      </c>
      <c r="AB194" s="14" t="n">
        <v>-0.69</v>
      </c>
      <c r="AC194" s="14" t="n">
        <v>0.46</v>
      </c>
      <c r="AD194" s="16" t="n">
        <v>5534386367.58</v>
      </c>
    </row>
    <row r="195" customFormat="false" ht="15.75" hidden="false" customHeight="false" outlineLevel="0" collapsed="false">
      <c r="A195" s="14" t="s">
        <v>225</v>
      </c>
      <c r="B195" s="14" t="n">
        <v>12.89</v>
      </c>
      <c r="D195" s="14" t="n">
        <v>45.66</v>
      </c>
      <c r="E195" s="14" t="n">
        <v>3.85</v>
      </c>
      <c r="F195" s="14" t="n">
        <v>3.55</v>
      </c>
      <c r="J195" s="14" t="n">
        <v>40.69</v>
      </c>
      <c r="K195" s="14" t="n">
        <v>40.08</v>
      </c>
      <c r="L195" s="14" t="n">
        <v>-0.42</v>
      </c>
      <c r="M195" s="14" t="n">
        <v>-0.04</v>
      </c>
      <c r="O195" s="14" t="n">
        <v>102.96</v>
      </c>
      <c r="P195" s="14" t="n">
        <v>-4</v>
      </c>
      <c r="Q195" s="14" t="n">
        <v>1.45</v>
      </c>
      <c r="R195" s="14" t="n">
        <v>8.42</v>
      </c>
      <c r="S195" s="14" t="n">
        <v>7.78</v>
      </c>
      <c r="T195" s="14" t="n">
        <v>8.38</v>
      </c>
      <c r="U195" s="14" t="n">
        <v>0.92</v>
      </c>
      <c r="V195" s="14" t="n">
        <v>0.08</v>
      </c>
      <c r="W195" s="14" t="n">
        <v>0</v>
      </c>
      <c r="Z195" s="16" t="n">
        <v>63585342.61</v>
      </c>
      <c r="AA195" s="14" t="n">
        <v>3.35</v>
      </c>
      <c r="AB195" s="14" t="n">
        <v>0.28</v>
      </c>
      <c r="AD195" s="16" t="n">
        <v>38430000000</v>
      </c>
    </row>
    <row r="196" customFormat="false" ht="15.75" hidden="false" customHeight="false" outlineLevel="0" collapsed="false">
      <c r="A196" s="14" t="s">
        <v>226</v>
      </c>
      <c r="B196" s="14" t="n">
        <v>22.54</v>
      </c>
      <c r="C196" s="14" t="n">
        <v>12.82</v>
      </c>
      <c r="D196" s="14" t="n">
        <v>4.7</v>
      </c>
      <c r="E196" s="14" t="n">
        <v>1.59</v>
      </c>
      <c r="F196" s="14" t="n">
        <v>0.78</v>
      </c>
      <c r="G196" s="14" t="n">
        <v>32.89</v>
      </c>
      <c r="H196" s="14" t="n">
        <v>58.05</v>
      </c>
      <c r="I196" s="14" t="n">
        <v>47.37</v>
      </c>
      <c r="J196" s="14" t="n">
        <v>3.84</v>
      </c>
      <c r="K196" s="14" t="n">
        <v>4.16</v>
      </c>
      <c r="L196" s="14" t="n">
        <v>0.33</v>
      </c>
      <c r="M196" s="14" t="n">
        <v>0.14</v>
      </c>
      <c r="N196" s="14" t="n">
        <v>2.23</v>
      </c>
      <c r="O196" s="14" t="n">
        <v>2.3</v>
      </c>
      <c r="P196" s="14" t="n">
        <v>-1.64</v>
      </c>
      <c r="Q196" s="14" t="n">
        <v>2.78</v>
      </c>
      <c r="R196" s="14" t="n">
        <v>33.79</v>
      </c>
      <c r="S196" s="14" t="n">
        <v>16.51</v>
      </c>
      <c r="T196" s="14" t="n">
        <v>21.87</v>
      </c>
      <c r="U196" s="14" t="n">
        <v>0.49</v>
      </c>
      <c r="V196" s="14" t="n">
        <v>0.49</v>
      </c>
      <c r="W196" s="14" t="n">
        <v>0.35</v>
      </c>
      <c r="X196" s="14" t="n">
        <v>-2.51</v>
      </c>
      <c r="Y196" s="14" t="n">
        <v>25.27</v>
      </c>
      <c r="Z196" s="16" t="n">
        <v>157565089</v>
      </c>
      <c r="AA196" s="14" t="n">
        <v>14.25</v>
      </c>
      <c r="AB196" s="14" t="n">
        <v>4.81</v>
      </c>
      <c r="AC196" s="14" t="n">
        <v>0.01</v>
      </c>
      <c r="AD196" s="16" t="n">
        <v>9014200117.45</v>
      </c>
    </row>
    <row r="197" customFormat="false" ht="15.75" hidden="false" customHeight="false" outlineLevel="0" collapsed="false">
      <c r="A197" s="14" t="s">
        <v>227</v>
      </c>
      <c r="B197" s="14" t="n">
        <v>59.86</v>
      </c>
      <c r="C197" s="14" t="n">
        <v>0.48</v>
      </c>
      <c r="D197" s="14" t="n">
        <v>-385.72</v>
      </c>
      <c r="E197" s="14" t="n">
        <v>9.3</v>
      </c>
      <c r="F197" s="14" t="n">
        <v>2.34</v>
      </c>
      <c r="G197" s="14" t="n">
        <v>26.13</v>
      </c>
      <c r="H197" s="14" t="n">
        <v>2.55</v>
      </c>
      <c r="I197" s="14" t="n">
        <v>-1.07</v>
      </c>
      <c r="J197" s="14" t="n">
        <v>161.85</v>
      </c>
      <c r="K197" s="14" t="n">
        <v>182.92</v>
      </c>
      <c r="L197" s="14" t="n">
        <v>21.04</v>
      </c>
      <c r="M197" s="14" t="n">
        <v>1.21</v>
      </c>
      <c r="N197" s="14" t="n">
        <v>4.12</v>
      </c>
      <c r="O197" s="14" t="n">
        <v>63.68</v>
      </c>
      <c r="P197" s="14" t="n">
        <v>-3.43</v>
      </c>
      <c r="Q197" s="14" t="n">
        <v>1.13</v>
      </c>
      <c r="R197" s="14" t="n">
        <v>-2.41</v>
      </c>
      <c r="S197" s="14" t="n">
        <v>-0.61</v>
      </c>
      <c r="T197" s="14" t="n">
        <v>1.24</v>
      </c>
      <c r="U197" s="14" t="n">
        <v>0.25</v>
      </c>
      <c r="V197" s="14" t="n">
        <v>0.75</v>
      </c>
      <c r="W197" s="14" t="n">
        <v>0.57</v>
      </c>
      <c r="X197" s="14" t="n">
        <v>20.3</v>
      </c>
      <c r="Z197" s="16" t="n">
        <v>21975088.76</v>
      </c>
      <c r="AA197" s="14" t="n">
        <v>6.44</v>
      </c>
      <c r="AB197" s="14" t="n">
        <v>-0.16</v>
      </c>
      <c r="AC197" s="14" t="n">
        <v>-1.15</v>
      </c>
      <c r="AD197" s="16" t="n">
        <v>32806556065.56</v>
      </c>
    </row>
    <row r="198" customFormat="false" ht="15.75" hidden="false" customHeight="false" outlineLevel="0" collapsed="false">
      <c r="A198" s="14" t="s">
        <v>228</v>
      </c>
      <c r="B198" s="14" t="n">
        <v>42.41</v>
      </c>
      <c r="C198" s="14" t="n">
        <v>2.71</v>
      </c>
      <c r="D198" s="14" t="n">
        <v>8.98</v>
      </c>
      <c r="E198" s="14" t="n">
        <v>4.14</v>
      </c>
      <c r="F198" s="14" t="n">
        <v>1.42</v>
      </c>
      <c r="G198" s="14" t="n">
        <v>22.07</v>
      </c>
      <c r="H198" s="14" t="n">
        <v>19.28</v>
      </c>
      <c r="I198" s="14" t="n">
        <v>13.35</v>
      </c>
      <c r="J198" s="14" t="n">
        <v>6.21</v>
      </c>
      <c r="K198" s="14" t="n">
        <v>6.64</v>
      </c>
      <c r="L198" s="14" t="n">
        <v>0.43</v>
      </c>
      <c r="M198" s="14" t="n">
        <v>0.29</v>
      </c>
      <c r="N198" s="14" t="n">
        <v>1.2</v>
      </c>
      <c r="O198" s="14" t="n">
        <v>7.8</v>
      </c>
      <c r="P198" s="14" t="n">
        <v>-2.65</v>
      </c>
      <c r="Q198" s="14" t="n">
        <v>1.65</v>
      </c>
      <c r="R198" s="14" t="n">
        <v>46.07</v>
      </c>
      <c r="S198" s="14" t="n">
        <v>15.85</v>
      </c>
      <c r="T198" s="14" t="n">
        <v>34.47</v>
      </c>
      <c r="U198" s="14" t="n">
        <v>0.34</v>
      </c>
      <c r="V198" s="14" t="n">
        <v>0.58</v>
      </c>
      <c r="W198" s="14" t="n">
        <v>1.19</v>
      </c>
      <c r="X198" s="14" t="n">
        <v>20.13</v>
      </c>
      <c r="Z198" s="16" t="n">
        <v>14067965.37</v>
      </c>
      <c r="AA198" s="14" t="n">
        <v>10.25</v>
      </c>
      <c r="AB198" s="14" t="n">
        <v>4.72</v>
      </c>
      <c r="AC198" s="14" t="n">
        <v>0.02</v>
      </c>
      <c r="AD198" s="16" t="n">
        <v>1326730374.2</v>
      </c>
    </row>
    <row r="199" customFormat="false" ht="15.75" hidden="false" customHeight="false" outlineLevel="0" collapsed="false">
      <c r="A199" s="14" t="s">
        <v>229</v>
      </c>
      <c r="B199" s="14" t="n">
        <v>38</v>
      </c>
      <c r="C199" s="14" t="n">
        <v>6.46</v>
      </c>
      <c r="D199" s="14" t="n">
        <v>8.04</v>
      </c>
      <c r="E199" s="14" t="n">
        <v>3.71</v>
      </c>
      <c r="F199" s="14" t="n">
        <v>1.27</v>
      </c>
      <c r="G199" s="14" t="n">
        <v>22.07</v>
      </c>
      <c r="H199" s="14" t="n">
        <v>19.28</v>
      </c>
      <c r="I199" s="14" t="n">
        <v>13.35</v>
      </c>
      <c r="J199" s="14" t="n">
        <v>5.57</v>
      </c>
      <c r="K199" s="14" t="n">
        <v>6.64</v>
      </c>
      <c r="L199" s="14" t="n">
        <v>0.43</v>
      </c>
      <c r="M199" s="14" t="n">
        <v>0.29</v>
      </c>
      <c r="N199" s="14" t="n">
        <v>1.07</v>
      </c>
      <c r="O199" s="14" t="n">
        <v>6.99</v>
      </c>
      <c r="P199" s="14" t="n">
        <v>-2.37</v>
      </c>
      <c r="Q199" s="14" t="n">
        <v>1.65</v>
      </c>
      <c r="R199" s="14" t="n">
        <v>46.07</v>
      </c>
      <c r="S199" s="14" t="n">
        <v>15.85</v>
      </c>
      <c r="T199" s="14" t="n">
        <v>34.47</v>
      </c>
      <c r="U199" s="14" t="n">
        <v>0.34</v>
      </c>
      <c r="V199" s="14" t="n">
        <v>0.58</v>
      </c>
      <c r="W199" s="14" t="n">
        <v>1.19</v>
      </c>
      <c r="X199" s="14" t="n">
        <v>20.13</v>
      </c>
      <c r="Z199" s="16" t="n">
        <v>185622.64</v>
      </c>
      <c r="AA199" s="14" t="n">
        <v>10.25</v>
      </c>
      <c r="AB199" s="14" t="n">
        <v>4.72</v>
      </c>
      <c r="AC199" s="14" t="n">
        <v>0.02</v>
      </c>
      <c r="AD199" s="16" t="n">
        <v>1326730374.2</v>
      </c>
    </row>
    <row r="200" customFormat="false" ht="15.75" hidden="false" customHeight="false" outlineLevel="0" collapsed="false">
      <c r="A200" s="14" t="s">
        <v>230</v>
      </c>
      <c r="B200" s="14" t="n">
        <v>13.96</v>
      </c>
      <c r="C200" s="14" t="n">
        <v>10.75</v>
      </c>
      <c r="D200" s="14" t="n">
        <v>16.09</v>
      </c>
      <c r="E200" s="14" t="n">
        <v>1.7</v>
      </c>
      <c r="F200" s="14" t="n">
        <v>0.41</v>
      </c>
      <c r="G200" s="14" t="n">
        <v>34.88</v>
      </c>
      <c r="H200" s="14" t="n">
        <v>15.49</v>
      </c>
      <c r="I200" s="14" t="n">
        <v>8.02</v>
      </c>
      <c r="J200" s="14" t="n">
        <v>8.33</v>
      </c>
      <c r="K200" s="14" t="n">
        <v>8.89</v>
      </c>
      <c r="L200" s="14" t="n">
        <v>0.56</v>
      </c>
      <c r="M200" s="14" t="n">
        <v>0.11</v>
      </c>
      <c r="N200" s="14" t="n">
        <v>1.29</v>
      </c>
      <c r="O200" s="14" t="n">
        <v>0.96</v>
      </c>
      <c r="P200" s="14" t="n">
        <v>-0.87</v>
      </c>
      <c r="Q200" s="14" t="n">
        <v>4.92</v>
      </c>
      <c r="R200" s="14" t="n">
        <v>10.55</v>
      </c>
      <c r="S200" s="14" t="n">
        <v>2.53</v>
      </c>
      <c r="T200" s="14" t="n">
        <v>8.86</v>
      </c>
      <c r="U200" s="14" t="n">
        <v>0.24</v>
      </c>
      <c r="V200" s="14" t="n">
        <v>0.74</v>
      </c>
      <c r="W200" s="14" t="n">
        <v>0.32</v>
      </c>
      <c r="X200" s="14" t="n">
        <v>-0.89</v>
      </c>
      <c r="Y200" s="14" t="n">
        <v>-0.79</v>
      </c>
      <c r="Z200" s="16" t="n">
        <v>21447948.93</v>
      </c>
      <c r="AA200" s="14" t="n">
        <v>8.22</v>
      </c>
      <c r="AB200" s="14" t="n">
        <v>0.87</v>
      </c>
      <c r="AC200" s="14" t="n">
        <v>0.36</v>
      </c>
      <c r="AD200" s="16" t="n">
        <v>2095500000</v>
      </c>
    </row>
    <row r="201" customFormat="false" ht="15.75" hidden="false" customHeight="false" outlineLevel="0" collapsed="false">
      <c r="A201" s="14" t="s">
        <v>231</v>
      </c>
      <c r="B201" s="14" t="n">
        <v>0.93</v>
      </c>
      <c r="D201" s="14" t="n">
        <v>5.35</v>
      </c>
      <c r="E201" s="14" t="n">
        <v>-0.38</v>
      </c>
      <c r="F201" s="14" t="n">
        <v>1.26</v>
      </c>
      <c r="G201" s="14" t="n">
        <v>9.44</v>
      </c>
      <c r="H201" s="14" t="n">
        <v>41.09</v>
      </c>
      <c r="I201" s="14" t="n">
        <v>20.65</v>
      </c>
      <c r="J201" s="14" t="n">
        <v>2.69</v>
      </c>
      <c r="K201" s="14" t="n">
        <v>2.4</v>
      </c>
      <c r="L201" s="14" t="n">
        <v>-0.32</v>
      </c>
      <c r="N201" s="14" t="n">
        <v>1.11</v>
      </c>
      <c r="O201" s="14" t="n">
        <v>-1.83</v>
      </c>
      <c r="P201" s="14" t="n">
        <v>-1.89</v>
      </c>
      <c r="Q201" s="14" t="n">
        <v>0.33</v>
      </c>
      <c r="R201" s="14" t="n">
        <v>-7.03</v>
      </c>
      <c r="S201" s="14" t="n">
        <v>23.5</v>
      </c>
      <c r="T201" s="14" t="n">
        <v>-14.07</v>
      </c>
      <c r="U201" s="14" t="n">
        <v>-3.34</v>
      </c>
      <c r="V201" s="14" t="n">
        <v>4.34</v>
      </c>
      <c r="W201" s="14" t="n">
        <v>1.14</v>
      </c>
      <c r="X201" s="14" t="n">
        <v>-10.63</v>
      </c>
      <c r="Z201" s="16" t="n">
        <v>11966826.54</v>
      </c>
      <c r="AA201" s="14" t="n">
        <v>-2.45</v>
      </c>
      <c r="AB201" s="14" t="n">
        <v>0.17</v>
      </c>
      <c r="AC201" s="14" t="n">
        <v>-0.05</v>
      </c>
      <c r="AD201" s="16" t="n">
        <v>288386555.1</v>
      </c>
    </row>
    <row r="202" customFormat="false" ht="15.75" hidden="false" customHeight="false" outlineLevel="0" collapsed="false">
      <c r="A202" s="14" t="s">
        <v>232</v>
      </c>
      <c r="B202" s="14" t="n">
        <v>9.53</v>
      </c>
      <c r="D202" s="14" t="n">
        <v>-235.83</v>
      </c>
      <c r="E202" s="14" t="n">
        <v>0.58</v>
      </c>
      <c r="F202" s="14" t="n">
        <v>0.34</v>
      </c>
      <c r="G202" s="14" t="n">
        <v>33.2</v>
      </c>
      <c r="H202" s="14" t="n">
        <v>0.01</v>
      </c>
      <c r="I202" s="14" t="n">
        <v>-0.21</v>
      </c>
      <c r="J202" s="16" t="n">
        <v>6896.44</v>
      </c>
      <c r="K202" s="16" t="n">
        <v>6311.99</v>
      </c>
      <c r="L202" s="14" t="n">
        <v>-577.23</v>
      </c>
      <c r="M202" s="14" t="n">
        <v>-0.05</v>
      </c>
      <c r="N202" s="14" t="n">
        <v>0.49</v>
      </c>
      <c r="O202" s="14" t="n">
        <v>3.63</v>
      </c>
      <c r="P202" s="14" t="n">
        <v>-0.49</v>
      </c>
      <c r="Q202" s="14" t="n">
        <v>1.41</v>
      </c>
      <c r="R202" s="14" t="n">
        <v>-0.25</v>
      </c>
      <c r="S202" s="14" t="n">
        <v>-0.14</v>
      </c>
      <c r="T202" s="14" t="n">
        <v>-1.89</v>
      </c>
      <c r="U202" s="14" t="n">
        <v>0.57</v>
      </c>
      <c r="V202" s="14" t="n">
        <v>0.43</v>
      </c>
      <c r="W202" s="14" t="n">
        <v>0.68</v>
      </c>
      <c r="Z202" s="16" t="n">
        <v>2762564.8</v>
      </c>
      <c r="AA202" s="14" t="n">
        <v>16.36</v>
      </c>
      <c r="AB202" s="14" t="n">
        <v>-0.04</v>
      </c>
      <c r="AC202" s="14" t="n">
        <v>0.59</v>
      </c>
      <c r="AD202" s="16" t="n">
        <v>482245084.26</v>
      </c>
    </row>
    <row r="203" customFormat="false" ht="15.75" hidden="false" customHeight="false" outlineLevel="0" collapsed="false">
      <c r="A203" s="14" t="s">
        <v>233</v>
      </c>
      <c r="B203" s="14" t="n">
        <v>27.8</v>
      </c>
      <c r="C203" s="14" t="n">
        <v>1.56</v>
      </c>
      <c r="D203" s="14" t="n">
        <v>20.33</v>
      </c>
      <c r="E203" s="14" t="n">
        <v>3.13</v>
      </c>
      <c r="F203" s="14" t="n">
        <v>2.35</v>
      </c>
      <c r="G203" s="14" t="n">
        <v>30.43</v>
      </c>
      <c r="H203" s="14" t="n">
        <v>15.62</v>
      </c>
      <c r="I203" s="14" t="n">
        <v>18.07</v>
      </c>
      <c r="J203" s="14" t="n">
        <v>23.52</v>
      </c>
      <c r="K203" s="14" t="n">
        <v>18.03</v>
      </c>
      <c r="L203" s="14" t="n">
        <v>-0.56</v>
      </c>
      <c r="M203" s="14" t="n">
        <v>-0.07</v>
      </c>
      <c r="N203" s="14" t="n">
        <v>3.67</v>
      </c>
      <c r="O203" s="14" t="n">
        <v>5.47</v>
      </c>
      <c r="P203" s="14" t="n">
        <v>-5.16</v>
      </c>
      <c r="Q203" s="14" t="n">
        <v>4.76</v>
      </c>
      <c r="R203" s="14" t="n">
        <v>15.4</v>
      </c>
      <c r="S203" s="14" t="n">
        <v>11.56</v>
      </c>
      <c r="T203" s="14" t="n">
        <v>9.22</v>
      </c>
      <c r="U203" s="14" t="n">
        <v>0.75</v>
      </c>
      <c r="V203" s="14" t="n">
        <v>0.25</v>
      </c>
      <c r="W203" s="14" t="n">
        <v>0.64</v>
      </c>
      <c r="X203" s="14" t="n">
        <v>5.55</v>
      </c>
      <c r="Y203" s="14" t="n">
        <v>24.38</v>
      </c>
      <c r="Z203" s="16" t="n">
        <v>10461.87</v>
      </c>
      <c r="AA203" s="14" t="n">
        <v>8.88</v>
      </c>
      <c r="AB203" s="14" t="n">
        <v>1.37</v>
      </c>
      <c r="AC203" s="14" t="n">
        <v>0.07</v>
      </c>
      <c r="AD203" s="16" t="n">
        <v>1662659425.65</v>
      </c>
    </row>
    <row r="204" customFormat="false" ht="15.75" hidden="false" customHeight="false" outlineLevel="0" collapsed="false">
      <c r="A204" s="14" t="s">
        <v>234</v>
      </c>
      <c r="B204" s="14" t="n">
        <v>6.97</v>
      </c>
      <c r="C204" s="14" t="n">
        <v>6.83</v>
      </c>
      <c r="D204" s="14" t="n">
        <v>5.1</v>
      </c>
      <c r="E204" s="14" t="n">
        <v>0.78</v>
      </c>
      <c r="F204" s="14" t="n">
        <v>0.59</v>
      </c>
      <c r="G204" s="14" t="n">
        <v>30.43</v>
      </c>
      <c r="H204" s="14" t="n">
        <v>15.62</v>
      </c>
      <c r="I204" s="14" t="n">
        <v>18.07</v>
      </c>
      <c r="J204" s="14" t="n">
        <v>5.9</v>
      </c>
      <c r="K204" s="14" t="n">
        <v>18.03</v>
      </c>
      <c r="L204" s="14" t="n">
        <v>-0.56</v>
      </c>
      <c r="M204" s="14" t="n">
        <v>-0.07</v>
      </c>
      <c r="N204" s="14" t="n">
        <v>0.92</v>
      </c>
      <c r="O204" s="14" t="n">
        <v>1.37</v>
      </c>
      <c r="P204" s="14" t="n">
        <v>-1.29</v>
      </c>
      <c r="Q204" s="14" t="n">
        <v>4.76</v>
      </c>
      <c r="R204" s="14" t="n">
        <v>15.4</v>
      </c>
      <c r="S204" s="14" t="n">
        <v>11.56</v>
      </c>
      <c r="T204" s="14" t="n">
        <v>9.22</v>
      </c>
      <c r="U204" s="14" t="n">
        <v>0.75</v>
      </c>
      <c r="V204" s="14" t="n">
        <v>0.25</v>
      </c>
      <c r="W204" s="14" t="n">
        <v>0.64</v>
      </c>
      <c r="X204" s="14" t="n">
        <v>5.55</v>
      </c>
      <c r="Y204" s="14" t="n">
        <v>24.38</v>
      </c>
      <c r="Z204" s="16" t="n">
        <v>343819.63</v>
      </c>
      <c r="AA204" s="14" t="n">
        <v>8.88</v>
      </c>
      <c r="AB204" s="14" t="n">
        <v>1.37</v>
      </c>
      <c r="AC204" s="14" t="n">
        <v>0.02</v>
      </c>
      <c r="AD204" s="16" t="n">
        <v>1662659425.65</v>
      </c>
    </row>
    <row r="205" customFormat="false" ht="15.75" hidden="false" customHeight="false" outlineLevel="0" collapsed="false">
      <c r="A205" s="14" t="s">
        <v>235</v>
      </c>
      <c r="B205" s="14" t="n">
        <v>13.55</v>
      </c>
      <c r="D205" s="14" t="n">
        <v>-36.15</v>
      </c>
      <c r="G205" s="14" t="n">
        <v>89.05</v>
      </c>
      <c r="H205" s="14" t="n">
        <v>-42.18</v>
      </c>
      <c r="I205" s="14" t="n">
        <v>-96.66</v>
      </c>
      <c r="J205" s="14" t="n">
        <v>-82.85</v>
      </c>
      <c r="K205" s="14" t="n">
        <v>-82.91</v>
      </c>
      <c r="N205" s="14" t="n">
        <v>34.95</v>
      </c>
      <c r="Z205" s="16" t="n">
        <v>2670440.48</v>
      </c>
      <c r="AB205" s="14" t="n">
        <v>-0.37</v>
      </c>
      <c r="AD205" s="16" t="n">
        <v>1774923345.12</v>
      </c>
    </row>
    <row r="206" customFormat="false" ht="15.75" hidden="false" customHeight="false" outlineLevel="0" collapsed="false">
      <c r="A206" s="14" t="s">
        <v>236</v>
      </c>
      <c r="B206" s="14" t="n">
        <v>11.93</v>
      </c>
      <c r="D206" s="14" t="n">
        <v>-89.91</v>
      </c>
      <c r="E206" s="14" t="n">
        <v>28.39</v>
      </c>
      <c r="F206" s="14" t="n">
        <v>5.8</v>
      </c>
      <c r="G206" s="14" t="n">
        <v>26.11</v>
      </c>
      <c r="H206" s="14" t="n">
        <v>-4.06</v>
      </c>
      <c r="I206" s="14" t="n">
        <v>-11.74</v>
      </c>
      <c r="J206" s="14" t="n">
        <v>-260.38</v>
      </c>
      <c r="K206" s="14" t="n">
        <v>-308.79</v>
      </c>
      <c r="L206" s="14" t="n">
        <v>-3.64</v>
      </c>
      <c r="M206" s="14" t="n">
        <v>0.4</v>
      </c>
      <c r="N206" s="14" t="n">
        <v>10.56</v>
      </c>
      <c r="O206" s="14" t="n">
        <v>-26.62</v>
      </c>
      <c r="P206" s="14" t="n">
        <v>-7.46</v>
      </c>
      <c r="Q206" s="14" t="n">
        <v>0.5</v>
      </c>
      <c r="R206" s="14" t="n">
        <v>-31.58</v>
      </c>
      <c r="S206" s="14" t="n">
        <v>-6.45</v>
      </c>
      <c r="T206" s="14" t="n">
        <v>-7.2</v>
      </c>
      <c r="U206" s="14" t="n">
        <v>0.2</v>
      </c>
      <c r="V206" s="14" t="n">
        <v>0.8</v>
      </c>
      <c r="W206" s="14" t="n">
        <v>0.55</v>
      </c>
      <c r="X206" s="14" t="n">
        <v>4.04</v>
      </c>
      <c r="Z206" s="16" t="n">
        <v>177050.95</v>
      </c>
      <c r="AA206" s="14" t="n">
        <v>0.42</v>
      </c>
      <c r="AB206" s="14" t="n">
        <v>-0.13</v>
      </c>
      <c r="AC206" s="14" t="n">
        <v>1.13</v>
      </c>
      <c r="AD206" s="16" t="n">
        <v>155629081.68</v>
      </c>
    </row>
    <row r="207" customFormat="false" ht="15.75" hidden="false" customHeight="false" outlineLevel="0" collapsed="false">
      <c r="A207" s="14" t="s">
        <v>237</v>
      </c>
      <c r="B207" s="14" t="n">
        <v>62.6</v>
      </c>
      <c r="D207" s="14" t="n">
        <v>-471.77</v>
      </c>
      <c r="E207" s="14" t="n">
        <v>148.99</v>
      </c>
      <c r="F207" s="14" t="n">
        <v>30.45</v>
      </c>
      <c r="G207" s="14" t="n">
        <v>26.11</v>
      </c>
      <c r="H207" s="14" t="n">
        <v>-4.06</v>
      </c>
      <c r="I207" s="14" t="n">
        <v>-11.74</v>
      </c>
      <c r="J207" s="16" t="n">
        <v>-1366.29</v>
      </c>
      <c r="K207" s="14" t="n">
        <v>-308.79</v>
      </c>
      <c r="L207" s="14" t="n">
        <v>-3.64</v>
      </c>
      <c r="M207" s="14" t="n">
        <v>0.4</v>
      </c>
      <c r="N207" s="14" t="n">
        <v>55.41</v>
      </c>
      <c r="O207" s="14" t="n">
        <v>-139.67</v>
      </c>
      <c r="P207" s="14" t="n">
        <v>-39.15</v>
      </c>
      <c r="Q207" s="14" t="n">
        <v>0.5</v>
      </c>
      <c r="R207" s="14" t="n">
        <v>-31.58</v>
      </c>
      <c r="S207" s="14" t="n">
        <v>-6.45</v>
      </c>
      <c r="T207" s="14" t="n">
        <v>-7.2</v>
      </c>
      <c r="U207" s="14" t="n">
        <v>0.2</v>
      </c>
      <c r="V207" s="14" t="n">
        <v>0.8</v>
      </c>
      <c r="W207" s="14" t="n">
        <v>0.55</v>
      </c>
      <c r="X207" s="14" t="n">
        <v>4.04</v>
      </c>
      <c r="AA207" s="14" t="n">
        <v>0.42</v>
      </c>
      <c r="AB207" s="14" t="n">
        <v>-0.13</v>
      </c>
      <c r="AC207" s="14" t="n">
        <v>5.92</v>
      </c>
      <c r="AD207" s="16" t="n">
        <v>155629081.68</v>
      </c>
    </row>
    <row r="208" customFormat="false" ht="15.75" hidden="false" customHeight="false" outlineLevel="0" collapsed="false">
      <c r="A208" s="14" t="s">
        <v>238</v>
      </c>
      <c r="B208" s="14" t="n">
        <v>23</v>
      </c>
      <c r="C208" s="14" t="n">
        <v>3.26</v>
      </c>
      <c r="D208" s="14" t="n">
        <v>27.7</v>
      </c>
      <c r="E208" s="14" t="n">
        <v>3.17</v>
      </c>
      <c r="F208" s="14" t="n">
        <v>1.42</v>
      </c>
      <c r="G208" s="14" t="n">
        <v>31.91</v>
      </c>
      <c r="H208" s="14" t="n">
        <v>12.88</v>
      </c>
      <c r="I208" s="14" t="n">
        <v>8.86</v>
      </c>
      <c r="J208" s="14" t="n">
        <v>19.05</v>
      </c>
      <c r="K208" s="14" t="n">
        <v>21.23</v>
      </c>
      <c r="L208" s="14" t="n">
        <v>2.24</v>
      </c>
      <c r="M208" s="14" t="n">
        <v>0.37</v>
      </c>
      <c r="N208" s="14" t="n">
        <v>2.45</v>
      </c>
      <c r="O208" s="14" t="n">
        <v>9.83</v>
      </c>
      <c r="P208" s="14" t="n">
        <v>-2.2</v>
      </c>
      <c r="Q208" s="14" t="n">
        <v>1.69</v>
      </c>
      <c r="R208" s="14" t="n">
        <v>11.44</v>
      </c>
      <c r="S208" s="14" t="n">
        <v>5.12</v>
      </c>
      <c r="T208" s="14" t="n">
        <v>8.44</v>
      </c>
      <c r="U208" s="14" t="n">
        <v>0.45</v>
      </c>
      <c r="V208" s="14" t="n">
        <v>0.55</v>
      </c>
      <c r="W208" s="14" t="n">
        <v>0.58</v>
      </c>
      <c r="X208" s="14" t="n">
        <v>8.21</v>
      </c>
      <c r="Y208" s="14" t="n">
        <v>18.81</v>
      </c>
      <c r="Z208" s="16" t="n">
        <v>50323002.44</v>
      </c>
      <c r="AA208" s="14" t="n">
        <v>7.26</v>
      </c>
      <c r="AB208" s="14" t="n">
        <v>0.83</v>
      </c>
      <c r="AC208" s="14" t="n">
        <v>0.85</v>
      </c>
      <c r="AD208" s="16" t="n">
        <v>15869536452.94</v>
      </c>
    </row>
    <row r="209" customFormat="false" ht="15.75" hidden="false" customHeight="false" outlineLevel="0" collapsed="false">
      <c r="A209" s="14" t="s">
        <v>239</v>
      </c>
      <c r="B209" s="14" t="n">
        <v>14.55</v>
      </c>
      <c r="C209" s="14" t="n">
        <v>1.91</v>
      </c>
      <c r="D209" s="14" t="n">
        <v>12.47</v>
      </c>
      <c r="E209" s="14" t="n">
        <v>1.82</v>
      </c>
      <c r="F209" s="14" t="n">
        <v>0.73</v>
      </c>
      <c r="G209" s="14" t="n">
        <v>25.87</v>
      </c>
      <c r="H209" s="14" t="n">
        <v>12.86</v>
      </c>
      <c r="I209" s="14" t="n">
        <v>9.91</v>
      </c>
      <c r="J209" s="14" t="n">
        <v>9.61</v>
      </c>
      <c r="K209" s="14" t="n">
        <v>8.57</v>
      </c>
      <c r="L209" s="14" t="n">
        <v>1.79</v>
      </c>
      <c r="M209" s="14" t="n">
        <v>0.34</v>
      </c>
      <c r="N209" s="14" t="n">
        <v>1.24</v>
      </c>
      <c r="O209" s="14" t="n">
        <v>12.02</v>
      </c>
      <c r="P209" s="14" t="n">
        <v>-1.28</v>
      </c>
      <c r="Q209" s="14" t="n">
        <v>1.16</v>
      </c>
      <c r="R209" s="14" t="n">
        <v>14.57</v>
      </c>
      <c r="S209" s="14" t="n">
        <v>5.86</v>
      </c>
      <c r="T209" s="14" t="n">
        <v>8.87</v>
      </c>
      <c r="U209" s="14" t="n">
        <v>0.4</v>
      </c>
      <c r="V209" s="14" t="n">
        <v>0.6</v>
      </c>
      <c r="W209" s="14" t="n">
        <v>0.59</v>
      </c>
      <c r="X209" s="14" t="n">
        <v>11.42</v>
      </c>
      <c r="Y209" s="14" t="n">
        <v>190.5</v>
      </c>
      <c r="Z209" s="16" t="n">
        <v>27999.33</v>
      </c>
      <c r="AA209" s="14" t="n">
        <v>8.01</v>
      </c>
      <c r="AB209" s="14" t="n">
        <v>1.17</v>
      </c>
      <c r="AC209" s="14" t="n">
        <v>0.19</v>
      </c>
      <c r="AD209" s="16" t="n">
        <v>231240000</v>
      </c>
    </row>
    <row r="210" customFormat="false" ht="15.75" hidden="false" customHeight="false" outlineLevel="0" collapsed="false">
      <c r="A210" s="14" t="s">
        <v>240</v>
      </c>
      <c r="B210" s="14" t="n">
        <v>7.1</v>
      </c>
      <c r="C210" s="14" t="n">
        <v>4.31</v>
      </c>
      <c r="D210" s="14" t="n">
        <v>6.08</v>
      </c>
      <c r="E210" s="14" t="n">
        <v>0.89</v>
      </c>
      <c r="F210" s="14" t="n">
        <v>0.36</v>
      </c>
      <c r="G210" s="14" t="n">
        <v>25.87</v>
      </c>
      <c r="H210" s="14" t="n">
        <v>12.86</v>
      </c>
      <c r="I210" s="14" t="n">
        <v>9.91</v>
      </c>
      <c r="J210" s="14" t="n">
        <v>4.69</v>
      </c>
      <c r="K210" s="14" t="n">
        <v>8.57</v>
      </c>
      <c r="L210" s="14" t="n">
        <v>1.79</v>
      </c>
      <c r="M210" s="14" t="n">
        <v>0.34</v>
      </c>
      <c r="N210" s="14" t="n">
        <v>0.6</v>
      </c>
      <c r="O210" s="14" t="n">
        <v>5.87</v>
      </c>
      <c r="P210" s="14" t="n">
        <v>-0.63</v>
      </c>
      <c r="Q210" s="14" t="n">
        <v>1.16</v>
      </c>
      <c r="R210" s="14" t="n">
        <v>14.57</v>
      </c>
      <c r="S210" s="14" t="n">
        <v>5.86</v>
      </c>
      <c r="T210" s="14" t="n">
        <v>8.87</v>
      </c>
      <c r="U210" s="14" t="n">
        <v>0.4</v>
      </c>
      <c r="V210" s="14" t="n">
        <v>0.6</v>
      </c>
      <c r="W210" s="14" t="n">
        <v>0.59</v>
      </c>
      <c r="X210" s="14" t="n">
        <v>11.42</v>
      </c>
      <c r="Y210" s="14" t="n">
        <v>190.5</v>
      </c>
      <c r="Z210" s="16" t="n">
        <v>552986.8</v>
      </c>
      <c r="AA210" s="14" t="n">
        <v>8.01</v>
      </c>
      <c r="AB210" s="14" t="n">
        <v>1.17</v>
      </c>
      <c r="AC210" s="14" t="n">
        <v>0.09</v>
      </c>
      <c r="AD210" s="16" t="n">
        <v>231240000</v>
      </c>
    </row>
    <row r="211" customFormat="false" ht="15.75" hidden="false" customHeight="false" outlineLevel="0" collapsed="false">
      <c r="A211" s="14" t="s">
        <v>241</v>
      </c>
      <c r="B211" s="14" t="n">
        <v>11.73</v>
      </c>
      <c r="D211" s="14" t="n">
        <v>-18.85</v>
      </c>
      <c r="E211" s="14" t="n">
        <v>57</v>
      </c>
      <c r="F211" s="14" t="n">
        <v>0.72</v>
      </c>
      <c r="G211" s="14" t="n">
        <v>40.87</v>
      </c>
      <c r="H211" s="14" t="n">
        <v>21.84</v>
      </c>
      <c r="I211" s="14" t="n">
        <v>-10.8</v>
      </c>
      <c r="J211" s="14" t="n">
        <v>9.32</v>
      </c>
      <c r="K211" s="14" t="n">
        <v>17.24</v>
      </c>
      <c r="L211" s="14" t="n">
        <v>7.95</v>
      </c>
      <c r="M211" s="14" t="n">
        <v>48.62</v>
      </c>
      <c r="N211" s="14" t="n">
        <v>2.04</v>
      </c>
      <c r="O211" s="14" t="n">
        <v>-12.72</v>
      </c>
      <c r="P211" s="14" t="n">
        <v>-0.87</v>
      </c>
      <c r="Q211" s="14" t="n">
        <v>0.75</v>
      </c>
      <c r="R211" s="14" t="n">
        <v>-302.32</v>
      </c>
      <c r="S211" s="14" t="n">
        <v>-3.84</v>
      </c>
      <c r="T211" s="14" t="n">
        <v>4.66</v>
      </c>
      <c r="U211" s="14" t="n">
        <v>0.01</v>
      </c>
      <c r="V211" s="14" t="n">
        <v>0.99</v>
      </c>
      <c r="W211" s="14" t="n">
        <v>0.36</v>
      </c>
      <c r="X211" s="14" t="n">
        <v>7.89</v>
      </c>
      <c r="Z211" s="16" t="n">
        <v>59246223.59</v>
      </c>
      <c r="AA211" s="14" t="n">
        <v>0.21</v>
      </c>
      <c r="AB211" s="14" t="n">
        <v>-0.63</v>
      </c>
      <c r="AC211" s="14" t="n">
        <v>-0.12</v>
      </c>
      <c r="AD211" s="16" t="n">
        <v>8181927132</v>
      </c>
    </row>
    <row r="212" customFormat="false" ht="15.75" hidden="false" customHeight="false" outlineLevel="0" collapsed="false">
      <c r="A212" s="14" t="s">
        <v>242</v>
      </c>
      <c r="B212" s="14" t="n">
        <v>89</v>
      </c>
      <c r="D212" s="14" t="n">
        <v>-8.09</v>
      </c>
      <c r="E212" s="14" t="n">
        <v>1.04</v>
      </c>
      <c r="F212" s="14" t="n">
        <v>0.58</v>
      </c>
      <c r="J212" s="14" t="n">
        <v>-12.51</v>
      </c>
      <c r="K212" s="14" t="n">
        <v>-12.28</v>
      </c>
      <c r="L212" s="14" t="n">
        <v>0.02</v>
      </c>
      <c r="M212" s="14" t="n">
        <v>0</v>
      </c>
      <c r="O212" s="16" t="n">
        <v>1166.25</v>
      </c>
      <c r="P212" s="14" t="n">
        <v>-0.58</v>
      </c>
      <c r="Q212" s="14" t="n">
        <v>1.12</v>
      </c>
      <c r="R212" s="14" t="n">
        <v>-12.88</v>
      </c>
      <c r="S212" s="14" t="n">
        <v>-7.19</v>
      </c>
      <c r="T212" s="14" t="n">
        <v>-8.53</v>
      </c>
      <c r="U212" s="14" t="n">
        <v>0.56</v>
      </c>
      <c r="V212" s="14" t="n">
        <v>0.44</v>
      </c>
      <c r="W212" s="14" t="n">
        <v>0</v>
      </c>
      <c r="Z212" s="16" t="n">
        <v>17650.5</v>
      </c>
      <c r="AA212" s="14" t="n">
        <v>85.45</v>
      </c>
      <c r="AB212" s="14" t="n">
        <v>-11.01</v>
      </c>
      <c r="AC212" s="14" t="n">
        <v>0.12</v>
      </c>
      <c r="AD212" s="16" t="n">
        <v>166309475.2</v>
      </c>
    </row>
    <row r="213" customFormat="false" ht="15.75" hidden="false" customHeight="false" outlineLevel="0" collapsed="false">
      <c r="A213" s="14" t="s">
        <v>243</v>
      </c>
      <c r="B213" s="14" t="n">
        <v>85.8</v>
      </c>
      <c r="D213" s="14" t="n">
        <v>-7.8</v>
      </c>
      <c r="E213" s="14" t="n">
        <v>1</v>
      </c>
      <c r="F213" s="14" t="n">
        <v>0.56</v>
      </c>
      <c r="J213" s="14" t="n">
        <v>-12.06</v>
      </c>
      <c r="K213" s="14" t="n">
        <v>-12.28</v>
      </c>
      <c r="L213" s="14" t="n">
        <v>0.02</v>
      </c>
      <c r="M213" s="14" t="n">
        <v>0</v>
      </c>
      <c r="O213" s="16" t="n">
        <v>1124.31</v>
      </c>
      <c r="P213" s="14" t="n">
        <v>-0.56</v>
      </c>
      <c r="Q213" s="14" t="n">
        <v>1.12</v>
      </c>
      <c r="R213" s="14" t="n">
        <v>-12.88</v>
      </c>
      <c r="S213" s="14" t="n">
        <v>-7.19</v>
      </c>
      <c r="T213" s="14" t="n">
        <v>-8.53</v>
      </c>
      <c r="U213" s="14" t="n">
        <v>0.56</v>
      </c>
      <c r="V213" s="14" t="n">
        <v>0.44</v>
      </c>
      <c r="W213" s="14" t="n">
        <v>0</v>
      </c>
      <c r="Z213" s="16" t="n">
        <v>43866.67</v>
      </c>
      <c r="AA213" s="14" t="n">
        <v>85.45</v>
      </c>
      <c r="AB213" s="14" t="n">
        <v>-11.01</v>
      </c>
      <c r="AC213" s="14" t="n">
        <v>0.11</v>
      </c>
      <c r="AD213" s="16" t="n">
        <v>166309475.2</v>
      </c>
    </row>
    <row r="214" customFormat="false" ht="15.75" hidden="false" customHeight="false" outlineLevel="0" collapsed="false">
      <c r="A214" s="14" t="s">
        <v>244</v>
      </c>
      <c r="B214" s="14" t="n">
        <v>536.46</v>
      </c>
      <c r="C214" s="14" t="n">
        <v>7.06</v>
      </c>
      <c r="D214" s="14" t="n">
        <v>10.44</v>
      </c>
      <c r="E214" s="14" t="n">
        <v>1.95</v>
      </c>
      <c r="F214" s="14" t="n">
        <v>0.9</v>
      </c>
      <c r="G214" s="14" t="n">
        <v>57.03</v>
      </c>
      <c r="H214" s="14" t="n">
        <v>46.22</v>
      </c>
      <c r="I214" s="14" t="n">
        <v>32.35</v>
      </c>
      <c r="J214" s="14" t="n">
        <v>7.31</v>
      </c>
      <c r="K214" s="14" t="n">
        <v>7.19</v>
      </c>
      <c r="L214" s="14" t="n">
        <v>-0.14</v>
      </c>
      <c r="M214" s="14" t="n">
        <v>-0.04</v>
      </c>
      <c r="N214" s="14" t="n">
        <v>3.38</v>
      </c>
      <c r="O214" s="14" t="n">
        <v>4.32</v>
      </c>
      <c r="P214" s="14" t="n">
        <v>-1.28</v>
      </c>
      <c r="Q214" s="14" t="n">
        <v>3.41</v>
      </c>
      <c r="R214" s="14" t="n">
        <v>18.71</v>
      </c>
      <c r="S214" s="14" t="n">
        <v>8.62</v>
      </c>
      <c r="T214" s="14" t="n">
        <v>17.25</v>
      </c>
      <c r="U214" s="14" t="n">
        <v>0.46</v>
      </c>
      <c r="V214" s="14" t="n">
        <v>0.54</v>
      </c>
      <c r="W214" s="14" t="n">
        <v>0.27</v>
      </c>
      <c r="X214" s="14" t="n">
        <v>14.95</v>
      </c>
      <c r="Y214" s="14" t="n">
        <v>26.66</v>
      </c>
      <c r="Z214" s="16" t="n">
        <v>54000</v>
      </c>
      <c r="AA214" s="14" t="n">
        <v>274.67</v>
      </c>
      <c r="AB214" s="14" t="n">
        <v>51.39</v>
      </c>
      <c r="AC214" s="14" t="n">
        <v>0.07</v>
      </c>
      <c r="AD214" s="16" t="n">
        <v>5202081275.7</v>
      </c>
    </row>
    <row r="215" customFormat="false" ht="15.75" hidden="false" customHeight="false" outlineLevel="0" collapsed="false">
      <c r="A215" s="14" t="s">
        <v>245</v>
      </c>
      <c r="B215" s="14" t="n">
        <v>673.1</v>
      </c>
      <c r="C215" s="14" t="n">
        <v>7.66</v>
      </c>
      <c r="D215" s="14" t="n">
        <v>13.1</v>
      </c>
      <c r="E215" s="14" t="n">
        <v>2.45</v>
      </c>
      <c r="F215" s="14" t="n">
        <v>1.13</v>
      </c>
      <c r="G215" s="14" t="n">
        <v>57.03</v>
      </c>
      <c r="H215" s="14" t="n">
        <v>46.22</v>
      </c>
      <c r="I215" s="14" t="n">
        <v>32.35</v>
      </c>
      <c r="J215" s="14" t="n">
        <v>9.17</v>
      </c>
      <c r="K215" s="14" t="n">
        <v>7.19</v>
      </c>
      <c r="L215" s="14" t="n">
        <v>-0.14</v>
      </c>
      <c r="M215" s="14" t="n">
        <v>-0.04</v>
      </c>
      <c r="N215" s="14" t="n">
        <v>4.24</v>
      </c>
      <c r="O215" s="14" t="n">
        <v>5.42</v>
      </c>
      <c r="P215" s="14" t="n">
        <v>-1.6</v>
      </c>
      <c r="Q215" s="14" t="n">
        <v>3.41</v>
      </c>
      <c r="R215" s="14" t="n">
        <v>18.71</v>
      </c>
      <c r="S215" s="14" t="n">
        <v>8.62</v>
      </c>
      <c r="T215" s="14" t="n">
        <v>17.25</v>
      </c>
      <c r="U215" s="14" t="n">
        <v>0.46</v>
      </c>
      <c r="V215" s="14" t="n">
        <v>0.54</v>
      </c>
      <c r="W215" s="14" t="n">
        <v>0.27</v>
      </c>
      <c r="X215" s="14" t="n">
        <v>14.95</v>
      </c>
      <c r="Y215" s="14" t="n">
        <v>26.66</v>
      </c>
      <c r="Z215" s="16" t="n">
        <v>139800</v>
      </c>
      <c r="AA215" s="14" t="n">
        <v>274.67</v>
      </c>
      <c r="AB215" s="14" t="n">
        <v>51.39</v>
      </c>
      <c r="AC215" s="14" t="n">
        <v>0.09</v>
      </c>
      <c r="AD215" s="16" t="n">
        <v>5202081275.7</v>
      </c>
    </row>
    <row r="216" customFormat="false" ht="15.75" hidden="false" customHeight="false" outlineLevel="0" collapsed="false">
      <c r="A216" s="14" t="s">
        <v>246</v>
      </c>
      <c r="B216" s="14" t="n">
        <v>39.33</v>
      </c>
      <c r="C216" s="14" t="n">
        <v>6.28</v>
      </c>
      <c r="D216" s="14" t="n">
        <v>11.41</v>
      </c>
      <c r="E216" s="14" t="n">
        <v>3.97</v>
      </c>
      <c r="F216" s="14" t="n">
        <v>0.89</v>
      </c>
      <c r="G216" s="14" t="n">
        <v>45</v>
      </c>
      <c r="H216" s="14" t="n">
        <v>46.31</v>
      </c>
      <c r="I216" s="14" t="n">
        <v>21.79</v>
      </c>
      <c r="J216" s="14" t="n">
        <v>5.37</v>
      </c>
      <c r="K216" s="14" t="n">
        <v>7.72</v>
      </c>
      <c r="L216" s="14" t="n">
        <v>2.35</v>
      </c>
      <c r="M216" s="14" t="n">
        <v>1.73</v>
      </c>
      <c r="N216" s="14" t="n">
        <v>2.49</v>
      </c>
      <c r="O216" s="14" t="n">
        <v>9.96</v>
      </c>
      <c r="P216" s="14" t="n">
        <v>-1.12</v>
      </c>
      <c r="Q216" s="14" t="n">
        <v>1.79</v>
      </c>
      <c r="R216" s="14" t="n">
        <v>34.79</v>
      </c>
      <c r="S216" s="14" t="n">
        <v>7.83</v>
      </c>
      <c r="T216" s="14" t="n">
        <v>19.43</v>
      </c>
      <c r="U216" s="14" t="n">
        <v>0.23</v>
      </c>
      <c r="V216" s="14" t="n">
        <v>0.77</v>
      </c>
      <c r="W216" s="14" t="n">
        <v>0.36</v>
      </c>
      <c r="X216" s="14" t="n">
        <v>13.49</v>
      </c>
      <c r="Y216" s="14" t="n">
        <v>13.25</v>
      </c>
      <c r="Z216" s="16" t="n">
        <v>58235478.12</v>
      </c>
      <c r="AA216" s="14" t="n">
        <v>9.91</v>
      </c>
      <c r="AB216" s="14" t="n">
        <v>3.45</v>
      </c>
      <c r="AC216" s="14" t="n">
        <v>0.46</v>
      </c>
      <c r="AD216" s="16" t="n">
        <v>32131234401.2</v>
      </c>
    </row>
    <row r="217" customFormat="false" ht="15.75" hidden="false" customHeight="false" outlineLevel="0" collapsed="false">
      <c r="A217" s="14" t="s">
        <v>247</v>
      </c>
      <c r="B217" s="14" t="n">
        <v>34</v>
      </c>
      <c r="C217" s="14" t="n">
        <v>8.54</v>
      </c>
      <c r="D217" s="14" t="n">
        <v>10.01</v>
      </c>
      <c r="E217" s="14" t="n">
        <v>2.07</v>
      </c>
      <c r="F217" s="14" t="n">
        <v>0.73</v>
      </c>
      <c r="G217" s="14" t="n">
        <v>20.19</v>
      </c>
      <c r="H217" s="14" t="n">
        <v>14.52</v>
      </c>
      <c r="I217" s="14" t="n">
        <v>9.17</v>
      </c>
      <c r="J217" s="14" t="n">
        <v>6.32</v>
      </c>
      <c r="K217" s="14" t="n">
        <v>9.01</v>
      </c>
      <c r="L217" s="14" t="n">
        <v>3.37</v>
      </c>
      <c r="M217" s="14" t="n">
        <v>1.1</v>
      </c>
      <c r="N217" s="14" t="n">
        <v>0.92</v>
      </c>
      <c r="O217" s="14" t="n">
        <v>15.08</v>
      </c>
      <c r="P217" s="14" t="n">
        <v>-1.04</v>
      </c>
      <c r="Q217" s="14" t="n">
        <v>1.19</v>
      </c>
      <c r="R217" s="14" t="n">
        <v>20.66</v>
      </c>
      <c r="S217" s="14" t="n">
        <v>7.27</v>
      </c>
      <c r="T217" s="14" t="n">
        <v>10.88</v>
      </c>
      <c r="U217" s="14" t="n">
        <v>0.35</v>
      </c>
      <c r="V217" s="14" t="n">
        <v>0.65</v>
      </c>
      <c r="W217" s="14" t="n">
        <v>0.79</v>
      </c>
      <c r="X217" s="14" t="n">
        <v>4.01</v>
      </c>
      <c r="Y217" s="14" t="n">
        <v>9.79</v>
      </c>
      <c r="Z217" s="16" t="n">
        <v>13101.36</v>
      </c>
      <c r="AA217" s="14" t="n">
        <v>16.45</v>
      </c>
      <c r="AB217" s="14" t="n">
        <v>3.4</v>
      </c>
      <c r="AC217" s="14" t="n">
        <v>0.4</v>
      </c>
      <c r="AD217" s="16" t="n">
        <v>5873648176.07</v>
      </c>
    </row>
    <row r="218" customFormat="false" ht="15.75" hidden="false" customHeight="false" outlineLevel="0" collapsed="false">
      <c r="A218" s="14" t="s">
        <v>248</v>
      </c>
      <c r="B218" s="14" t="n">
        <v>26.99</v>
      </c>
      <c r="C218" s="14" t="n">
        <v>11.84</v>
      </c>
      <c r="D218" s="14" t="n">
        <v>7.94</v>
      </c>
      <c r="E218" s="14" t="n">
        <v>1.64</v>
      </c>
      <c r="F218" s="14" t="n">
        <v>0.58</v>
      </c>
      <c r="G218" s="14" t="n">
        <v>20.19</v>
      </c>
      <c r="H218" s="14" t="n">
        <v>14.52</v>
      </c>
      <c r="I218" s="14" t="n">
        <v>9.17</v>
      </c>
      <c r="J218" s="14" t="n">
        <v>5.02</v>
      </c>
      <c r="K218" s="14" t="n">
        <v>9.01</v>
      </c>
      <c r="L218" s="14" t="n">
        <v>3.37</v>
      </c>
      <c r="M218" s="14" t="n">
        <v>1.1</v>
      </c>
      <c r="N218" s="14" t="n">
        <v>0.73</v>
      </c>
      <c r="O218" s="14" t="n">
        <v>11.97</v>
      </c>
      <c r="P218" s="14" t="n">
        <v>-0.83</v>
      </c>
      <c r="Q218" s="14" t="n">
        <v>1.19</v>
      </c>
      <c r="R218" s="14" t="n">
        <v>20.66</v>
      </c>
      <c r="S218" s="14" t="n">
        <v>7.27</v>
      </c>
      <c r="T218" s="14" t="n">
        <v>10.88</v>
      </c>
      <c r="U218" s="14" t="n">
        <v>0.35</v>
      </c>
      <c r="V218" s="14" t="n">
        <v>0.65</v>
      </c>
      <c r="W218" s="14" t="n">
        <v>0.79</v>
      </c>
      <c r="X218" s="14" t="n">
        <v>4.01</v>
      </c>
      <c r="Y218" s="14" t="n">
        <v>9.79</v>
      </c>
      <c r="Z218" s="16" t="n">
        <v>88799.94</v>
      </c>
      <c r="AA218" s="14" t="n">
        <v>16.45</v>
      </c>
      <c r="AB218" s="14" t="n">
        <v>3.4</v>
      </c>
      <c r="AC218" s="14" t="n">
        <v>0.32</v>
      </c>
      <c r="AD218" s="16" t="n">
        <v>5873648176.07</v>
      </c>
    </row>
    <row r="219" customFormat="false" ht="15.75" hidden="false" customHeight="false" outlineLevel="0" collapsed="false">
      <c r="A219" s="14" t="s">
        <v>249</v>
      </c>
      <c r="B219" s="14" t="n">
        <v>19.11</v>
      </c>
      <c r="D219" s="14" t="n">
        <v>24.46</v>
      </c>
      <c r="E219" s="14" t="n">
        <v>2.66</v>
      </c>
      <c r="F219" s="14" t="n">
        <v>1.07</v>
      </c>
      <c r="G219" s="14" t="n">
        <v>11.39</v>
      </c>
      <c r="H219" s="14" t="n">
        <v>2.82</v>
      </c>
      <c r="I219" s="14" t="n">
        <v>2.53</v>
      </c>
      <c r="J219" s="14" t="n">
        <v>21.94</v>
      </c>
      <c r="K219" s="14" t="n">
        <v>38.76</v>
      </c>
      <c r="L219" s="14" t="n">
        <v>5.75</v>
      </c>
      <c r="M219" s="14" t="n">
        <v>0.7</v>
      </c>
      <c r="N219" s="14" t="n">
        <v>0.62</v>
      </c>
      <c r="O219" s="14" t="n">
        <v>3.75</v>
      </c>
      <c r="P219" s="14" t="n">
        <v>-2.6</v>
      </c>
      <c r="Q219" s="14" t="n">
        <v>1.94</v>
      </c>
      <c r="R219" s="14" t="n">
        <v>10.87</v>
      </c>
      <c r="S219" s="14" t="n">
        <v>4.36</v>
      </c>
      <c r="T219" s="14" t="n">
        <v>4.38</v>
      </c>
      <c r="U219" s="14" t="n">
        <v>0.4</v>
      </c>
      <c r="V219" s="14" t="n">
        <v>0.6</v>
      </c>
      <c r="W219" s="14" t="n">
        <v>1.72</v>
      </c>
      <c r="X219" s="14" t="n">
        <v>1.48</v>
      </c>
      <c r="Z219" s="16" t="n">
        <v>11501.5</v>
      </c>
      <c r="AA219" s="14" t="n">
        <v>7.19</v>
      </c>
      <c r="AB219" s="14" t="n">
        <v>0.78</v>
      </c>
      <c r="AC219" s="14" t="n">
        <v>-0.35</v>
      </c>
      <c r="AD219" s="16" t="n">
        <v>905051916.3</v>
      </c>
    </row>
    <row r="220" customFormat="false" ht="15.75" hidden="false" customHeight="false" outlineLevel="0" collapsed="false">
      <c r="A220" s="14" t="s">
        <v>250</v>
      </c>
      <c r="B220" s="14" t="n">
        <v>36.99</v>
      </c>
      <c r="D220" s="14" t="n">
        <v>47.34</v>
      </c>
      <c r="E220" s="14" t="n">
        <v>5.15</v>
      </c>
      <c r="F220" s="14" t="n">
        <v>2.07</v>
      </c>
      <c r="G220" s="14" t="n">
        <v>11.39</v>
      </c>
      <c r="H220" s="14" t="n">
        <v>2.82</v>
      </c>
      <c r="I220" s="14" t="n">
        <v>2.53</v>
      </c>
      <c r="J220" s="14" t="n">
        <v>42.48</v>
      </c>
      <c r="K220" s="14" t="n">
        <v>38.76</v>
      </c>
      <c r="L220" s="14" t="n">
        <v>5.75</v>
      </c>
      <c r="M220" s="14" t="n">
        <v>0.7</v>
      </c>
      <c r="N220" s="14" t="n">
        <v>1.2</v>
      </c>
      <c r="O220" s="14" t="n">
        <v>7.26</v>
      </c>
      <c r="P220" s="14" t="n">
        <v>-5.02</v>
      </c>
      <c r="Q220" s="14" t="n">
        <v>1.94</v>
      </c>
      <c r="R220" s="14" t="n">
        <v>10.87</v>
      </c>
      <c r="S220" s="14" t="n">
        <v>4.36</v>
      </c>
      <c r="T220" s="14" t="n">
        <v>4.38</v>
      </c>
      <c r="U220" s="14" t="n">
        <v>0.4</v>
      </c>
      <c r="V220" s="14" t="n">
        <v>0.6</v>
      </c>
      <c r="W220" s="14" t="n">
        <v>1.72</v>
      </c>
      <c r="X220" s="14" t="n">
        <v>1.48</v>
      </c>
      <c r="AA220" s="14" t="n">
        <v>7.19</v>
      </c>
      <c r="AB220" s="14" t="n">
        <v>0.78</v>
      </c>
      <c r="AC220" s="14" t="n">
        <v>-0.68</v>
      </c>
      <c r="AD220" s="16" t="n">
        <v>905051916.3</v>
      </c>
    </row>
    <row r="221" customFormat="false" ht="15.75" hidden="false" customHeight="false" outlineLevel="0" collapsed="false">
      <c r="A221" s="14" t="s">
        <v>251</v>
      </c>
      <c r="B221" s="14" t="n">
        <v>43.95</v>
      </c>
      <c r="C221" s="14" t="n">
        <v>9.07</v>
      </c>
      <c r="D221" s="14" t="n">
        <v>9.07</v>
      </c>
      <c r="E221" s="14" t="n">
        <v>0.95</v>
      </c>
      <c r="F221" s="14" t="n">
        <v>0.39</v>
      </c>
      <c r="G221" s="14" t="n">
        <v>69.85</v>
      </c>
      <c r="H221" s="14" t="n">
        <v>31.95</v>
      </c>
      <c r="I221" s="14" t="n">
        <v>25.19</v>
      </c>
      <c r="J221" s="14" t="n">
        <v>7.15</v>
      </c>
      <c r="K221" s="14" t="n">
        <v>10.14</v>
      </c>
      <c r="L221" s="14" t="n">
        <v>3.01</v>
      </c>
      <c r="M221" s="14" t="n">
        <v>0.4</v>
      </c>
      <c r="N221" s="14" t="n">
        <v>2.28</v>
      </c>
      <c r="O221" s="14" t="n">
        <v>3.6</v>
      </c>
      <c r="P221" s="14" t="n">
        <v>-0.52</v>
      </c>
      <c r="Q221" s="14" t="n">
        <v>1.79</v>
      </c>
      <c r="R221" s="14" t="n">
        <v>10.49</v>
      </c>
      <c r="S221" s="14" t="n">
        <v>4.31</v>
      </c>
      <c r="T221" s="14" t="n">
        <v>6.99</v>
      </c>
      <c r="U221" s="14" t="n">
        <v>0.41</v>
      </c>
      <c r="V221" s="14" t="n">
        <v>0.59</v>
      </c>
      <c r="W221" s="14" t="n">
        <v>0.17</v>
      </c>
      <c r="X221" s="14" t="n">
        <v>-2.25</v>
      </c>
      <c r="Z221" s="16" t="n">
        <v>347244120.44</v>
      </c>
      <c r="AA221" s="14" t="n">
        <v>46.41</v>
      </c>
      <c r="AB221" s="14" t="n">
        <v>4.87</v>
      </c>
      <c r="AC221" s="14" t="n">
        <v>-0.44</v>
      </c>
      <c r="AD221" s="16" t="n">
        <v>69135498544.02</v>
      </c>
    </row>
    <row r="222" customFormat="false" ht="15.75" hidden="false" customHeight="false" outlineLevel="0" collapsed="false">
      <c r="A222" s="14" t="s">
        <v>252</v>
      </c>
      <c r="B222" s="14" t="n">
        <v>67.99</v>
      </c>
      <c r="C222" s="14" t="n">
        <v>7.96</v>
      </c>
      <c r="D222" s="14" t="n">
        <v>13.96</v>
      </c>
      <c r="E222" s="14" t="n">
        <v>1.47</v>
      </c>
      <c r="F222" s="14" t="n">
        <v>0.6</v>
      </c>
      <c r="G222" s="14" t="n">
        <v>69.85</v>
      </c>
      <c r="H222" s="14" t="n">
        <v>31.95</v>
      </c>
      <c r="I222" s="14" t="n">
        <v>25.19</v>
      </c>
      <c r="J222" s="14" t="n">
        <v>11.01</v>
      </c>
      <c r="K222" s="14" t="n">
        <v>10.14</v>
      </c>
      <c r="L222" s="14" t="n">
        <v>3.01</v>
      </c>
      <c r="M222" s="14" t="n">
        <v>0.4</v>
      </c>
      <c r="N222" s="14" t="n">
        <v>3.52</v>
      </c>
      <c r="O222" s="14" t="n">
        <v>5.54</v>
      </c>
      <c r="P222" s="14" t="n">
        <v>-0.8</v>
      </c>
      <c r="Q222" s="14" t="n">
        <v>1.79</v>
      </c>
      <c r="R222" s="14" t="n">
        <v>10.49</v>
      </c>
      <c r="S222" s="14" t="n">
        <v>4.31</v>
      </c>
      <c r="T222" s="14" t="n">
        <v>6.99</v>
      </c>
      <c r="U222" s="14" t="n">
        <v>0.41</v>
      </c>
      <c r="V222" s="14" t="n">
        <v>0.59</v>
      </c>
      <c r="W222" s="14" t="n">
        <v>0.17</v>
      </c>
      <c r="X222" s="14" t="n">
        <v>-2.25</v>
      </c>
      <c r="Z222" s="16" t="n">
        <v>29529.92</v>
      </c>
      <c r="AA222" s="14" t="n">
        <v>46.41</v>
      </c>
      <c r="AB222" s="14" t="n">
        <v>4.87</v>
      </c>
      <c r="AC222" s="14" t="n">
        <v>-0.68</v>
      </c>
      <c r="AD222" s="16" t="n">
        <v>69135498544.02</v>
      </c>
    </row>
    <row r="223" customFormat="false" ht="15.75" hidden="false" customHeight="false" outlineLevel="0" collapsed="false">
      <c r="A223" s="14" t="s">
        <v>253</v>
      </c>
      <c r="B223" s="14" t="n">
        <v>43.92</v>
      </c>
      <c r="C223" s="14" t="n">
        <v>9.98</v>
      </c>
      <c r="D223" s="14" t="n">
        <v>9.07</v>
      </c>
      <c r="E223" s="14" t="n">
        <v>0.95</v>
      </c>
      <c r="F223" s="14" t="n">
        <v>0.39</v>
      </c>
      <c r="G223" s="14" t="n">
        <v>69.85</v>
      </c>
      <c r="H223" s="14" t="n">
        <v>31.95</v>
      </c>
      <c r="I223" s="14" t="n">
        <v>25.19</v>
      </c>
      <c r="J223" s="14" t="n">
        <v>7.15</v>
      </c>
      <c r="K223" s="14" t="n">
        <v>10.14</v>
      </c>
      <c r="L223" s="14" t="n">
        <v>3.01</v>
      </c>
      <c r="M223" s="14" t="n">
        <v>0.4</v>
      </c>
      <c r="N223" s="14" t="n">
        <v>2.28</v>
      </c>
      <c r="O223" s="14" t="n">
        <v>3.6</v>
      </c>
      <c r="P223" s="14" t="n">
        <v>-0.52</v>
      </c>
      <c r="Q223" s="14" t="n">
        <v>1.79</v>
      </c>
      <c r="R223" s="14" t="n">
        <v>10.49</v>
      </c>
      <c r="S223" s="14" t="n">
        <v>4.31</v>
      </c>
      <c r="T223" s="14" t="n">
        <v>6.99</v>
      </c>
      <c r="U223" s="14" t="n">
        <v>0.41</v>
      </c>
      <c r="V223" s="14" t="n">
        <v>0.59</v>
      </c>
      <c r="W223" s="14" t="n">
        <v>0.17</v>
      </c>
      <c r="X223" s="14" t="n">
        <v>-2.25</v>
      </c>
      <c r="Z223" s="16" t="n">
        <v>164828188.95</v>
      </c>
      <c r="AA223" s="14" t="n">
        <v>46.41</v>
      </c>
      <c r="AB223" s="14" t="n">
        <v>4.87</v>
      </c>
      <c r="AC223" s="14" t="n">
        <v>-0.44</v>
      </c>
      <c r="AD223" s="16" t="n">
        <v>69135498544.02</v>
      </c>
    </row>
    <row r="224" customFormat="false" ht="15.75" hidden="false" customHeight="false" outlineLevel="0" collapsed="false">
      <c r="A224" s="14" t="s">
        <v>254</v>
      </c>
      <c r="B224" s="14" t="n">
        <v>18.19</v>
      </c>
      <c r="D224" s="14" t="n">
        <v>-28.31</v>
      </c>
      <c r="E224" s="14" t="n">
        <v>3.38</v>
      </c>
      <c r="F224" s="14" t="n">
        <v>1.55</v>
      </c>
      <c r="G224" s="14" t="n">
        <v>22.23</v>
      </c>
      <c r="H224" s="14" t="n">
        <v>-47.08</v>
      </c>
      <c r="I224" s="14" t="n">
        <v>-40.59</v>
      </c>
      <c r="J224" s="14" t="n">
        <v>-24.4</v>
      </c>
      <c r="K224" s="14" t="n">
        <v>-24.1</v>
      </c>
      <c r="L224" s="14" t="n">
        <v>0.36</v>
      </c>
      <c r="M224" s="14" t="n">
        <v>-0.05</v>
      </c>
      <c r="N224" s="14" t="n">
        <v>11.49</v>
      </c>
      <c r="O224" s="14" t="n">
        <v>5.41</v>
      </c>
      <c r="P224" s="14" t="n">
        <v>-2.96</v>
      </c>
      <c r="Q224" s="14" t="n">
        <v>2.53</v>
      </c>
      <c r="R224" s="14" t="n">
        <v>-11.94</v>
      </c>
      <c r="S224" s="14" t="n">
        <v>-5.49</v>
      </c>
      <c r="T224" s="14" t="n">
        <v>-10.77</v>
      </c>
      <c r="U224" s="14" t="n">
        <v>0.46</v>
      </c>
      <c r="V224" s="14" t="n">
        <v>0.54</v>
      </c>
      <c r="W224" s="14" t="n">
        <v>0.14</v>
      </c>
      <c r="Z224" s="16" t="n">
        <v>2993533.17</v>
      </c>
      <c r="AA224" s="14" t="n">
        <v>5.42</v>
      </c>
      <c r="AB224" s="14" t="n">
        <v>-0.65</v>
      </c>
      <c r="AC224" s="14" t="n">
        <v>0.06</v>
      </c>
      <c r="AD224" s="16" t="n">
        <v>2537787952.44</v>
      </c>
    </row>
    <row r="225" customFormat="false" ht="15.75" hidden="false" customHeight="false" outlineLevel="0" collapsed="false">
      <c r="A225" s="14" t="s">
        <v>256</v>
      </c>
      <c r="B225" s="14" t="n">
        <v>8.41</v>
      </c>
      <c r="D225" s="14" t="n">
        <v>1.73</v>
      </c>
      <c r="E225" s="14" t="n">
        <v>0.63</v>
      </c>
      <c r="F225" s="14" t="n">
        <v>0.06</v>
      </c>
      <c r="G225" s="14" t="n">
        <v>13.91</v>
      </c>
      <c r="H225" s="14" t="n">
        <v>12.89</v>
      </c>
      <c r="I225" s="14" t="n">
        <v>5.95</v>
      </c>
      <c r="J225" s="14" t="n">
        <v>0.8</v>
      </c>
      <c r="K225" s="14" t="n">
        <v>2.91</v>
      </c>
      <c r="L225" s="14" t="n">
        <v>2.12</v>
      </c>
      <c r="M225" s="14" t="n">
        <v>1.66</v>
      </c>
      <c r="N225" s="14" t="n">
        <v>0.1</v>
      </c>
      <c r="O225" s="14" t="n">
        <v>-10.5</v>
      </c>
      <c r="P225" s="14" t="n">
        <v>-0.07</v>
      </c>
      <c r="Q225" s="14" t="n">
        <v>0.98</v>
      </c>
      <c r="R225" s="14" t="n">
        <v>36.21</v>
      </c>
      <c r="S225" s="14" t="n">
        <v>3.27</v>
      </c>
      <c r="T225" s="14" t="n">
        <v>21.02</v>
      </c>
      <c r="U225" s="14" t="n">
        <v>0.09</v>
      </c>
      <c r="V225" s="14" t="n">
        <v>0.91</v>
      </c>
      <c r="W225" s="14" t="n">
        <v>0.55</v>
      </c>
      <c r="X225" s="14" t="n">
        <v>2.54</v>
      </c>
      <c r="Y225" s="14" t="n">
        <v>57.52</v>
      </c>
      <c r="AA225" s="14" t="n">
        <v>13.45</v>
      </c>
      <c r="AB225" s="14" t="n">
        <v>4.87</v>
      </c>
      <c r="AC225" s="14" t="n">
        <v>0.15</v>
      </c>
      <c r="AD225" s="16" t="n">
        <v>1660696309.42</v>
      </c>
    </row>
    <row r="226" customFormat="false" ht="15.75" hidden="false" customHeight="false" outlineLevel="0" collapsed="false">
      <c r="A226" s="14" t="s">
        <v>257</v>
      </c>
      <c r="B226" s="14" t="n">
        <v>25.35</v>
      </c>
      <c r="C226" s="14" t="n">
        <v>30.82</v>
      </c>
      <c r="D226" s="14" t="n">
        <v>3.97</v>
      </c>
      <c r="E226" s="14" t="n">
        <v>1.22</v>
      </c>
      <c r="F226" s="14" t="n">
        <v>0.62</v>
      </c>
      <c r="G226" s="14" t="n">
        <v>47.88</v>
      </c>
      <c r="H226" s="14" t="n">
        <v>36.45</v>
      </c>
      <c r="I226" s="14" t="n">
        <v>51.17</v>
      </c>
      <c r="J226" s="14" t="n">
        <v>5.58</v>
      </c>
      <c r="K226" s="14" t="n">
        <v>12.82</v>
      </c>
      <c r="L226" s="14" t="n">
        <v>-1.52</v>
      </c>
      <c r="M226" s="14" t="n">
        <v>-0.33</v>
      </c>
      <c r="N226" s="14" t="n">
        <v>2.03</v>
      </c>
      <c r="O226" s="14" t="n">
        <v>2.77</v>
      </c>
      <c r="P226" s="14" t="n">
        <v>-0.93</v>
      </c>
      <c r="Q226" s="14" t="n">
        <v>3.18</v>
      </c>
      <c r="R226" s="14" t="n">
        <v>30.79</v>
      </c>
      <c r="S226" s="14" t="n">
        <v>15.7</v>
      </c>
      <c r="T226" s="14" t="n">
        <v>10.52</v>
      </c>
      <c r="U226" s="14" t="n">
        <v>0.51</v>
      </c>
      <c r="V226" s="14" t="n">
        <v>0.49</v>
      </c>
      <c r="W226" s="14" t="n">
        <v>0.31</v>
      </c>
      <c r="X226" s="14" t="n">
        <v>17.64</v>
      </c>
      <c r="Y226" s="14" t="n">
        <v>27.12</v>
      </c>
      <c r="AA226" s="14" t="n">
        <v>20.72</v>
      </c>
      <c r="AB226" s="14" t="n">
        <v>6.38</v>
      </c>
      <c r="AC226" s="14" t="n">
        <v>0.02</v>
      </c>
      <c r="AD226" s="16" t="n">
        <v>2409010046.2</v>
      </c>
    </row>
    <row r="227" customFormat="false" ht="15.75" hidden="false" customHeight="false" outlineLevel="0" collapsed="false">
      <c r="A227" s="14" t="s">
        <v>258</v>
      </c>
      <c r="B227" s="14" t="n">
        <v>91.02</v>
      </c>
      <c r="C227" s="14" t="n">
        <v>9.39</v>
      </c>
      <c r="D227" s="14" t="n">
        <v>14.35</v>
      </c>
      <c r="E227" s="14" t="n">
        <v>4.42</v>
      </c>
      <c r="F227" s="14" t="n">
        <v>2.25</v>
      </c>
      <c r="G227" s="14" t="n">
        <v>47.88</v>
      </c>
      <c r="H227" s="14" t="n">
        <v>36.45</v>
      </c>
      <c r="I227" s="14" t="n">
        <v>51.17</v>
      </c>
      <c r="J227" s="14" t="n">
        <v>20.14</v>
      </c>
      <c r="K227" s="14" t="n">
        <v>12.82</v>
      </c>
      <c r="L227" s="14" t="n">
        <v>-1.52</v>
      </c>
      <c r="M227" s="14" t="n">
        <v>-0.33</v>
      </c>
      <c r="N227" s="14" t="n">
        <v>7.34</v>
      </c>
      <c r="O227" s="14" t="n">
        <v>9.99</v>
      </c>
      <c r="P227" s="14" t="n">
        <v>-3.36</v>
      </c>
      <c r="Q227" s="14" t="n">
        <v>3.18</v>
      </c>
      <c r="R227" s="14" t="n">
        <v>30.79</v>
      </c>
      <c r="S227" s="14" t="n">
        <v>15.7</v>
      </c>
      <c r="T227" s="14" t="n">
        <v>10.52</v>
      </c>
      <c r="U227" s="14" t="n">
        <v>0.51</v>
      </c>
      <c r="V227" s="14" t="n">
        <v>0.49</v>
      </c>
      <c r="W227" s="14" t="n">
        <v>0.31</v>
      </c>
      <c r="X227" s="14" t="n">
        <v>17.64</v>
      </c>
      <c r="Y227" s="14" t="n">
        <v>27.12</v>
      </c>
      <c r="Z227" s="16" t="n">
        <v>448337.66</v>
      </c>
      <c r="AA227" s="14" t="n">
        <v>20.72</v>
      </c>
      <c r="AB227" s="14" t="n">
        <v>6.38</v>
      </c>
      <c r="AC227" s="14" t="n">
        <v>0.08</v>
      </c>
      <c r="AD227" s="16" t="n">
        <v>2409010046.2</v>
      </c>
    </row>
    <row r="228" customFormat="false" ht="15.75" hidden="false" customHeight="false" outlineLevel="0" collapsed="false">
      <c r="A228" s="14" t="s">
        <v>259</v>
      </c>
      <c r="B228" s="14" t="n">
        <v>18.51</v>
      </c>
      <c r="D228" s="14" t="n">
        <v>-4.85</v>
      </c>
      <c r="E228" s="14" t="n">
        <v>0.9</v>
      </c>
      <c r="F228" s="14" t="n">
        <v>0.23</v>
      </c>
      <c r="G228" s="14" t="n">
        <v>10.7</v>
      </c>
      <c r="H228" s="14" t="n">
        <v>-8.38</v>
      </c>
      <c r="I228" s="14" t="n">
        <v>-12.63</v>
      </c>
      <c r="J228" s="14" t="n">
        <v>-7.3</v>
      </c>
      <c r="K228" s="14" t="n">
        <v>-13.23</v>
      </c>
      <c r="L228" s="14" t="n">
        <v>-5.93</v>
      </c>
      <c r="M228" s="14" t="n">
        <v>0.73</v>
      </c>
      <c r="N228" s="14" t="n">
        <v>0.61</v>
      </c>
      <c r="O228" s="14" t="n">
        <v>0.69</v>
      </c>
      <c r="P228" s="14" t="n">
        <v>-0.55</v>
      </c>
      <c r="Q228" s="14" t="n">
        <v>2.45</v>
      </c>
      <c r="R228" s="14" t="n">
        <v>-18.48</v>
      </c>
      <c r="S228" s="14" t="n">
        <v>-4.82</v>
      </c>
      <c r="T228" s="14" t="n">
        <v>-6.1</v>
      </c>
      <c r="U228" s="14" t="n">
        <v>0.26</v>
      </c>
      <c r="V228" s="14" t="n">
        <v>0.73</v>
      </c>
      <c r="W228" s="14" t="n">
        <v>0.38</v>
      </c>
      <c r="X228" s="14" t="n">
        <v>-0.66</v>
      </c>
      <c r="Z228" s="16" t="n">
        <v>193091180</v>
      </c>
      <c r="AA228" s="14" t="n">
        <v>20.67</v>
      </c>
      <c r="AB228" s="14" t="n">
        <v>-3.82</v>
      </c>
      <c r="AC228" s="14" t="n">
        <v>-0.3</v>
      </c>
      <c r="AD228" s="16" t="n">
        <v>13713412614.88</v>
      </c>
    </row>
    <row r="229" customFormat="false" ht="15.75" hidden="false" customHeight="false" outlineLevel="0" collapsed="false">
      <c r="A229" s="14" t="s">
        <v>260</v>
      </c>
      <c r="B229" s="14" t="n">
        <v>17.38</v>
      </c>
      <c r="C229" s="14" t="n">
        <v>1.12</v>
      </c>
      <c r="D229" s="14" t="n">
        <v>216</v>
      </c>
      <c r="E229" s="14" t="n">
        <v>1.67</v>
      </c>
      <c r="F229" s="14" t="n">
        <v>1.05</v>
      </c>
      <c r="G229" s="14" t="n">
        <v>36.55</v>
      </c>
      <c r="H229" s="14" t="n">
        <v>36.62</v>
      </c>
      <c r="I229" s="14" t="n">
        <v>2.56</v>
      </c>
      <c r="J229" s="14" t="n">
        <v>15.07</v>
      </c>
      <c r="K229" s="14" t="n">
        <v>11.39</v>
      </c>
      <c r="L229" s="14" t="n">
        <v>-3.38</v>
      </c>
      <c r="M229" s="14" t="n">
        <v>-0.37</v>
      </c>
      <c r="N229" s="14" t="n">
        <v>5.52</v>
      </c>
      <c r="O229" s="14" t="n">
        <v>3.09</v>
      </c>
      <c r="P229" s="14" t="n">
        <v>-1.97</v>
      </c>
      <c r="Q229" s="14" t="n">
        <v>3.6</v>
      </c>
      <c r="R229" s="14" t="n">
        <v>0.77</v>
      </c>
      <c r="S229" s="14" t="n">
        <v>0.48</v>
      </c>
      <c r="T229" s="14" t="n">
        <v>7.97</v>
      </c>
      <c r="U229" s="14" t="n">
        <v>0.63</v>
      </c>
      <c r="V229" s="14" t="n">
        <v>0.37</v>
      </c>
      <c r="W229" s="14" t="n">
        <v>0.19</v>
      </c>
      <c r="X229" s="14" t="n">
        <v>13.76</v>
      </c>
      <c r="Y229" s="14" t="n">
        <v>5.78</v>
      </c>
      <c r="Z229" s="16" t="n">
        <v>26082256.59</v>
      </c>
      <c r="AA229" s="14" t="n">
        <v>10.39</v>
      </c>
      <c r="AB229" s="14" t="n">
        <v>0.08</v>
      </c>
      <c r="AC229" s="14" t="n">
        <v>-2.37</v>
      </c>
      <c r="AD229" s="16" t="n">
        <v>4521375454.05</v>
      </c>
    </row>
    <row r="230" customFormat="false" ht="15.75" hidden="false" customHeight="false" outlineLevel="0" collapsed="false">
      <c r="A230" s="14" t="s">
        <v>261</v>
      </c>
      <c r="B230" s="14" t="n">
        <v>17.88</v>
      </c>
      <c r="C230" s="14" t="n">
        <v>5.6</v>
      </c>
      <c r="D230" s="14" t="n">
        <v>6.26</v>
      </c>
      <c r="E230" s="14" t="n">
        <v>1.05</v>
      </c>
      <c r="F230" s="14" t="n">
        <v>0.35</v>
      </c>
      <c r="G230" s="14" t="n">
        <v>25.5</v>
      </c>
      <c r="H230" s="14" t="n">
        <v>20.92</v>
      </c>
      <c r="I230" s="14" t="n">
        <v>11.26</v>
      </c>
      <c r="J230" s="14" t="n">
        <v>3.37</v>
      </c>
      <c r="K230" s="14" t="n">
        <v>5.5</v>
      </c>
      <c r="L230" s="14" t="n">
        <v>2.13</v>
      </c>
      <c r="M230" s="14" t="n">
        <v>0.66</v>
      </c>
      <c r="N230" s="14" t="n">
        <v>0.7</v>
      </c>
      <c r="O230" s="14" t="n">
        <v>9.95</v>
      </c>
      <c r="P230" s="14" t="n">
        <v>-0.47</v>
      </c>
      <c r="Q230" s="14" t="n">
        <v>1.16</v>
      </c>
      <c r="R230" s="14" t="n">
        <v>16.74</v>
      </c>
      <c r="S230" s="14" t="n">
        <v>5.59</v>
      </c>
      <c r="T230" s="14" t="n">
        <v>11.61</v>
      </c>
      <c r="U230" s="14" t="n">
        <v>0.33</v>
      </c>
      <c r="V230" s="14" t="n">
        <v>0.63</v>
      </c>
      <c r="W230" s="14" t="n">
        <v>0.5</v>
      </c>
      <c r="X230" s="14" t="n">
        <v>7.87</v>
      </c>
      <c r="Y230" s="14" t="n">
        <v>4.03</v>
      </c>
      <c r="Z230" s="16" t="n">
        <v>63106179.49</v>
      </c>
      <c r="AA230" s="14" t="n">
        <v>17.06</v>
      </c>
      <c r="AB230" s="14" t="n">
        <v>2.86</v>
      </c>
      <c r="AC230" s="14" t="n">
        <v>0.2</v>
      </c>
      <c r="AD230" s="16" t="n">
        <v>10832279532.9</v>
      </c>
    </row>
    <row r="231" customFormat="false" ht="15.75" hidden="false" customHeight="false" outlineLevel="0" collapsed="false">
      <c r="A231" s="14" t="s">
        <v>262</v>
      </c>
      <c r="B231" s="14" t="n">
        <v>17.21</v>
      </c>
      <c r="D231" s="14" t="n">
        <v>21.16</v>
      </c>
      <c r="E231" s="14" t="n">
        <v>2.7</v>
      </c>
      <c r="F231" s="14" t="n">
        <v>1.33</v>
      </c>
      <c r="G231" s="14" t="n">
        <v>44.63</v>
      </c>
      <c r="H231" s="14" t="n">
        <v>33.93</v>
      </c>
      <c r="I231" s="14" t="n">
        <v>31.67</v>
      </c>
      <c r="J231" s="14" t="n">
        <v>19.75</v>
      </c>
      <c r="K231" s="14" t="n">
        <v>24.42</v>
      </c>
      <c r="L231" s="14" t="n">
        <v>4.74</v>
      </c>
      <c r="M231" s="14" t="n">
        <v>0.65</v>
      </c>
      <c r="N231" s="14" t="n">
        <v>6.7</v>
      </c>
      <c r="O231" s="14" t="n">
        <v>11.63</v>
      </c>
      <c r="P231" s="14" t="n">
        <v>-1.6</v>
      </c>
      <c r="Q231" s="14" t="n">
        <v>3.13</v>
      </c>
      <c r="R231" s="14" t="n">
        <v>12.77</v>
      </c>
      <c r="S231" s="14" t="n">
        <v>6.29</v>
      </c>
      <c r="T231" s="14" t="n">
        <v>5.88</v>
      </c>
      <c r="U231" s="14" t="n">
        <v>0.49</v>
      </c>
      <c r="V231" s="14" t="n">
        <v>0.51</v>
      </c>
      <c r="W231" s="14" t="n">
        <v>0.2</v>
      </c>
      <c r="X231" s="14" t="n">
        <v>16.39</v>
      </c>
      <c r="Y231" s="14" t="n">
        <v>48.99</v>
      </c>
      <c r="Z231" s="16" t="n">
        <v>106746471.22</v>
      </c>
      <c r="AA231" s="14" t="n">
        <v>6.38</v>
      </c>
      <c r="AB231" s="14" t="n">
        <v>0.81</v>
      </c>
      <c r="AC231" s="14" t="n">
        <v>0.36</v>
      </c>
      <c r="AD231" s="16" t="n">
        <v>21737876220.23</v>
      </c>
    </row>
    <row r="232" customFormat="false" ht="15.75" hidden="false" customHeight="false" outlineLevel="0" collapsed="false">
      <c r="A232" s="14" t="s">
        <v>263</v>
      </c>
      <c r="B232" s="14" t="n">
        <v>46.34</v>
      </c>
      <c r="C232" s="14" t="n">
        <v>2.98</v>
      </c>
      <c r="D232" s="14" t="n">
        <v>9.81</v>
      </c>
      <c r="E232" s="14" t="n">
        <v>2.26</v>
      </c>
      <c r="F232" s="14" t="n">
        <v>0.37</v>
      </c>
      <c r="G232" s="14" t="n">
        <v>19.35</v>
      </c>
      <c r="H232" s="14" t="n">
        <v>15.04</v>
      </c>
      <c r="I232" s="14" t="n">
        <v>8.16</v>
      </c>
      <c r="J232" s="14" t="n">
        <v>5.32</v>
      </c>
      <c r="K232" s="14" t="n">
        <v>9.98</v>
      </c>
      <c r="L232" s="14" t="n">
        <v>4.67</v>
      </c>
      <c r="M232" s="14" t="n">
        <v>1.98</v>
      </c>
      <c r="N232" s="14" t="n">
        <v>0.8</v>
      </c>
      <c r="O232" s="14" t="n">
        <v>7.91</v>
      </c>
      <c r="P232" s="14" t="n">
        <v>-0.52</v>
      </c>
      <c r="Q232" s="14" t="n">
        <v>1.2</v>
      </c>
      <c r="R232" s="14" t="n">
        <v>23</v>
      </c>
      <c r="S232" s="14" t="n">
        <v>3.82</v>
      </c>
      <c r="T232" s="14" t="n">
        <v>8.82</v>
      </c>
      <c r="U232" s="14" t="n">
        <v>0.17</v>
      </c>
      <c r="V232" s="14" t="n">
        <v>0.81</v>
      </c>
      <c r="W232" s="14" t="n">
        <v>0.47</v>
      </c>
      <c r="X232" s="14" t="n">
        <v>10.79</v>
      </c>
      <c r="Y232" s="14" t="n">
        <v>35.54</v>
      </c>
      <c r="Z232" s="16" t="n">
        <v>78451203.46</v>
      </c>
      <c r="AA232" s="14" t="n">
        <v>20.55</v>
      </c>
      <c r="AB232" s="14" t="n">
        <v>4.73</v>
      </c>
      <c r="AC232" s="14" t="n">
        <v>0.11</v>
      </c>
      <c r="AD232" s="16" t="n">
        <v>16799214162.78</v>
      </c>
    </row>
    <row r="233" customFormat="false" ht="15.75" hidden="false" customHeight="false" outlineLevel="0" collapsed="false">
      <c r="A233" s="14" t="s">
        <v>264</v>
      </c>
      <c r="B233" s="14" t="n">
        <v>17.26</v>
      </c>
      <c r="C233" s="14" t="n">
        <v>1.6</v>
      </c>
      <c r="D233" s="14" t="n">
        <v>18.25</v>
      </c>
      <c r="E233" s="14" t="n">
        <v>4.2</v>
      </c>
      <c r="F233" s="14" t="n">
        <v>0.7</v>
      </c>
      <c r="G233" s="14" t="n">
        <v>19.35</v>
      </c>
      <c r="H233" s="14" t="n">
        <v>15.04</v>
      </c>
      <c r="I233" s="14" t="n">
        <v>8.16</v>
      </c>
      <c r="J233" s="14" t="n">
        <v>9.91</v>
      </c>
      <c r="K233" s="14" t="n">
        <v>9.98</v>
      </c>
      <c r="L233" s="14" t="n">
        <v>4.67</v>
      </c>
      <c r="M233" s="14" t="n">
        <v>1.98</v>
      </c>
      <c r="N233" s="14" t="n">
        <v>1.49</v>
      </c>
      <c r="O233" s="14" t="n">
        <v>14.71</v>
      </c>
      <c r="P233" s="14" t="n">
        <v>-0.97</v>
      </c>
      <c r="Q233" s="14" t="n">
        <v>1.2</v>
      </c>
      <c r="R233" s="14" t="n">
        <v>23</v>
      </c>
      <c r="S233" s="14" t="n">
        <v>3.82</v>
      </c>
      <c r="T233" s="14" t="n">
        <v>8.82</v>
      </c>
      <c r="U233" s="14" t="n">
        <v>0.17</v>
      </c>
      <c r="V233" s="14" t="n">
        <v>0.81</v>
      </c>
      <c r="W233" s="14" t="n">
        <v>0.47</v>
      </c>
      <c r="X233" s="14" t="n">
        <v>10.79</v>
      </c>
      <c r="Y233" s="14" t="n">
        <v>35.54</v>
      </c>
      <c r="Z233" s="16" t="n">
        <v>250837.66</v>
      </c>
      <c r="AA233" s="14" t="n">
        <v>4.11</v>
      </c>
      <c r="AB233" s="14" t="n">
        <v>0.95</v>
      </c>
      <c r="AC233" s="14" t="n">
        <v>0.21</v>
      </c>
      <c r="AD233" s="16" t="n">
        <v>16799214162.78</v>
      </c>
    </row>
    <row r="234" customFormat="false" ht="15.75" hidden="false" customHeight="false" outlineLevel="0" collapsed="false">
      <c r="A234" s="14" t="s">
        <v>265</v>
      </c>
      <c r="B234" s="14" t="n">
        <v>7.27</v>
      </c>
      <c r="C234" s="14" t="n">
        <v>3.8</v>
      </c>
      <c r="D234" s="14" t="n">
        <v>7.69</v>
      </c>
      <c r="E234" s="14" t="n">
        <v>1.77</v>
      </c>
      <c r="F234" s="14" t="n">
        <v>0.29</v>
      </c>
      <c r="G234" s="14" t="n">
        <v>19.35</v>
      </c>
      <c r="H234" s="14" t="n">
        <v>15.04</v>
      </c>
      <c r="I234" s="14" t="n">
        <v>8.16</v>
      </c>
      <c r="J234" s="14" t="n">
        <v>4.17</v>
      </c>
      <c r="K234" s="14" t="n">
        <v>9.98</v>
      </c>
      <c r="L234" s="14" t="n">
        <v>4.67</v>
      </c>
      <c r="M234" s="14" t="n">
        <v>1.98</v>
      </c>
      <c r="N234" s="14" t="n">
        <v>0.63</v>
      </c>
      <c r="O234" s="14" t="n">
        <v>6.2</v>
      </c>
      <c r="P234" s="14" t="n">
        <v>-0.41</v>
      </c>
      <c r="Q234" s="14" t="n">
        <v>1.2</v>
      </c>
      <c r="R234" s="14" t="n">
        <v>23</v>
      </c>
      <c r="S234" s="14" t="n">
        <v>3.82</v>
      </c>
      <c r="T234" s="14" t="n">
        <v>8.82</v>
      </c>
      <c r="U234" s="14" t="n">
        <v>0.17</v>
      </c>
      <c r="V234" s="14" t="n">
        <v>0.81</v>
      </c>
      <c r="W234" s="14" t="n">
        <v>0.47</v>
      </c>
      <c r="X234" s="14" t="n">
        <v>10.79</v>
      </c>
      <c r="Y234" s="14" t="n">
        <v>35.54</v>
      </c>
      <c r="Z234" s="16" t="n">
        <v>257207.1</v>
      </c>
      <c r="AA234" s="14" t="n">
        <v>4.11</v>
      </c>
      <c r="AB234" s="14" t="n">
        <v>0.95</v>
      </c>
      <c r="AC234" s="14" t="n">
        <v>0.09</v>
      </c>
      <c r="AD234" s="16" t="n">
        <v>16799214162.78</v>
      </c>
    </row>
    <row r="235" customFormat="false" ht="15.75" hidden="false" customHeight="false" outlineLevel="0" collapsed="false">
      <c r="A235" s="14" t="s">
        <v>266</v>
      </c>
      <c r="B235" s="14" t="n">
        <v>10.34</v>
      </c>
      <c r="D235" s="14" t="n">
        <v>-33.24</v>
      </c>
      <c r="E235" s="14" t="n">
        <v>4.24</v>
      </c>
      <c r="F235" s="14" t="n">
        <v>3.93</v>
      </c>
      <c r="G235" s="14" t="n">
        <v>33.01</v>
      </c>
      <c r="H235" s="14" t="n">
        <v>-71.6</v>
      </c>
      <c r="I235" s="14" t="n">
        <v>-69.84</v>
      </c>
      <c r="J235" s="14" t="n">
        <v>-32.43</v>
      </c>
      <c r="K235" s="14" t="n">
        <v>-24.18</v>
      </c>
      <c r="L235" s="14" t="n">
        <v>7.78</v>
      </c>
      <c r="M235" s="14" t="n">
        <v>-1.02</v>
      </c>
      <c r="N235" s="14" t="n">
        <v>23.22</v>
      </c>
      <c r="O235" s="14" t="n">
        <v>4.43</v>
      </c>
      <c r="P235" s="14" t="n">
        <v>-81.71</v>
      </c>
      <c r="Q235" s="14" t="n">
        <v>14.59</v>
      </c>
      <c r="R235" s="14" t="n">
        <v>-12.74</v>
      </c>
      <c r="S235" s="14" t="n">
        <v>-11.83</v>
      </c>
      <c r="T235" s="14" t="n">
        <v>-13.06</v>
      </c>
      <c r="U235" s="14" t="n">
        <v>0.93</v>
      </c>
      <c r="V235" s="14" t="n">
        <v>0.07</v>
      </c>
      <c r="W235" s="14" t="n">
        <v>0.17</v>
      </c>
      <c r="Z235" s="16" t="n">
        <v>19263802.76</v>
      </c>
      <c r="AA235" s="14" t="n">
        <v>2.44</v>
      </c>
      <c r="AB235" s="14" t="n">
        <v>-0.31</v>
      </c>
      <c r="AC235" s="14" t="n">
        <v>-0.17</v>
      </c>
      <c r="AD235" s="16" t="n">
        <v>2016150428.77</v>
      </c>
    </row>
    <row r="236" customFormat="false" ht="15.75" hidden="false" customHeight="false" outlineLevel="0" collapsed="false">
      <c r="A236" s="14" t="s">
        <v>267</v>
      </c>
      <c r="B236" s="14" t="n">
        <v>50.49</v>
      </c>
      <c r="C236" s="14" t="n">
        <v>2.59</v>
      </c>
      <c r="D236" s="14" t="n">
        <v>10.98</v>
      </c>
      <c r="E236" s="14" t="n">
        <v>2.61</v>
      </c>
      <c r="F236" s="14" t="n">
        <v>1.13</v>
      </c>
      <c r="G236" s="14" t="n">
        <v>32.88</v>
      </c>
      <c r="H236" s="14" t="n">
        <v>22.9</v>
      </c>
      <c r="I236" s="14" t="n">
        <v>17.54</v>
      </c>
      <c r="J236" s="14" t="n">
        <v>8.41</v>
      </c>
      <c r="L236" s="14" t="n">
        <v>0.87</v>
      </c>
      <c r="M236" s="14" t="n">
        <v>0.27</v>
      </c>
      <c r="N236" s="14" t="n">
        <v>1.93</v>
      </c>
      <c r="O236" s="14" t="n">
        <v>5.5</v>
      </c>
      <c r="P236" s="14" t="n">
        <v>-1.8</v>
      </c>
      <c r="Q236" s="14" t="n">
        <v>2.21</v>
      </c>
      <c r="R236" s="14" t="n">
        <v>23.8</v>
      </c>
      <c r="S236" s="14" t="n">
        <v>10.25</v>
      </c>
      <c r="T236" s="14" t="n">
        <v>15.51</v>
      </c>
      <c r="U236" s="14" t="n">
        <v>0.43</v>
      </c>
      <c r="V236" s="14" t="n">
        <v>0.57</v>
      </c>
      <c r="W236" s="14" t="n">
        <v>0.58</v>
      </c>
      <c r="X236" s="14" t="n">
        <v>8.44</v>
      </c>
      <c r="Y236" s="14" t="n">
        <v>15.47</v>
      </c>
      <c r="AA236" s="14" t="n">
        <v>19.32</v>
      </c>
      <c r="AB236" s="14" t="n">
        <v>4.6</v>
      </c>
      <c r="AC236" s="14" t="n">
        <v>0.76</v>
      </c>
    </row>
    <row r="237" customFormat="false" ht="15.75" hidden="false" customHeight="false" outlineLevel="0" collapsed="false">
      <c r="A237" s="14" t="s">
        <v>268</v>
      </c>
      <c r="B237" s="14" t="n">
        <v>83.99</v>
      </c>
      <c r="C237" s="14" t="n">
        <v>1.56</v>
      </c>
      <c r="D237" s="14" t="n">
        <v>18.27</v>
      </c>
      <c r="E237" s="14" t="n">
        <v>4.35</v>
      </c>
      <c r="F237" s="14" t="n">
        <v>1.87</v>
      </c>
      <c r="G237" s="14" t="n">
        <v>32.88</v>
      </c>
      <c r="H237" s="14" t="n">
        <v>22.9</v>
      </c>
      <c r="I237" s="14" t="n">
        <v>17.54</v>
      </c>
      <c r="J237" s="14" t="n">
        <v>13.99</v>
      </c>
      <c r="L237" s="14" t="n">
        <v>0.87</v>
      </c>
      <c r="M237" s="14" t="n">
        <v>0.27</v>
      </c>
      <c r="N237" s="14" t="n">
        <v>3.2</v>
      </c>
      <c r="O237" s="14" t="n">
        <v>9.14</v>
      </c>
      <c r="P237" s="14" t="n">
        <v>-2.99</v>
      </c>
      <c r="Q237" s="14" t="n">
        <v>2.21</v>
      </c>
      <c r="R237" s="14" t="n">
        <v>23.8</v>
      </c>
      <c r="S237" s="14" t="n">
        <v>10.25</v>
      </c>
      <c r="T237" s="14" t="n">
        <v>15.51</v>
      </c>
      <c r="U237" s="14" t="n">
        <v>0.43</v>
      </c>
      <c r="V237" s="14" t="n">
        <v>0.57</v>
      </c>
      <c r="W237" s="14" t="n">
        <v>0.58</v>
      </c>
      <c r="X237" s="14" t="n">
        <v>8.44</v>
      </c>
      <c r="Y237" s="14" t="n">
        <v>15.47</v>
      </c>
      <c r="AA237" s="14" t="n">
        <v>19.32</v>
      </c>
      <c r="AB237" s="14" t="n">
        <v>4.6</v>
      </c>
      <c r="AC237" s="14" t="n">
        <v>1.26</v>
      </c>
    </row>
    <row r="238" customFormat="false" ht="15.75" hidden="false" customHeight="false" outlineLevel="0" collapsed="false">
      <c r="A238" s="14" t="s">
        <v>269</v>
      </c>
      <c r="B238" s="14" t="n">
        <v>61.6</v>
      </c>
      <c r="C238" s="14" t="n">
        <v>3.91</v>
      </c>
      <c r="D238" s="14" t="n">
        <v>14.58</v>
      </c>
      <c r="E238" s="14" t="n">
        <v>5.05</v>
      </c>
      <c r="F238" s="14" t="n">
        <v>1.54</v>
      </c>
      <c r="G238" s="14" t="n">
        <v>25.68</v>
      </c>
      <c r="H238" s="14" t="n">
        <v>22.34</v>
      </c>
      <c r="I238" s="14" t="n">
        <v>17.08</v>
      </c>
      <c r="J238" s="14" t="n">
        <v>11.15</v>
      </c>
      <c r="K238" s="14" t="n">
        <v>13.64</v>
      </c>
      <c r="L238" s="14" t="n">
        <v>2.49</v>
      </c>
      <c r="M238" s="14" t="n">
        <v>1.13</v>
      </c>
      <c r="N238" s="14" t="n">
        <v>2.49</v>
      </c>
      <c r="O238" s="14" t="n">
        <v>15.57</v>
      </c>
      <c r="P238" s="14" t="n">
        <v>-2.28</v>
      </c>
      <c r="Q238" s="14" t="n">
        <v>1.44</v>
      </c>
      <c r="R238" s="14" t="n">
        <v>34.66</v>
      </c>
      <c r="S238" s="14" t="n">
        <v>10.57</v>
      </c>
      <c r="T238" s="14" t="n">
        <v>15.08</v>
      </c>
      <c r="U238" s="14" t="n">
        <v>0.31</v>
      </c>
      <c r="V238" s="14" t="n">
        <v>0.69</v>
      </c>
      <c r="W238" s="14" t="n">
        <v>0.62</v>
      </c>
      <c r="X238" s="14" t="n">
        <v>7.41</v>
      </c>
      <c r="Y238" s="14" t="n">
        <v>71.84</v>
      </c>
      <c r="Z238" s="16" t="n">
        <v>52318.24</v>
      </c>
      <c r="AA238" s="14" t="n">
        <v>12.19</v>
      </c>
      <c r="AB238" s="14" t="n">
        <v>4.23</v>
      </c>
      <c r="AC238" s="14" t="n">
        <v>0.18</v>
      </c>
      <c r="AD238" s="16" t="n">
        <v>13486823442.4</v>
      </c>
    </row>
    <row r="239" customFormat="false" ht="15.75" hidden="false" customHeight="false" outlineLevel="0" collapsed="false">
      <c r="A239" s="14" t="s">
        <v>270</v>
      </c>
      <c r="B239" s="14" t="n">
        <v>61.6</v>
      </c>
      <c r="C239" s="14" t="n">
        <v>3.91</v>
      </c>
      <c r="D239" s="14" t="n">
        <v>14.58</v>
      </c>
      <c r="E239" s="14" t="n">
        <v>5.05</v>
      </c>
      <c r="F239" s="14" t="n">
        <v>1.54</v>
      </c>
      <c r="G239" s="14" t="n">
        <v>25.68</v>
      </c>
      <c r="H239" s="14" t="n">
        <v>22.34</v>
      </c>
      <c r="I239" s="14" t="n">
        <v>17.08</v>
      </c>
      <c r="J239" s="14" t="n">
        <v>11.15</v>
      </c>
      <c r="K239" s="14" t="n">
        <v>13.64</v>
      </c>
      <c r="L239" s="14" t="n">
        <v>2.49</v>
      </c>
      <c r="M239" s="14" t="n">
        <v>1.13</v>
      </c>
      <c r="N239" s="14" t="n">
        <v>2.49</v>
      </c>
      <c r="O239" s="14" t="n">
        <v>15.57</v>
      </c>
      <c r="P239" s="14" t="n">
        <v>-2.28</v>
      </c>
      <c r="Q239" s="14" t="n">
        <v>1.44</v>
      </c>
      <c r="R239" s="14" t="n">
        <v>34.66</v>
      </c>
      <c r="S239" s="14" t="n">
        <v>10.57</v>
      </c>
      <c r="T239" s="14" t="n">
        <v>15.08</v>
      </c>
      <c r="U239" s="14" t="n">
        <v>0.31</v>
      </c>
      <c r="V239" s="14" t="n">
        <v>0.69</v>
      </c>
      <c r="W239" s="14" t="n">
        <v>0.62</v>
      </c>
      <c r="X239" s="14" t="n">
        <v>7.41</v>
      </c>
      <c r="Y239" s="14" t="n">
        <v>71.84</v>
      </c>
      <c r="Z239" s="16" t="n">
        <v>29534.57</v>
      </c>
      <c r="AA239" s="14" t="n">
        <v>12.19</v>
      </c>
      <c r="AB239" s="14" t="n">
        <v>4.23</v>
      </c>
      <c r="AC239" s="14" t="n">
        <v>0.18</v>
      </c>
      <c r="AD239" s="16" t="n">
        <v>13486823442.4</v>
      </c>
    </row>
    <row r="240" customFormat="false" ht="15.75" hidden="false" customHeight="false" outlineLevel="0" collapsed="false">
      <c r="A240" s="14" t="s">
        <v>271</v>
      </c>
      <c r="B240" s="14" t="n">
        <v>17.51</v>
      </c>
      <c r="D240" s="14" t="n">
        <v>9.27</v>
      </c>
      <c r="E240" s="14" t="n">
        <v>6.87</v>
      </c>
      <c r="F240" s="14" t="n">
        <v>1.33</v>
      </c>
      <c r="G240" s="14" t="n">
        <v>17.64</v>
      </c>
      <c r="H240" s="14" t="n">
        <v>9.15</v>
      </c>
      <c r="I240" s="14" t="n">
        <v>5.11</v>
      </c>
      <c r="J240" s="14" t="n">
        <v>5.17</v>
      </c>
      <c r="K240" s="14" t="n">
        <v>5.71</v>
      </c>
      <c r="L240" s="14" t="n">
        <v>0.25</v>
      </c>
      <c r="M240" s="14" t="n">
        <v>0.33</v>
      </c>
      <c r="N240" s="14" t="n">
        <v>0.47</v>
      </c>
      <c r="O240" s="14" t="n">
        <v>17.13</v>
      </c>
      <c r="P240" s="14" t="n">
        <v>-2.87</v>
      </c>
      <c r="Q240" s="14" t="n">
        <v>1.17</v>
      </c>
      <c r="R240" s="14" t="n">
        <v>74.12</v>
      </c>
      <c r="S240" s="14" t="n">
        <v>14.37</v>
      </c>
      <c r="T240" s="14" t="n">
        <v>51.78</v>
      </c>
      <c r="U240" s="14" t="n">
        <v>0.19</v>
      </c>
      <c r="V240" s="14" t="n">
        <v>0.81</v>
      </c>
      <c r="W240" s="14" t="n">
        <v>2.81</v>
      </c>
      <c r="X240" s="14" t="n">
        <v>5.92</v>
      </c>
      <c r="Y240" s="14" t="n">
        <v>-24.36</v>
      </c>
      <c r="Z240" s="16" t="n">
        <v>422812.17</v>
      </c>
      <c r="AA240" s="14" t="n">
        <v>2.55</v>
      </c>
      <c r="AB240" s="14" t="n">
        <v>1.89</v>
      </c>
      <c r="AC240" s="14" t="n">
        <v>0.04</v>
      </c>
      <c r="AD240" s="16" t="n">
        <v>274771902.32</v>
      </c>
    </row>
    <row r="241" customFormat="false" ht="15.75" hidden="false" customHeight="false" outlineLevel="0" collapsed="false">
      <c r="A241" s="14" t="s">
        <v>272</v>
      </c>
      <c r="B241" s="14" t="n">
        <v>5.55</v>
      </c>
      <c r="C241" s="14" t="n">
        <v>5.41</v>
      </c>
      <c r="D241" s="14" t="n">
        <v>16.72</v>
      </c>
      <c r="E241" s="14" t="n">
        <v>3.52</v>
      </c>
      <c r="F241" s="14" t="n">
        <v>0.97</v>
      </c>
      <c r="G241" s="14" t="n">
        <v>30.02</v>
      </c>
      <c r="H241" s="14" t="n">
        <v>19.46</v>
      </c>
      <c r="I241" s="14" t="n">
        <v>11.97</v>
      </c>
      <c r="J241" s="14" t="n">
        <v>10.29</v>
      </c>
      <c r="K241" s="14" t="n">
        <v>11.48</v>
      </c>
      <c r="L241" s="14" t="n">
        <v>1.34</v>
      </c>
      <c r="M241" s="14" t="n">
        <v>0.46</v>
      </c>
      <c r="N241" s="14" t="n">
        <v>2</v>
      </c>
      <c r="O241" s="14" t="n">
        <v>4.37</v>
      </c>
      <c r="P241" s="14" t="n">
        <v>-1.72</v>
      </c>
      <c r="Q241" s="14" t="n">
        <v>2.06</v>
      </c>
      <c r="R241" s="14" t="n">
        <v>21.06</v>
      </c>
      <c r="S241" s="14" t="n">
        <v>5.82</v>
      </c>
      <c r="T241" s="14" t="n">
        <v>12.4</v>
      </c>
      <c r="U241" s="14" t="n">
        <v>0.28</v>
      </c>
      <c r="V241" s="14" t="n">
        <v>0.72</v>
      </c>
      <c r="W241" s="14" t="n">
        <v>0.49</v>
      </c>
      <c r="X241" s="14" t="n">
        <v>7.01</v>
      </c>
      <c r="Y241" s="14" t="n">
        <v>6.67</v>
      </c>
      <c r="Z241" s="16" t="n">
        <v>319316.27</v>
      </c>
      <c r="AA241" s="14" t="n">
        <v>1.58</v>
      </c>
      <c r="AB241" s="14" t="n">
        <v>0.33</v>
      </c>
      <c r="AC241" s="14" t="n">
        <v>0.43</v>
      </c>
      <c r="AD241" s="16" t="n">
        <v>12083900336.98</v>
      </c>
    </row>
    <row r="242" customFormat="false" ht="15.75" hidden="false" customHeight="false" outlineLevel="0" collapsed="false">
      <c r="A242" s="14" t="s">
        <v>273</v>
      </c>
      <c r="B242" s="14" t="n">
        <v>10</v>
      </c>
      <c r="C242" s="14" t="n">
        <v>3</v>
      </c>
      <c r="D242" s="14" t="n">
        <v>30.12</v>
      </c>
      <c r="E242" s="14" t="n">
        <v>6.34</v>
      </c>
      <c r="F242" s="14" t="n">
        <v>1.75</v>
      </c>
      <c r="G242" s="14" t="n">
        <v>30.02</v>
      </c>
      <c r="H242" s="14" t="n">
        <v>19.46</v>
      </c>
      <c r="I242" s="14" t="n">
        <v>11.97</v>
      </c>
      <c r="J242" s="14" t="n">
        <v>18.54</v>
      </c>
      <c r="K242" s="14" t="n">
        <v>11.48</v>
      </c>
      <c r="L242" s="14" t="n">
        <v>1.34</v>
      </c>
      <c r="M242" s="14" t="n">
        <v>0.46</v>
      </c>
      <c r="N242" s="14" t="n">
        <v>3.61</v>
      </c>
      <c r="O242" s="14" t="n">
        <v>7.87</v>
      </c>
      <c r="P242" s="14" t="n">
        <v>-3.09</v>
      </c>
      <c r="Q242" s="14" t="n">
        <v>2.06</v>
      </c>
      <c r="R242" s="14" t="n">
        <v>21.06</v>
      </c>
      <c r="S242" s="14" t="n">
        <v>5.82</v>
      </c>
      <c r="T242" s="14" t="n">
        <v>12.4</v>
      </c>
      <c r="U242" s="14" t="n">
        <v>0.28</v>
      </c>
      <c r="V242" s="14" t="n">
        <v>0.72</v>
      </c>
      <c r="W242" s="14" t="n">
        <v>0.49</v>
      </c>
      <c r="X242" s="14" t="n">
        <v>7.01</v>
      </c>
      <c r="Y242" s="14" t="n">
        <v>6.67</v>
      </c>
      <c r="Z242" s="16" t="n">
        <v>70554.63</v>
      </c>
      <c r="AA242" s="14" t="n">
        <v>1.58</v>
      </c>
      <c r="AB242" s="14" t="n">
        <v>0.33</v>
      </c>
      <c r="AC242" s="14" t="n">
        <v>0.77</v>
      </c>
      <c r="AD242" s="16" t="n">
        <v>12083900336.98</v>
      </c>
    </row>
    <row r="243" customFormat="false" ht="15.75" hidden="false" customHeight="false" outlineLevel="0" collapsed="false">
      <c r="A243" s="14" t="s">
        <v>274</v>
      </c>
      <c r="B243" s="14" t="n">
        <v>10.48</v>
      </c>
      <c r="C243" s="14" t="n">
        <v>2.86</v>
      </c>
      <c r="D243" s="14" t="n">
        <v>31.57</v>
      </c>
      <c r="E243" s="14" t="n">
        <v>6.65</v>
      </c>
      <c r="F243" s="14" t="n">
        <v>1.84</v>
      </c>
      <c r="G243" s="14" t="n">
        <v>30.02</v>
      </c>
      <c r="H243" s="14" t="n">
        <v>19.46</v>
      </c>
      <c r="I243" s="14" t="n">
        <v>11.97</v>
      </c>
      <c r="J243" s="14" t="n">
        <v>19.43</v>
      </c>
      <c r="K243" s="14" t="n">
        <v>11.48</v>
      </c>
      <c r="L243" s="14" t="n">
        <v>1.34</v>
      </c>
      <c r="M243" s="14" t="n">
        <v>0.46</v>
      </c>
      <c r="N243" s="14" t="n">
        <v>3.78</v>
      </c>
      <c r="O243" s="14" t="n">
        <v>8.25</v>
      </c>
      <c r="P243" s="14" t="n">
        <v>-3.24</v>
      </c>
      <c r="Q243" s="14" t="n">
        <v>2.06</v>
      </c>
      <c r="R243" s="14" t="n">
        <v>21.06</v>
      </c>
      <c r="S243" s="14" t="n">
        <v>5.82</v>
      </c>
      <c r="T243" s="14" t="n">
        <v>12.4</v>
      </c>
      <c r="U243" s="14" t="n">
        <v>0.28</v>
      </c>
      <c r="V243" s="14" t="n">
        <v>0.72</v>
      </c>
      <c r="W243" s="14" t="n">
        <v>0.49</v>
      </c>
      <c r="X243" s="14" t="n">
        <v>7.01</v>
      </c>
      <c r="Y243" s="14" t="n">
        <v>6.67</v>
      </c>
      <c r="AA243" s="14" t="n">
        <v>1.58</v>
      </c>
      <c r="AB243" s="14" t="n">
        <v>0.33</v>
      </c>
      <c r="AC243" s="14" t="n">
        <v>0.81</v>
      </c>
      <c r="AD243" s="16" t="n">
        <v>12083900336.98</v>
      </c>
    </row>
    <row r="244" customFormat="false" ht="15.75" hidden="false" customHeight="false" outlineLevel="0" collapsed="false">
      <c r="A244" s="14" t="s">
        <v>275</v>
      </c>
      <c r="B244" s="14" t="n">
        <v>7.99</v>
      </c>
      <c r="C244" s="14" t="n">
        <v>3.75</v>
      </c>
      <c r="D244" s="14" t="n">
        <v>24.07</v>
      </c>
      <c r="E244" s="14" t="n">
        <v>5.07</v>
      </c>
      <c r="F244" s="14" t="n">
        <v>1.4</v>
      </c>
      <c r="G244" s="14" t="n">
        <v>30.02</v>
      </c>
      <c r="H244" s="14" t="n">
        <v>19.46</v>
      </c>
      <c r="I244" s="14" t="n">
        <v>11.97</v>
      </c>
      <c r="J244" s="14" t="n">
        <v>14.81</v>
      </c>
      <c r="K244" s="14" t="n">
        <v>11.48</v>
      </c>
      <c r="L244" s="14" t="n">
        <v>1.34</v>
      </c>
      <c r="M244" s="14" t="n">
        <v>0.46</v>
      </c>
      <c r="N244" s="14" t="n">
        <v>2.88</v>
      </c>
      <c r="O244" s="14" t="n">
        <v>6.29</v>
      </c>
      <c r="P244" s="14" t="n">
        <v>-2.47</v>
      </c>
      <c r="Q244" s="14" t="n">
        <v>2.06</v>
      </c>
      <c r="R244" s="14" t="n">
        <v>21.06</v>
      </c>
      <c r="S244" s="14" t="n">
        <v>5.82</v>
      </c>
      <c r="T244" s="14" t="n">
        <v>12.4</v>
      </c>
      <c r="U244" s="14" t="n">
        <v>0.28</v>
      </c>
      <c r="V244" s="14" t="n">
        <v>0.72</v>
      </c>
      <c r="W244" s="14" t="n">
        <v>0.49</v>
      </c>
      <c r="X244" s="14" t="n">
        <v>7.01</v>
      </c>
      <c r="Y244" s="14" t="n">
        <v>6.67</v>
      </c>
      <c r="Z244" s="16" t="n">
        <v>34357.56</v>
      </c>
      <c r="AA244" s="14" t="n">
        <v>1.58</v>
      </c>
      <c r="AB244" s="14" t="n">
        <v>0.33</v>
      </c>
      <c r="AC244" s="14" t="n">
        <v>0.62</v>
      </c>
      <c r="AD244" s="16" t="n">
        <v>12083900336.98</v>
      </c>
    </row>
    <row r="245" customFormat="false" ht="15.75" hidden="false" customHeight="false" outlineLevel="0" collapsed="false">
      <c r="A245" s="14" t="s">
        <v>276</v>
      </c>
      <c r="B245" s="14" t="n">
        <v>24.81</v>
      </c>
      <c r="C245" s="14" t="n">
        <v>4.19</v>
      </c>
      <c r="D245" s="14" t="n">
        <v>8.69</v>
      </c>
      <c r="E245" s="14" t="n">
        <v>2.47</v>
      </c>
      <c r="F245" s="14" t="n">
        <v>0.59</v>
      </c>
      <c r="G245" s="14" t="n">
        <v>33.08</v>
      </c>
      <c r="H245" s="14" t="n">
        <v>26.03</v>
      </c>
      <c r="I245" s="14" t="n">
        <v>16.21</v>
      </c>
      <c r="J245" s="14" t="n">
        <v>5.41</v>
      </c>
      <c r="K245" s="14" t="n">
        <v>7.64</v>
      </c>
      <c r="L245" s="14" t="n">
        <v>2.21</v>
      </c>
      <c r="M245" s="14" t="n">
        <v>1.01</v>
      </c>
      <c r="N245" s="14" t="n">
        <v>1.41</v>
      </c>
      <c r="O245" s="14" t="n">
        <v>3.55</v>
      </c>
      <c r="P245" s="14" t="n">
        <v>-0.89</v>
      </c>
      <c r="Q245" s="14" t="n">
        <v>2</v>
      </c>
      <c r="R245" s="14" t="n">
        <v>28.37</v>
      </c>
      <c r="S245" s="14" t="n">
        <v>6.83</v>
      </c>
      <c r="T245" s="14" t="n">
        <v>13.32</v>
      </c>
      <c r="U245" s="14" t="n">
        <v>0.24</v>
      </c>
      <c r="V245" s="14" t="n">
        <v>0.71</v>
      </c>
      <c r="W245" s="14" t="n">
        <v>0.42</v>
      </c>
      <c r="X245" s="14" t="n">
        <v>19.79</v>
      </c>
      <c r="Y245" s="14" t="n">
        <v>29.14</v>
      </c>
      <c r="Z245" s="16" t="n">
        <v>152726275.8</v>
      </c>
      <c r="AA245" s="14" t="n">
        <v>10.07</v>
      </c>
      <c r="AB245" s="14" t="n">
        <v>2.86</v>
      </c>
      <c r="AC245" s="14" t="n">
        <v>0.94</v>
      </c>
      <c r="AD245" s="16" t="n">
        <v>25171831127.35</v>
      </c>
    </row>
    <row r="246" customFormat="false" ht="15.75" hidden="false" customHeight="false" outlineLevel="0" collapsed="false">
      <c r="A246" s="14" t="s">
        <v>277</v>
      </c>
      <c r="B246" s="14" t="n">
        <v>18.77</v>
      </c>
      <c r="C246" s="14" t="n">
        <v>0.32</v>
      </c>
      <c r="D246" s="14" t="n">
        <v>43.53</v>
      </c>
      <c r="E246" s="14" t="n">
        <v>7.05</v>
      </c>
      <c r="F246" s="14" t="n">
        <v>2.79</v>
      </c>
      <c r="G246" s="14" t="n">
        <v>45.65</v>
      </c>
      <c r="H246" s="14" t="n">
        <v>16.41</v>
      </c>
      <c r="I246" s="14" t="n">
        <v>19.05</v>
      </c>
      <c r="J246" s="14" t="n">
        <v>50.54</v>
      </c>
      <c r="K246" s="14" t="n">
        <v>53.81</v>
      </c>
      <c r="L246" s="14" t="n">
        <v>2.54</v>
      </c>
      <c r="M246" s="14" t="n">
        <v>0.35</v>
      </c>
      <c r="N246" s="14" t="n">
        <v>8.29</v>
      </c>
      <c r="O246" s="14" t="n">
        <v>10.98</v>
      </c>
      <c r="P246" s="14" t="n">
        <v>-6.83</v>
      </c>
      <c r="Q246" s="14" t="n">
        <v>1.75</v>
      </c>
      <c r="R246" s="14" t="n">
        <v>16.21</v>
      </c>
      <c r="S246" s="14" t="n">
        <v>6.4</v>
      </c>
      <c r="T246" s="14" t="n">
        <v>1.74</v>
      </c>
      <c r="U246" s="14" t="n">
        <v>0.4</v>
      </c>
      <c r="V246" s="14" t="n">
        <v>0.61</v>
      </c>
      <c r="W246" s="14" t="n">
        <v>0.34</v>
      </c>
      <c r="Z246" s="16" t="n">
        <v>29236660.9</v>
      </c>
      <c r="AA246" s="14" t="n">
        <v>2.64</v>
      </c>
      <c r="AB246" s="14" t="n">
        <v>0.43</v>
      </c>
      <c r="AC246" s="14" t="n">
        <v>0.91</v>
      </c>
      <c r="AD246" s="16" t="n">
        <v>4611167486.08</v>
      </c>
    </row>
    <row r="247" customFormat="false" ht="15.75" hidden="false" customHeight="false" outlineLevel="0" collapsed="false">
      <c r="A247" s="14" t="s">
        <v>278</v>
      </c>
      <c r="B247" s="14" t="n">
        <v>17.8</v>
      </c>
      <c r="D247" s="14" t="n">
        <v>-0.74</v>
      </c>
      <c r="E247" s="14" t="n">
        <v>-0.03</v>
      </c>
      <c r="F247" s="14" t="n">
        <v>0.06</v>
      </c>
      <c r="G247" s="14" t="n">
        <v>50.1</v>
      </c>
      <c r="H247" s="14" t="n">
        <v>9.71</v>
      </c>
      <c r="I247" s="14" t="n">
        <v>-13.23</v>
      </c>
      <c r="J247" s="14" t="n">
        <v>1.01</v>
      </c>
      <c r="K247" s="14" t="n">
        <v>6.52</v>
      </c>
      <c r="L247" s="14" t="n">
        <v>3.82</v>
      </c>
      <c r="N247" s="14" t="n">
        <v>0.1</v>
      </c>
      <c r="O247" s="14" t="n">
        <v>-0.03</v>
      </c>
      <c r="P247" s="14" t="n">
        <v>-0.12</v>
      </c>
      <c r="Q247" s="14" t="n">
        <v>0.19</v>
      </c>
      <c r="R247" s="14" t="n">
        <v>-3.84</v>
      </c>
      <c r="S247" s="14" t="n">
        <v>-8.29</v>
      </c>
      <c r="T247" s="14" t="n">
        <v>-3.22</v>
      </c>
      <c r="U247" s="14" t="n">
        <v>-2.16</v>
      </c>
      <c r="V247" s="14" t="n">
        <v>3.16</v>
      </c>
      <c r="W247" s="14" t="n">
        <v>0.63</v>
      </c>
      <c r="X247" s="14" t="n">
        <v>-3.9</v>
      </c>
      <c r="AA247" s="14" t="n">
        <v>-623</v>
      </c>
      <c r="AB247" s="14" t="n">
        <v>-23.94</v>
      </c>
      <c r="AC247" s="14" t="n">
        <v>0.02</v>
      </c>
      <c r="AD247" s="16" t="n">
        <v>38261900</v>
      </c>
    </row>
    <row r="248" customFormat="false" ht="15.75" hidden="false" customHeight="false" outlineLevel="0" collapsed="false">
      <c r="A248" s="14" t="s">
        <v>279</v>
      </c>
      <c r="B248" s="14" t="n">
        <v>62.1</v>
      </c>
      <c r="D248" s="14" t="n">
        <v>-2.59</v>
      </c>
      <c r="E248" s="14" t="n">
        <v>-0.1</v>
      </c>
      <c r="F248" s="14" t="n">
        <v>0.22</v>
      </c>
      <c r="G248" s="14" t="n">
        <v>50.1</v>
      </c>
      <c r="H248" s="14" t="n">
        <v>9.71</v>
      </c>
      <c r="I248" s="14" t="n">
        <v>-13.23</v>
      </c>
      <c r="J248" s="14" t="n">
        <v>3.54</v>
      </c>
      <c r="K248" s="14" t="n">
        <v>6.52</v>
      </c>
      <c r="L248" s="14" t="n">
        <v>3.82</v>
      </c>
      <c r="N248" s="14" t="n">
        <v>0.34</v>
      </c>
      <c r="O248" s="14" t="n">
        <v>-0.1</v>
      </c>
      <c r="P248" s="14" t="n">
        <v>-0.43</v>
      </c>
      <c r="Q248" s="14" t="n">
        <v>0.19</v>
      </c>
      <c r="R248" s="14" t="n">
        <v>-3.84</v>
      </c>
      <c r="S248" s="14" t="n">
        <v>-8.29</v>
      </c>
      <c r="T248" s="14" t="n">
        <v>-3.22</v>
      </c>
      <c r="U248" s="14" t="n">
        <v>-2.16</v>
      </c>
      <c r="V248" s="14" t="n">
        <v>3.16</v>
      </c>
      <c r="W248" s="14" t="n">
        <v>0.63</v>
      </c>
      <c r="X248" s="14" t="n">
        <v>-3.9</v>
      </c>
      <c r="Z248" s="16" t="n">
        <v>46707.5</v>
      </c>
      <c r="AA248" s="14" t="n">
        <v>-623</v>
      </c>
      <c r="AB248" s="14" t="n">
        <v>-23.94</v>
      </c>
      <c r="AC248" s="14" t="n">
        <v>0.06</v>
      </c>
      <c r="AD248" s="16" t="n">
        <v>38261900</v>
      </c>
    </row>
    <row r="249" customFormat="false" ht="15.75" hidden="false" customHeight="false" outlineLevel="0" collapsed="false">
      <c r="A249" s="14" t="s">
        <v>280</v>
      </c>
      <c r="B249" s="14" t="n">
        <v>22.56</v>
      </c>
      <c r="D249" s="14" t="n">
        <v>6</v>
      </c>
      <c r="E249" s="14" t="n">
        <v>5.09</v>
      </c>
      <c r="F249" s="14" t="n">
        <v>1.67</v>
      </c>
      <c r="G249" s="14" t="n">
        <v>39.03</v>
      </c>
      <c r="H249" s="14" t="n">
        <v>32.79</v>
      </c>
      <c r="I249" s="14" t="n">
        <v>27.62</v>
      </c>
      <c r="J249" s="14" t="n">
        <v>5.05</v>
      </c>
      <c r="K249" s="14" t="n">
        <v>4.53</v>
      </c>
      <c r="L249" s="14" t="n">
        <v>-0.54</v>
      </c>
      <c r="M249" s="14" t="n">
        <v>-0.54</v>
      </c>
      <c r="N249" s="14" t="n">
        <v>1.66</v>
      </c>
      <c r="O249" s="14" t="n">
        <v>4.47</v>
      </c>
      <c r="P249" s="14" t="n">
        <v>-5.27</v>
      </c>
      <c r="Q249" s="14" t="n">
        <v>2.2</v>
      </c>
      <c r="R249" s="14" t="n">
        <v>84.89</v>
      </c>
      <c r="S249" s="14" t="n">
        <v>27.82</v>
      </c>
      <c r="T249" s="14" t="n">
        <v>64.05</v>
      </c>
      <c r="U249" s="14" t="n">
        <v>0.33</v>
      </c>
      <c r="V249" s="14" t="n">
        <v>0.67</v>
      </c>
      <c r="W249" s="14" t="n">
        <v>1.01</v>
      </c>
      <c r="X249" s="14" t="n">
        <v>-6.86</v>
      </c>
      <c r="Y249" s="14" t="n">
        <v>40.09</v>
      </c>
      <c r="Z249" s="16" t="n">
        <v>91301962.02</v>
      </c>
      <c r="AA249" s="14" t="n">
        <v>4.42</v>
      </c>
      <c r="AB249" s="14" t="n">
        <v>3.76</v>
      </c>
      <c r="AC249" s="14" t="n">
        <v>0</v>
      </c>
      <c r="AD249" s="16" t="n">
        <v>1394915063.5</v>
      </c>
    </row>
    <row r="250" customFormat="false" ht="15.75" hidden="false" customHeight="false" outlineLevel="0" collapsed="false">
      <c r="A250" s="14" t="s">
        <v>281</v>
      </c>
      <c r="B250" s="14" t="n">
        <v>21.5</v>
      </c>
      <c r="C250" s="14" t="n">
        <v>1.73</v>
      </c>
      <c r="D250" s="14" t="n">
        <v>13.81</v>
      </c>
      <c r="E250" s="14" t="n">
        <v>1.29</v>
      </c>
      <c r="F250" s="14" t="n">
        <v>0.72</v>
      </c>
      <c r="G250" s="14" t="n">
        <v>32.7</v>
      </c>
      <c r="H250" s="14" t="n">
        <v>12.1</v>
      </c>
      <c r="I250" s="14" t="n">
        <v>7.36</v>
      </c>
      <c r="J250" s="14" t="n">
        <v>8.4</v>
      </c>
      <c r="K250" s="14" t="n">
        <v>7.26</v>
      </c>
      <c r="L250" s="14" t="n">
        <v>1.8</v>
      </c>
      <c r="M250" s="14" t="n">
        <v>0.28</v>
      </c>
      <c r="N250" s="14" t="n">
        <v>1.02</v>
      </c>
      <c r="O250" s="14" t="n">
        <v>8.14</v>
      </c>
      <c r="P250" s="14" t="n">
        <v>-1.11</v>
      </c>
      <c r="Q250" s="14" t="n">
        <v>1.33</v>
      </c>
      <c r="R250" s="14" t="n">
        <v>9.32</v>
      </c>
      <c r="S250" s="14" t="n">
        <v>5.19</v>
      </c>
      <c r="T250" s="14" t="n">
        <v>7.44</v>
      </c>
      <c r="U250" s="14" t="n">
        <v>0.56</v>
      </c>
      <c r="V250" s="14" t="n">
        <v>0.44</v>
      </c>
      <c r="W250" s="14" t="n">
        <v>0.71</v>
      </c>
      <c r="X250" s="14" t="n">
        <v>9.47</v>
      </c>
      <c r="Y250" s="14" t="n">
        <v>68.84</v>
      </c>
      <c r="Z250" s="16" t="n">
        <v>104650.88</v>
      </c>
      <c r="AA250" s="14" t="n">
        <v>16.7</v>
      </c>
      <c r="AB250" s="14" t="n">
        <v>1.56</v>
      </c>
      <c r="AC250" s="14" t="n">
        <v>0.12</v>
      </c>
      <c r="AD250" s="16" t="n">
        <v>1294246727.84</v>
      </c>
    </row>
    <row r="251" customFormat="false" ht="15.75" hidden="false" customHeight="false" outlineLevel="0" collapsed="false">
      <c r="A251" s="14" t="s">
        <v>282</v>
      </c>
      <c r="B251" s="14" t="n">
        <v>10.11</v>
      </c>
      <c r="C251" s="14" t="n">
        <v>4.05</v>
      </c>
      <c r="D251" s="14" t="n">
        <v>6.49</v>
      </c>
      <c r="E251" s="14" t="n">
        <v>0.61</v>
      </c>
      <c r="F251" s="14" t="n">
        <v>0.34</v>
      </c>
      <c r="G251" s="14" t="n">
        <v>32.7</v>
      </c>
      <c r="H251" s="14" t="n">
        <v>12.1</v>
      </c>
      <c r="I251" s="14" t="n">
        <v>7.36</v>
      </c>
      <c r="J251" s="14" t="n">
        <v>3.95</v>
      </c>
      <c r="K251" s="14" t="n">
        <v>7.26</v>
      </c>
      <c r="L251" s="14" t="n">
        <v>1.8</v>
      </c>
      <c r="M251" s="14" t="n">
        <v>0.28</v>
      </c>
      <c r="N251" s="14" t="n">
        <v>0.48</v>
      </c>
      <c r="O251" s="14" t="n">
        <v>3.83</v>
      </c>
      <c r="P251" s="14" t="n">
        <v>-0.52</v>
      </c>
      <c r="Q251" s="14" t="n">
        <v>1.33</v>
      </c>
      <c r="R251" s="14" t="n">
        <v>9.32</v>
      </c>
      <c r="S251" s="14" t="n">
        <v>5.19</v>
      </c>
      <c r="T251" s="14" t="n">
        <v>7.44</v>
      </c>
      <c r="U251" s="14" t="n">
        <v>0.56</v>
      </c>
      <c r="V251" s="14" t="n">
        <v>0.44</v>
      </c>
      <c r="W251" s="14" t="n">
        <v>0.71</v>
      </c>
      <c r="X251" s="14" t="n">
        <v>9.47</v>
      </c>
      <c r="Y251" s="14" t="n">
        <v>68.84</v>
      </c>
      <c r="Z251" s="16" t="n">
        <v>3359199.46</v>
      </c>
      <c r="AA251" s="14" t="n">
        <v>16.7</v>
      </c>
      <c r="AB251" s="14" t="n">
        <v>1.56</v>
      </c>
      <c r="AC251" s="14" t="n">
        <v>0.05</v>
      </c>
      <c r="AD251" s="16" t="n">
        <v>1294246727.84</v>
      </c>
    </row>
    <row r="252" customFormat="false" ht="15.75" hidden="false" customHeight="false" outlineLevel="0" collapsed="false">
      <c r="A252" s="14" t="s">
        <v>283</v>
      </c>
      <c r="B252" s="14" t="n">
        <v>10.22</v>
      </c>
      <c r="C252" s="14" t="n">
        <v>7.38</v>
      </c>
      <c r="D252" s="14" t="n">
        <v>35.11</v>
      </c>
      <c r="E252" s="14" t="n">
        <v>1.19</v>
      </c>
      <c r="F252" s="14" t="n">
        <v>0.38</v>
      </c>
      <c r="G252" s="14" t="n">
        <v>28.5</v>
      </c>
      <c r="H252" s="14" t="n">
        <v>17.09</v>
      </c>
      <c r="I252" s="14" t="n">
        <v>3.18</v>
      </c>
      <c r="J252" s="14" t="n">
        <v>6.54</v>
      </c>
      <c r="K252" s="14" t="n">
        <v>3.41</v>
      </c>
      <c r="L252" s="14" t="n">
        <v>-3.1</v>
      </c>
      <c r="M252" s="14" t="n">
        <v>-0.56</v>
      </c>
      <c r="N252" s="14" t="n">
        <v>1.12</v>
      </c>
      <c r="O252" s="14" t="n">
        <v>0.83</v>
      </c>
      <c r="P252" s="14" t="n">
        <v>-1.79</v>
      </c>
      <c r="Q252" s="14" t="n">
        <v>2.43</v>
      </c>
      <c r="R252" s="14" t="n">
        <v>3.39</v>
      </c>
      <c r="S252" s="14" t="n">
        <v>1.09</v>
      </c>
      <c r="T252" s="14" t="n">
        <v>9.75</v>
      </c>
      <c r="U252" s="14" t="n">
        <v>0.32</v>
      </c>
      <c r="V252" s="14" t="n">
        <v>0.54</v>
      </c>
      <c r="W252" s="14" t="n">
        <v>0.34</v>
      </c>
      <c r="X252" s="14" t="n">
        <v>-5.4</v>
      </c>
      <c r="Y252" s="14" t="n">
        <v>-18.59</v>
      </c>
      <c r="Z252" s="16" t="n">
        <v>14203093.9</v>
      </c>
      <c r="AA252" s="14" t="n">
        <v>8.62</v>
      </c>
      <c r="AB252" s="14" t="n">
        <v>0.29</v>
      </c>
      <c r="AC252" s="14" t="n">
        <v>-0.85</v>
      </c>
      <c r="AD252" s="16" t="n">
        <v>2166640000</v>
      </c>
    </row>
    <row r="253" customFormat="false" ht="15.75" hidden="false" customHeight="false" outlineLevel="0" collapsed="false">
      <c r="A253" s="14" t="s">
        <v>284</v>
      </c>
      <c r="B253" s="14" t="n">
        <v>30.77</v>
      </c>
      <c r="C253" s="14" t="n">
        <v>1.38</v>
      </c>
      <c r="D253" s="14" t="n">
        <v>17.46</v>
      </c>
      <c r="E253" s="14" t="n">
        <v>1.69</v>
      </c>
      <c r="F253" s="14" t="n">
        <v>1.46</v>
      </c>
      <c r="G253" s="14" t="n">
        <v>43.61</v>
      </c>
      <c r="H253" s="14" t="n">
        <v>28.91</v>
      </c>
      <c r="I253" s="14" t="n">
        <v>45.4</v>
      </c>
      <c r="J253" s="14" t="n">
        <v>27.42</v>
      </c>
      <c r="K253" s="14" t="n">
        <v>23.26</v>
      </c>
      <c r="L253" s="14" t="n">
        <v>-4.16</v>
      </c>
      <c r="M253" s="14" t="n">
        <v>-0.26</v>
      </c>
      <c r="N253" s="14" t="n">
        <v>7.93</v>
      </c>
      <c r="O253" s="14" t="n">
        <v>3.68</v>
      </c>
      <c r="P253" s="14" t="n">
        <v>-2.76</v>
      </c>
      <c r="Q253" s="14" t="n">
        <v>6.23</v>
      </c>
      <c r="R253" s="14" t="n">
        <v>9.66</v>
      </c>
      <c r="S253" s="14" t="n">
        <v>8.34</v>
      </c>
      <c r="T253" s="14" t="n">
        <v>5.59</v>
      </c>
      <c r="U253" s="14" t="n">
        <v>0.86</v>
      </c>
      <c r="V253" s="14" t="n">
        <v>0.12</v>
      </c>
      <c r="W253" s="14" t="n">
        <v>0.18</v>
      </c>
      <c r="X253" s="14" t="n">
        <v>2.84</v>
      </c>
      <c r="Y253" s="14" t="n">
        <v>-1.36</v>
      </c>
      <c r="Z253" s="16" t="n">
        <v>84728813</v>
      </c>
      <c r="AA253" s="14" t="n">
        <v>18.26</v>
      </c>
      <c r="AB253" s="14" t="n">
        <v>1.76</v>
      </c>
      <c r="AC253" s="14" t="n">
        <v>1.01</v>
      </c>
      <c r="AD253" s="16" t="n">
        <v>6991600000</v>
      </c>
    </row>
    <row r="254" customFormat="false" ht="15.75" hidden="false" customHeight="false" outlineLevel="0" collapsed="false">
      <c r="A254" s="14" t="s">
        <v>285</v>
      </c>
      <c r="B254" s="14" t="n">
        <v>0</v>
      </c>
      <c r="D254" s="14" t="n">
        <v>0</v>
      </c>
      <c r="E254" s="14" t="n">
        <v>0</v>
      </c>
      <c r="F254" s="14" t="n">
        <v>0</v>
      </c>
      <c r="G254" s="14" t="n">
        <v>-60.76</v>
      </c>
      <c r="H254" s="14" t="n">
        <v>-92.67</v>
      </c>
      <c r="I254" s="14" t="n">
        <v>-101.97</v>
      </c>
      <c r="J254" s="14" t="n">
        <v>0</v>
      </c>
      <c r="K254" s="14" t="n">
        <v>-0.74</v>
      </c>
      <c r="L254" s="14" t="n">
        <v>-0.67</v>
      </c>
      <c r="N254" s="14" t="n">
        <v>0</v>
      </c>
      <c r="O254" s="14" t="n">
        <v>0</v>
      </c>
      <c r="P254" s="14" t="n">
        <v>0</v>
      </c>
      <c r="Q254" s="14" t="n">
        <v>0.31</v>
      </c>
      <c r="R254" s="14" t="n">
        <v>-24.19</v>
      </c>
      <c r="S254" s="14" t="n">
        <v>-36.57</v>
      </c>
      <c r="T254" s="14" t="n">
        <v>25.82</v>
      </c>
      <c r="U254" s="14" t="n">
        <v>-1.51</v>
      </c>
      <c r="V254" s="14" t="n">
        <v>2.51</v>
      </c>
      <c r="W254" s="14" t="n">
        <v>0.36</v>
      </c>
      <c r="X254" s="14" t="n">
        <v>-18.14</v>
      </c>
      <c r="AA254" s="14" t="n">
        <v>-87.48</v>
      </c>
      <c r="AB254" s="14" t="n">
        <v>-21.16</v>
      </c>
      <c r="AC254" s="14" t="n">
        <v>0</v>
      </c>
      <c r="AD254" s="16" t="n">
        <v>904253.84</v>
      </c>
    </row>
    <row r="255" customFormat="false" ht="15.75" hidden="false" customHeight="false" outlineLevel="0" collapsed="false">
      <c r="A255" s="14" t="s">
        <v>286</v>
      </c>
      <c r="B255" s="14" t="n">
        <v>1.96</v>
      </c>
      <c r="D255" s="14" t="n">
        <v>-0.09</v>
      </c>
      <c r="E255" s="14" t="n">
        <v>-0.02</v>
      </c>
      <c r="F255" s="14" t="n">
        <v>0.03</v>
      </c>
      <c r="G255" s="14" t="n">
        <v>-60.76</v>
      </c>
      <c r="H255" s="14" t="n">
        <v>-92.67</v>
      </c>
      <c r="I255" s="14" t="n">
        <v>-101.97</v>
      </c>
      <c r="J255" s="14" t="n">
        <v>-0.1</v>
      </c>
      <c r="K255" s="14" t="n">
        <v>-0.74</v>
      </c>
      <c r="L255" s="14" t="n">
        <v>-0.67</v>
      </c>
      <c r="N255" s="14" t="n">
        <v>0.09</v>
      </c>
      <c r="O255" s="14" t="n">
        <v>-0.04</v>
      </c>
      <c r="P255" s="14" t="n">
        <v>-0.05</v>
      </c>
      <c r="Q255" s="14" t="n">
        <v>0.31</v>
      </c>
      <c r="R255" s="14" t="n">
        <v>-24.19</v>
      </c>
      <c r="S255" s="14" t="n">
        <v>-36.57</v>
      </c>
      <c r="T255" s="14" t="n">
        <v>25.82</v>
      </c>
      <c r="U255" s="14" t="n">
        <v>-1.51</v>
      </c>
      <c r="V255" s="14" t="n">
        <v>2.51</v>
      </c>
      <c r="W255" s="14" t="n">
        <v>0.36</v>
      </c>
      <c r="X255" s="14" t="n">
        <v>-18.14</v>
      </c>
      <c r="AA255" s="14" t="n">
        <v>-87.48</v>
      </c>
      <c r="AB255" s="14" t="n">
        <v>-21.16</v>
      </c>
      <c r="AC255" s="14" t="n">
        <v>0</v>
      </c>
      <c r="AD255" s="16" t="n">
        <v>904253.84</v>
      </c>
    </row>
    <row r="256" customFormat="false" ht="15.75" hidden="false" customHeight="false" outlineLevel="0" collapsed="false">
      <c r="A256" s="14" t="s">
        <v>287</v>
      </c>
      <c r="B256" s="14" t="n">
        <v>55</v>
      </c>
      <c r="C256" s="14" t="n">
        <v>1.89</v>
      </c>
      <c r="D256" s="14" t="n">
        <v>37.54</v>
      </c>
      <c r="E256" s="14" t="n">
        <v>2.68</v>
      </c>
      <c r="F256" s="14" t="n">
        <v>1.72</v>
      </c>
      <c r="G256" s="14" t="n">
        <v>30.33</v>
      </c>
      <c r="H256" s="14" t="n">
        <v>20.5</v>
      </c>
      <c r="I256" s="14" t="n">
        <v>7.22</v>
      </c>
      <c r="J256" s="14" t="n">
        <v>13.22</v>
      </c>
      <c r="K256" s="14" t="n">
        <v>11.95</v>
      </c>
      <c r="L256" s="14" t="n">
        <v>0.66</v>
      </c>
      <c r="M256" s="14" t="n">
        <v>0.13</v>
      </c>
      <c r="N256" s="14" t="n">
        <v>2.71</v>
      </c>
      <c r="O256" s="14" t="n">
        <v>10.58</v>
      </c>
      <c r="P256" s="14" t="n">
        <v>-2.47</v>
      </c>
      <c r="Q256" s="14" t="n">
        <v>2.13</v>
      </c>
      <c r="R256" s="14" t="n">
        <v>7.13</v>
      </c>
      <c r="S256" s="14" t="n">
        <v>4.57</v>
      </c>
      <c r="T256" s="14" t="n">
        <v>15.66</v>
      </c>
      <c r="U256" s="14" t="n">
        <v>0.64</v>
      </c>
      <c r="V256" s="14" t="n">
        <v>0.36</v>
      </c>
      <c r="W256" s="14" t="n">
        <v>0.63</v>
      </c>
      <c r="X256" s="14" t="n">
        <v>11.62</v>
      </c>
      <c r="Y256" s="14" t="n">
        <v>-16.62</v>
      </c>
      <c r="Z256" s="16" t="n">
        <v>44209.81</v>
      </c>
      <c r="AA256" s="14" t="n">
        <v>20.54</v>
      </c>
      <c r="AB256" s="14" t="n">
        <v>1.47</v>
      </c>
      <c r="AC256" s="14" t="n">
        <v>-1.45</v>
      </c>
      <c r="AD256" s="16" t="n">
        <v>4149862400</v>
      </c>
    </row>
    <row r="257" customFormat="false" ht="15.75" hidden="false" customHeight="false" outlineLevel="0" collapsed="false">
      <c r="A257" s="14" t="s">
        <v>288</v>
      </c>
      <c r="B257" s="14" t="n">
        <v>43.17</v>
      </c>
      <c r="C257" s="14" t="n">
        <v>2.65</v>
      </c>
      <c r="D257" s="14" t="n">
        <v>29.39</v>
      </c>
      <c r="E257" s="14" t="n">
        <v>2.1</v>
      </c>
      <c r="F257" s="14" t="n">
        <v>1.34</v>
      </c>
      <c r="G257" s="14" t="n">
        <v>30.33</v>
      </c>
      <c r="H257" s="14" t="n">
        <v>20.5</v>
      </c>
      <c r="I257" s="14" t="n">
        <v>7.22</v>
      </c>
      <c r="J257" s="14" t="n">
        <v>10.35</v>
      </c>
      <c r="K257" s="14" t="n">
        <v>11.95</v>
      </c>
      <c r="L257" s="14" t="n">
        <v>0.66</v>
      </c>
      <c r="M257" s="14" t="n">
        <v>0.13</v>
      </c>
      <c r="N257" s="14" t="n">
        <v>2.12</v>
      </c>
      <c r="O257" s="14" t="n">
        <v>8.28</v>
      </c>
      <c r="P257" s="14" t="n">
        <v>-1.94</v>
      </c>
      <c r="Q257" s="14" t="n">
        <v>2.13</v>
      </c>
      <c r="R257" s="14" t="n">
        <v>7.13</v>
      </c>
      <c r="S257" s="14" t="n">
        <v>4.57</v>
      </c>
      <c r="T257" s="14" t="n">
        <v>15.66</v>
      </c>
      <c r="U257" s="14" t="n">
        <v>0.64</v>
      </c>
      <c r="V257" s="14" t="n">
        <v>0.36</v>
      </c>
      <c r="W257" s="14" t="n">
        <v>0.63</v>
      </c>
      <c r="X257" s="14" t="n">
        <v>11.62</v>
      </c>
      <c r="Y257" s="14" t="n">
        <v>-16.62</v>
      </c>
      <c r="Z257" s="16" t="n">
        <v>20151516.54</v>
      </c>
      <c r="AA257" s="14" t="n">
        <v>20.54</v>
      </c>
      <c r="AB257" s="14" t="n">
        <v>1.47</v>
      </c>
      <c r="AC257" s="14" t="n">
        <v>-1.14</v>
      </c>
      <c r="AD257" s="16" t="n">
        <v>4149862400</v>
      </c>
    </row>
    <row r="258" customFormat="false" ht="15.75" hidden="false" customHeight="false" outlineLevel="0" collapsed="false">
      <c r="A258" s="14" t="s">
        <v>289</v>
      </c>
      <c r="B258" s="14" t="n">
        <v>17.59</v>
      </c>
      <c r="D258" s="14" t="n">
        <v>-577.51</v>
      </c>
      <c r="E258" s="14" t="n">
        <v>-6.11</v>
      </c>
      <c r="F258" s="14" t="n">
        <v>0.56</v>
      </c>
      <c r="G258" s="14" t="n">
        <v>16.85</v>
      </c>
      <c r="H258" s="14" t="n">
        <v>9.95</v>
      </c>
      <c r="I258" s="14" t="n">
        <v>-0.06</v>
      </c>
      <c r="J258" s="14" t="n">
        <v>3.72</v>
      </c>
      <c r="K258" s="14" t="n">
        <v>3.84</v>
      </c>
      <c r="L258" s="14" t="n">
        <v>0.1</v>
      </c>
      <c r="N258" s="14" t="n">
        <v>0.37</v>
      </c>
      <c r="O258" s="14" t="n">
        <v>3.28</v>
      </c>
      <c r="P258" s="14" t="n">
        <v>-1.08</v>
      </c>
      <c r="Q258" s="14" t="n">
        <v>1.54</v>
      </c>
      <c r="R258" s="14" t="n">
        <v>-1.06</v>
      </c>
      <c r="S258" s="14" t="n">
        <v>-0.1</v>
      </c>
      <c r="T258" s="14" t="n">
        <v>-283.62</v>
      </c>
      <c r="U258" s="14" t="n">
        <v>-0.09</v>
      </c>
      <c r="V258" s="14" t="n">
        <v>1.09</v>
      </c>
      <c r="W258" s="14" t="n">
        <v>1.51</v>
      </c>
      <c r="X258" s="14" t="n">
        <v>-18.89</v>
      </c>
      <c r="Z258" s="16" t="n">
        <v>96670467.1</v>
      </c>
      <c r="AA258" s="14" t="n">
        <v>-2.89</v>
      </c>
      <c r="AB258" s="14" t="n">
        <v>-0.03</v>
      </c>
      <c r="AC258" s="14" t="n">
        <v>5.76</v>
      </c>
      <c r="AD258" s="16" t="n">
        <v>957582509.52</v>
      </c>
    </row>
    <row r="259" customFormat="false" ht="15.75" hidden="false" customHeight="false" outlineLevel="0" collapsed="false">
      <c r="A259" s="14" t="s">
        <v>290</v>
      </c>
      <c r="B259" s="14" t="n">
        <v>0</v>
      </c>
      <c r="D259" s="14" t="n">
        <v>0</v>
      </c>
      <c r="E259" s="14" t="n">
        <v>0</v>
      </c>
      <c r="F259" s="14" t="n">
        <v>0</v>
      </c>
      <c r="G259" s="14" t="n">
        <v>100</v>
      </c>
      <c r="H259" s="14" t="n">
        <v>87.05</v>
      </c>
      <c r="I259" s="14" t="n">
        <v>57.92</v>
      </c>
      <c r="J259" s="14" t="n">
        <v>0</v>
      </c>
      <c r="K259" s="14" t="n">
        <v>-18.57</v>
      </c>
      <c r="L259" s="14" t="n">
        <v>-18.57</v>
      </c>
      <c r="M259" s="14" t="n">
        <v>-0.35</v>
      </c>
      <c r="N259" s="14" t="n">
        <v>0</v>
      </c>
      <c r="O259" s="14" t="n">
        <v>0</v>
      </c>
      <c r="P259" s="14" t="n">
        <v>0</v>
      </c>
      <c r="Q259" s="14" t="n">
        <v>571.4</v>
      </c>
      <c r="R259" s="14" t="n">
        <v>1.24</v>
      </c>
      <c r="S259" s="14" t="n">
        <v>1.23</v>
      </c>
      <c r="T259" s="14" t="n">
        <v>1.24</v>
      </c>
      <c r="U259" s="14" t="n">
        <v>1</v>
      </c>
      <c r="V259" s="14" t="n">
        <v>0</v>
      </c>
      <c r="W259" s="14" t="n">
        <v>0.02</v>
      </c>
      <c r="Y259" s="14" t="n">
        <v>-24.9</v>
      </c>
      <c r="AA259" s="14" t="n">
        <v>98.01</v>
      </c>
      <c r="AB259" s="14" t="n">
        <v>1.21</v>
      </c>
      <c r="AC259" s="14" t="n">
        <v>0</v>
      </c>
      <c r="AD259" s="14" t="n">
        <v>0</v>
      </c>
    </row>
    <row r="260" customFormat="false" ht="15.75" hidden="false" customHeight="false" outlineLevel="0" collapsed="false">
      <c r="A260" s="14" t="s">
        <v>291</v>
      </c>
      <c r="B260" s="14" t="n">
        <v>0</v>
      </c>
      <c r="D260" s="14" t="n">
        <v>0</v>
      </c>
      <c r="E260" s="14" t="n">
        <v>0</v>
      </c>
      <c r="F260" s="14" t="n">
        <v>0</v>
      </c>
      <c r="G260" s="14" t="n">
        <v>100</v>
      </c>
      <c r="H260" s="14" t="n">
        <v>87.05</v>
      </c>
      <c r="I260" s="14" t="n">
        <v>57.92</v>
      </c>
      <c r="J260" s="14" t="n">
        <v>0</v>
      </c>
      <c r="K260" s="14" t="n">
        <v>-18.57</v>
      </c>
      <c r="L260" s="14" t="n">
        <v>-18.57</v>
      </c>
      <c r="M260" s="14" t="n">
        <v>-0.35</v>
      </c>
      <c r="N260" s="14" t="n">
        <v>0</v>
      </c>
      <c r="O260" s="14" t="n">
        <v>0</v>
      </c>
      <c r="P260" s="14" t="n">
        <v>0</v>
      </c>
      <c r="Q260" s="14" t="n">
        <v>571.4</v>
      </c>
      <c r="R260" s="14" t="n">
        <v>1.24</v>
      </c>
      <c r="S260" s="14" t="n">
        <v>1.23</v>
      </c>
      <c r="T260" s="14" t="n">
        <v>1.24</v>
      </c>
      <c r="U260" s="14" t="n">
        <v>1</v>
      </c>
      <c r="V260" s="14" t="n">
        <v>0</v>
      </c>
      <c r="W260" s="14" t="n">
        <v>0.02</v>
      </c>
      <c r="Y260" s="14" t="n">
        <v>-24.9</v>
      </c>
      <c r="AA260" s="14" t="n">
        <v>98.01</v>
      </c>
      <c r="AB260" s="14" t="n">
        <v>1.21</v>
      </c>
      <c r="AC260" s="14" t="n">
        <v>0</v>
      </c>
      <c r="AD260" s="14" t="n">
        <v>0</v>
      </c>
    </row>
    <row r="261" customFormat="false" ht="15.75" hidden="false" customHeight="false" outlineLevel="0" collapsed="false">
      <c r="A261" s="14" t="s">
        <v>292</v>
      </c>
      <c r="B261" s="14" t="n">
        <v>0</v>
      </c>
      <c r="D261" s="14" t="n">
        <v>0</v>
      </c>
      <c r="E261" s="14" t="n">
        <v>0</v>
      </c>
      <c r="F261" s="14" t="n">
        <v>0</v>
      </c>
      <c r="G261" s="14" t="n">
        <v>31.73</v>
      </c>
      <c r="H261" s="14" t="n">
        <v>3.18</v>
      </c>
      <c r="I261" s="14" t="n">
        <v>-2.8</v>
      </c>
      <c r="J261" s="14" t="n">
        <v>0</v>
      </c>
      <c r="K261" s="14" t="n">
        <v>9.37</v>
      </c>
      <c r="L261" s="14" t="n">
        <v>9.37</v>
      </c>
      <c r="M261" s="14" t="n">
        <v>5.5</v>
      </c>
      <c r="N261" s="14" t="n">
        <v>0</v>
      </c>
      <c r="O261" s="14" t="n">
        <v>0</v>
      </c>
      <c r="P261" s="14" t="n">
        <v>0</v>
      </c>
      <c r="Q261" s="14" t="n">
        <v>1.05</v>
      </c>
      <c r="R261" s="14" t="n">
        <v>-51.67</v>
      </c>
      <c r="S261" s="14" t="n">
        <v>-3.32</v>
      </c>
      <c r="T261" s="14" t="n">
        <v>5.16</v>
      </c>
      <c r="U261" s="14" t="n">
        <v>0.06</v>
      </c>
      <c r="V261" s="14" t="n">
        <v>0.94</v>
      </c>
      <c r="W261" s="14" t="n">
        <v>1.19</v>
      </c>
      <c r="X261" s="14" t="n">
        <v>9.15</v>
      </c>
      <c r="AA261" s="14" t="n">
        <v>8.55</v>
      </c>
      <c r="AB261" s="14" t="n">
        <v>-4.42</v>
      </c>
      <c r="AC261" s="14" t="n">
        <v>0</v>
      </c>
      <c r="AD261" s="14" t="n">
        <v>0</v>
      </c>
    </row>
    <row r="262" customFormat="false" ht="15.75" hidden="false" customHeight="false" outlineLevel="0" collapsed="false">
      <c r="A262" s="14" t="s">
        <v>293</v>
      </c>
      <c r="B262" s="14" t="n">
        <v>26.32</v>
      </c>
      <c r="C262" s="14" t="n">
        <v>2.77</v>
      </c>
      <c r="D262" s="14" t="n">
        <v>26.39</v>
      </c>
      <c r="E262" s="14" t="n">
        <v>4.94</v>
      </c>
      <c r="F262" s="14" t="n">
        <v>1.52</v>
      </c>
      <c r="G262" s="14" t="n">
        <v>28.86</v>
      </c>
      <c r="H262" s="14" t="n">
        <v>18.04</v>
      </c>
      <c r="I262" s="14" t="n">
        <v>10.05</v>
      </c>
      <c r="J262" s="14" t="n">
        <v>14.71</v>
      </c>
      <c r="K262" s="14" t="n">
        <v>17.54</v>
      </c>
      <c r="L262" s="14" t="n">
        <v>2.88</v>
      </c>
      <c r="M262" s="14" t="n">
        <v>0.97</v>
      </c>
      <c r="N262" s="14" t="n">
        <v>2.65</v>
      </c>
      <c r="O262" s="14" t="n">
        <v>14.98</v>
      </c>
      <c r="P262" s="14" t="n">
        <v>-2.33</v>
      </c>
      <c r="Q262" s="14" t="n">
        <v>1.41</v>
      </c>
      <c r="R262" s="14" t="n">
        <v>18.72</v>
      </c>
      <c r="S262" s="14" t="n">
        <v>5.76</v>
      </c>
      <c r="T262" s="14" t="n">
        <v>10.47</v>
      </c>
      <c r="U262" s="14" t="n">
        <v>0.31</v>
      </c>
      <c r="V262" s="14" t="n">
        <v>0.69</v>
      </c>
      <c r="W262" s="14" t="n">
        <v>0.57</v>
      </c>
      <c r="X262" s="14" t="n">
        <v>9.42</v>
      </c>
      <c r="Y262" s="14" t="n">
        <v>19.07</v>
      </c>
      <c r="Z262" s="16" t="n">
        <v>43214855</v>
      </c>
      <c r="AA262" s="14" t="n">
        <v>5.33</v>
      </c>
      <c r="AB262" s="14" t="n">
        <v>1</v>
      </c>
      <c r="AC262" s="14" t="n">
        <v>1.91</v>
      </c>
      <c r="AD262" s="16" t="n">
        <v>8337207525.81</v>
      </c>
    </row>
    <row r="263" customFormat="false" ht="15.75" hidden="false" customHeight="false" outlineLevel="0" collapsed="false">
      <c r="A263" s="14" t="s">
        <v>294</v>
      </c>
      <c r="B263" s="14" t="n">
        <v>0</v>
      </c>
      <c r="D263" s="14" t="n">
        <v>0</v>
      </c>
      <c r="E263" s="14" t="n">
        <v>0</v>
      </c>
      <c r="F263" s="14" t="n">
        <v>0</v>
      </c>
      <c r="G263" s="14" t="n">
        <v>97.48</v>
      </c>
      <c r="H263" s="14" t="n">
        <v>-323.82</v>
      </c>
      <c r="I263" s="14" t="n">
        <v>-323.82</v>
      </c>
      <c r="J263" s="14" t="n">
        <v>0</v>
      </c>
      <c r="K263" s="14" t="n">
        <v>0</v>
      </c>
      <c r="N263" s="14" t="n">
        <v>0</v>
      </c>
      <c r="O263" s="14" t="n">
        <v>0</v>
      </c>
      <c r="P263" s="14" t="n">
        <v>0</v>
      </c>
      <c r="Q263" s="14" t="n">
        <v>12.07</v>
      </c>
      <c r="R263" s="14" t="n">
        <v>-19.33</v>
      </c>
      <c r="S263" s="14" t="n">
        <v>-17.87</v>
      </c>
      <c r="U263" s="14" t="n">
        <v>0.92</v>
      </c>
      <c r="V263" s="14" t="n">
        <v>0.08</v>
      </c>
      <c r="W263" s="14" t="n">
        <v>0.06</v>
      </c>
      <c r="X263" s="14" t="n">
        <v>-37.65</v>
      </c>
      <c r="AA263" s="14" t="n">
        <v>11.63</v>
      </c>
      <c r="AB263" s="14" t="n">
        <v>-2.25</v>
      </c>
      <c r="AC263" s="14" t="n">
        <v>0</v>
      </c>
      <c r="AD263" s="14" t="n">
        <v>0</v>
      </c>
    </row>
    <row r="264" customFormat="false" ht="15.75" hidden="false" customHeight="false" outlineLevel="0" collapsed="false">
      <c r="A264" s="14" t="s">
        <v>295</v>
      </c>
      <c r="B264" s="14" t="n">
        <v>12.62</v>
      </c>
      <c r="C264" s="14" t="n">
        <v>2.17</v>
      </c>
      <c r="D264" s="14" t="n">
        <v>11.2</v>
      </c>
      <c r="E264" s="14" t="n">
        <v>2.68</v>
      </c>
      <c r="F264" s="14" t="n">
        <v>0.93</v>
      </c>
      <c r="G264" s="14" t="n">
        <v>29.43</v>
      </c>
      <c r="H264" s="14" t="n">
        <v>16.16</v>
      </c>
      <c r="I264" s="14" t="n">
        <v>12.45</v>
      </c>
      <c r="J264" s="14" t="n">
        <v>8.63</v>
      </c>
      <c r="K264" s="14" t="n">
        <v>10.3</v>
      </c>
      <c r="L264" s="14" t="n">
        <v>1.7</v>
      </c>
      <c r="M264" s="14" t="n">
        <v>0.53</v>
      </c>
      <c r="N264" s="14" t="n">
        <v>1.39</v>
      </c>
      <c r="O264" s="14" t="n">
        <v>4.06</v>
      </c>
      <c r="P264" s="14" t="n">
        <v>-1.87</v>
      </c>
      <c r="Q264" s="14" t="n">
        <v>1.83</v>
      </c>
      <c r="R264" s="14" t="n">
        <v>23.95</v>
      </c>
      <c r="S264" s="14" t="n">
        <v>8.29</v>
      </c>
      <c r="T264" s="14" t="n">
        <v>11.62</v>
      </c>
      <c r="U264" s="14" t="n">
        <v>0.35</v>
      </c>
      <c r="V264" s="14" t="n">
        <v>0.65</v>
      </c>
      <c r="W264" s="14" t="n">
        <v>0.67</v>
      </c>
      <c r="X264" s="14" t="n">
        <v>13.81</v>
      </c>
      <c r="Y264" s="14" t="n">
        <v>28.25</v>
      </c>
      <c r="Z264" s="16" t="n">
        <v>2113782.59</v>
      </c>
      <c r="AA264" s="14" t="n">
        <v>4.71</v>
      </c>
      <c r="AB264" s="14" t="n">
        <v>1.13</v>
      </c>
      <c r="AC264" s="14" t="n">
        <v>0.02</v>
      </c>
      <c r="AD264" s="16" t="n">
        <v>2739160258.37</v>
      </c>
    </row>
    <row r="265" customFormat="false" ht="15.75" hidden="false" customHeight="false" outlineLevel="0" collapsed="false">
      <c r="A265" s="14" t="s">
        <v>296</v>
      </c>
      <c r="B265" s="14" t="n">
        <v>72.05</v>
      </c>
      <c r="D265" s="14" t="n">
        <v>-6.01</v>
      </c>
      <c r="E265" s="14" t="n">
        <v>-4.73</v>
      </c>
      <c r="F265" s="14" t="n">
        <v>0.14</v>
      </c>
      <c r="G265" s="14" t="n">
        <v>16.14</v>
      </c>
      <c r="H265" s="14" t="n">
        <v>4.39</v>
      </c>
      <c r="I265" s="14" t="n">
        <v>-3.22</v>
      </c>
      <c r="J265" s="14" t="n">
        <v>4.41</v>
      </c>
      <c r="K265" s="14" t="n">
        <v>16.75</v>
      </c>
      <c r="L265" s="14" t="n">
        <v>12.35</v>
      </c>
      <c r="N265" s="14" t="n">
        <v>0.19</v>
      </c>
      <c r="O265" s="14" t="n">
        <v>1.13</v>
      </c>
      <c r="P265" s="14" t="n">
        <v>-0.53</v>
      </c>
      <c r="Q265" s="14" t="n">
        <v>1.21</v>
      </c>
      <c r="R265" s="14" t="n">
        <v>-78.8</v>
      </c>
      <c r="S265" s="14" t="n">
        <v>-2.4</v>
      </c>
      <c r="T265" s="14" t="n">
        <v>4.38</v>
      </c>
      <c r="U265" s="14" t="n">
        <v>-0.03</v>
      </c>
      <c r="V265" s="14" t="n">
        <v>0.99</v>
      </c>
      <c r="W265" s="14" t="n">
        <v>0.75</v>
      </c>
      <c r="X265" s="14" t="n">
        <v>7.27</v>
      </c>
      <c r="Z265" s="16" t="n">
        <v>79225.71</v>
      </c>
      <c r="AA265" s="14" t="n">
        <v>-15.22</v>
      </c>
      <c r="AB265" s="14" t="n">
        <v>-12</v>
      </c>
      <c r="AC265" s="14" t="n">
        <v>0.13</v>
      </c>
      <c r="AD265" s="16" t="n">
        <v>295891625.7</v>
      </c>
    </row>
    <row r="266" customFormat="false" ht="15.75" hidden="false" customHeight="false" outlineLevel="0" collapsed="false">
      <c r="A266" s="14" t="s">
        <v>297</v>
      </c>
      <c r="B266" s="14" t="n">
        <v>9.8</v>
      </c>
      <c r="D266" s="14" t="n">
        <v>15.12</v>
      </c>
      <c r="E266" s="14" t="n">
        <v>-0.3</v>
      </c>
      <c r="F266" s="14" t="n">
        <v>0.55</v>
      </c>
      <c r="G266" s="14" t="n">
        <v>38.04</v>
      </c>
      <c r="H266" s="14" t="n">
        <v>9.56</v>
      </c>
      <c r="I266" s="14" t="n">
        <v>10.57</v>
      </c>
      <c r="J266" s="14" t="n">
        <v>16.7</v>
      </c>
      <c r="K266" s="14" t="n">
        <v>71.53</v>
      </c>
      <c r="L266" s="14" t="n">
        <v>54.83</v>
      </c>
      <c r="N266" s="14" t="n">
        <v>1.6</v>
      </c>
      <c r="O266" s="14" t="n">
        <v>-0.25</v>
      </c>
      <c r="P266" s="14" t="n">
        <v>-0.67</v>
      </c>
      <c r="Q266" s="14" t="n">
        <v>0.08</v>
      </c>
      <c r="R266" s="14" t="n">
        <v>-1.96</v>
      </c>
      <c r="S266" s="14" t="n">
        <v>3.61</v>
      </c>
      <c r="T266" s="14" t="n">
        <v>-54.97</v>
      </c>
      <c r="U266" s="14" t="n">
        <v>-1.85</v>
      </c>
      <c r="V266" s="14" t="n">
        <v>2.85</v>
      </c>
      <c r="W266" s="14" t="n">
        <v>0.34</v>
      </c>
      <c r="X266" s="14" t="n">
        <v>-19.35</v>
      </c>
      <c r="Z266" s="16" t="n">
        <v>448272.1</v>
      </c>
      <c r="AA266" s="14" t="n">
        <v>-33.13</v>
      </c>
      <c r="AB266" s="14" t="n">
        <v>0.65</v>
      </c>
      <c r="AC266" s="14" t="n">
        <v>0.16</v>
      </c>
      <c r="AD266" s="16" t="n">
        <v>19610838.8</v>
      </c>
    </row>
    <row r="267" customFormat="false" ht="15.75" hidden="false" customHeight="false" outlineLevel="0" collapsed="false">
      <c r="A267" s="14" t="s">
        <v>298</v>
      </c>
      <c r="B267" s="14" t="n">
        <v>0</v>
      </c>
      <c r="D267" s="14" t="n">
        <v>0</v>
      </c>
      <c r="E267" s="14" t="n">
        <v>0</v>
      </c>
      <c r="F267" s="14" t="n">
        <v>0</v>
      </c>
      <c r="J267" s="14" t="n">
        <v>0</v>
      </c>
      <c r="K267" s="14" t="n">
        <v>0</v>
      </c>
      <c r="L267" s="14" t="n">
        <v>0</v>
      </c>
      <c r="M267" s="14" t="n">
        <v>0</v>
      </c>
      <c r="O267" s="14" t="n">
        <v>0</v>
      </c>
      <c r="P267" s="14" t="n">
        <v>0</v>
      </c>
      <c r="Q267" s="14" t="n">
        <v>0</v>
      </c>
      <c r="R267" s="14" t="n">
        <v>-0.95</v>
      </c>
      <c r="S267" s="14" t="n">
        <v>-0.9</v>
      </c>
      <c r="T267" s="14" t="n">
        <v>-2.42</v>
      </c>
      <c r="U267" s="14" t="n">
        <v>0.95</v>
      </c>
      <c r="V267" s="14" t="n">
        <v>0.05</v>
      </c>
      <c r="W267" s="14" t="n">
        <v>0</v>
      </c>
      <c r="AA267" s="14" t="n">
        <v>0.01</v>
      </c>
      <c r="AB267" s="14" t="n">
        <v>0</v>
      </c>
      <c r="AC267" s="14" t="n">
        <v>0</v>
      </c>
      <c r="AD267" s="14" t="n">
        <v>0</v>
      </c>
    </row>
    <row r="268" customFormat="false" ht="15.75" hidden="false" customHeight="false" outlineLevel="0" collapsed="false">
      <c r="A268" s="14" t="s">
        <v>299</v>
      </c>
      <c r="B268" s="14" t="n">
        <v>6.56</v>
      </c>
      <c r="D268" s="14" t="n">
        <v>-25.66</v>
      </c>
      <c r="E268" s="14" t="n">
        <v>1.73</v>
      </c>
      <c r="F268" s="14" t="n">
        <v>1.16</v>
      </c>
      <c r="G268" s="14" t="n">
        <v>100</v>
      </c>
      <c r="H268" s="14" t="n">
        <v>129.12</v>
      </c>
      <c r="I268" s="14" t="n">
        <v>134.91</v>
      </c>
      <c r="J268" s="14" t="n">
        <v>-26.81</v>
      </c>
      <c r="K268" s="14" t="n">
        <v>-34.06</v>
      </c>
      <c r="L268" s="14" t="n">
        <v>-7.33</v>
      </c>
      <c r="M268" s="14" t="n">
        <v>0.47</v>
      </c>
      <c r="O268" s="14" t="n">
        <v>-3.56</v>
      </c>
      <c r="P268" s="14" t="n">
        <v>-1.17</v>
      </c>
      <c r="Q268" s="14" t="n">
        <v>0.01</v>
      </c>
      <c r="R268" s="14" t="n">
        <v>-6.75</v>
      </c>
      <c r="S268" s="14" t="n">
        <v>-4.53</v>
      </c>
      <c r="T268" s="14" t="n">
        <v>-4.37</v>
      </c>
      <c r="U268" s="14" t="n">
        <v>0.67</v>
      </c>
      <c r="V268" s="14" t="n">
        <v>0.33</v>
      </c>
      <c r="W268" s="14" t="n">
        <v>-0.03</v>
      </c>
      <c r="Z268" s="16" t="n">
        <v>1354223.45</v>
      </c>
      <c r="AA268" s="14" t="n">
        <v>3.79</v>
      </c>
      <c r="AB268" s="14" t="n">
        <v>-0.26</v>
      </c>
      <c r="AD268" s="16" t="n">
        <v>669291671.04</v>
      </c>
    </row>
    <row r="269" customFormat="false" ht="15.75" hidden="false" customHeight="false" outlineLevel="0" collapsed="false">
      <c r="A269" s="14" t="s">
        <v>300</v>
      </c>
      <c r="B269" s="14" t="n">
        <v>10.4</v>
      </c>
      <c r="D269" s="14" t="n">
        <v>-14.97</v>
      </c>
      <c r="E269" s="14" t="n">
        <v>1.32</v>
      </c>
      <c r="F269" s="14" t="n">
        <v>0.79</v>
      </c>
      <c r="G269" s="14" t="n">
        <v>43.48</v>
      </c>
      <c r="H269" s="14" t="n">
        <v>3.79</v>
      </c>
      <c r="I269" s="14" t="n">
        <v>-10.14</v>
      </c>
      <c r="J269" s="14" t="n">
        <v>40.09</v>
      </c>
      <c r="K269" s="14" t="n">
        <v>47.57</v>
      </c>
      <c r="L269" s="14" t="n">
        <v>7.48</v>
      </c>
      <c r="M269" s="14" t="n">
        <v>0.25</v>
      </c>
      <c r="N269" s="14" t="n">
        <v>1.52</v>
      </c>
      <c r="O269" s="14" t="n">
        <v>7.57</v>
      </c>
      <c r="P269" s="14" t="n">
        <v>-1.43</v>
      </c>
      <c r="Q269" s="14" t="n">
        <v>1.31</v>
      </c>
      <c r="R269" s="14" t="n">
        <v>-8.83</v>
      </c>
      <c r="S269" s="14" t="n">
        <v>-5.29</v>
      </c>
      <c r="T269" s="14" t="n">
        <v>-0.1</v>
      </c>
      <c r="U269" s="14" t="n">
        <v>0.6</v>
      </c>
      <c r="V269" s="14" t="n">
        <v>0.4</v>
      </c>
      <c r="W269" s="14" t="n">
        <v>0.52</v>
      </c>
      <c r="X269" s="14" t="n">
        <v>12.83</v>
      </c>
      <c r="Y269" s="14" t="n">
        <v>-38.45</v>
      </c>
      <c r="Z269" s="16" t="n">
        <v>5159958.21</v>
      </c>
      <c r="AA269" s="14" t="n">
        <v>7.86</v>
      </c>
      <c r="AB269" s="14" t="n">
        <v>-0.69</v>
      </c>
      <c r="AC269" s="14" t="n">
        <v>0.06</v>
      </c>
      <c r="AD269" s="16" t="n">
        <v>1108871982.4</v>
      </c>
    </row>
    <row r="270" customFormat="false" ht="15.75" hidden="false" customHeight="false" outlineLevel="0" collapsed="false">
      <c r="A270" s="14" t="s">
        <v>301</v>
      </c>
      <c r="B270" s="14" t="n">
        <v>37</v>
      </c>
      <c r="C270" s="14" t="n">
        <v>13.04</v>
      </c>
      <c r="D270" s="14" t="n">
        <v>6.17</v>
      </c>
      <c r="E270" s="14" t="n">
        <v>1.82</v>
      </c>
      <c r="F270" s="14" t="n">
        <v>0.8</v>
      </c>
      <c r="G270" s="14" t="n">
        <v>96.97</v>
      </c>
      <c r="H270" s="14" t="n">
        <v>95.97</v>
      </c>
      <c r="I270" s="14" t="n">
        <v>43.24</v>
      </c>
      <c r="J270" s="14" t="n">
        <v>2.78</v>
      </c>
      <c r="K270" s="14" t="n">
        <v>3.61</v>
      </c>
      <c r="L270" s="14" t="n">
        <v>0.84</v>
      </c>
      <c r="M270" s="14" t="n">
        <v>0.55</v>
      </c>
      <c r="N270" s="14" t="n">
        <v>2.67</v>
      </c>
      <c r="O270" s="14" t="n">
        <v>-7.44</v>
      </c>
      <c r="P270" s="14" t="n">
        <v>-0.95</v>
      </c>
      <c r="Q270" s="14" t="n">
        <v>0.6</v>
      </c>
      <c r="R270" s="14" t="n">
        <v>29.53</v>
      </c>
      <c r="S270" s="14" t="n">
        <v>12.98</v>
      </c>
      <c r="T270" s="14" t="n">
        <v>29.14</v>
      </c>
      <c r="U270" s="14" t="n">
        <v>0.44</v>
      </c>
      <c r="V270" s="14" t="n">
        <v>0.56</v>
      </c>
      <c r="W270" s="14" t="n">
        <v>0.3</v>
      </c>
      <c r="X270" s="14" t="n">
        <v>3.6</v>
      </c>
      <c r="Y270" s="14" t="n">
        <v>30.9</v>
      </c>
      <c r="Z270" s="16" t="n">
        <v>12810.94</v>
      </c>
      <c r="AA270" s="14" t="n">
        <v>20.3</v>
      </c>
      <c r="AB270" s="14" t="n">
        <v>6</v>
      </c>
      <c r="AC270" s="14" t="n">
        <v>0.07</v>
      </c>
      <c r="AD270" s="16" t="n">
        <v>3478607368.11</v>
      </c>
    </row>
    <row r="271" customFormat="false" ht="15.75" hidden="false" customHeight="false" outlineLevel="0" collapsed="false">
      <c r="A271" s="14" t="s">
        <v>302</v>
      </c>
      <c r="B271" s="14" t="n">
        <v>37</v>
      </c>
      <c r="C271" s="14" t="n">
        <v>13.04</v>
      </c>
      <c r="D271" s="14" t="n">
        <v>6.17</v>
      </c>
      <c r="E271" s="14" t="n">
        <v>1.82</v>
      </c>
      <c r="F271" s="14" t="n">
        <v>0.8</v>
      </c>
      <c r="G271" s="14" t="n">
        <v>96.97</v>
      </c>
      <c r="H271" s="14" t="n">
        <v>95.97</v>
      </c>
      <c r="I271" s="14" t="n">
        <v>43.24</v>
      </c>
      <c r="J271" s="14" t="n">
        <v>2.78</v>
      </c>
      <c r="K271" s="14" t="n">
        <v>3.61</v>
      </c>
      <c r="L271" s="14" t="n">
        <v>0.84</v>
      </c>
      <c r="M271" s="14" t="n">
        <v>0.55</v>
      </c>
      <c r="N271" s="14" t="n">
        <v>2.67</v>
      </c>
      <c r="O271" s="14" t="n">
        <v>-7.44</v>
      </c>
      <c r="P271" s="14" t="n">
        <v>-0.95</v>
      </c>
      <c r="Q271" s="14" t="n">
        <v>0.6</v>
      </c>
      <c r="R271" s="14" t="n">
        <v>29.53</v>
      </c>
      <c r="S271" s="14" t="n">
        <v>12.98</v>
      </c>
      <c r="T271" s="14" t="n">
        <v>29.14</v>
      </c>
      <c r="U271" s="14" t="n">
        <v>0.44</v>
      </c>
      <c r="V271" s="14" t="n">
        <v>0.56</v>
      </c>
      <c r="W271" s="14" t="n">
        <v>0.3</v>
      </c>
      <c r="X271" s="14" t="n">
        <v>3.6</v>
      </c>
      <c r="Y271" s="14" t="n">
        <v>30.9</v>
      </c>
      <c r="Z271" s="16" t="n">
        <v>46526.98</v>
      </c>
      <c r="AA271" s="14" t="n">
        <v>20.3</v>
      </c>
      <c r="AB271" s="14" t="n">
        <v>6</v>
      </c>
      <c r="AC271" s="14" t="n">
        <v>0.07</v>
      </c>
      <c r="AD271" s="16" t="n">
        <v>3478607368.11</v>
      </c>
    </row>
    <row r="272" customFormat="false" ht="15.75" hidden="false" customHeight="false" outlineLevel="0" collapsed="false">
      <c r="A272" s="14" t="s">
        <v>303</v>
      </c>
      <c r="B272" s="14" t="n">
        <v>4.44</v>
      </c>
      <c r="D272" s="14" t="n">
        <v>-35.05</v>
      </c>
      <c r="E272" s="14" t="n">
        <v>0.85</v>
      </c>
      <c r="F272" s="14" t="n">
        <v>0.31</v>
      </c>
      <c r="G272" s="14" t="n">
        <v>20.3</v>
      </c>
      <c r="H272" s="14" t="n">
        <v>2.27</v>
      </c>
      <c r="I272" s="14" t="n">
        <v>-3.88</v>
      </c>
      <c r="J272" s="14" t="n">
        <v>59.98</v>
      </c>
      <c r="K272" s="14" t="n">
        <v>88.09</v>
      </c>
      <c r="L272" s="14" t="n">
        <v>28.11</v>
      </c>
      <c r="M272" s="14" t="n">
        <v>0.4</v>
      </c>
      <c r="N272" s="14" t="n">
        <v>1.36</v>
      </c>
      <c r="O272" s="14" t="n">
        <v>1.67</v>
      </c>
      <c r="P272" s="14" t="n">
        <v>-0.83</v>
      </c>
      <c r="Q272" s="14" t="n">
        <v>1.42</v>
      </c>
      <c r="R272" s="14" t="n">
        <v>-2.42</v>
      </c>
      <c r="S272" s="14" t="n">
        <v>-0.88</v>
      </c>
      <c r="T272" s="14" t="n">
        <v>0.55</v>
      </c>
      <c r="U272" s="14" t="n">
        <v>0.36</v>
      </c>
      <c r="V272" s="14" t="n">
        <v>0.64</v>
      </c>
      <c r="W272" s="14" t="n">
        <v>0.23</v>
      </c>
      <c r="X272" s="14" t="n">
        <v>-9.34</v>
      </c>
      <c r="Z272" s="16" t="n">
        <v>21727972.22</v>
      </c>
      <c r="AA272" s="14" t="n">
        <v>5.24</v>
      </c>
      <c r="AB272" s="14" t="n">
        <v>-0.13</v>
      </c>
      <c r="AC272" s="14" t="n">
        <v>0.06</v>
      </c>
      <c r="AD272" s="16" t="n">
        <v>1335001888.44</v>
      </c>
    </row>
    <row r="273" customFormat="false" ht="15.75" hidden="false" customHeight="false" outlineLevel="0" collapsed="false">
      <c r="A273" s="14" t="s">
        <v>304</v>
      </c>
      <c r="B273" s="14" t="n">
        <v>25.81</v>
      </c>
      <c r="C273" s="14" t="n">
        <v>3.19</v>
      </c>
      <c r="D273" s="14" t="n">
        <v>9.6</v>
      </c>
      <c r="E273" s="14" t="n">
        <v>1.28</v>
      </c>
      <c r="F273" s="14" t="n">
        <v>0.65</v>
      </c>
      <c r="G273" s="14" t="n">
        <v>17.42</v>
      </c>
      <c r="H273" s="14" t="n">
        <v>16.26</v>
      </c>
      <c r="I273" s="14" t="n">
        <v>9.03</v>
      </c>
      <c r="J273" s="14" t="n">
        <v>5.33</v>
      </c>
      <c r="K273" s="14" t="n">
        <v>7.26</v>
      </c>
      <c r="L273" s="14" t="n">
        <v>1.3</v>
      </c>
      <c r="M273" s="14" t="n">
        <v>0.31</v>
      </c>
      <c r="N273" s="14" t="n">
        <v>0.87</v>
      </c>
      <c r="O273" s="14" t="n">
        <v>2.98</v>
      </c>
      <c r="P273" s="14" t="n">
        <v>-1.06</v>
      </c>
      <c r="Q273" s="14" t="n">
        <v>2.3</v>
      </c>
      <c r="R273" s="14" t="n">
        <v>13.36</v>
      </c>
      <c r="S273" s="14" t="n">
        <v>6.76</v>
      </c>
      <c r="T273" s="14" t="n">
        <v>12.15</v>
      </c>
      <c r="U273" s="14" t="n">
        <v>0.51</v>
      </c>
      <c r="V273" s="14" t="n">
        <v>0.49</v>
      </c>
      <c r="W273" s="14" t="n">
        <v>0.75</v>
      </c>
      <c r="X273" s="14" t="n">
        <v>0.11</v>
      </c>
      <c r="Z273" s="16" t="n">
        <v>4461876.98</v>
      </c>
      <c r="AA273" s="14" t="n">
        <v>20.03</v>
      </c>
      <c r="AB273" s="14" t="n">
        <v>2.68</v>
      </c>
      <c r="AC273" s="14" t="n">
        <v>0.03</v>
      </c>
      <c r="AD273" s="16" t="n">
        <v>49358228559.03</v>
      </c>
    </row>
    <row r="274" customFormat="false" ht="15.75" hidden="false" customHeight="false" outlineLevel="0" collapsed="false">
      <c r="A274" s="14" t="s">
        <v>305</v>
      </c>
      <c r="B274" s="14" t="n">
        <v>29.93</v>
      </c>
      <c r="C274" s="14" t="n">
        <v>2.75</v>
      </c>
      <c r="D274" s="14" t="n">
        <v>11.15</v>
      </c>
      <c r="E274" s="14" t="n">
        <v>1.49</v>
      </c>
      <c r="F274" s="14" t="n">
        <v>0.75</v>
      </c>
      <c r="G274" s="14" t="n">
        <v>17.42</v>
      </c>
      <c r="H274" s="14" t="n">
        <v>16.26</v>
      </c>
      <c r="I274" s="14" t="n">
        <v>9.03</v>
      </c>
      <c r="J274" s="14" t="n">
        <v>6.2</v>
      </c>
      <c r="K274" s="14" t="n">
        <v>7.26</v>
      </c>
      <c r="L274" s="14" t="n">
        <v>1.3</v>
      </c>
      <c r="M274" s="14" t="n">
        <v>0.31</v>
      </c>
      <c r="N274" s="14" t="n">
        <v>1.01</v>
      </c>
      <c r="O274" s="14" t="n">
        <v>3.46</v>
      </c>
      <c r="P274" s="14" t="n">
        <v>-1.23</v>
      </c>
      <c r="Q274" s="14" t="n">
        <v>2.3</v>
      </c>
      <c r="R274" s="14" t="n">
        <v>13.36</v>
      </c>
      <c r="S274" s="14" t="n">
        <v>6.76</v>
      </c>
      <c r="T274" s="14" t="n">
        <v>12.15</v>
      </c>
      <c r="U274" s="14" t="n">
        <v>0.51</v>
      </c>
      <c r="V274" s="14" t="n">
        <v>0.49</v>
      </c>
      <c r="W274" s="14" t="n">
        <v>0.75</v>
      </c>
      <c r="X274" s="14" t="n">
        <v>0.11</v>
      </c>
      <c r="Z274" s="16" t="n">
        <v>497103249.95</v>
      </c>
      <c r="AA274" s="14" t="n">
        <v>20.03</v>
      </c>
      <c r="AB274" s="14" t="n">
        <v>2.68</v>
      </c>
      <c r="AC274" s="14" t="n">
        <v>0.03</v>
      </c>
      <c r="AD274" s="16" t="n">
        <v>49358228559.03</v>
      </c>
    </row>
    <row r="275" customFormat="false" ht="15.75" hidden="false" customHeight="false" outlineLevel="0" collapsed="false">
      <c r="A275" s="14" t="s">
        <v>306</v>
      </c>
      <c r="B275" s="14" t="n">
        <v>16.98</v>
      </c>
      <c r="D275" s="14" t="n">
        <v>97.44</v>
      </c>
      <c r="E275" s="14" t="n">
        <v>12.85</v>
      </c>
      <c r="F275" s="14" t="n">
        <v>2.52</v>
      </c>
      <c r="G275" s="14" t="n">
        <v>15.71</v>
      </c>
      <c r="H275" s="14" t="n">
        <v>7.08</v>
      </c>
      <c r="I275" s="14" t="n">
        <v>4.32</v>
      </c>
      <c r="J275" s="14" t="n">
        <v>59.49</v>
      </c>
      <c r="K275" s="14" t="n">
        <v>63.14</v>
      </c>
      <c r="L275" s="14" t="n">
        <v>3.68</v>
      </c>
      <c r="M275" s="14" t="n">
        <v>0.79</v>
      </c>
      <c r="N275" s="14" t="n">
        <v>4.21</v>
      </c>
      <c r="O275" s="14" t="n">
        <v>18.01</v>
      </c>
      <c r="P275" s="14" t="n">
        <v>-4.8</v>
      </c>
      <c r="Q275" s="14" t="n">
        <v>1.42</v>
      </c>
      <c r="R275" s="14" t="n">
        <v>13.19</v>
      </c>
      <c r="S275" s="14" t="n">
        <v>2.58</v>
      </c>
      <c r="T275" s="14" t="n">
        <v>6.53</v>
      </c>
      <c r="U275" s="14" t="n">
        <v>0.2</v>
      </c>
      <c r="V275" s="14" t="n">
        <v>0.8</v>
      </c>
      <c r="W275" s="14" t="n">
        <v>0.6</v>
      </c>
      <c r="Z275" s="16" t="n">
        <v>12224784.73</v>
      </c>
      <c r="AA275" s="14" t="n">
        <v>1.32</v>
      </c>
      <c r="AB275" s="14" t="n">
        <v>0.17</v>
      </c>
      <c r="AD275" s="16" t="n">
        <v>11340668522.1</v>
      </c>
    </row>
    <row r="276" customFormat="false" ht="15.75" hidden="false" customHeight="false" outlineLevel="0" collapsed="false">
      <c r="A276" s="14" t="s">
        <v>307</v>
      </c>
      <c r="B276" s="14" t="n">
        <v>7.77</v>
      </c>
      <c r="D276" s="14" t="n">
        <v>22.22</v>
      </c>
      <c r="E276" s="14" t="n">
        <v>2.96</v>
      </c>
      <c r="F276" s="14" t="n">
        <v>2.1</v>
      </c>
      <c r="G276" s="14" t="n">
        <v>24.02</v>
      </c>
      <c r="H276" s="14" t="n">
        <v>6.8</v>
      </c>
      <c r="I276" s="14" t="n">
        <v>5.79</v>
      </c>
      <c r="J276" s="14" t="n">
        <v>18.94</v>
      </c>
      <c r="K276" s="14" t="n">
        <v>18.24</v>
      </c>
      <c r="L276" s="14" t="n">
        <v>-0.7</v>
      </c>
      <c r="M276" s="14" t="n">
        <v>-0.11</v>
      </c>
      <c r="N276" s="14" t="n">
        <v>1.29</v>
      </c>
      <c r="O276" s="14" t="n">
        <v>3.7</v>
      </c>
      <c r="P276" s="14" t="n">
        <v>-7.28</v>
      </c>
      <c r="Q276" s="14" t="n">
        <v>4.96</v>
      </c>
      <c r="R276" s="14" t="n">
        <v>13.34</v>
      </c>
      <c r="S276" s="14" t="n">
        <v>9.45</v>
      </c>
      <c r="T276" s="14" t="n">
        <v>12.89</v>
      </c>
      <c r="U276" s="14" t="n">
        <v>0.71</v>
      </c>
      <c r="V276" s="14" t="n">
        <v>0.28</v>
      </c>
      <c r="W276" s="14" t="n">
        <v>1.63</v>
      </c>
      <c r="Z276" s="16" t="n">
        <v>33488541.22</v>
      </c>
      <c r="AA276" s="14" t="n">
        <v>2.63</v>
      </c>
      <c r="AB276" s="14" t="n">
        <v>0.35</v>
      </c>
      <c r="AC276" s="14" t="n">
        <v>0.18</v>
      </c>
      <c r="AD276" s="16" t="n">
        <v>17188712494.62</v>
      </c>
    </row>
    <row r="277" customFormat="false" ht="15.75" hidden="false" customHeight="false" outlineLevel="0" collapsed="false">
      <c r="A277" s="14" t="s">
        <v>308</v>
      </c>
      <c r="B277" s="14" t="n">
        <v>84.38</v>
      </c>
      <c r="C277" s="14" t="n">
        <v>0.34</v>
      </c>
      <c r="D277" s="14" t="n">
        <v>94.81</v>
      </c>
      <c r="E277" s="14" t="n">
        <v>7.33</v>
      </c>
      <c r="F277" s="14" t="n">
        <v>3.13</v>
      </c>
      <c r="G277" s="14" t="n">
        <v>26.48</v>
      </c>
      <c r="H277" s="14" t="n">
        <v>10.12</v>
      </c>
      <c r="I277" s="14" t="n">
        <v>4.97</v>
      </c>
      <c r="J277" s="14" t="n">
        <v>46.58</v>
      </c>
      <c r="K277" s="14" t="n">
        <v>46.83</v>
      </c>
      <c r="L277" s="14" t="n">
        <v>0.32</v>
      </c>
      <c r="M277" s="14" t="n">
        <v>0.05</v>
      </c>
      <c r="N277" s="14" t="n">
        <v>4.71</v>
      </c>
      <c r="O277" s="14" t="n">
        <v>28.64</v>
      </c>
      <c r="P277" s="14" t="n">
        <v>-4.36</v>
      </c>
      <c r="Q277" s="14" t="n">
        <v>1.63</v>
      </c>
      <c r="R277" s="14" t="n">
        <v>7.73</v>
      </c>
      <c r="S277" s="14" t="n">
        <v>3.3</v>
      </c>
      <c r="T277" s="14" t="n">
        <v>6.69</v>
      </c>
      <c r="U277" s="14" t="n">
        <v>0.43</v>
      </c>
      <c r="V277" s="14" t="n">
        <v>0.57</v>
      </c>
      <c r="W277" s="14" t="n">
        <v>0.66</v>
      </c>
      <c r="X277" s="14" t="n">
        <v>29.03</v>
      </c>
      <c r="Y277" s="14" t="n">
        <v>66.02</v>
      </c>
      <c r="Z277" s="16" t="n">
        <v>260739342.15</v>
      </c>
      <c r="AA277" s="14" t="n">
        <v>11.51</v>
      </c>
      <c r="AB277" s="14" t="n">
        <v>0.89</v>
      </c>
      <c r="AC277" s="14" t="n">
        <v>6.85</v>
      </c>
      <c r="AD277" s="16" t="n">
        <v>51852606463.56</v>
      </c>
    </row>
    <row r="278" customFormat="false" ht="15.75" hidden="false" customHeight="false" outlineLevel="0" collapsed="false">
      <c r="A278" s="14" t="s">
        <v>309</v>
      </c>
      <c r="B278" s="14" t="n">
        <v>12.93</v>
      </c>
      <c r="C278" s="14" t="n">
        <v>3.48</v>
      </c>
      <c r="D278" s="14" t="n">
        <v>8.81</v>
      </c>
      <c r="E278" s="14" t="n">
        <v>1.09</v>
      </c>
      <c r="F278" s="14" t="n">
        <v>0.2</v>
      </c>
      <c r="G278" s="14" t="n">
        <v>17.42</v>
      </c>
      <c r="H278" s="14" t="n">
        <v>16.23</v>
      </c>
      <c r="I278" s="14" t="n">
        <v>3.13</v>
      </c>
      <c r="J278" s="14" t="n">
        <v>1.7</v>
      </c>
      <c r="K278" s="14" t="n">
        <v>2.91</v>
      </c>
      <c r="L278" s="14" t="n">
        <v>1.11</v>
      </c>
      <c r="M278" s="14" t="n">
        <v>0.72</v>
      </c>
      <c r="N278" s="14" t="n">
        <v>0.28</v>
      </c>
      <c r="O278" s="14" t="n">
        <v>0.86</v>
      </c>
      <c r="P278" s="14" t="n">
        <v>-0.34</v>
      </c>
      <c r="Q278" s="14" t="n">
        <v>2.44</v>
      </c>
      <c r="R278" s="14" t="n">
        <v>12.41</v>
      </c>
      <c r="S278" s="14" t="n">
        <v>2.29</v>
      </c>
      <c r="T278" s="14" t="n">
        <v>11.77</v>
      </c>
      <c r="U278" s="14" t="n">
        <v>0.18</v>
      </c>
      <c r="V278" s="14" t="n">
        <v>0.48</v>
      </c>
      <c r="W278" s="14" t="n">
        <v>0.73</v>
      </c>
      <c r="X278" s="14" t="n">
        <v>0.11</v>
      </c>
      <c r="Z278" s="16" t="n">
        <v>1416564.71</v>
      </c>
      <c r="AA278" s="14" t="n">
        <v>11.83</v>
      </c>
      <c r="AB278" s="14" t="n">
        <v>1.47</v>
      </c>
      <c r="AC278" s="14" t="n">
        <v>0.02</v>
      </c>
      <c r="AD278" s="16" t="n">
        <v>14801526974.85</v>
      </c>
    </row>
    <row r="279" customFormat="false" ht="15.75" hidden="false" customHeight="false" outlineLevel="0" collapsed="false">
      <c r="A279" s="14" t="s">
        <v>310</v>
      </c>
      <c r="B279" s="14" t="n">
        <v>13.92</v>
      </c>
      <c r="C279" s="14" t="n">
        <v>3.24</v>
      </c>
      <c r="D279" s="14" t="n">
        <v>9.46</v>
      </c>
      <c r="E279" s="14" t="n">
        <v>1.17</v>
      </c>
      <c r="F279" s="14" t="n">
        <v>0.22</v>
      </c>
      <c r="G279" s="14" t="n">
        <v>17.42</v>
      </c>
      <c r="H279" s="14" t="n">
        <v>16.23</v>
      </c>
      <c r="I279" s="14" t="n">
        <v>3.13</v>
      </c>
      <c r="J279" s="14" t="n">
        <v>1.83</v>
      </c>
      <c r="K279" s="14" t="n">
        <v>2.91</v>
      </c>
      <c r="L279" s="14" t="n">
        <v>1.11</v>
      </c>
      <c r="M279" s="14" t="n">
        <v>0.72</v>
      </c>
      <c r="N279" s="14" t="n">
        <v>0.3</v>
      </c>
      <c r="O279" s="14" t="n">
        <v>0.92</v>
      </c>
      <c r="P279" s="14" t="n">
        <v>-0.36</v>
      </c>
      <c r="Q279" s="14" t="n">
        <v>2.44</v>
      </c>
      <c r="R279" s="14" t="n">
        <v>12.41</v>
      </c>
      <c r="S279" s="14" t="n">
        <v>2.29</v>
      </c>
      <c r="T279" s="14" t="n">
        <v>11.77</v>
      </c>
      <c r="U279" s="14" t="n">
        <v>0.18</v>
      </c>
      <c r="V279" s="14" t="n">
        <v>0.48</v>
      </c>
      <c r="W279" s="14" t="n">
        <v>0.73</v>
      </c>
      <c r="X279" s="14" t="n">
        <v>0.11</v>
      </c>
      <c r="Z279" s="16" t="n">
        <v>168487642.07</v>
      </c>
      <c r="AA279" s="14" t="n">
        <v>11.83</v>
      </c>
      <c r="AB279" s="14" t="n">
        <v>1.47</v>
      </c>
      <c r="AC279" s="14" t="n">
        <v>0.03</v>
      </c>
      <c r="AD279" s="16" t="n">
        <v>14801526974.85</v>
      </c>
    </row>
    <row r="280" customFormat="false" ht="15.75" hidden="false" customHeight="false" outlineLevel="0" collapsed="false">
      <c r="A280" s="14" t="s">
        <v>311</v>
      </c>
      <c r="B280" s="14" t="n">
        <v>23.18</v>
      </c>
      <c r="D280" s="14" t="n">
        <v>-11.84</v>
      </c>
      <c r="E280" s="14" t="n">
        <v>-4.38</v>
      </c>
      <c r="F280" s="14" t="n">
        <v>6.2</v>
      </c>
      <c r="G280" s="14" t="n">
        <v>1.73</v>
      </c>
      <c r="H280" s="14" t="n">
        <v>-52.17</v>
      </c>
      <c r="I280" s="14" t="n">
        <v>-129.98</v>
      </c>
      <c r="J280" s="14" t="n">
        <v>-29.49</v>
      </c>
      <c r="K280" s="14" t="n">
        <v>-33.18</v>
      </c>
      <c r="L280" s="14" t="n">
        <v>-3.79</v>
      </c>
      <c r="N280" s="14" t="n">
        <v>15.39</v>
      </c>
      <c r="O280" s="14" t="n">
        <v>-8.76</v>
      </c>
      <c r="P280" s="14" t="n">
        <v>-7.93</v>
      </c>
      <c r="Q280" s="14" t="n">
        <v>0.24</v>
      </c>
      <c r="R280" s="14" t="n">
        <v>-37</v>
      </c>
      <c r="S280" s="14" t="n">
        <v>-52.39</v>
      </c>
      <c r="T280" s="14" t="n">
        <v>42.58</v>
      </c>
      <c r="U280" s="14" t="n">
        <v>-1.42</v>
      </c>
      <c r="V280" s="14" t="n">
        <v>2.38</v>
      </c>
      <c r="W280" s="14" t="n">
        <v>0.4</v>
      </c>
      <c r="X280" s="14" t="n">
        <v>-8.21</v>
      </c>
      <c r="Z280" s="16" t="n">
        <v>168632975.22</v>
      </c>
      <c r="AA280" s="14" t="n">
        <v>-5.3</v>
      </c>
      <c r="AB280" s="14" t="n">
        <v>-1.96</v>
      </c>
      <c r="AC280" s="14" t="n">
        <v>-0.07</v>
      </c>
      <c r="AD280" s="16" t="n">
        <v>73466383197.6</v>
      </c>
    </row>
    <row r="281" customFormat="false" ht="15.75" hidden="false" customHeight="false" outlineLevel="0" collapsed="false">
      <c r="A281" s="14" t="s">
        <v>312</v>
      </c>
      <c r="B281" s="14" t="n">
        <v>44</v>
      </c>
      <c r="C281" s="14" t="n">
        <v>1.15</v>
      </c>
      <c r="D281" s="14" t="n">
        <v>19.93</v>
      </c>
      <c r="E281" s="14" t="n">
        <v>2.29</v>
      </c>
      <c r="F281" s="14" t="n">
        <v>1.65</v>
      </c>
      <c r="G281" s="14" t="n">
        <v>71.74</v>
      </c>
      <c r="H281" s="14" t="n">
        <v>109.84</v>
      </c>
      <c r="I281" s="14" t="n">
        <v>75.69</v>
      </c>
      <c r="J281" s="14" t="n">
        <v>13.73</v>
      </c>
      <c r="K281" s="14" t="n">
        <v>13.73</v>
      </c>
      <c r="N281" s="14" t="n">
        <v>15.08</v>
      </c>
      <c r="O281" s="14" t="n">
        <v>38.61</v>
      </c>
      <c r="P281" s="14" t="n">
        <v>-1.81</v>
      </c>
      <c r="Q281" s="14" t="n">
        <v>2.02</v>
      </c>
      <c r="R281" s="14" t="n">
        <v>11.48</v>
      </c>
      <c r="S281" s="14" t="n">
        <v>8.3</v>
      </c>
      <c r="U281" s="14" t="n">
        <v>0.72</v>
      </c>
      <c r="V281" s="14" t="n">
        <v>0.28</v>
      </c>
      <c r="W281" s="14" t="n">
        <v>0.11</v>
      </c>
      <c r="X281" s="14" t="n">
        <v>40.68</v>
      </c>
      <c r="Z281" s="16" t="n">
        <v>12517.79</v>
      </c>
      <c r="AA281" s="14" t="n">
        <v>19.23</v>
      </c>
      <c r="AB281" s="14" t="n">
        <v>2.21</v>
      </c>
      <c r="AC281" s="14" t="n">
        <v>0.25</v>
      </c>
      <c r="AD281" s="16" t="n">
        <v>3428851008</v>
      </c>
    </row>
    <row r="282" customFormat="false" ht="15.75" hidden="false" customHeight="false" outlineLevel="0" collapsed="false">
      <c r="A282" s="14" t="s">
        <v>313</v>
      </c>
      <c r="B282" s="14" t="n">
        <v>5.64</v>
      </c>
      <c r="D282" s="14" t="n">
        <v>5.36</v>
      </c>
      <c r="E282" s="14" t="n">
        <v>0.28</v>
      </c>
      <c r="F282" s="14" t="n">
        <v>0.13</v>
      </c>
      <c r="G282" s="14" t="n">
        <v>100</v>
      </c>
      <c r="H282" s="14" t="n">
        <v>63.91</v>
      </c>
      <c r="I282" s="14" t="n">
        <v>29.35</v>
      </c>
      <c r="J282" s="14" t="n">
        <v>2.46</v>
      </c>
      <c r="K282" s="14" t="n">
        <v>-0.59</v>
      </c>
      <c r="L282" s="14" t="n">
        <v>-3.05</v>
      </c>
      <c r="M282" s="14" t="n">
        <v>-0.35</v>
      </c>
      <c r="N282" s="14" t="n">
        <v>1.57</v>
      </c>
      <c r="O282" s="14" t="n">
        <v>0.67</v>
      </c>
      <c r="P282" s="14" t="n">
        <v>-0.17</v>
      </c>
      <c r="Q282" s="14" t="n">
        <v>3.91</v>
      </c>
      <c r="R282" s="14" t="n">
        <v>5.31</v>
      </c>
      <c r="S282" s="14" t="n">
        <v>2.38</v>
      </c>
      <c r="T282" s="14" t="n">
        <v>6.42</v>
      </c>
      <c r="U282" s="14" t="n">
        <v>0.45</v>
      </c>
      <c r="V282" s="14" t="n">
        <v>0.25</v>
      </c>
      <c r="W282" s="14" t="n">
        <v>0.08</v>
      </c>
      <c r="Z282" s="16" t="n">
        <v>1423522.98</v>
      </c>
      <c r="AA282" s="14" t="n">
        <v>19.83</v>
      </c>
      <c r="AB282" s="14" t="n">
        <v>1.05</v>
      </c>
      <c r="AC282" s="14" t="n">
        <v>-0.04</v>
      </c>
      <c r="AD282" s="16" t="n">
        <v>424813440.48</v>
      </c>
    </row>
    <row r="283" customFormat="false" ht="15.75" hidden="false" customHeight="false" outlineLevel="0" collapsed="false">
      <c r="A283" s="14" t="s">
        <v>314</v>
      </c>
      <c r="B283" s="14" t="n">
        <v>9.94</v>
      </c>
      <c r="C283" s="14" t="n">
        <v>6.27</v>
      </c>
      <c r="D283" s="14" t="n">
        <v>17.77</v>
      </c>
      <c r="E283" s="14" t="n">
        <v>2.27</v>
      </c>
      <c r="F283" s="14" t="n">
        <v>1.87</v>
      </c>
      <c r="G283" s="14" t="n">
        <v>46.75</v>
      </c>
      <c r="H283" s="14" t="n">
        <v>17.84</v>
      </c>
      <c r="I283" s="14" t="n">
        <v>24.64</v>
      </c>
      <c r="J283" s="14" t="n">
        <v>24.54</v>
      </c>
      <c r="K283" s="14" t="n">
        <v>20.29</v>
      </c>
      <c r="L283" s="14" t="n">
        <v>-4.35</v>
      </c>
      <c r="M283" s="14" t="n">
        <v>-0.4</v>
      </c>
      <c r="N283" s="14" t="n">
        <v>4.38</v>
      </c>
      <c r="O283" s="14" t="n">
        <v>3.49</v>
      </c>
      <c r="P283" s="14" t="n">
        <v>-6.07</v>
      </c>
      <c r="Q283" s="14" t="n">
        <v>4.48</v>
      </c>
      <c r="R283" s="14" t="n">
        <v>12.75</v>
      </c>
      <c r="S283" s="14" t="n">
        <v>10.54</v>
      </c>
      <c r="T283" s="14" t="n">
        <v>7.74</v>
      </c>
      <c r="U283" s="14" t="n">
        <v>0.83</v>
      </c>
      <c r="V283" s="14" t="n">
        <v>0.17</v>
      </c>
      <c r="W283" s="14" t="n">
        <v>0.43</v>
      </c>
      <c r="X283" s="14" t="n">
        <v>-2.95</v>
      </c>
      <c r="Y283" s="14" t="n">
        <v>-5.56</v>
      </c>
      <c r="Z283" s="16" t="n">
        <v>17205219.17</v>
      </c>
      <c r="AA283" s="14" t="n">
        <v>4.39</v>
      </c>
      <c r="AB283" s="14" t="n">
        <v>0.56</v>
      </c>
      <c r="AC283" s="14" t="n">
        <v>1.41</v>
      </c>
      <c r="AD283" s="16" t="n">
        <v>9003556800</v>
      </c>
    </row>
    <row r="284" customFormat="false" ht="15.75" hidden="false" customHeight="false" outlineLevel="0" collapsed="false">
      <c r="A284" s="14" t="s">
        <v>315</v>
      </c>
      <c r="B284" s="14" t="n">
        <v>39</v>
      </c>
      <c r="D284" s="14" t="n">
        <v>-0.23</v>
      </c>
      <c r="E284" s="14" t="n">
        <v>-0.12</v>
      </c>
      <c r="F284" s="14" t="n">
        <v>0.04</v>
      </c>
      <c r="G284" s="14" t="n">
        <v>67.32</v>
      </c>
      <c r="H284" s="14" t="n">
        <v>16.85</v>
      </c>
      <c r="I284" s="14" t="n">
        <v>-353.92</v>
      </c>
      <c r="J284" s="14" t="n">
        <v>4.92</v>
      </c>
      <c r="K284" s="14" t="n">
        <v>119.15</v>
      </c>
      <c r="L284" s="14" t="n">
        <v>114.24</v>
      </c>
      <c r="N284" s="14" t="n">
        <v>0.83</v>
      </c>
      <c r="O284" s="14" t="n">
        <v>-1.27</v>
      </c>
      <c r="P284" s="14" t="n">
        <v>-0.05</v>
      </c>
      <c r="Q284" s="14" t="n">
        <v>0.8</v>
      </c>
      <c r="R284" s="14" t="n">
        <v>-51.2</v>
      </c>
      <c r="S284" s="14" t="n">
        <v>-18.57</v>
      </c>
      <c r="T284" s="14" t="n">
        <v>-1.37</v>
      </c>
      <c r="U284" s="14" t="n">
        <v>-0.36</v>
      </c>
      <c r="V284" s="14" t="n">
        <v>1.36</v>
      </c>
      <c r="W284" s="14" t="n">
        <v>0.05</v>
      </c>
      <c r="X284" s="14" t="n">
        <v>-18.98</v>
      </c>
      <c r="Z284" s="16" t="n">
        <v>100396.6</v>
      </c>
      <c r="AA284" s="14" t="n">
        <v>-325.48</v>
      </c>
      <c r="AB284" s="14" t="n">
        <v>-166.65</v>
      </c>
      <c r="AC284" s="14" t="n">
        <v>-0.18</v>
      </c>
      <c r="AD284" s="16" t="n">
        <v>75221991</v>
      </c>
    </row>
    <row r="285" customFormat="false" ht="15.75" hidden="false" customHeight="false" outlineLevel="0" collapsed="false">
      <c r="A285" s="14" t="s">
        <v>316</v>
      </c>
      <c r="B285" s="14" t="n">
        <v>20.57</v>
      </c>
      <c r="C285" s="14" t="n">
        <v>2.12</v>
      </c>
      <c r="D285" s="14" t="n">
        <v>-121.5</v>
      </c>
      <c r="E285" s="14" t="n">
        <v>2.09</v>
      </c>
      <c r="F285" s="14" t="n">
        <v>0.77</v>
      </c>
      <c r="G285" s="14" t="n">
        <v>47.27</v>
      </c>
      <c r="H285" s="14" t="n">
        <v>-1.75</v>
      </c>
      <c r="I285" s="14" t="n">
        <v>-1.44</v>
      </c>
      <c r="J285" s="14" t="n">
        <v>-100.13</v>
      </c>
      <c r="K285" s="14" t="n">
        <v>-110.91</v>
      </c>
      <c r="L285" s="14" t="n">
        <v>-10.82</v>
      </c>
      <c r="M285" s="14" t="n">
        <v>0.23</v>
      </c>
      <c r="N285" s="14" t="n">
        <v>1.75</v>
      </c>
      <c r="O285" s="14" t="n">
        <v>2.98</v>
      </c>
      <c r="P285" s="14" t="n">
        <v>-1.98</v>
      </c>
      <c r="Q285" s="14" t="n">
        <v>1.73</v>
      </c>
      <c r="R285" s="14" t="n">
        <v>-1.72</v>
      </c>
      <c r="S285" s="14" t="n">
        <v>-0.63</v>
      </c>
      <c r="T285" s="14" t="n">
        <v>-3.43</v>
      </c>
      <c r="U285" s="14" t="n">
        <v>0.37</v>
      </c>
      <c r="V285" s="14" t="n">
        <v>0.63</v>
      </c>
      <c r="W285" s="14" t="n">
        <v>0.44</v>
      </c>
      <c r="X285" s="14" t="n">
        <v>2.55</v>
      </c>
      <c r="Z285" s="16" t="n">
        <v>16108143.32</v>
      </c>
      <c r="AA285" s="14" t="n">
        <v>9.87</v>
      </c>
      <c r="AB285" s="14" t="n">
        <v>-0.17</v>
      </c>
      <c r="AC285" s="14" t="n">
        <v>1.04</v>
      </c>
      <c r="AD285" s="16" t="n">
        <v>10268544000</v>
      </c>
    </row>
    <row r="286" customFormat="false" ht="15.75" hidden="false" customHeight="false" outlineLevel="0" collapsed="false">
      <c r="A286" s="14" t="s">
        <v>317</v>
      </c>
      <c r="B286" s="14" t="n">
        <v>4.45</v>
      </c>
      <c r="D286" s="14" t="n">
        <v>6.24</v>
      </c>
      <c r="E286" s="14" t="n">
        <v>-0.77</v>
      </c>
      <c r="F286" s="14" t="n">
        <v>0.86</v>
      </c>
      <c r="G286" s="14" t="n">
        <v>31.08</v>
      </c>
      <c r="H286" s="14" t="n">
        <v>27.46</v>
      </c>
      <c r="I286" s="14" t="n">
        <v>22.5</v>
      </c>
      <c r="J286" s="14" t="n">
        <v>5.11</v>
      </c>
      <c r="K286" s="14" t="n">
        <v>4.28</v>
      </c>
      <c r="L286" s="14" t="n">
        <v>-0.05</v>
      </c>
      <c r="N286" s="14" t="n">
        <v>1.4</v>
      </c>
      <c r="O286" s="14" t="n">
        <v>2.33</v>
      </c>
      <c r="P286" s="14" t="n">
        <v>-4.98</v>
      </c>
      <c r="Q286" s="14" t="n">
        <v>1.8</v>
      </c>
      <c r="R286" s="14" t="n">
        <v>-12.39</v>
      </c>
      <c r="S286" s="14" t="n">
        <v>13.73</v>
      </c>
      <c r="T286" s="14" t="n">
        <v>-26.03</v>
      </c>
      <c r="U286" s="14" t="n">
        <v>-1.11</v>
      </c>
      <c r="V286" s="14" t="n">
        <v>2.11</v>
      </c>
      <c r="W286" s="14" t="n">
        <v>0.61</v>
      </c>
      <c r="X286" s="14" t="n">
        <v>0.12</v>
      </c>
      <c r="Y286" s="14" t="n">
        <v>12.13</v>
      </c>
      <c r="Z286" s="16" t="n">
        <v>255947.2</v>
      </c>
      <c r="AA286" s="14" t="n">
        <v>-5.75</v>
      </c>
      <c r="AB286" s="14" t="n">
        <v>0.71</v>
      </c>
      <c r="AC286" s="14" t="n">
        <v>0.03</v>
      </c>
      <c r="AD286" s="16" t="n">
        <v>44942333.67</v>
      </c>
    </row>
    <row r="287" customFormat="false" ht="15.75" hidden="false" customHeight="false" outlineLevel="0" collapsed="false">
      <c r="A287" s="14" t="s">
        <v>318</v>
      </c>
      <c r="B287" s="14" t="n">
        <v>3.45</v>
      </c>
      <c r="D287" s="14" t="n">
        <v>4.82</v>
      </c>
      <c r="E287" s="14" t="n">
        <v>-0.6</v>
      </c>
      <c r="F287" s="14" t="n">
        <v>0.66</v>
      </c>
      <c r="G287" s="14" t="n">
        <v>31.08</v>
      </c>
      <c r="H287" s="14" t="n">
        <v>27.46</v>
      </c>
      <c r="I287" s="14" t="n">
        <v>22.5</v>
      </c>
      <c r="J287" s="14" t="n">
        <v>3.95</v>
      </c>
      <c r="K287" s="14" t="n">
        <v>4.28</v>
      </c>
      <c r="L287" s="14" t="n">
        <v>-0.05</v>
      </c>
      <c r="N287" s="14" t="n">
        <v>1.09</v>
      </c>
      <c r="O287" s="14" t="n">
        <v>1.8</v>
      </c>
      <c r="P287" s="14" t="n">
        <v>-3.85</v>
      </c>
      <c r="Q287" s="14" t="n">
        <v>1.8</v>
      </c>
      <c r="R287" s="14" t="n">
        <v>-12.39</v>
      </c>
      <c r="S287" s="14" t="n">
        <v>13.73</v>
      </c>
      <c r="T287" s="14" t="n">
        <v>-26.03</v>
      </c>
      <c r="U287" s="14" t="n">
        <v>-1.11</v>
      </c>
      <c r="V287" s="14" t="n">
        <v>2.11</v>
      </c>
      <c r="W287" s="14" t="n">
        <v>0.61</v>
      </c>
      <c r="X287" s="14" t="n">
        <v>0.12</v>
      </c>
      <c r="Y287" s="14" t="n">
        <v>12.13</v>
      </c>
      <c r="Z287" s="16" t="n">
        <v>1428207.02</v>
      </c>
      <c r="AA287" s="14" t="n">
        <v>-5.75</v>
      </c>
      <c r="AB287" s="14" t="n">
        <v>0.71</v>
      </c>
      <c r="AC287" s="14" t="n">
        <v>0.02</v>
      </c>
      <c r="AD287" s="16" t="n">
        <v>44942333.67</v>
      </c>
    </row>
    <row r="288" customFormat="false" ht="15.75" hidden="false" customHeight="false" outlineLevel="0" collapsed="false">
      <c r="A288" s="14" t="s">
        <v>319</v>
      </c>
      <c r="B288" s="14" t="n">
        <v>15.37</v>
      </c>
      <c r="C288" s="14" t="n">
        <v>0.37</v>
      </c>
      <c r="D288" s="14" t="n">
        <v>76.98</v>
      </c>
      <c r="E288" s="14" t="n">
        <v>7.42</v>
      </c>
      <c r="F288" s="14" t="n">
        <v>4.29</v>
      </c>
      <c r="G288" s="14" t="n">
        <v>38.05</v>
      </c>
      <c r="H288" s="14" t="n">
        <v>13.71</v>
      </c>
      <c r="I288" s="14" t="n">
        <v>8.74</v>
      </c>
      <c r="J288" s="14" t="n">
        <v>49.1</v>
      </c>
      <c r="K288" s="14" t="n">
        <v>48.53</v>
      </c>
      <c r="L288" s="14" t="n">
        <v>-0.41</v>
      </c>
      <c r="M288" s="14" t="n">
        <v>-0.06</v>
      </c>
      <c r="N288" s="14" t="n">
        <v>6.73</v>
      </c>
      <c r="O288" s="14" t="n">
        <v>42.71</v>
      </c>
      <c r="P288" s="14" t="n">
        <v>-5.86</v>
      </c>
      <c r="Q288" s="14" t="n">
        <v>1.6</v>
      </c>
      <c r="R288" s="14" t="n">
        <v>9.64</v>
      </c>
      <c r="S288" s="14" t="n">
        <v>5.58</v>
      </c>
      <c r="T288" s="14" t="n">
        <v>8.78</v>
      </c>
      <c r="U288" s="14" t="n">
        <v>0.58</v>
      </c>
      <c r="V288" s="14" t="n">
        <v>0.42</v>
      </c>
      <c r="W288" s="14" t="n">
        <v>0.64</v>
      </c>
      <c r="X288" s="14" t="n">
        <v>28.32</v>
      </c>
      <c r="Y288" s="14" t="n">
        <v>20.33</v>
      </c>
      <c r="Z288" s="16" t="n">
        <v>153470613.07</v>
      </c>
      <c r="AA288" s="14" t="n">
        <v>2.07</v>
      </c>
      <c r="AB288" s="14" t="n">
        <v>0.2</v>
      </c>
      <c r="AC288" s="14" t="n">
        <v>-15.62</v>
      </c>
      <c r="AD288" s="16" t="n">
        <v>59019419694.9</v>
      </c>
    </row>
    <row r="289" customFormat="false" ht="15.75" hidden="false" customHeight="false" outlineLevel="0" collapsed="false">
      <c r="A289" s="14" t="s">
        <v>320</v>
      </c>
      <c r="B289" s="14" t="n">
        <v>8.47</v>
      </c>
      <c r="C289" s="14" t="n">
        <v>0.56</v>
      </c>
      <c r="D289" s="14" t="n">
        <v>23.42</v>
      </c>
      <c r="E289" s="14" t="n">
        <v>0.88</v>
      </c>
      <c r="F289" s="14" t="n">
        <v>0.26</v>
      </c>
      <c r="G289" s="14" t="n">
        <v>20.78</v>
      </c>
      <c r="H289" s="14" t="n">
        <v>8.6</v>
      </c>
      <c r="I289" s="14" t="n">
        <v>5.07</v>
      </c>
      <c r="J289" s="14" t="n">
        <v>13.79</v>
      </c>
      <c r="K289" s="14" t="n">
        <v>25.17</v>
      </c>
      <c r="L289" s="14" t="n">
        <v>11.41</v>
      </c>
      <c r="M289" s="14" t="n">
        <v>0.73</v>
      </c>
      <c r="N289" s="14" t="n">
        <v>1.19</v>
      </c>
      <c r="O289" s="14" t="n">
        <v>0.5</v>
      </c>
      <c r="P289" s="14" t="n">
        <v>-0.99</v>
      </c>
      <c r="Q289" s="14" t="n">
        <v>3.41</v>
      </c>
      <c r="R289" s="14" t="n">
        <v>3.75</v>
      </c>
      <c r="S289" s="14" t="n">
        <v>1.11</v>
      </c>
      <c r="T289" s="14" t="n">
        <v>1.93</v>
      </c>
      <c r="U289" s="14" t="n">
        <v>0.3</v>
      </c>
      <c r="V289" s="14" t="n">
        <v>0.6</v>
      </c>
      <c r="W289" s="14" t="n">
        <v>0.22</v>
      </c>
      <c r="X289" s="14" t="n">
        <v>-5.72</v>
      </c>
      <c r="Y289" s="14" t="n">
        <v>-2.1</v>
      </c>
      <c r="Z289" s="16" t="n">
        <v>15417155.63</v>
      </c>
      <c r="AA289" s="14" t="n">
        <v>9.64</v>
      </c>
      <c r="AB289" s="14" t="n">
        <v>0.36</v>
      </c>
      <c r="AC289" s="14" t="n">
        <v>-0.13</v>
      </c>
      <c r="AD289" s="16" t="n">
        <v>1131041558.4</v>
      </c>
    </row>
    <row r="290" customFormat="false" ht="15.75" hidden="false" customHeight="false" outlineLevel="0" collapsed="false">
      <c r="A290" s="14" t="s">
        <v>321</v>
      </c>
      <c r="B290" s="14" t="n">
        <v>16.75</v>
      </c>
      <c r="D290" s="14" t="n">
        <v>-35.99</v>
      </c>
      <c r="E290" s="14" t="n">
        <v>0.97</v>
      </c>
      <c r="F290" s="14" t="n">
        <v>0.52</v>
      </c>
      <c r="G290" s="14" t="n">
        <v>85.05</v>
      </c>
      <c r="H290" s="14" t="n">
        <v>78.41</v>
      </c>
      <c r="I290" s="14" t="n">
        <v>-62.41</v>
      </c>
      <c r="J290" s="14" t="n">
        <v>28.65</v>
      </c>
      <c r="K290" s="14" t="n">
        <v>32.82</v>
      </c>
      <c r="L290" s="14" t="n">
        <v>4.17</v>
      </c>
      <c r="M290" s="14" t="n">
        <v>0.14</v>
      </c>
      <c r="N290" s="14" t="n">
        <v>22.46</v>
      </c>
      <c r="O290" s="14" t="n">
        <v>4.5</v>
      </c>
      <c r="P290" s="14" t="n">
        <v>-0.65</v>
      </c>
      <c r="Q290" s="14" t="n">
        <v>2.25</v>
      </c>
      <c r="R290" s="14" t="n">
        <v>-2.7</v>
      </c>
      <c r="S290" s="14" t="n">
        <v>-1.43</v>
      </c>
      <c r="T290" s="14" t="n">
        <v>0.67</v>
      </c>
      <c r="U290" s="14" t="n">
        <v>0.53</v>
      </c>
      <c r="V290" s="14" t="n">
        <v>0.39</v>
      </c>
      <c r="W290" s="14" t="n">
        <v>0.02</v>
      </c>
      <c r="Z290" s="16" t="n">
        <v>2335471.32</v>
      </c>
      <c r="AA290" s="14" t="n">
        <v>17.21</v>
      </c>
      <c r="AB290" s="14" t="n">
        <v>-0.47</v>
      </c>
      <c r="AC290" s="14" t="n">
        <v>0.29</v>
      </c>
      <c r="AD290" s="16" t="n">
        <v>1728415431.75</v>
      </c>
    </row>
    <row r="291" customFormat="false" ht="15.75" hidden="false" customHeight="false" outlineLevel="0" collapsed="false">
      <c r="A291" s="14" t="s">
        <v>322</v>
      </c>
      <c r="B291" s="14" t="n">
        <v>6.28</v>
      </c>
      <c r="D291" s="14" t="n">
        <v>-29.41</v>
      </c>
      <c r="E291" s="14" t="n">
        <v>3.51</v>
      </c>
      <c r="F291" s="14" t="n">
        <v>0.76</v>
      </c>
      <c r="G291" s="14" t="n">
        <v>28.28</v>
      </c>
      <c r="H291" s="14" t="n">
        <v>15.99</v>
      </c>
      <c r="I291" s="14" t="n">
        <v>-11.18</v>
      </c>
      <c r="J291" s="14" t="n">
        <v>20.55</v>
      </c>
      <c r="K291" s="14" t="n">
        <v>35.77</v>
      </c>
      <c r="L291" s="14" t="n">
        <v>15.28</v>
      </c>
      <c r="M291" s="14" t="n">
        <v>2.61</v>
      </c>
      <c r="N291" s="14" t="n">
        <v>3.29</v>
      </c>
      <c r="O291" s="14" t="n">
        <v>4.23</v>
      </c>
      <c r="P291" s="14" t="n">
        <v>-1.02</v>
      </c>
      <c r="Q291" s="14" t="n">
        <v>3.33</v>
      </c>
      <c r="R291" s="14" t="n">
        <v>-11.94</v>
      </c>
      <c r="S291" s="14" t="n">
        <v>-2.57</v>
      </c>
      <c r="T291" s="14" t="n">
        <v>2.78</v>
      </c>
      <c r="U291" s="14" t="n">
        <v>0.22</v>
      </c>
      <c r="V291" s="14" t="n">
        <v>0.78</v>
      </c>
      <c r="W291" s="14" t="n">
        <v>0.23</v>
      </c>
      <c r="X291" s="14" t="n">
        <v>49.43</v>
      </c>
      <c r="Z291" s="16" t="n">
        <v>39313588.68</v>
      </c>
      <c r="AA291" s="14" t="n">
        <v>1.78</v>
      </c>
      <c r="AB291" s="14" t="n">
        <v>-0.21</v>
      </c>
      <c r="AC291" s="14" t="n">
        <v>-0.2</v>
      </c>
      <c r="AD291" s="16" t="n">
        <v>4744787692.32</v>
      </c>
    </row>
    <row r="292" customFormat="false" ht="15.75" hidden="false" customHeight="false" outlineLevel="0" collapsed="false">
      <c r="A292" s="14" t="s">
        <v>323</v>
      </c>
      <c r="B292" s="14" t="n">
        <v>56</v>
      </c>
      <c r="C292" s="14" t="n">
        <v>0.29</v>
      </c>
      <c r="D292" s="14" t="n">
        <v>35.92</v>
      </c>
      <c r="E292" s="14" t="n">
        <v>1.64</v>
      </c>
      <c r="F292" s="14" t="n">
        <v>0.37</v>
      </c>
      <c r="G292" s="14" t="n">
        <v>73.16</v>
      </c>
      <c r="H292" s="14" t="n">
        <v>44.36</v>
      </c>
      <c r="I292" s="14" t="n">
        <v>12.59</v>
      </c>
      <c r="J292" s="14" t="n">
        <v>10.2</v>
      </c>
      <c r="K292" s="14" t="n">
        <v>12.66</v>
      </c>
      <c r="L292" s="14" t="n">
        <v>2.46</v>
      </c>
      <c r="M292" s="14" t="n">
        <v>0.4</v>
      </c>
      <c r="N292" s="14" t="n">
        <v>4.52</v>
      </c>
      <c r="O292" s="14" t="n">
        <v>-12.38</v>
      </c>
      <c r="P292" s="14" t="n">
        <v>-0.44</v>
      </c>
      <c r="Q292" s="14" t="n">
        <v>0.84</v>
      </c>
      <c r="R292" s="14" t="n">
        <v>4.56</v>
      </c>
      <c r="S292" s="14" t="n">
        <v>1.03</v>
      </c>
      <c r="T292" s="14" t="n">
        <v>8.37</v>
      </c>
      <c r="U292" s="14" t="n">
        <v>0.23</v>
      </c>
      <c r="V292" s="14" t="n">
        <v>0.77</v>
      </c>
      <c r="W292" s="14" t="n">
        <v>0.08</v>
      </c>
      <c r="X292" s="14" t="n">
        <v>7.42</v>
      </c>
      <c r="Y292" s="14" t="n">
        <v>-25.49</v>
      </c>
      <c r="Z292" s="16" t="n">
        <v>209623.04</v>
      </c>
      <c r="AA292" s="14" t="n">
        <v>34.2</v>
      </c>
      <c r="AB292" s="14" t="n">
        <v>1.56</v>
      </c>
      <c r="AC292" s="14" t="n">
        <v>-0.3</v>
      </c>
      <c r="AD292" s="16" t="n">
        <v>511486472</v>
      </c>
    </row>
    <row r="293" customFormat="false" ht="15.75" hidden="false" customHeight="false" outlineLevel="0" collapsed="false">
      <c r="A293" s="14" t="s">
        <v>324</v>
      </c>
      <c r="B293" s="14" t="n">
        <v>120</v>
      </c>
      <c r="D293" s="14" t="n">
        <v>-0.35</v>
      </c>
      <c r="E293" s="14" t="n">
        <v>-0.11</v>
      </c>
      <c r="F293" s="14" t="n">
        <v>5.62</v>
      </c>
      <c r="G293" s="14" t="n">
        <v>100</v>
      </c>
      <c r="H293" s="16" t="n">
        <v>-10655.45</v>
      </c>
      <c r="I293" s="16" t="n">
        <v>-10714.68</v>
      </c>
      <c r="J293" s="14" t="n">
        <v>-0.36</v>
      </c>
      <c r="K293" s="14" t="n">
        <v>-2.03</v>
      </c>
      <c r="L293" s="14" t="n">
        <v>-1.89</v>
      </c>
      <c r="N293" s="14" t="n">
        <v>37.92</v>
      </c>
      <c r="O293" s="14" t="n">
        <v>-0.97</v>
      </c>
      <c r="P293" s="14" t="n">
        <v>-5.74</v>
      </c>
      <c r="Q293" s="14" t="n">
        <v>0</v>
      </c>
      <c r="R293" s="14" t="n">
        <v>-31.11</v>
      </c>
      <c r="S293" s="16" t="n">
        <v>-1588.45</v>
      </c>
      <c r="T293" s="14" t="n">
        <v>74.39</v>
      </c>
      <c r="U293" s="14" t="n">
        <v>-51.05</v>
      </c>
      <c r="V293" s="14" t="n">
        <v>52.05</v>
      </c>
      <c r="W293" s="14" t="n">
        <v>0.15</v>
      </c>
      <c r="X293" s="14" t="n">
        <v>-2.24</v>
      </c>
      <c r="Z293" s="16" t="n">
        <v>155694.25</v>
      </c>
      <c r="AA293" s="16" t="n">
        <v>-1089.82</v>
      </c>
      <c r="AB293" s="14" t="n">
        <v>-339.09</v>
      </c>
      <c r="AC293" s="14" t="n">
        <v>0</v>
      </c>
      <c r="AD293" s="16" t="n">
        <v>24761832.45</v>
      </c>
    </row>
    <row r="294" customFormat="false" ht="15.75" hidden="false" customHeight="false" outlineLevel="0" collapsed="false">
      <c r="A294" s="14" t="s">
        <v>325</v>
      </c>
      <c r="B294" s="14" t="n">
        <v>12.41</v>
      </c>
      <c r="D294" s="14" t="n">
        <v>-0.04</v>
      </c>
      <c r="E294" s="14" t="n">
        <v>-0.01</v>
      </c>
      <c r="F294" s="14" t="n">
        <v>0.58</v>
      </c>
      <c r="G294" s="14" t="n">
        <v>100</v>
      </c>
      <c r="H294" s="16" t="n">
        <v>-10655.45</v>
      </c>
      <c r="I294" s="16" t="n">
        <v>-10714.68</v>
      </c>
      <c r="J294" s="14" t="n">
        <v>-0.04</v>
      </c>
      <c r="K294" s="14" t="n">
        <v>-2.03</v>
      </c>
      <c r="L294" s="14" t="n">
        <v>-1.89</v>
      </c>
      <c r="N294" s="14" t="n">
        <v>3.92</v>
      </c>
      <c r="O294" s="14" t="n">
        <v>-0.1</v>
      </c>
      <c r="P294" s="14" t="n">
        <v>-0.59</v>
      </c>
      <c r="Q294" s="14" t="n">
        <v>0</v>
      </c>
      <c r="R294" s="14" t="n">
        <v>-31.11</v>
      </c>
      <c r="S294" s="16" t="n">
        <v>-1588.45</v>
      </c>
      <c r="T294" s="14" t="n">
        <v>74.39</v>
      </c>
      <c r="U294" s="14" t="n">
        <v>-51.05</v>
      </c>
      <c r="V294" s="14" t="n">
        <v>52.05</v>
      </c>
      <c r="W294" s="14" t="n">
        <v>0.15</v>
      </c>
      <c r="X294" s="14" t="n">
        <v>-2.24</v>
      </c>
      <c r="Z294" s="16" t="n">
        <v>133407.9</v>
      </c>
      <c r="AA294" s="16" t="n">
        <v>-1089.82</v>
      </c>
      <c r="AB294" s="14" t="n">
        <v>-339.09</v>
      </c>
      <c r="AC294" s="14" t="n">
        <v>0</v>
      </c>
      <c r="AD294" s="16" t="n">
        <v>24761832.45</v>
      </c>
    </row>
    <row r="295" customFormat="false" ht="15.75" hidden="false" customHeight="false" outlineLevel="0" collapsed="false">
      <c r="A295" s="14" t="s">
        <v>326</v>
      </c>
      <c r="B295" s="14" t="n">
        <v>34.01</v>
      </c>
      <c r="C295" s="14" t="n">
        <v>1.6</v>
      </c>
      <c r="D295" s="14" t="n">
        <v>15.49</v>
      </c>
      <c r="E295" s="14" t="n">
        <v>3.37</v>
      </c>
      <c r="F295" s="14" t="n">
        <v>2.49</v>
      </c>
      <c r="G295" s="14" t="n">
        <v>38.68</v>
      </c>
      <c r="H295" s="14" t="n">
        <v>7.87</v>
      </c>
      <c r="I295" s="14" t="n">
        <v>32.92</v>
      </c>
      <c r="J295" s="14" t="n">
        <v>64.75</v>
      </c>
      <c r="K295" s="14" t="n">
        <v>62.42</v>
      </c>
      <c r="L295" s="14" t="n">
        <v>-2.33</v>
      </c>
      <c r="M295" s="14" t="n">
        <v>-0.12</v>
      </c>
      <c r="N295" s="14" t="n">
        <v>5.1</v>
      </c>
      <c r="O295" s="14" t="n">
        <v>6.9</v>
      </c>
      <c r="P295" s="14" t="n">
        <v>-5.99</v>
      </c>
      <c r="Q295" s="14" t="n">
        <v>2.6</v>
      </c>
      <c r="R295" s="14" t="n">
        <v>21.76</v>
      </c>
      <c r="S295" s="14" t="n">
        <v>16.06</v>
      </c>
      <c r="T295" s="14" t="n">
        <v>0.88</v>
      </c>
      <c r="U295" s="14" t="n">
        <v>0.74</v>
      </c>
      <c r="V295" s="14" t="n">
        <v>0.26</v>
      </c>
      <c r="W295" s="14" t="n">
        <v>0.49</v>
      </c>
      <c r="X295" s="14" t="n">
        <v>-7.54</v>
      </c>
      <c r="Y295" s="14" t="n">
        <v>4.05</v>
      </c>
      <c r="Z295" s="16" t="n">
        <v>65321037.61</v>
      </c>
      <c r="AA295" s="14" t="n">
        <v>10.11</v>
      </c>
      <c r="AB295" s="14" t="n">
        <v>2.2</v>
      </c>
      <c r="AC295" s="14" t="n">
        <v>0.15</v>
      </c>
      <c r="AD295" s="16" t="n">
        <v>5539156572.96</v>
      </c>
    </row>
    <row r="296" customFormat="false" ht="15.75" hidden="false" customHeight="false" outlineLevel="0" collapsed="false">
      <c r="A296" s="14" t="s">
        <v>327</v>
      </c>
      <c r="B296" s="14" t="n">
        <v>0</v>
      </c>
      <c r="D296" s="14" t="n">
        <v>0</v>
      </c>
      <c r="E296" s="14" t="n">
        <v>0</v>
      </c>
      <c r="F296" s="14" t="n">
        <v>0</v>
      </c>
      <c r="G296" s="14" t="n">
        <v>36.33</v>
      </c>
      <c r="H296" s="14" t="n">
        <v>-272.05</v>
      </c>
      <c r="I296" s="14" t="n">
        <v>-362.56</v>
      </c>
      <c r="J296" s="14" t="n">
        <v>0</v>
      </c>
      <c r="K296" s="14" t="n">
        <v>-0.56</v>
      </c>
      <c r="L296" s="14" t="n">
        <v>0.02</v>
      </c>
      <c r="N296" s="14" t="n">
        <v>0</v>
      </c>
      <c r="O296" s="14" t="n">
        <v>0</v>
      </c>
      <c r="P296" s="14" t="n">
        <v>0</v>
      </c>
      <c r="Q296" s="14" t="n">
        <v>0.04</v>
      </c>
      <c r="R296" s="14" t="n">
        <v>-16.55</v>
      </c>
      <c r="S296" s="14" t="n">
        <v>-16.35</v>
      </c>
      <c r="T296" s="14" t="n">
        <v>12.21</v>
      </c>
      <c r="U296" s="14" t="n">
        <v>-0.99</v>
      </c>
      <c r="V296" s="14" t="n">
        <v>2.04</v>
      </c>
      <c r="W296" s="14" t="n">
        <v>0.05</v>
      </c>
      <c r="X296" s="14" t="n">
        <v>-24.22</v>
      </c>
      <c r="AA296" s="14" t="n">
        <v>-25.03</v>
      </c>
      <c r="AB296" s="14" t="n">
        <v>-4.14</v>
      </c>
      <c r="AC296" s="14" t="n">
        <v>0</v>
      </c>
      <c r="AD296" s="16" t="n">
        <v>33077929.86</v>
      </c>
    </row>
    <row r="297" customFormat="false" ht="15.75" hidden="false" customHeight="false" outlineLevel="0" collapsed="false">
      <c r="A297" s="14" t="s">
        <v>328</v>
      </c>
      <c r="B297" s="14" t="n">
        <v>4.16</v>
      </c>
      <c r="D297" s="14" t="n">
        <v>-1.01</v>
      </c>
      <c r="E297" s="14" t="n">
        <v>-0.17</v>
      </c>
      <c r="F297" s="14" t="n">
        <v>0.17</v>
      </c>
      <c r="G297" s="14" t="n">
        <v>36.33</v>
      </c>
      <c r="H297" s="14" t="n">
        <v>-272.05</v>
      </c>
      <c r="I297" s="14" t="n">
        <v>-362.56</v>
      </c>
      <c r="J297" s="14" t="n">
        <v>-1.34</v>
      </c>
      <c r="K297" s="14" t="n">
        <v>-0.56</v>
      </c>
      <c r="L297" s="14" t="n">
        <v>0.02</v>
      </c>
      <c r="N297" s="14" t="n">
        <v>3.66</v>
      </c>
      <c r="O297" s="14" t="n">
        <v>-0.13</v>
      </c>
      <c r="P297" s="14" t="n">
        <v>-0.17</v>
      </c>
      <c r="Q297" s="14" t="n">
        <v>0.04</v>
      </c>
      <c r="R297" s="14" t="n">
        <v>-16.55</v>
      </c>
      <c r="S297" s="14" t="n">
        <v>-16.35</v>
      </c>
      <c r="T297" s="14" t="n">
        <v>12.21</v>
      </c>
      <c r="U297" s="14" t="n">
        <v>-0.99</v>
      </c>
      <c r="V297" s="14" t="n">
        <v>2.04</v>
      </c>
      <c r="W297" s="14" t="n">
        <v>0.05</v>
      </c>
      <c r="X297" s="14" t="n">
        <v>-24.22</v>
      </c>
      <c r="Z297" s="16" t="n">
        <v>252495.61</v>
      </c>
      <c r="AA297" s="14" t="n">
        <v>-25.03</v>
      </c>
      <c r="AB297" s="14" t="n">
        <v>-4.14</v>
      </c>
      <c r="AC297" s="14" t="n">
        <v>0.02</v>
      </c>
      <c r="AD297" s="16" t="n">
        <v>33077929.86</v>
      </c>
    </row>
    <row r="298" customFormat="false" ht="15.75" hidden="false" customHeight="false" outlineLevel="0" collapsed="false">
      <c r="A298" s="14" t="s">
        <v>329</v>
      </c>
      <c r="B298" s="14" t="n">
        <v>34.7</v>
      </c>
      <c r="C298" s="14" t="n">
        <v>2.57</v>
      </c>
      <c r="D298" s="14" t="n">
        <v>16.16</v>
      </c>
      <c r="E298" s="14" t="n">
        <v>2.35</v>
      </c>
      <c r="F298" s="14" t="n">
        <v>1.23</v>
      </c>
      <c r="G298" s="14" t="n">
        <v>63.87</v>
      </c>
      <c r="H298" s="14" t="n">
        <v>32.2</v>
      </c>
      <c r="I298" s="14" t="n">
        <v>30.65</v>
      </c>
      <c r="J298" s="14" t="n">
        <v>15.38</v>
      </c>
      <c r="K298" s="14" t="n">
        <v>18.83</v>
      </c>
      <c r="L298" s="14" t="n">
        <v>3.46</v>
      </c>
      <c r="M298" s="14" t="n">
        <v>0.53</v>
      </c>
      <c r="N298" s="14" t="n">
        <v>4.95</v>
      </c>
      <c r="O298" s="14" t="n">
        <v>7.66</v>
      </c>
      <c r="P298" s="14" t="n">
        <v>-1.72</v>
      </c>
      <c r="Q298" s="14" t="n">
        <v>2.26</v>
      </c>
      <c r="R298" s="14" t="n">
        <v>14.57</v>
      </c>
      <c r="S298" s="14" t="n">
        <v>7.58</v>
      </c>
      <c r="T298" s="14" t="n">
        <v>8.45</v>
      </c>
      <c r="U298" s="14" t="n">
        <v>0.52</v>
      </c>
      <c r="V298" s="14" t="n">
        <v>0.48</v>
      </c>
      <c r="W298" s="14" t="n">
        <v>0.25</v>
      </c>
      <c r="X298" s="14" t="n">
        <v>6.7</v>
      </c>
      <c r="Y298" s="14" t="n">
        <v>18.26</v>
      </c>
      <c r="Z298" s="16" t="n">
        <v>95995820.15</v>
      </c>
      <c r="AA298" s="14" t="n">
        <v>14.76</v>
      </c>
      <c r="AB298" s="14" t="n">
        <v>2.15</v>
      </c>
      <c r="AC298" s="14" t="n">
        <v>0.62</v>
      </c>
      <c r="AD298" s="16" t="n">
        <v>21998705182.79</v>
      </c>
    </row>
    <row r="299" customFormat="false" ht="15.75" hidden="false" customHeight="false" outlineLevel="0" collapsed="false">
      <c r="A299" s="14" t="s">
        <v>330</v>
      </c>
      <c r="B299" s="14" t="n">
        <v>2.16</v>
      </c>
      <c r="D299" s="14" t="n">
        <v>-0.99</v>
      </c>
      <c r="E299" s="14" t="n">
        <v>0.93</v>
      </c>
      <c r="F299" s="14" t="n">
        <v>0.06</v>
      </c>
      <c r="G299" s="14" t="n">
        <v>-18.91</v>
      </c>
      <c r="H299" s="14" t="n">
        <v>-40.19</v>
      </c>
      <c r="I299" s="14" t="n">
        <v>-154.6</v>
      </c>
      <c r="J299" s="14" t="n">
        <v>-3.81</v>
      </c>
      <c r="K299" s="14" t="n">
        <v>-3.84</v>
      </c>
      <c r="N299" s="14" t="n">
        <v>1.53</v>
      </c>
      <c r="O299" s="14" t="n">
        <v>0.48</v>
      </c>
      <c r="P299" s="14" t="n">
        <v>-0.13</v>
      </c>
      <c r="Q299" s="14" t="n">
        <v>1.26</v>
      </c>
      <c r="R299" s="14" t="n">
        <v>-94.38</v>
      </c>
      <c r="S299" s="14" t="n">
        <v>-5.67</v>
      </c>
      <c r="U299" s="14" t="n">
        <v>0.06</v>
      </c>
      <c r="V299" s="14" t="n">
        <v>0.94</v>
      </c>
      <c r="W299" s="14" t="n">
        <v>0.04</v>
      </c>
      <c r="X299" s="14" t="n">
        <v>-32.17</v>
      </c>
      <c r="Z299" s="16" t="n">
        <v>289164.47</v>
      </c>
      <c r="AA299" s="14" t="n">
        <v>2.31</v>
      </c>
      <c r="AB299" s="14" t="n">
        <v>-2.18</v>
      </c>
      <c r="AC299" s="14" t="n">
        <v>0</v>
      </c>
      <c r="AD299" s="16" t="n">
        <v>224007574.38</v>
      </c>
    </row>
    <row r="300" customFormat="false" ht="15.75" hidden="false" customHeight="false" outlineLevel="0" collapsed="false">
      <c r="A300" s="14" t="s">
        <v>331</v>
      </c>
      <c r="B300" s="14" t="n">
        <v>2.67</v>
      </c>
      <c r="D300" s="14" t="n">
        <v>-1.22</v>
      </c>
      <c r="E300" s="14" t="n">
        <v>1.16</v>
      </c>
      <c r="F300" s="14" t="n">
        <v>0.07</v>
      </c>
      <c r="G300" s="14" t="n">
        <v>-18.91</v>
      </c>
      <c r="H300" s="14" t="n">
        <v>-40.19</v>
      </c>
      <c r="I300" s="14" t="n">
        <v>-154.6</v>
      </c>
      <c r="J300" s="14" t="n">
        <v>-4.71</v>
      </c>
      <c r="K300" s="14" t="n">
        <v>-3.84</v>
      </c>
      <c r="N300" s="14" t="n">
        <v>1.89</v>
      </c>
      <c r="O300" s="14" t="n">
        <v>0.59</v>
      </c>
      <c r="P300" s="14" t="n">
        <v>-0.16</v>
      </c>
      <c r="Q300" s="14" t="n">
        <v>1.26</v>
      </c>
      <c r="R300" s="14" t="n">
        <v>-94.38</v>
      </c>
      <c r="S300" s="14" t="n">
        <v>-5.67</v>
      </c>
      <c r="U300" s="14" t="n">
        <v>0.06</v>
      </c>
      <c r="V300" s="14" t="n">
        <v>0.94</v>
      </c>
      <c r="W300" s="14" t="n">
        <v>0.04</v>
      </c>
      <c r="X300" s="14" t="n">
        <v>-32.17</v>
      </c>
      <c r="Z300" s="16" t="n">
        <v>89696.16</v>
      </c>
      <c r="AA300" s="14" t="n">
        <v>2.31</v>
      </c>
      <c r="AB300" s="14" t="n">
        <v>-2.18</v>
      </c>
      <c r="AC300" s="14" t="n">
        <v>0</v>
      </c>
      <c r="AD300" s="16" t="n">
        <v>224007574.38</v>
      </c>
    </row>
    <row r="301" customFormat="false" ht="15.75" hidden="false" customHeight="false" outlineLevel="0" collapsed="false">
      <c r="A301" s="14" t="s">
        <v>332</v>
      </c>
      <c r="B301" s="14" t="n">
        <v>22.5</v>
      </c>
      <c r="D301" s="16" t="n">
        <v>-1342.81</v>
      </c>
      <c r="E301" s="14" t="n">
        <v>68.07</v>
      </c>
      <c r="F301" s="14" t="n">
        <v>9.33</v>
      </c>
      <c r="G301" s="14" t="n">
        <v>47.08</v>
      </c>
      <c r="H301" s="14" t="n">
        <v>4.44</v>
      </c>
      <c r="I301" s="14" t="n">
        <v>-3.46</v>
      </c>
      <c r="J301" s="16" t="n">
        <v>1045.92</v>
      </c>
      <c r="K301" s="16" t="n">
        <v>1049.04</v>
      </c>
      <c r="L301" s="14" t="n">
        <v>15.24</v>
      </c>
      <c r="M301" s="14" t="n">
        <v>0.99</v>
      </c>
      <c r="N301" s="14" t="n">
        <v>46.45</v>
      </c>
      <c r="O301" s="14" t="n">
        <v>-117.52</v>
      </c>
      <c r="P301" s="14" t="n">
        <v>-15.75</v>
      </c>
      <c r="Q301" s="14" t="n">
        <v>0.84</v>
      </c>
      <c r="R301" s="14" t="n">
        <v>-5.07</v>
      </c>
      <c r="S301" s="14" t="n">
        <v>-0.7</v>
      </c>
      <c r="T301" s="14" t="n">
        <v>2.57</v>
      </c>
      <c r="U301" s="14" t="n">
        <v>0.14</v>
      </c>
      <c r="V301" s="14" t="n">
        <v>0.86</v>
      </c>
      <c r="W301" s="14" t="n">
        <v>0.2</v>
      </c>
      <c r="Z301" s="16" t="n">
        <v>10864752.8</v>
      </c>
      <c r="AA301" s="14" t="n">
        <v>0.33</v>
      </c>
      <c r="AB301" s="14" t="n">
        <v>-0.02</v>
      </c>
      <c r="AD301" s="16" t="n">
        <v>5321006467.2</v>
      </c>
    </row>
    <row r="302" customFormat="false" ht="15.75" hidden="false" customHeight="false" outlineLevel="0" collapsed="false">
      <c r="A302" s="14" t="s">
        <v>333</v>
      </c>
      <c r="B302" s="14" t="n">
        <v>7.77</v>
      </c>
      <c r="D302" s="14" t="n">
        <v>-1.07</v>
      </c>
      <c r="E302" s="14" t="n">
        <v>-0.11</v>
      </c>
      <c r="F302" s="14" t="n">
        <v>0.51</v>
      </c>
      <c r="G302" s="14" t="n">
        <v>80.85</v>
      </c>
      <c r="H302" s="14" t="n">
        <v>-655.78</v>
      </c>
      <c r="I302" s="16" t="n">
        <v>-1542.07</v>
      </c>
      <c r="J302" s="14" t="n">
        <v>-2.51</v>
      </c>
      <c r="K302" s="14" t="n">
        <v>-25.84</v>
      </c>
      <c r="L302" s="14" t="n">
        <v>-23.32</v>
      </c>
      <c r="N302" s="14" t="n">
        <v>16.46</v>
      </c>
      <c r="O302" s="14" t="n">
        <v>-1.3</v>
      </c>
      <c r="P302" s="14" t="n">
        <v>-0.55</v>
      </c>
      <c r="Q302" s="14" t="n">
        <v>0.15</v>
      </c>
      <c r="R302" s="14" t="n">
        <v>-9.87</v>
      </c>
      <c r="S302" s="14" t="n">
        <v>-47.71</v>
      </c>
      <c r="T302" s="14" t="n">
        <v>198.41</v>
      </c>
      <c r="U302" s="14" t="n">
        <v>-4.83</v>
      </c>
      <c r="V302" s="14" t="n">
        <v>5.83</v>
      </c>
      <c r="W302" s="14" t="n">
        <v>0.03</v>
      </c>
      <c r="X302" s="14" t="n">
        <v>-8.75</v>
      </c>
      <c r="Z302" s="16" t="n">
        <v>937587.85</v>
      </c>
      <c r="AA302" s="14" t="n">
        <v>-73.87</v>
      </c>
      <c r="AB302" s="14" t="n">
        <v>-7.29</v>
      </c>
      <c r="AC302" s="14" t="n">
        <v>-0.04</v>
      </c>
      <c r="AD302" s="16" t="n">
        <v>97538734.8</v>
      </c>
    </row>
    <row r="303" customFormat="false" ht="15.75" hidden="false" customHeight="false" outlineLevel="0" collapsed="false">
      <c r="A303" s="14" t="s">
        <v>334</v>
      </c>
      <c r="B303" s="14" t="n">
        <v>0</v>
      </c>
      <c r="D303" s="14" t="n">
        <v>0</v>
      </c>
      <c r="E303" s="14" t="n">
        <v>0</v>
      </c>
      <c r="F303" s="14" t="n">
        <v>0</v>
      </c>
      <c r="G303" s="14" t="n">
        <v>41.66</v>
      </c>
      <c r="H303" s="14" t="n">
        <v>19.77</v>
      </c>
      <c r="I303" s="14" t="n">
        <v>-1.86</v>
      </c>
      <c r="J303" s="14" t="n">
        <v>0</v>
      </c>
      <c r="K303" s="14" t="n">
        <v>8.56</v>
      </c>
      <c r="L303" s="14" t="n">
        <v>8.56</v>
      </c>
      <c r="M303" s="14" t="n">
        <v>1.6</v>
      </c>
      <c r="N303" s="14" t="n">
        <v>0</v>
      </c>
      <c r="O303" s="14" t="n">
        <v>0</v>
      </c>
      <c r="P303" s="14" t="n">
        <v>0</v>
      </c>
      <c r="Q303" s="14" t="n">
        <v>2.06</v>
      </c>
      <c r="R303" s="14" t="n">
        <v>-1.76</v>
      </c>
      <c r="S303" s="14" t="n">
        <v>-0.49</v>
      </c>
      <c r="T303" s="14" t="n">
        <v>5.25</v>
      </c>
      <c r="U303" s="14" t="n">
        <v>0.28</v>
      </c>
      <c r="V303" s="14" t="n">
        <v>0.72</v>
      </c>
      <c r="W303" s="14" t="n">
        <v>0.26</v>
      </c>
      <c r="X303" s="14" t="n">
        <v>10.03</v>
      </c>
      <c r="AA303" s="14" t="n">
        <v>2.98</v>
      </c>
      <c r="AB303" s="14" t="n">
        <v>-0.05</v>
      </c>
      <c r="AC303" s="14" t="n">
        <v>0</v>
      </c>
      <c r="AD303" s="14" t="n">
        <v>0</v>
      </c>
    </row>
    <row r="304" customFormat="false" ht="15.75" hidden="false" customHeight="false" outlineLevel="0" collapsed="false">
      <c r="A304" s="14" t="s">
        <v>335</v>
      </c>
      <c r="B304" s="14" t="n">
        <v>39.04</v>
      </c>
      <c r="C304" s="14" t="n">
        <v>0.73</v>
      </c>
      <c r="D304" s="14" t="n">
        <v>29.96</v>
      </c>
      <c r="E304" s="14" t="n">
        <v>2.17</v>
      </c>
      <c r="F304" s="14" t="n">
        <v>1.01</v>
      </c>
      <c r="G304" s="14" t="n">
        <v>58.07</v>
      </c>
      <c r="H304" s="14" t="n">
        <v>52.11</v>
      </c>
      <c r="I304" s="14" t="n">
        <v>33.57</v>
      </c>
      <c r="J304" s="14" t="n">
        <v>19.3</v>
      </c>
      <c r="K304" s="14" t="n">
        <v>24.55</v>
      </c>
      <c r="L304" s="14" t="n">
        <v>5.19</v>
      </c>
      <c r="M304" s="14" t="n">
        <v>0.58</v>
      </c>
      <c r="N304" s="14" t="n">
        <v>10.06</v>
      </c>
      <c r="O304" s="14" t="n">
        <v>6.74</v>
      </c>
      <c r="P304" s="14" t="n">
        <v>-1.37</v>
      </c>
      <c r="Q304" s="14" t="n">
        <v>2.39</v>
      </c>
      <c r="R304" s="14" t="n">
        <v>7.25</v>
      </c>
      <c r="S304" s="14" t="n">
        <v>3.38</v>
      </c>
      <c r="T304" s="14" t="n">
        <v>4.58</v>
      </c>
      <c r="U304" s="14" t="n">
        <v>0.47</v>
      </c>
      <c r="V304" s="14" t="n">
        <v>0.53</v>
      </c>
      <c r="W304" s="14" t="n">
        <v>0.1</v>
      </c>
      <c r="X304" s="14" t="n">
        <v>1.21</v>
      </c>
      <c r="Y304" s="14" t="n">
        <v>0.88</v>
      </c>
      <c r="Z304" s="16" t="n">
        <v>97093322.68</v>
      </c>
      <c r="AA304" s="14" t="n">
        <v>18.01</v>
      </c>
      <c r="AB304" s="14" t="n">
        <v>1.31</v>
      </c>
      <c r="AC304" s="14" t="n">
        <v>-2.18</v>
      </c>
      <c r="AD304" s="16" t="n">
        <v>6935536668.06</v>
      </c>
    </row>
    <row r="305" customFormat="false" ht="15.75" hidden="false" customHeight="false" outlineLevel="0" collapsed="false">
      <c r="A305" s="14" t="s">
        <v>336</v>
      </c>
      <c r="B305" s="14" t="n">
        <v>59.94</v>
      </c>
      <c r="D305" s="14" t="n">
        <v>-1.01</v>
      </c>
      <c r="E305" s="14" t="n">
        <v>-0.23</v>
      </c>
      <c r="F305" s="14" t="n">
        <v>0.36</v>
      </c>
      <c r="G305" s="14" t="n">
        <v>26.83</v>
      </c>
      <c r="H305" s="16" t="n">
        <v>-2776.85</v>
      </c>
      <c r="I305" s="16" t="n">
        <v>-4056.41</v>
      </c>
      <c r="J305" s="14" t="n">
        <v>-1.48</v>
      </c>
      <c r="K305" s="14" t="n">
        <v>-3.68</v>
      </c>
      <c r="L305" s="14" t="n">
        <v>-2.2</v>
      </c>
      <c r="N305" s="14" t="n">
        <v>41.08</v>
      </c>
      <c r="O305" s="14" t="n">
        <v>-0.24</v>
      </c>
      <c r="P305" s="14" t="n">
        <v>-0.43</v>
      </c>
      <c r="Q305" s="14" t="n">
        <v>0.1</v>
      </c>
      <c r="R305" s="14" t="n">
        <v>-22.54</v>
      </c>
      <c r="S305" s="14" t="n">
        <v>-35.27</v>
      </c>
      <c r="T305" s="14" t="n">
        <v>23.36</v>
      </c>
      <c r="U305" s="14" t="n">
        <v>-1.57</v>
      </c>
      <c r="V305" s="14" t="n">
        <v>2.57</v>
      </c>
      <c r="W305" s="14" t="n">
        <v>0.01</v>
      </c>
      <c r="X305" s="14" t="n">
        <v>-53.72</v>
      </c>
      <c r="Z305" s="16" t="n">
        <v>2889311.41</v>
      </c>
      <c r="AA305" s="14" t="n">
        <v>-262.67</v>
      </c>
      <c r="AB305" s="14" t="n">
        <v>-59.19</v>
      </c>
      <c r="AC305" s="14" t="n">
        <v>-0.07</v>
      </c>
      <c r="AD305" s="16" t="n">
        <v>497586117.34</v>
      </c>
    </row>
    <row r="306" customFormat="false" ht="15.75" hidden="false" customHeight="false" outlineLevel="0" collapsed="false">
      <c r="A306" s="14" t="s">
        <v>337</v>
      </c>
      <c r="B306" s="14" t="n">
        <v>60.8</v>
      </c>
      <c r="D306" s="14" t="n">
        <v>-1.03</v>
      </c>
      <c r="E306" s="14" t="n">
        <v>-0.23</v>
      </c>
      <c r="F306" s="14" t="n">
        <v>0.36</v>
      </c>
      <c r="G306" s="14" t="n">
        <v>26.83</v>
      </c>
      <c r="H306" s="16" t="n">
        <v>-2776.85</v>
      </c>
      <c r="I306" s="16" t="n">
        <v>-4056.41</v>
      </c>
      <c r="J306" s="14" t="n">
        <v>-1.5</v>
      </c>
      <c r="K306" s="14" t="n">
        <v>-3.68</v>
      </c>
      <c r="L306" s="14" t="n">
        <v>-2.2</v>
      </c>
      <c r="N306" s="14" t="n">
        <v>41.77</v>
      </c>
      <c r="O306" s="14" t="n">
        <v>-0.24</v>
      </c>
      <c r="P306" s="14" t="n">
        <v>-0.44</v>
      </c>
      <c r="Q306" s="14" t="n">
        <v>0.1</v>
      </c>
      <c r="R306" s="14" t="n">
        <v>-22.54</v>
      </c>
      <c r="S306" s="14" t="n">
        <v>-35.27</v>
      </c>
      <c r="T306" s="14" t="n">
        <v>23.36</v>
      </c>
      <c r="U306" s="14" t="n">
        <v>-1.57</v>
      </c>
      <c r="V306" s="14" t="n">
        <v>2.57</v>
      </c>
      <c r="W306" s="14" t="n">
        <v>0.01</v>
      </c>
      <c r="X306" s="14" t="n">
        <v>-53.72</v>
      </c>
      <c r="Z306" s="16" t="n">
        <v>3864018.12</v>
      </c>
      <c r="AA306" s="14" t="n">
        <v>-262.67</v>
      </c>
      <c r="AB306" s="14" t="n">
        <v>-59.19</v>
      </c>
      <c r="AC306" s="14" t="n">
        <v>-0.07</v>
      </c>
      <c r="AD306" s="16" t="n">
        <v>497586117.34</v>
      </c>
    </row>
    <row r="307" customFormat="false" ht="15.75" hidden="false" customHeight="false" outlineLevel="0" collapsed="false">
      <c r="A307" s="14" t="s">
        <v>338</v>
      </c>
      <c r="B307" s="14" t="n">
        <v>0</v>
      </c>
      <c r="D307" s="14" t="n">
        <v>0</v>
      </c>
      <c r="E307" s="14" t="n">
        <v>0</v>
      </c>
      <c r="F307" s="14" t="n">
        <v>0</v>
      </c>
      <c r="G307" s="14" t="n">
        <v>16.32</v>
      </c>
      <c r="H307" s="14" t="n">
        <v>-7.68</v>
      </c>
      <c r="I307" s="14" t="n">
        <v>-14.46</v>
      </c>
      <c r="J307" s="14" t="n">
        <v>0</v>
      </c>
      <c r="K307" s="14" t="n">
        <v>-7.75</v>
      </c>
      <c r="L307" s="14" t="n">
        <v>-7.75</v>
      </c>
      <c r="M307" s="14" t="n">
        <v>3.01</v>
      </c>
      <c r="N307" s="14" t="n">
        <v>0</v>
      </c>
      <c r="O307" s="14" t="n">
        <v>0</v>
      </c>
      <c r="P307" s="14" t="n">
        <v>0</v>
      </c>
      <c r="Q307" s="14" t="n">
        <v>1.34</v>
      </c>
      <c r="R307" s="14" t="n">
        <v>-73.22</v>
      </c>
      <c r="S307" s="14" t="n">
        <v>-4.75</v>
      </c>
      <c r="T307" s="14" t="n">
        <v>-9.47</v>
      </c>
      <c r="U307" s="14" t="n">
        <v>0.06</v>
      </c>
      <c r="V307" s="14" t="n">
        <v>0.94</v>
      </c>
      <c r="W307" s="14" t="n">
        <v>0.33</v>
      </c>
      <c r="X307" s="14" t="n">
        <v>37.5</v>
      </c>
      <c r="AA307" s="14" t="n">
        <v>0.61</v>
      </c>
      <c r="AB307" s="14" t="n">
        <v>-0.44</v>
      </c>
      <c r="AC307" s="14" t="n">
        <v>0</v>
      </c>
      <c r="AD307" s="14" t="n">
        <v>0</v>
      </c>
    </row>
    <row r="308" customFormat="false" ht="15.75" hidden="false" customHeight="false" outlineLevel="0" collapsed="false">
      <c r="A308" s="14" t="s">
        <v>339</v>
      </c>
      <c r="B308" s="14" t="n">
        <v>28.18</v>
      </c>
      <c r="D308" s="14" t="n">
        <v>20.87</v>
      </c>
      <c r="E308" s="14" t="n">
        <v>5.33</v>
      </c>
      <c r="F308" s="14" t="n">
        <v>3.02</v>
      </c>
      <c r="G308" s="14" t="n">
        <v>31.57</v>
      </c>
      <c r="H308" s="14" t="n">
        <v>17.62</v>
      </c>
      <c r="I308" s="14" t="n">
        <v>18.53</v>
      </c>
      <c r="J308" s="14" t="n">
        <v>21.95</v>
      </c>
      <c r="K308" s="14" t="n">
        <v>20.33</v>
      </c>
      <c r="L308" s="14" t="n">
        <v>-1.56</v>
      </c>
      <c r="M308" s="14" t="n">
        <v>-0.38</v>
      </c>
      <c r="N308" s="14" t="n">
        <v>3.87</v>
      </c>
      <c r="O308" s="14" t="n">
        <v>5.57</v>
      </c>
      <c r="P308" s="14" t="n">
        <v>-21.21</v>
      </c>
      <c r="Q308" s="14" t="n">
        <v>2.72</v>
      </c>
      <c r="R308" s="14" t="n">
        <v>25.54</v>
      </c>
      <c r="S308" s="14" t="n">
        <v>14.46</v>
      </c>
      <c r="T308" s="14" t="n">
        <v>18.36</v>
      </c>
      <c r="U308" s="14" t="n">
        <v>0.57</v>
      </c>
      <c r="V308" s="14" t="n">
        <v>0.43</v>
      </c>
      <c r="W308" s="14" t="n">
        <v>0.78</v>
      </c>
      <c r="Z308" s="16" t="n">
        <v>50929418.32</v>
      </c>
      <c r="AA308" s="14" t="n">
        <v>5.28</v>
      </c>
      <c r="AB308" s="14" t="n">
        <v>1.35</v>
      </c>
      <c r="AC308" s="14" t="n">
        <v>0.08</v>
      </c>
      <c r="AD308" s="16" t="n">
        <v>9199319968.8</v>
      </c>
    </row>
    <row r="309" customFormat="false" ht="15.75" hidden="false" customHeight="false" outlineLevel="0" collapsed="false">
      <c r="A309" s="14" t="s">
        <v>340</v>
      </c>
      <c r="B309" s="14" t="n">
        <v>5.84</v>
      </c>
      <c r="C309" s="14" t="n">
        <v>2.26</v>
      </c>
      <c r="D309" s="14" t="n">
        <v>-4.99</v>
      </c>
      <c r="E309" s="14" t="n">
        <v>1.68</v>
      </c>
      <c r="F309" s="14" t="n">
        <v>0.32</v>
      </c>
      <c r="G309" s="14" t="n">
        <v>-18.42</v>
      </c>
      <c r="H309" s="14" t="n">
        <v>-23.22</v>
      </c>
      <c r="I309" s="14" t="n">
        <v>-17.39</v>
      </c>
      <c r="J309" s="14" t="n">
        <v>-3.74</v>
      </c>
      <c r="K309" s="14" t="n">
        <v>-3.75</v>
      </c>
      <c r="N309" s="14" t="n">
        <v>0.87</v>
      </c>
      <c r="O309" s="14" t="n">
        <v>-8.24</v>
      </c>
      <c r="P309" s="14" t="n">
        <v>-1.05</v>
      </c>
      <c r="Q309" s="14" t="n">
        <v>0.95</v>
      </c>
      <c r="R309" s="14" t="n">
        <v>-33.77</v>
      </c>
      <c r="S309" s="14" t="n">
        <v>-6.34</v>
      </c>
      <c r="U309" s="14" t="n">
        <v>0.19</v>
      </c>
      <c r="V309" s="14" t="n">
        <v>0.81</v>
      </c>
      <c r="W309" s="14" t="n">
        <v>0.36</v>
      </c>
      <c r="X309" s="14" t="n">
        <v>17.75</v>
      </c>
      <c r="Z309" s="16" t="n">
        <v>139346925.44</v>
      </c>
      <c r="AA309" s="14" t="n">
        <v>3.47</v>
      </c>
      <c r="AB309" s="14" t="n">
        <v>-1.17</v>
      </c>
      <c r="AC309" s="14" t="n">
        <v>0.02</v>
      </c>
      <c r="AD309" s="16" t="n">
        <v>7429837345.52</v>
      </c>
    </row>
    <row r="310" customFormat="false" ht="15.75" hidden="false" customHeight="false" outlineLevel="0" collapsed="false">
      <c r="A310" s="14" t="s">
        <v>341</v>
      </c>
      <c r="B310" s="14" t="n">
        <v>40.1</v>
      </c>
      <c r="D310" s="14" t="n">
        <v>-35.12</v>
      </c>
      <c r="E310" s="14" t="n">
        <v>22.04</v>
      </c>
      <c r="F310" s="14" t="n">
        <v>9.22</v>
      </c>
      <c r="G310" s="14" t="n">
        <v>-121.18</v>
      </c>
      <c r="H310" s="16" t="n">
        <v>-18852.94</v>
      </c>
      <c r="I310" s="16" t="n">
        <v>-7435.88</v>
      </c>
      <c r="J310" s="14" t="n">
        <v>-13.85</v>
      </c>
      <c r="K310" s="14" t="n">
        <v>-13.21</v>
      </c>
      <c r="L310" s="14" t="n">
        <v>0.64</v>
      </c>
      <c r="M310" s="14" t="n">
        <v>-1.02</v>
      </c>
      <c r="N310" s="16" t="n">
        <v>2611.73</v>
      </c>
      <c r="O310" s="14" t="n">
        <v>25.42</v>
      </c>
      <c r="P310" s="14" t="n">
        <v>-16.7</v>
      </c>
      <c r="Q310" s="14" t="n">
        <v>5.23</v>
      </c>
      <c r="R310" s="14" t="n">
        <v>-62.76</v>
      </c>
      <c r="S310" s="14" t="n">
        <v>-26.24</v>
      </c>
      <c r="T310" s="14" t="n">
        <v>-174.07</v>
      </c>
      <c r="U310" s="14" t="n">
        <v>0.42</v>
      </c>
      <c r="V310" s="14" t="n">
        <v>0.58</v>
      </c>
      <c r="W310" s="14" t="n">
        <v>0</v>
      </c>
      <c r="X310" s="14" t="n">
        <v>-75.29</v>
      </c>
      <c r="AA310" s="14" t="n">
        <v>1.82</v>
      </c>
      <c r="AB310" s="14" t="n">
        <v>-1.14</v>
      </c>
      <c r="AC310" s="14" t="n">
        <v>1.36</v>
      </c>
      <c r="AD310" s="16" t="n">
        <v>443994658.6</v>
      </c>
    </row>
    <row r="311" customFormat="false" ht="15.75" hidden="false" customHeight="false" outlineLevel="0" collapsed="false">
      <c r="A311" s="14" t="s">
        <v>342</v>
      </c>
      <c r="B311" s="14" t="n">
        <v>11.42</v>
      </c>
      <c r="C311" s="14" t="n">
        <v>2.6</v>
      </c>
      <c r="D311" s="14" t="n">
        <v>11.65</v>
      </c>
      <c r="E311" s="14" t="n">
        <v>1.64</v>
      </c>
      <c r="F311" s="14" t="n">
        <v>1.31</v>
      </c>
      <c r="G311" s="14" t="n">
        <v>31.9</v>
      </c>
      <c r="H311" s="14" t="n">
        <v>136.49</v>
      </c>
      <c r="I311" s="14" t="n">
        <v>127.21</v>
      </c>
      <c r="J311" s="14" t="n">
        <v>10.86</v>
      </c>
      <c r="K311" s="14" t="n">
        <v>10.92</v>
      </c>
      <c r="L311" s="14" t="n">
        <v>0.19</v>
      </c>
      <c r="M311" s="14" t="n">
        <v>0.03</v>
      </c>
      <c r="N311" s="14" t="n">
        <v>14.82</v>
      </c>
      <c r="O311" s="14" t="n">
        <v>23.41</v>
      </c>
      <c r="P311" s="14" t="n">
        <v>-1.46</v>
      </c>
      <c r="Q311" s="14" t="n">
        <v>2.28</v>
      </c>
      <c r="R311" s="14" t="n">
        <v>14.06</v>
      </c>
      <c r="S311" s="14" t="n">
        <v>11.26</v>
      </c>
      <c r="T311" s="14" t="n">
        <v>12.72</v>
      </c>
      <c r="U311" s="14" t="n">
        <v>0.8</v>
      </c>
      <c r="V311" s="14" t="n">
        <v>0.16</v>
      </c>
      <c r="W311" s="14" t="n">
        <v>0.09</v>
      </c>
      <c r="X311" s="14" t="n">
        <v>3.78</v>
      </c>
      <c r="Y311" s="14" t="n">
        <v>-3.97</v>
      </c>
      <c r="Z311" s="16" t="n">
        <v>2276875.8</v>
      </c>
      <c r="AA311" s="14" t="n">
        <v>6.98</v>
      </c>
      <c r="AB311" s="14" t="n">
        <v>0.98</v>
      </c>
      <c r="AC311" s="14" t="n">
        <v>-1.75</v>
      </c>
      <c r="AD311" s="16" t="n">
        <v>95034006201.7</v>
      </c>
    </row>
    <row r="312" customFormat="false" ht="15.75" hidden="false" customHeight="false" outlineLevel="0" collapsed="false">
      <c r="A312" s="14" t="s">
        <v>343</v>
      </c>
      <c r="B312" s="14" t="n">
        <v>11.21</v>
      </c>
      <c r="C312" s="14" t="n">
        <v>2.65</v>
      </c>
      <c r="D312" s="14" t="n">
        <v>11.43</v>
      </c>
      <c r="E312" s="14" t="n">
        <v>1.61</v>
      </c>
      <c r="F312" s="14" t="n">
        <v>1.29</v>
      </c>
      <c r="G312" s="14" t="n">
        <v>31.9</v>
      </c>
      <c r="H312" s="14" t="n">
        <v>136.49</v>
      </c>
      <c r="I312" s="14" t="n">
        <v>127.21</v>
      </c>
      <c r="J312" s="14" t="n">
        <v>10.65</v>
      </c>
      <c r="K312" s="14" t="n">
        <v>10.92</v>
      </c>
      <c r="L312" s="14" t="n">
        <v>0.19</v>
      </c>
      <c r="M312" s="14" t="n">
        <v>0.03</v>
      </c>
      <c r="N312" s="14" t="n">
        <v>14.54</v>
      </c>
      <c r="O312" s="14" t="n">
        <v>22.96</v>
      </c>
      <c r="P312" s="14" t="n">
        <v>-1.43</v>
      </c>
      <c r="Q312" s="14" t="n">
        <v>2.28</v>
      </c>
      <c r="R312" s="14" t="n">
        <v>14.06</v>
      </c>
      <c r="S312" s="14" t="n">
        <v>11.26</v>
      </c>
      <c r="T312" s="14" t="n">
        <v>12.72</v>
      </c>
      <c r="U312" s="14" t="n">
        <v>0.8</v>
      </c>
      <c r="V312" s="14" t="n">
        <v>0.16</v>
      </c>
      <c r="W312" s="14" t="n">
        <v>0.09</v>
      </c>
      <c r="X312" s="14" t="n">
        <v>3.78</v>
      </c>
      <c r="Y312" s="14" t="n">
        <v>-3.97</v>
      </c>
      <c r="Z312" s="16" t="n">
        <v>368161154.78</v>
      </c>
      <c r="AA312" s="14" t="n">
        <v>6.98</v>
      </c>
      <c r="AB312" s="14" t="n">
        <v>0.98</v>
      </c>
      <c r="AC312" s="14" t="n">
        <v>-1.72</v>
      </c>
      <c r="AD312" s="16" t="n">
        <v>95034006201.7</v>
      </c>
    </row>
    <row r="313" customFormat="false" ht="15.75" hidden="false" customHeight="false" outlineLevel="0" collapsed="false">
      <c r="A313" s="14" t="s">
        <v>344</v>
      </c>
      <c r="B313" s="14" t="n">
        <v>26.67</v>
      </c>
      <c r="C313" s="14" t="n">
        <v>2.43</v>
      </c>
      <c r="D313" s="14" t="n">
        <v>12.39</v>
      </c>
      <c r="E313" s="14" t="n">
        <v>1.78</v>
      </c>
      <c r="F313" s="14" t="n">
        <v>0.13</v>
      </c>
      <c r="G313" s="14" t="n">
        <v>65.94</v>
      </c>
      <c r="H313" s="14" t="n">
        <v>13.28</v>
      </c>
      <c r="I313" s="14" t="n">
        <v>12.16</v>
      </c>
      <c r="J313" s="14" t="n">
        <v>11.35</v>
      </c>
      <c r="K313" s="14" t="n">
        <v>12.07</v>
      </c>
      <c r="N313" s="14" t="n">
        <v>1.51</v>
      </c>
      <c r="P313" s="14" t="n">
        <v>-0.13</v>
      </c>
      <c r="R313" s="14" t="n">
        <v>14.34</v>
      </c>
      <c r="S313" s="14" t="n">
        <v>1.04</v>
      </c>
      <c r="U313" s="14" t="n">
        <v>0.07</v>
      </c>
      <c r="V313" s="14" t="n">
        <v>0.92</v>
      </c>
      <c r="W313" s="14" t="n">
        <v>0.09</v>
      </c>
      <c r="X313" s="14" t="n">
        <v>6.04</v>
      </c>
      <c r="Y313" s="14" t="n">
        <v>-10.45</v>
      </c>
      <c r="Z313" s="16" t="n">
        <v>17749384.59</v>
      </c>
      <c r="AA313" s="14" t="n">
        <v>15.02</v>
      </c>
      <c r="AB313" s="14" t="n">
        <v>2.15</v>
      </c>
      <c r="AC313" s="14" t="n">
        <v>-1.09</v>
      </c>
      <c r="AD313" s="16" t="n">
        <v>278300367472.59</v>
      </c>
    </row>
    <row r="314" customFormat="false" ht="15.75" hidden="false" customHeight="false" outlineLevel="0" collapsed="false">
      <c r="A314" s="14" t="s">
        <v>345</v>
      </c>
      <c r="B314" s="14" t="n">
        <v>29.95</v>
      </c>
      <c r="C314" s="14" t="n">
        <v>2.17</v>
      </c>
      <c r="D314" s="14" t="n">
        <v>13.93</v>
      </c>
      <c r="E314" s="14" t="n">
        <v>2</v>
      </c>
      <c r="F314" s="14" t="n">
        <v>0.15</v>
      </c>
      <c r="G314" s="14" t="n">
        <v>65.94</v>
      </c>
      <c r="H314" s="14" t="n">
        <v>13.28</v>
      </c>
      <c r="I314" s="14" t="n">
        <v>12.16</v>
      </c>
      <c r="J314" s="14" t="n">
        <v>12.76</v>
      </c>
      <c r="K314" s="14" t="n">
        <v>12.07</v>
      </c>
      <c r="N314" s="14" t="n">
        <v>1.69</v>
      </c>
      <c r="P314" s="14" t="n">
        <v>-0.15</v>
      </c>
      <c r="R314" s="14" t="n">
        <v>14.34</v>
      </c>
      <c r="S314" s="14" t="n">
        <v>1.04</v>
      </c>
      <c r="U314" s="14" t="n">
        <v>0.07</v>
      </c>
      <c r="V314" s="14" t="n">
        <v>0.92</v>
      </c>
      <c r="W314" s="14" t="n">
        <v>0.09</v>
      </c>
      <c r="X314" s="14" t="n">
        <v>6.04</v>
      </c>
      <c r="Y314" s="14" t="n">
        <v>-10.45</v>
      </c>
      <c r="Z314" s="16" t="n">
        <v>1153382272.49</v>
      </c>
      <c r="AA314" s="14" t="n">
        <v>15.02</v>
      </c>
      <c r="AB314" s="14" t="n">
        <v>2.15</v>
      </c>
      <c r="AC314" s="14" t="n">
        <v>-1.23</v>
      </c>
      <c r="AD314" s="16" t="n">
        <v>278300367472.59</v>
      </c>
    </row>
    <row r="315" customFormat="false" ht="15.75" hidden="false" customHeight="false" outlineLevel="0" collapsed="false">
      <c r="A315" s="14" t="s">
        <v>346</v>
      </c>
      <c r="B315" s="14" t="n">
        <v>10.33</v>
      </c>
      <c r="D315" s="14" t="n">
        <v>14.05</v>
      </c>
      <c r="E315" s="14" t="n">
        <v>2.68</v>
      </c>
      <c r="F315" s="14" t="n">
        <v>0.88</v>
      </c>
      <c r="G315" s="14" t="n">
        <v>53.05</v>
      </c>
      <c r="H315" s="14" t="n">
        <v>43.87</v>
      </c>
      <c r="I315" s="14" t="n">
        <v>14.16</v>
      </c>
      <c r="J315" s="14" t="n">
        <v>4.53</v>
      </c>
      <c r="K315" s="14" t="n">
        <v>5.59</v>
      </c>
      <c r="L315" s="14" t="n">
        <v>1.05</v>
      </c>
      <c r="M315" s="14" t="n">
        <v>0.62</v>
      </c>
      <c r="N315" s="14" t="n">
        <v>1.99</v>
      </c>
      <c r="O315" s="14" t="n">
        <v>2.81</v>
      </c>
      <c r="P315" s="14" t="n">
        <v>-1.8</v>
      </c>
      <c r="Q315" s="14" t="n">
        <v>2.58</v>
      </c>
      <c r="R315" s="14" t="n">
        <v>19.08</v>
      </c>
      <c r="S315" s="14" t="n">
        <v>6.26</v>
      </c>
      <c r="T315" s="14" t="n">
        <v>19.32</v>
      </c>
      <c r="U315" s="14" t="n">
        <v>0.33</v>
      </c>
      <c r="V315" s="14" t="n">
        <v>0.67</v>
      </c>
      <c r="W315" s="14" t="n">
        <v>0.44</v>
      </c>
      <c r="Z315" s="16" t="n">
        <v>7494549.29</v>
      </c>
      <c r="AA315" s="14" t="n">
        <v>3.85</v>
      </c>
      <c r="AB315" s="14" t="n">
        <v>0.74</v>
      </c>
      <c r="AD315" s="16" t="n">
        <v>3044220950.03</v>
      </c>
    </row>
    <row r="316" customFormat="false" ht="15.75" hidden="false" customHeight="false" outlineLevel="0" collapsed="false">
      <c r="A316" s="14" t="s">
        <v>347</v>
      </c>
      <c r="B316" s="14" t="n">
        <v>10.25</v>
      </c>
      <c r="D316" s="14" t="n">
        <v>-5.04</v>
      </c>
      <c r="E316" s="14" t="n">
        <v>0.84</v>
      </c>
      <c r="F316" s="14" t="n">
        <v>0.27</v>
      </c>
      <c r="J316" s="14" t="n">
        <v>-5.13</v>
      </c>
      <c r="K316" s="14" t="n">
        <v>-4.46</v>
      </c>
      <c r="L316" s="14" t="n">
        <v>-0.59</v>
      </c>
      <c r="M316" s="14" t="n">
        <v>0.1</v>
      </c>
      <c r="O316" s="14" t="n">
        <v>-1.53</v>
      </c>
      <c r="P316" s="14" t="n">
        <v>-0.27</v>
      </c>
      <c r="Q316" s="14" t="n">
        <v>0</v>
      </c>
      <c r="R316" s="14" t="n">
        <v>-16.68</v>
      </c>
      <c r="S316" s="14" t="n">
        <v>-5.35</v>
      </c>
      <c r="T316" s="14" t="n">
        <v>-14.96</v>
      </c>
      <c r="U316" s="14" t="n">
        <v>0.32</v>
      </c>
      <c r="V316" s="14" t="n">
        <v>0.68</v>
      </c>
      <c r="W316" s="14" t="n">
        <v>0</v>
      </c>
      <c r="Z316" s="16" t="n">
        <v>3224742.05</v>
      </c>
      <c r="AA316" s="14" t="n">
        <v>12.19</v>
      </c>
      <c r="AB316" s="14" t="n">
        <v>-2.03</v>
      </c>
      <c r="AC316" s="14" t="n">
        <v>-0.04</v>
      </c>
      <c r="AD316" s="16" t="n">
        <v>38848347.95</v>
      </c>
    </row>
    <row r="317" customFormat="false" ht="15.75" hidden="false" customHeight="false" outlineLevel="0" collapsed="false">
      <c r="A317" s="14" t="s">
        <v>348</v>
      </c>
      <c r="B317" s="14" t="n">
        <v>6.6</v>
      </c>
      <c r="D317" s="14" t="n">
        <v>-3.25</v>
      </c>
      <c r="E317" s="14" t="n">
        <v>0.54</v>
      </c>
      <c r="F317" s="14" t="n">
        <v>0.17</v>
      </c>
      <c r="J317" s="14" t="n">
        <v>-3.3</v>
      </c>
      <c r="K317" s="14" t="n">
        <v>-4.46</v>
      </c>
      <c r="L317" s="14" t="n">
        <v>-0.59</v>
      </c>
      <c r="M317" s="14" t="n">
        <v>0.1</v>
      </c>
      <c r="O317" s="14" t="n">
        <v>-0.99</v>
      </c>
      <c r="P317" s="14" t="n">
        <v>-0.17</v>
      </c>
      <c r="Q317" s="14" t="n">
        <v>0</v>
      </c>
      <c r="R317" s="14" t="n">
        <v>-16.68</v>
      </c>
      <c r="S317" s="14" t="n">
        <v>-5.35</v>
      </c>
      <c r="T317" s="14" t="n">
        <v>-14.96</v>
      </c>
      <c r="U317" s="14" t="n">
        <v>0.32</v>
      </c>
      <c r="V317" s="14" t="n">
        <v>0.68</v>
      </c>
      <c r="W317" s="14" t="n">
        <v>0</v>
      </c>
      <c r="Z317" s="16" t="n">
        <v>6568523.49</v>
      </c>
      <c r="AA317" s="14" t="n">
        <v>12.19</v>
      </c>
      <c r="AB317" s="14" t="n">
        <v>-2.03</v>
      </c>
      <c r="AC317" s="14" t="n">
        <v>-0.02</v>
      </c>
      <c r="AD317" s="16" t="n">
        <v>38848347.95</v>
      </c>
    </row>
    <row r="318" customFormat="false" ht="15.75" hidden="false" customHeight="false" outlineLevel="0" collapsed="false">
      <c r="A318" s="14" t="s">
        <v>349</v>
      </c>
      <c r="B318" s="14" t="n">
        <v>28.69</v>
      </c>
      <c r="C318" s="14" t="n">
        <v>3.54</v>
      </c>
      <c r="D318" s="14" t="n">
        <v>5.73</v>
      </c>
      <c r="E318" s="14" t="n">
        <v>1.79</v>
      </c>
      <c r="F318" s="14" t="n">
        <v>0.43</v>
      </c>
      <c r="G318" s="14" t="n">
        <v>16.98</v>
      </c>
      <c r="H318" s="14" t="n">
        <v>7.91</v>
      </c>
      <c r="I318" s="14" t="n">
        <v>4.35</v>
      </c>
      <c r="J318" s="14" t="n">
        <v>3.15</v>
      </c>
      <c r="K318" s="14" t="n">
        <v>5.65</v>
      </c>
      <c r="L318" s="14" t="n">
        <v>2.5</v>
      </c>
      <c r="M318" s="14" t="n">
        <v>1.42</v>
      </c>
      <c r="N318" s="14" t="n">
        <v>0.25</v>
      </c>
      <c r="O318" s="14" t="n">
        <v>4.82</v>
      </c>
      <c r="P318" s="14" t="n">
        <v>-0.66</v>
      </c>
      <c r="Q318" s="14" t="n">
        <v>1.35</v>
      </c>
      <c r="R318" s="14" t="n">
        <v>31.28</v>
      </c>
      <c r="S318" s="14" t="n">
        <v>7.55</v>
      </c>
      <c r="T318" s="14" t="n">
        <v>15.26</v>
      </c>
      <c r="U318" s="14" t="n">
        <v>0.24</v>
      </c>
      <c r="V318" s="14" t="n">
        <v>0.74</v>
      </c>
      <c r="W318" s="14" t="n">
        <v>1.73</v>
      </c>
      <c r="X318" s="14" t="n">
        <v>10.65</v>
      </c>
      <c r="Y318" s="14" t="n">
        <v>-1.92</v>
      </c>
      <c r="Z318" s="16" t="n">
        <v>341867281.44</v>
      </c>
      <c r="AA318" s="14" t="n">
        <v>16.01</v>
      </c>
      <c r="AB318" s="14" t="n">
        <v>5.01</v>
      </c>
      <c r="AC318" s="14" t="n">
        <v>0</v>
      </c>
      <c r="AD318" s="16" t="n">
        <v>71868705737.4</v>
      </c>
    </row>
    <row r="319" customFormat="false" ht="15.75" hidden="false" customHeight="false" outlineLevel="0" collapsed="false">
      <c r="A319" s="14" t="s">
        <v>350</v>
      </c>
      <c r="B319" s="14" t="n">
        <v>6.14</v>
      </c>
      <c r="D319" s="14" t="n">
        <v>-4.94</v>
      </c>
      <c r="E319" s="14" t="n">
        <v>-1.79</v>
      </c>
      <c r="F319" s="14" t="n">
        <v>0.51</v>
      </c>
      <c r="G319" s="14" t="n">
        <v>-53.47</v>
      </c>
      <c r="H319" s="14" t="n">
        <v>-800.46</v>
      </c>
      <c r="I319" s="14" t="n">
        <v>-711.56</v>
      </c>
      <c r="J319" s="14" t="n">
        <v>-4.39</v>
      </c>
      <c r="K319" s="14" t="n">
        <v>-8.15</v>
      </c>
      <c r="L319" s="14" t="n">
        <v>-3.86</v>
      </c>
      <c r="N319" s="14" t="n">
        <v>35.13</v>
      </c>
      <c r="O319" s="14" t="n">
        <v>-6.19</v>
      </c>
      <c r="P319" s="14" t="n">
        <v>-3.25</v>
      </c>
      <c r="Q319" s="14" t="n">
        <v>0.91</v>
      </c>
      <c r="R319" s="14" t="n">
        <v>-36.19</v>
      </c>
      <c r="S319" s="14" t="n">
        <v>-10.28</v>
      </c>
      <c r="T319" s="14" t="n">
        <v>-139.13</v>
      </c>
      <c r="U319" s="14" t="n">
        <v>-0.28</v>
      </c>
      <c r="V319" s="14" t="n">
        <v>1.37</v>
      </c>
      <c r="W319" s="14" t="n">
        <v>0.01</v>
      </c>
      <c r="X319" s="14" t="n">
        <v>-44.72</v>
      </c>
      <c r="Z319" s="16" t="n">
        <v>3383978.31</v>
      </c>
      <c r="AA319" s="14" t="n">
        <v>-3.44</v>
      </c>
      <c r="AB319" s="14" t="n">
        <v>-1.24</v>
      </c>
      <c r="AC319" s="14" t="n">
        <v>0.06</v>
      </c>
      <c r="AD319" s="16" t="n">
        <v>631222890</v>
      </c>
    </row>
    <row r="320" customFormat="false" ht="15.75" hidden="false" customHeight="false" outlineLevel="0" collapsed="false">
      <c r="A320" s="14" t="s">
        <v>351</v>
      </c>
      <c r="B320" s="14" t="n">
        <v>7.22</v>
      </c>
      <c r="C320" s="14" t="n">
        <v>4.92</v>
      </c>
      <c r="D320" s="14" t="n">
        <v>6.1</v>
      </c>
      <c r="E320" s="14" t="n">
        <v>1.27</v>
      </c>
      <c r="F320" s="14" t="n">
        <v>0.65</v>
      </c>
      <c r="G320" s="14" t="n">
        <v>72.96</v>
      </c>
      <c r="H320" s="14" t="n">
        <v>69.99</v>
      </c>
      <c r="I320" s="14" t="n">
        <v>58.88</v>
      </c>
      <c r="J320" s="14" t="n">
        <v>5.13</v>
      </c>
      <c r="K320" s="14" t="n">
        <v>5.61</v>
      </c>
      <c r="L320" s="14" t="n">
        <v>0.48</v>
      </c>
      <c r="M320" s="14" t="n">
        <v>0.12</v>
      </c>
      <c r="N320" s="14" t="n">
        <v>3.59</v>
      </c>
      <c r="O320" s="14" t="n">
        <v>4.28</v>
      </c>
      <c r="P320" s="14" t="n">
        <v>-0.89</v>
      </c>
      <c r="Q320" s="14" t="n">
        <v>2.35</v>
      </c>
      <c r="R320" s="14" t="n">
        <v>20.79</v>
      </c>
      <c r="S320" s="14" t="n">
        <v>10.73</v>
      </c>
      <c r="T320" s="14" t="n">
        <v>15.17</v>
      </c>
      <c r="U320" s="14" t="n">
        <v>0.52</v>
      </c>
      <c r="V320" s="14" t="n">
        <v>0.47</v>
      </c>
      <c r="W320" s="14" t="n">
        <v>0.18</v>
      </c>
      <c r="X320" s="14" t="n">
        <v>13.16</v>
      </c>
      <c r="Y320" s="14" t="n">
        <v>42.24</v>
      </c>
      <c r="Z320" s="16" t="n">
        <v>35903086.73</v>
      </c>
      <c r="AA320" s="14" t="n">
        <v>5.71</v>
      </c>
      <c r="AB320" s="14" t="n">
        <v>1.19</v>
      </c>
      <c r="AC320" s="14" t="n">
        <v>0.04</v>
      </c>
      <c r="AD320" s="16" t="n">
        <v>4981646072.19</v>
      </c>
    </row>
    <row r="321" customFormat="false" ht="15.75" hidden="false" customHeight="false" outlineLevel="0" collapsed="false">
      <c r="A321" s="14" t="s">
        <v>352</v>
      </c>
      <c r="B321" s="14" t="n">
        <v>37</v>
      </c>
      <c r="C321" s="14" t="n">
        <v>3.09</v>
      </c>
      <c r="D321" s="14" t="n">
        <v>11.96</v>
      </c>
      <c r="E321" s="14" t="n">
        <v>0.74</v>
      </c>
      <c r="F321" s="14" t="n">
        <v>0.2</v>
      </c>
      <c r="G321" s="14" t="n">
        <v>25.55</v>
      </c>
      <c r="H321" s="14" t="n">
        <v>7.11</v>
      </c>
      <c r="I321" s="14" t="n">
        <v>1.98</v>
      </c>
      <c r="J321" s="14" t="n">
        <v>3.34</v>
      </c>
      <c r="K321" s="14" t="n">
        <v>7.07</v>
      </c>
      <c r="L321" s="14" t="n">
        <v>3.72</v>
      </c>
      <c r="M321" s="14" t="n">
        <v>0.83</v>
      </c>
      <c r="N321" s="14" t="n">
        <v>0.24</v>
      </c>
      <c r="O321" s="14" t="n">
        <v>0.66</v>
      </c>
      <c r="P321" s="14" t="n">
        <v>-0.57</v>
      </c>
      <c r="Q321" s="14" t="n">
        <v>1.83</v>
      </c>
      <c r="R321" s="14" t="n">
        <v>6.21</v>
      </c>
      <c r="S321" s="14" t="n">
        <v>1.64</v>
      </c>
      <c r="T321" s="14" t="n">
        <v>4.11</v>
      </c>
      <c r="U321" s="14" t="n">
        <v>0.26</v>
      </c>
      <c r="V321" s="14" t="n">
        <v>0.65</v>
      </c>
      <c r="W321" s="14" t="n">
        <v>0.83</v>
      </c>
      <c r="X321" s="14" t="n">
        <v>8.16</v>
      </c>
      <c r="Y321" s="14" t="n">
        <v>5.14</v>
      </c>
      <c r="Z321" s="16" t="n">
        <v>20862.71</v>
      </c>
      <c r="AA321" s="14" t="n">
        <v>49.82</v>
      </c>
      <c r="AB321" s="14" t="n">
        <v>3.09</v>
      </c>
      <c r="AC321" s="14" t="n">
        <v>0.09</v>
      </c>
      <c r="AD321" s="16" t="n">
        <v>393517877</v>
      </c>
    </row>
    <row r="322" customFormat="false" ht="15.75" hidden="false" customHeight="false" outlineLevel="0" collapsed="false">
      <c r="A322" s="14" t="s">
        <v>353</v>
      </c>
      <c r="B322" s="14" t="n">
        <v>52</v>
      </c>
      <c r="C322" s="14" t="n">
        <v>2.42</v>
      </c>
      <c r="D322" s="14" t="n">
        <v>16.81</v>
      </c>
      <c r="E322" s="14" t="n">
        <v>1.04</v>
      </c>
      <c r="F322" s="14" t="n">
        <v>0.28</v>
      </c>
      <c r="G322" s="14" t="n">
        <v>25.55</v>
      </c>
      <c r="H322" s="14" t="n">
        <v>7.11</v>
      </c>
      <c r="I322" s="14" t="n">
        <v>1.98</v>
      </c>
      <c r="J322" s="14" t="n">
        <v>4.69</v>
      </c>
      <c r="K322" s="14" t="n">
        <v>7.07</v>
      </c>
      <c r="L322" s="14" t="n">
        <v>3.72</v>
      </c>
      <c r="M322" s="14" t="n">
        <v>0.83</v>
      </c>
      <c r="N322" s="14" t="n">
        <v>0.33</v>
      </c>
      <c r="O322" s="14" t="n">
        <v>0.92</v>
      </c>
      <c r="P322" s="14" t="n">
        <v>-0.81</v>
      </c>
      <c r="Q322" s="14" t="n">
        <v>1.83</v>
      </c>
      <c r="R322" s="14" t="n">
        <v>6.21</v>
      </c>
      <c r="S322" s="14" t="n">
        <v>1.64</v>
      </c>
      <c r="T322" s="14" t="n">
        <v>4.11</v>
      </c>
      <c r="U322" s="14" t="n">
        <v>0.26</v>
      </c>
      <c r="V322" s="14" t="n">
        <v>0.65</v>
      </c>
      <c r="W322" s="14" t="n">
        <v>0.83</v>
      </c>
      <c r="X322" s="14" t="n">
        <v>8.16</v>
      </c>
      <c r="Y322" s="14" t="n">
        <v>5.14</v>
      </c>
      <c r="Z322" s="16" t="n">
        <v>23636.33</v>
      </c>
      <c r="AA322" s="14" t="n">
        <v>49.82</v>
      </c>
      <c r="AB322" s="14" t="n">
        <v>3.09</v>
      </c>
      <c r="AC322" s="14" t="n">
        <v>0.12</v>
      </c>
      <c r="AD322" s="16" t="n">
        <v>393517877</v>
      </c>
    </row>
    <row r="323" customFormat="false" ht="15.75" hidden="false" customHeight="false" outlineLevel="0" collapsed="false">
      <c r="A323" s="14" t="s">
        <v>354</v>
      </c>
      <c r="B323" s="14" t="n">
        <v>33.03</v>
      </c>
      <c r="C323" s="14" t="n">
        <v>0.76</v>
      </c>
      <c r="D323" s="14" t="n">
        <v>29.26</v>
      </c>
      <c r="E323" s="14" t="n">
        <v>1.78</v>
      </c>
      <c r="F323" s="14" t="n">
        <v>0.42</v>
      </c>
      <c r="G323" s="14" t="n">
        <v>58.13</v>
      </c>
      <c r="H323" s="14" t="n">
        <v>48.64</v>
      </c>
      <c r="I323" s="14" t="n">
        <v>14.46</v>
      </c>
      <c r="J323" s="14" t="n">
        <v>8.7</v>
      </c>
      <c r="K323" s="14" t="n">
        <v>14.49</v>
      </c>
      <c r="L323" s="14" t="n">
        <v>5.82</v>
      </c>
      <c r="M323" s="14" t="n">
        <v>1.19</v>
      </c>
      <c r="N323" s="14" t="n">
        <v>4.23</v>
      </c>
      <c r="O323" s="14" t="n">
        <v>2.81</v>
      </c>
      <c r="P323" s="14" t="n">
        <v>-0.56</v>
      </c>
      <c r="Q323" s="14" t="n">
        <v>2.36</v>
      </c>
      <c r="R323" s="14" t="n">
        <v>6.08</v>
      </c>
      <c r="S323" s="14" t="n">
        <v>1.43</v>
      </c>
      <c r="T323" s="14" t="n">
        <v>4.14</v>
      </c>
      <c r="U323" s="14" t="n">
        <v>0.23</v>
      </c>
      <c r="V323" s="14" t="n">
        <v>0.54</v>
      </c>
      <c r="W323" s="14" t="n">
        <v>0.1</v>
      </c>
      <c r="X323" s="14" t="n">
        <v>1.23</v>
      </c>
      <c r="Z323" s="16" t="n">
        <v>13746691.78</v>
      </c>
      <c r="AA323" s="14" t="n">
        <v>18.63</v>
      </c>
      <c r="AB323" s="14" t="n">
        <v>1.13</v>
      </c>
      <c r="AC323" s="14" t="n">
        <v>-4.94</v>
      </c>
      <c r="AD323" s="16" t="n">
        <v>2902100525.48</v>
      </c>
    </row>
    <row r="324" customFormat="false" ht="15.75" hidden="false" customHeight="false" outlineLevel="0" collapsed="false">
      <c r="A324" s="14" t="s">
        <v>355</v>
      </c>
      <c r="B324" s="14" t="n">
        <v>11.61</v>
      </c>
      <c r="C324" s="14" t="n">
        <v>1.16</v>
      </c>
      <c r="D324" s="14" t="n">
        <v>12.74</v>
      </c>
      <c r="E324" s="14" t="n">
        <v>2.78</v>
      </c>
      <c r="F324" s="14" t="n">
        <v>0.68</v>
      </c>
      <c r="G324" s="14" t="n">
        <v>-6.28</v>
      </c>
      <c r="H324" s="14" t="n">
        <v>17.87</v>
      </c>
      <c r="I324" s="14" t="n">
        <v>19.12</v>
      </c>
      <c r="J324" s="14" t="n">
        <v>13.63</v>
      </c>
      <c r="K324" s="14" t="n">
        <v>21.32</v>
      </c>
      <c r="L324" s="14" t="n">
        <v>7.79</v>
      </c>
      <c r="M324" s="14" t="n">
        <v>1.59</v>
      </c>
      <c r="N324" s="14" t="n">
        <v>2.44</v>
      </c>
      <c r="O324" s="14" t="n">
        <v>3.25</v>
      </c>
      <c r="P324" s="14" t="n">
        <v>-1.12</v>
      </c>
      <c r="Q324" s="14" t="n">
        <v>2.12</v>
      </c>
      <c r="R324" s="14" t="n">
        <v>21.8</v>
      </c>
      <c r="S324" s="14" t="n">
        <v>5.33</v>
      </c>
      <c r="T324" s="14" t="n">
        <v>5.92</v>
      </c>
      <c r="U324" s="14" t="n">
        <v>0.24</v>
      </c>
      <c r="V324" s="14" t="n">
        <v>0.76</v>
      </c>
      <c r="W324" s="14" t="n">
        <v>0.28</v>
      </c>
      <c r="X324" s="14" t="n">
        <v>-13.95</v>
      </c>
      <c r="Y324" s="14" t="n">
        <v>22.94</v>
      </c>
      <c r="Z324" s="16" t="n">
        <v>6279289.68</v>
      </c>
      <c r="AA324" s="14" t="n">
        <v>4.19</v>
      </c>
      <c r="AB324" s="14" t="n">
        <v>0.91</v>
      </c>
      <c r="AC324" s="14" t="n">
        <v>0.16</v>
      </c>
      <c r="AD324" s="16" t="n">
        <v>3233896950.9</v>
      </c>
    </row>
    <row r="325" customFormat="false" ht="15.75" hidden="false" customHeight="false" outlineLevel="0" collapsed="false">
      <c r="A325" s="14" t="s">
        <v>356</v>
      </c>
      <c r="B325" s="14" t="n">
        <v>56.51</v>
      </c>
      <c r="C325" s="14" t="n">
        <v>3.5</v>
      </c>
      <c r="D325" s="14" t="n">
        <v>22.56</v>
      </c>
      <c r="E325" s="14" t="n">
        <v>3.21</v>
      </c>
      <c r="F325" s="14" t="n">
        <v>1.8</v>
      </c>
      <c r="G325" s="14" t="n">
        <v>23.59</v>
      </c>
      <c r="H325" s="14" t="n">
        <v>12.34</v>
      </c>
      <c r="I325" s="14" t="n">
        <v>9.76</v>
      </c>
      <c r="J325" s="14" t="n">
        <v>17.85</v>
      </c>
      <c r="K325" s="14" t="n">
        <v>15.66</v>
      </c>
      <c r="L325" s="14" t="n">
        <v>-2.26</v>
      </c>
      <c r="M325" s="14" t="n">
        <v>-0.41</v>
      </c>
      <c r="N325" s="14" t="n">
        <v>2.2</v>
      </c>
      <c r="O325" s="14" t="n">
        <v>10.02</v>
      </c>
      <c r="P325" s="14" t="n">
        <v>-4.32</v>
      </c>
      <c r="Q325" s="14" t="n">
        <v>1.45</v>
      </c>
      <c r="R325" s="14" t="n">
        <v>14.23</v>
      </c>
      <c r="S325" s="14" t="n">
        <v>8</v>
      </c>
      <c r="T325" s="14" t="n">
        <v>12.79</v>
      </c>
      <c r="U325" s="14" t="n">
        <v>0.56</v>
      </c>
      <c r="V325" s="14" t="n">
        <v>0.44</v>
      </c>
      <c r="W325" s="14" t="n">
        <v>0.82</v>
      </c>
      <c r="X325" s="14" t="n">
        <v>-1</v>
      </c>
      <c r="Y325" s="14" t="n">
        <v>61.09</v>
      </c>
      <c r="Z325" s="16" t="n">
        <v>11022711.41</v>
      </c>
      <c r="AA325" s="14" t="n">
        <v>17.63</v>
      </c>
      <c r="AB325" s="14" t="n">
        <v>2.51</v>
      </c>
      <c r="AC325" s="14" t="n">
        <v>0.28</v>
      </c>
      <c r="AD325" s="16" t="n">
        <v>1723630734.45</v>
      </c>
    </row>
    <row r="326" customFormat="false" ht="15.75" hidden="false" customHeight="false" outlineLevel="0" collapsed="false">
      <c r="A326" s="14" t="s">
        <v>357</v>
      </c>
      <c r="B326" s="14" t="n">
        <v>26.37</v>
      </c>
      <c r="D326" s="14" t="n">
        <v>28.07</v>
      </c>
      <c r="E326" s="14" t="n">
        <v>9.65</v>
      </c>
      <c r="F326" s="14" t="n">
        <v>0.77</v>
      </c>
      <c r="G326" s="14" t="n">
        <v>37.8</v>
      </c>
      <c r="H326" s="14" t="n">
        <v>25.45</v>
      </c>
      <c r="I326" s="14" t="n">
        <v>8.22</v>
      </c>
      <c r="J326" s="14" t="n">
        <v>9.07</v>
      </c>
      <c r="K326" s="14" t="n">
        <v>15.71</v>
      </c>
      <c r="L326" s="14" t="n">
        <v>6.66</v>
      </c>
      <c r="M326" s="14" t="n">
        <v>7.09</v>
      </c>
      <c r="N326" s="14" t="n">
        <v>2.31</v>
      </c>
      <c r="O326" s="14" t="n">
        <v>3.37</v>
      </c>
      <c r="P326" s="14" t="n">
        <v>-1.17</v>
      </c>
      <c r="Q326" s="14" t="n">
        <v>2.92</v>
      </c>
      <c r="R326" s="14" t="n">
        <v>34.36</v>
      </c>
      <c r="S326" s="14" t="n">
        <v>2.73</v>
      </c>
      <c r="T326" s="14" t="n">
        <v>8.57</v>
      </c>
      <c r="U326" s="14" t="n">
        <v>0.08</v>
      </c>
      <c r="V326" s="14" t="n">
        <v>0.9</v>
      </c>
      <c r="W326" s="14" t="n">
        <v>0.33</v>
      </c>
      <c r="X326" s="14" t="n">
        <v>16.01</v>
      </c>
      <c r="Z326" s="16" t="n">
        <v>202275466.24</v>
      </c>
      <c r="AA326" s="14" t="n">
        <v>2.73</v>
      </c>
      <c r="AB326" s="14" t="n">
        <v>0.94</v>
      </c>
      <c r="AC326" s="14" t="n">
        <v>-0.19</v>
      </c>
      <c r="AD326" s="16" t="n">
        <v>29527644325.54</v>
      </c>
    </row>
    <row r="327" customFormat="false" ht="15.75" hidden="false" customHeight="false" outlineLevel="0" collapsed="false">
      <c r="A327" s="14" t="s">
        <v>358</v>
      </c>
      <c r="B327" s="14" t="n">
        <v>6.26</v>
      </c>
      <c r="D327" s="14" t="n">
        <v>33.26</v>
      </c>
      <c r="E327" s="14" t="n">
        <v>11.43</v>
      </c>
      <c r="F327" s="14" t="n">
        <v>0.91</v>
      </c>
      <c r="G327" s="14" t="n">
        <v>37.8</v>
      </c>
      <c r="H327" s="14" t="n">
        <v>25.45</v>
      </c>
      <c r="I327" s="14" t="n">
        <v>8.22</v>
      </c>
      <c r="J327" s="14" t="n">
        <v>10.74</v>
      </c>
      <c r="K327" s="14" t="n">
        <v>15.71</v>
      </c>
      <c r="L327" s="14" t="n">
        <v>6.66</v>
      </c>
      <c r="M327" s="14" t="n">
        <v>7.09</v>
      </c>
      <c r="N327" s="14" t="n">
        <v>2.73</v>
      </c>
      <c r="O327" s="14" t="n">
        <v>3.99</v>
      </c>
      <c r="P327" s="14" t="n">
        <v>-1.39</v>
      </c>
      <c r="Q327" s="14" t="n">
        <v>2.92</v>
      </c>
      <c r="R327" s="14" t="n">
        <v>34.36</v>
      </c>
      <c r="S327" s="14" t="n">
        <v>2.73</v>
      </c>
      <c r="T327" s="14" t="n">
        <v>8.57</v>
      </c>
      <c r="U327" s="14" t="n">
        <v>0.08</v>
      </c>
      <c r="V327" s="14" t="n">
        <v>0.9</v>
      </c>
      <c r="W327" s="14" t="n">
        <v>0.33</v>
      </c>
      <c r="X327" s="14" t="n">
        <v>16.01</v>
      </c>
      <c r="Z327" s="16" t="n">
        <v>1887697.32</v>
      </c>
      <c r="AA327" s="14" t="n">
        <v>0.55</v>
      </c>
      <c r="AB327" s="14" t="n">
        <v>0.19</v>
      </c>
      <c r="AC327" s="14" t="n">
        <v>-0.23</v>
      </c>
      <c r="AD327" s="16" t="n">
        <v>29527644325.54</v>
      </c>
    </row>
    <row r="328" customFormat="false" ht="15.75" hidden="false" customHeight="false" outlineLevel="0" collapsed="false">
      <c r="A328" s="14" t="s">
        <v>359</v>
      </c>
      <c r="B328" s="14" t="n">
        <v>5.02</v>
      </c>
      <c r="D328" s="14" t="n">
        <v>26.76</v>
      </c>
      <c r="E328" s="14" t="n">
        <v>9.2</v>
      </c>
      <c r="F328" s="14" t="n">
        <v>0.73</v>
      </c>
      <c r="G328" s="14" t="n">
        <v>37.8</v>
      </c>
      <c r="H328" s="14" t="n">
        <v>25.45</v>
      </c>
      <c r="I328" s="14" t="n">
        <v>8.22</v>
      </c>
      <c r="J328" s="14" t="n">
        <v>8.64</v>
      </c>
      <c r="K328" s="14" t="n">
        <v>15.71</v>
      </c>
      <c r="L328" s="14" t="n">
        <v>6.66</v>
      </c>
      <c r="M328" s="14" t="n">
        <v>7.09</v>
      </c>
      <c r="N328" s="14" t="n">
        <v>2.2</v>
      </c>
      <c r="O328" s="14" t="n">
        <v>3.21</v>
      </c>
      <c r="P328" s="14" t="n">
        <v>-1.12</v>
      </c>
      <c r="Q328" s="14" t="n">
        <v>2.92</v>
      </c>
      <c r="R328" s="14" t="n">
        <v>34.36</v>
      </c>
      <c r="S328" s="14" t="n">
        <v>2.73</v>
      </c>
      <c r="T328" s="14" t="n">
        <v>8.57</v>
      </c>
      <c r="U328" s="14" t="n">
        <v>0.08</v>
      </c>
      <c r="V328" s="14" t="n">
        <v>0.9</v>
      </c>
      <c r="W328" s="14" t="n">
        <v>0.33</v>
      </c>
      <c r="X328" s="14" t="n">
        <v>16.01</v>
      </c>
      <c r="Z328" s="16" t="n">
        <v>9731848.66</v>
      </c>
      <c r="AA328" s="14" t="n">
        <v>0.55</v>
      </c>
      <c r="AB328" s="14" t="n">
        <v>0.19</v>
      </c>
      <c r="AC328" s="14" t="n">
        <v>-0.18</v>
      </c>
      <c r="AD328" s="16" t="n">
        <v>29527644325.54</v>
      </c>
    </row>
    <row r="329" customFormat="false" ht="15.75" hidden="false" customHeight="false" outlineLevel="0" collapsed="false">
      <c r="A329" s="14" t="s">
        <v>360</v>
      </c>
      <c r="B329" s="14" t="n">
        <v>21.09</v>
      </c>
      <c r="C329" s="14" t="n">
        <v>1.02</v>
      </c>
      <c r="D329" s="14" t="n">
        <v>141.82</v>
      </c>
      <c r="E329" s="14" t="n">
        <v>3.21</v>
      </c>
      <c r="F329" s="14" t="n">
        <v>0.9</v>
      </c>
      <c r="G329" s="14" t="n">
        <v>32.91</v>
      </c>
      <c r="H329" s="14" t="n">
        <v>5.44</v>
      </c>
      <c r="I329" s="14" t="n">
        <v>1.25</v>
      </c>
      <c r="J329" s="14" t="n">
        <v>32.49</v>
      </c>
      <c r="K329" s="14" t="n">
        <v>34.92</v>
      </c>
      <c r="L329" s="14" t="n">
        <v>1.56</v>
      </c>
      <c r="M329" s="14" t="n">
        <v>0.15</v>
      </c>
      <c r="N329" s="14" t="n">
        <v>1.77</v>
      </c>
      <c r="O329" s="14" t="n">
        <v>2.42</v>
      </c>
      <c r="P329" s="14" t="n">
        <v>-2.44</v>
      </c>
      <c r="Q329" s="14" t="n">
        <v>2.45</v>
      </c>
      <c r="R329" s="14" t="n">
        <v>2.26</v>
      </c>
      <c r="S329" s="14" t="n">
        <v>0.64</v>
      </c>
      <c r="T329" s="14" t="n">
        <v>3.3</v>
      </c>
      <c r="U329" s="14" t="n">
        <v>0.28</v>
      </c>
      <c r="V329" s="14" t="n">
        <v>0.64</v>
      </c>
      <c r="W329" s="14" t="n">
        <v>0.51</v>
      </c>
      <c r="X329" s="14" t="n">
        <v>3.5</v>
      </c>
      <c r="Y329" s="14" t="n">
        <v>37.33</v>
      </c>
      <c r="Z329" s="16" t="n">
        <v>67115777.63</v>
      </c>
      <c r="AA329" s="14" t="n">
        <v>6.57</v>
      </c>
      <c r="AB329" s="14" t="n">
        <v>0.15</v>
      </c>
      <c r="AC329" s="14" t="n">
        <v>-2.35</v>
      </c>
      <c r="AD329" s="16" t="n">
        <v>40797570473.08</v>
      </c>
    </row>
    <row r="330" customFormat="false" ht="15.75" hidden="false" customHeight="false" outlineLevel="0" collapsed="false">
      <c r="A330" s="14" t="s">
        <v>361</v>
      </c>
      <c r="B330" s="14" t="n">
        <v>21.92</v>
      </c>
      <c r="C330" s="14" t="n">
        <v>0.98</v>
      </c>
      <c r="D330" s="14" t="n">
        <v>147.41</v>
      </c>
      <c r="E330" s="14" t="n">
        <v>3.33</v>
      </c>
      <c r="F330" s="14" t="n">
        <v>0.94</v>
      </c>
      <c r="G330" s="14" t="n">
        <v>32.91</v>
      </c>
      <c r="H330" s="14" t="n">
        <v>5.44</v>
      </c>
      <c r="I330" s="14" t="n">
        <v>1.25</v>
      </c>
      <c r="J330" s="14" t="n">
        <v>33.77</v>
      </c>
      <c r="K330" s="14" t="n">
        <v>34.92</v>
      </c>
      <c r="L330" s="14" t="n">
        <v>1.56</v>
      </c>
      <c r="M330" s="14" t="n">
        <v>0.15</v>
      </c>
      <c r="N330" s="14" t="n">
        <v>1.84</v>
      </c>
      <c r="O330" s="14" t="n">
        <v>2.51</v>
      </c>
      <c r="P330" s="14" t="n">
        <v>-2.53</v>
      </c>
      <c r="Q330" s="14" t="n">
        <v>2.45</v>
      </c>
      <c r="R330" s="14" t="n">
        <v>2.26</v>
      </c>
      <c r="S330" s="14" t="n">
        <v>0.64</v>
      </c>
      <c r="T330" s="14" t="n">
        <v>3.3</v>
      </c>
      <c r="U330" s="14" t="n">
        <v>0.28</v>
      </c>
      <c r="V330" s="14" t="n">
        <v>0.64</v>
      </c>
      <c r="W330" s="14" t="n">
        <v>0.51</v>
      </c>
      <c r="X330" s="14" t="n">
        <v>3.5</v>
      </c>
      <c r="Y330" s="14" t="n">
        <v>37.33</v>
      </c>
      <c r="Z330" s="16" t="n">
        <v>235452251.76</v>
      </c>
      <c r="AA330" s="14" t="n">
        <v>6.57</v>
      </c>
      <c r="AB330" s="14" t="n">
        <v>0.15</v>
      </c>
      <c r="AC330" s="14" t="n">
        <v>-2.44</v>
      </c>
      <c r="AD330" s="16" t="n">
        <v>40797570473.08</v>
      </c>
    </row>
    <row r="331" customFormat="false" ht="15.75" hidden="false" customHeight="false" outlineLevel="0" collapsed="false">
      <c r="A331" s="14" t="s">
        <v>362</v>
      </c>
      <c r="B331" s="14" t="n">
        <v>8.16</v>
      </c>
      <c r="C331" s="14" t="n">
        <v>1.27</v>
      </c>
      <c r="D331" s="14" t="n">
        <v>17.26</v>
      </c>
      <c r="E331" s="14" t="n">
        <v>1.42</v>
      </c>
      <c r="F331" s="14" t="n">
        <v>1.04</v>
      </c>
      <c r="G331" s="14" t="n">
        <v>41.57</v>
      </c>
      <c r="H331" s="14" t="n">
        <v>31.04</v>
      </c>
      <c r="I331" s="14" t="n">
        <v>24.93</v>
      </c>
      <c r="J331" s="14" t="n">
        <v>13.86</v>
      </c>
      <c r="K331" s="14" t="n">
        <v>7.68</v>
      </c>
      <c r="L331" s="14" t="n">
        <v>-6.19</v>
      </c>
      <c r="M331" s="14" t="n">
        <v>-0.63</v>
      </c>
      <c r="N331" s="14" t="n">
        <v>4.3</v>
      </c>
      <c r="O331" s="14" t="n">
        <v>1.62</v>
      </c>
      <c r="P331" s="14" t="n">
        <v>-5.3</v>
      </c>
      <c r="Q331" s="14" t="n">
        <v>5.04</v>
      </c>
      <c r="R331" s="14" t="n">
        <v>8.23</v>
      </c>
      <c r="S331" s="14" t="n">
        <v>6.03</v>
      </c>
      <c r="T331" s="14" t="n">
        <v>8.6</v>
      </c>
      <c r="U331" s="14" t="n">
        <v>0.73</v>
      </c>
      <c r="V331" s="14" t="n">
        <v>0.22</v>
      </c>
      <c r="W331" s="14" t="n">
        <v>0.24</v>
      </c>
      <c r="Z331" s="16" t="n">
        <v>12003516.61</v>
      </c>
      <c r="AA331" s="14" t="n">
        <v>5.75</v>
      </c>
      <c r="AB331" s="14" t="n">
        <v>0.47</v>
      </c>
      <c r="AC331" s="14" t="n">
        <v>0.21</v>
      </c>
      <c r="AD331" s="16" t="n">
        <v>1753516086.84</v>
      </c>
    </row>
    <row r="332" customFormat="false" ht="15.75" hidden="false" customHeight="false" outlineLevel="0" collapsed="false">
      <c r="A332" s="14" t="s">
        <v>363</v>
      </c>
      <c r="B332" s="14" t="n">
        <v>27.28</v>
      </c>
      <c r="C332" s="14" t="n">
        <v>1.68</v>
      </c>
      <c r="D332" s="14" t="n">
        <v>26.41</v>
      </c>
      <c r="E332" s="14" t="n">
        <v>3.15</v>
      </c>
      <c r="F332" s="16" t="n">
        <v>1048.32</v>
      </c>
      <c r="G332" s="14" t="n">
        <v>27.87</v>
      </c>
      <c r="H332" s="14" t="n">
        <v>17.05</v>
      </c>
      <c r="I332" s="14" t="n">
        <v>8.77</v>
      </c>
      <c r="J332" s="14" t="n">
        <v>13.58</v>
      </c>
      <c r="K332" s="14" t="n">
        <v>17.82</v>
      </c>
      <c r="L332" s="14" t="n">
        <v>4.27</v>
      </c>
      <c r="M332" s="14" t="n">
        <v>0.99</v>
      </c>
      <c r="N332" s="14" t="n">
        <v>2.32</v>
      </c>
      <c r="O332" s="14" t="n">
        <v>19.99</v>
      </c>
      <c r="P332" s="14" t="n">
        <v>-1.38</v>
      </c>
      <c r="Q332" s="14" t="n">
        <v>1.28</v>
      </c>
      <c r="R332" s="14" t="n">
        <v>11.94</v>
      </c>
      <c r="S332" s="16" t="n">
        <v>3970.06</v>
      </c>
      <c r="T332" s="14" t="n">
        <v>7.73</v>
      </c>
      <c r="U332" s="14" t="n">
        <v>332.52</v>
      </c>
      <c r="V332" s="14" t="n">
        <v>667.48</v>
      </c>
      <c r="W332" s="14" t="n">
        <v>452.73</v>
      </c>
      <c r="X332" s="14" t="n">
        <v>51.17</v>
      </c>
      <c r="Y332" s="14" t="n">
        <v>83.45</v>
      </c>
      <c r="Z332" s="16" t="n">
        <v>71766082.66</v>
      </c>
      <c r="AA332" s="14" t="n">
        <v>8.65</v>
      </c>
      <c r="AB332" s="14" t="n">
        <v>1.03</v>
      </c>
      <c r="AC332" s="14" t="n">
        <v>0.5</v>
      </c>
      <c r="AD332" s="16" t="n">
        <v>13842527273.31</v>
      </c>
    </row>
    <row r="333" customFormat="false" ht="15.75" hidden="false" customHeight="false" outlineLevel="0" collapsed="false">
      <c r="A333" s="14" t="s">
        <v>364</v>
      </c>
      <c r="B333" s="14" t="n">
        <v>33.23</v>
      </c>
      <c r="C333" s="14" t="n">
        <v>2.81</v>
      </c>
      <c r="D333" s="14" t="n">
        <v>18.49</v>
      </c>
      <c r="E333" s="14" t="n">
        <v>2.87</v>
      </c>
      <c r="F333" s="14" t="n">
        <v>1.55</v>
      </c>
      <c r="G333" s="14" t="n">
        <v>27.09</v>
      </c>
      <c r="H333" s="14" t="n">
        <v>11.29</v>
      </c>
      <c r="I333" s="14" t="n">
        <v>8.61</v>
      </c>
      <c r="J333" s="14" t="n">
        <v>14.09</v>
      </c>
      <c r="K333" s="14" t="n">
        <v>13.85</v>
      </c>
      <c r="L333" s="14" t="n">
        <v>-0.26</v>
      </c>
      <c r="M333" s="14" t="n">
        <v>-0.05</v>
      </c>
      <c r="N333" s="14" t="n">
        <v>1.59</v>
      </c>
      <c r="O333" s="14" t="n">
        <v>6.59</v>
      </c>
      <c r="P333" s="14" t="n">
        <v>-3.4</v>
      </c>
      <c r="Q333" s="14" t="n">
        <v>1.75</v>
      </c>
      <c r="R333" s="14" t="n">
        <v>15.55</v>
      </c>
      <c r="S333" s="14" t="n">
        <v>8.36</v>
      </c>
      <c r="T333" s="14" t="n">
        <v>16.21</v>
      </c>
      <c r="U333" s="14" t="n">
        <v>0.54</v>
      </c>
      <c r="V333" s="14" t="n">
        <v>0.46</v>
      </c>
      <c r="W333" s="14" t="n">
        <v>0.97</v>
      </c>
      <c r="X333" s="14" t="n">
        <v>-0.25</v>
      </c>
      <c r="Y333" s="14" t="n">
        <v>-6.62</v>
      </c>
      <c r="Z333" s="16" t="n">
        <v>26885753.51</v>
      </c>
      <c r="AA333" s="14" t="n">
        <v>11.5</v>
      </c>
      <c r="AB333" s="14" t="n">
        <v>1.79</v>
      </c>
      <c r="AC333" s="14" t="n">
        <v>3.11</v>
      </c>
      <c r="AD333" s="16" t="n">
        <v>4244445180</v>
      </c>
    </row>
    <row r="334" customFormat="false" ht="15.75" hidden="false" customHeight="false" outlineLevel="0" collapsed="false">
      <c r="A334" s="14" t="s">
        <v>365</v>
      </c>
      <c r="B334" s="14" t="n">
        <v>0</v>
      </c>
      <c r="D334" s="14" t="n">
        <v>0</v>
      </c>
      <c r="E334" s="14" t="n">
        <v>0</v>
      </c>
      <c r="F334" s="14" t="n">
        <v>0</v>
      </c>
      <c r="G334" s="14" t="n">
        <v>63.41</v>
      </c>
      <c r="H334" s="14" t="n">
        <v>22.35</v>
      </c>
      <c r="I334" s="14" t="n">
        <v>10.99</v>
      </c>
      <c r="J334" s="14" t="n">
        <v>0</v>
      </c>
      <c r="K334" s="14" t="n">
        <v>-3.77</v>
      </c>
      <c r="L334" s="14" t="n">
        <v>-3.77</v>
      </c>
      <c r="M334" s="14" t="n">
        <v>-0.15</v>
      </c>
      <c r="N334" s="14" t="n">
        <v>0</v>
      </c>
      <c r="O334" s="14" t="n">
        <v>0</v>
      </c>
      <c r="P334" s="14" t="n">
        <v>0</v>
      </c>
      <c r="Q334" s="14" t="n">
        <v>6.36</v>
      </c>
      <c r="R334" s="14" t="n">
        <v>1.95</v>
      </c>
      <c r="S334" s="14" t="n">
        <v>0.67</v>
      </c>
      <c r="T334" s="14" t="n">
        <v>3.94</v>
      </c>
      <c r="U334" s="14" t="n">
        <v>0.34</v>
      </c>
      <c r="V334" s="14" t="n">
        <v>0.66</v>
      </c>
      <c r="W334" s="14" t="n">
        <v>0.06</v>
      </c>
      <c r="X334" s="14" t="n">
        <v>4.31</v>
      </c>
      <c r="Y334" s="14" t="n">
        <v>-51.59</v>
      </c>
      <c r="AA334" s="14" t="n">
        <v>141.54</v>
      </c>
      <c r="AB334" s="14" t="n">
        <v>2.76</v>
      </c>
      <c r="AC334" s="14" t="n">
        <v>0</v>
      </c>
      <c r="AD334" s="14" t="n">
        <v>0</v>
      </c>
    </row>
    <row r="335" customFormat="false" ht="15.75" hidden="false" customHeight="false" outlineLevel="0" collapsed="false">
      <c r="A335" s="14" t="s">
        <v>366</v>
      </c>
      <c r="B335" s="14" t="n">
        <v>0</v>
      </c>
      <c r="D335" s="14" t="n">
        <v>0</v>
      </c>
      <c r="E335" s="14" t="n">
        <v>0</v>
      </c>
      <c r="F335" s="14" t="n">
        <v>0</v>
      </c>
      <c r="G335" s="14" t="n">
        <v>63.41</v>
      </c>
      <c r="H335" s="14" t="n">
        <v>22.35</v>
      </c>
      <c r="I335" s="14" t="n">
        <v>10.99</v>
      </c>
      <c r="J335" s="14" t="n">
        <v>0</v>
      </c>
      <c r="K335" s="14" t="n">
        <v>-3.77</v>
      </c>
      <c r="L335" s="14" t="n">
        <v>-3.77</v>
      </c>
      <c r="M335" s="14" t="n">
        <v>-0.15</v>
      </c>
      <c r="N335" s="14" t="n">
        <v>0</v>
      </c>
      <c r="O335" s="14" t="n">
        <v>0</v>
      </c>
      <c r="P335" s="14" t="n">
        <v>0</v>
      </c>
      <c r="Q335" s="14" t="n">
        <v>6.36</v>
      </c>
      <c r="R335" s="14" t="n">
        <v>1.95</v>
      </c>
      <c r="S335" s="14" t="n">
        <v>0.67</v>
      </c>
      <c r="T335" s="14" t="n">
        <v>3.94</v>
      </c>
      <c r="U335" s="14" t="n">
        <v>0.34</v>
      </c>
      <c r="V335" s="14" t="n">
        <v>0.66</v>
      </c>
      <c r="W335" s="14" t="n">
        <v>0.06</v>
      </c>
      <c r="X335" s="14" t="n">
        <v>4.31</v>
      </c>
      <c r="Y335" s="14" t="n">
        <v>-51.59</v>
      </c>
      <c r="AA335" s="14" t="n">
        <v>141.54</v>
      </c>
      <c r="AB335" s="14" t="n">
        <v>2.76</v>
      </c>
      <c r="AC335" s="14" t="n">
        <v>0</v>
      </c>
      <c r="AD335" s="14" t="n">
        <v>0</v>
      </c>
    </row>
    <row r="336" customFormat="false" ht="15.75" hidden="false" customHeight="false" outlineLevel="0" collapsed="false">
      <c r="A336" s="14" t="s">
        <v>367</v>
      </c>
      <c r="B336" s="14" t="n">
        <v>15.56</v>
      </c>
      <c r="C336" s="14" t="n">
        <v>2.83</v>
      </c>
      <c r="D336" s="14" t="n">
        <v>12.02</v>
      </c>
      <c r="E336" s="14" t="n">
        <v>0.69</v>
      </c>
      <c r="F336" s="14" t="n">
        <v>0.21</v>
      </c>
      <c r="G336" s="14" t="n">
        <v>22.95</v>
      </c>
      <c r="H336" s="14" t="n">
        <v>12.79</v>
      </c>
      <c r="I336" s="14" t="n">
        <v>3.52</v>
      </c>
      <c r="J336" s="14" t="n">
        <v>3.31</v>
      </c>
      <c r="K336" s="14" t="n">
        <v>6.55</v>
      </c>
      <c r="L336" s="14" t="n">
        <v>3.24</v>
      </c>
      <c r="M336" s="14" t="n">
        <v>0.68</v>
      </c>
      <c r="N336" s="14" t="n">
        <v>0.42</v>
      </c>
      <c r="O336" s="14" t="n">
        <v>3.35</v>
      </c>
      <c r="P336" s="14" t="n">
        <v>-0.31</v>
      </c>
      <c r="Q336" s="14" t="n">
        <v>1.23</v>
      </c>
      <c r="R336" s="14" t="n">
        <v>5.77</v>
      </c>
      <c r="S336" s="14" t="n">
        <v>1.72</v>
      </c>
      <c r="T336" s="14" t="n">
        <v>8.31</v>
      </c>
      <c r="U336" s="14" t="n">
        <v>0.3</v>
      </c>
      <c r="V336" s="14" t="n">
        <v>0.7</v>
      </c>
      <c r="W336" s="14" t="n">
        <v>0.49</v>
      </c>
      <c r="X336" s="14" t="n">
        <v>3.68</v>
      </c>
      <c r="Y336" s="14" t="n">
        <v>78.83</v>
      </c>
      <c r="Z336" s="16" t="n">
        <v>38179923.66</v>
      </c>
      <c r="AA336" s="14" t="n">
        <v>22.5</v>
      </c>
      <c r="AB336" s="14" t="n">
        <v>1.3</v>
      </c>
      <c r="AC336" s="14" t="n">
        <v>-0.19</v>
      </c>
      <c r="AD336" s="16" t="n">
        <v>5811863054.4</v>
      </c>
    </row>
    <row r="337" customFormat="false" ht="15.75" hidden="false" customHeight="false" outlineLevel="0" collapsed="false">
      <c r="A337" s="14" t="s">
        <v>368</v>
      </c>
      <c r="B337" s="14" t="n">
        <v>37.4</v>
      </c>
      <c r="C337" s="14" t="n">
        <v>1.51</v>
      </c>
      <c r="D337" s="14" t="n">
        <v>-90.95</v>
      </c>
      <c r="E337" s="14" t="n">
        <v>4.38</v>
      </c>
      <c r="F337" s="14" t="n">
        <v>2.74</v>
      </c>
      <c r="G337" s="14" t="n">
        <v>68.7</v>
      </c>
      <c r="H337" s="14" t="n">
        <v>-4.79</v>
      </c>
      <c r="I337" s="14" t="n">
        <v>-8.67</v>
      </c>
      <c r="J337" s="14" t="n">
        <v>-164.48</v>
      </c>
      <c r="K337" s="14" t="n">
        <v>-159.3</v>
      </c>
      <c r="L337" s="14" t="n">
        <v>5.18</v>
      </c>
      <c r="M337" s="14" t="n">
        <v>-0.14</v>
      </c>
      <c r="N337" s="14" t="n">
        <v>7.88</v>
      </c>
      <c r="O337" s="14" t="n">
        <v>11.96</v>
      </c>
      <c r="P337" s="14" t="n">
        <v>-4.82</v>
      </c>
      <c r="Q337" s="14" t="n">
        <v>2.14</v>
      </c>
      <c r="R337" s="14" t="n">
        <v>-4.81</v>
      </c>
      <c r="S337" s="14" t="n">
        <v>-3.02</v>
      </c>
      <c r="T337" s="14" t="n">
        <v>-2.23</v>
      </c>
      <c r="U337" s="14" t="n">
        <v>0.63</v>
      </c>
      <c r="V337" s="14" t="n">
        <v>0.37</v>
      </c>
      <c r="W337" s="14" t="n">
        <v>0.35</v>
      </c>
      <c r="X337" s="14" t="n">
        <v>14.3</v>
      </c>
      <c r="Z337" s="16" t="n">
        <v>59742945.87</v>
      </c>
      <c r="AA337" s="14" t="n">
        <v>8.55</v>
      </c>
      <c r="AB337" s="14" t="n">
        <v>-0.41</v>
      </c>
      <c r="AC337" s="14" t="n">
        <v>0.13</v>
      </c>
      <c r="AD337" s="16" t="n">
        <v>7083895104</v>
      </c>
    </row>
    <row r="338" customFormat="false" ht="15.75" hidden="false" customHeight="false" outlineLevel="0" collapsed="false">
      <c r="A338" s="14" t="s">
        <v>369</v>
      </c>
      <c r="B338" s="14" t="n">
        <v>67</v>
      </c>
      <c r="C338" s="14" t="n">
        <v>2.55</v>
      </c>
      <c r="D338" s="14" t="n">
        <v>33.56</v>
      </c>
      <c r="E338" s="14" t="n">
        <v>3.76</v>
      </c>
      <c r="F338" s="14" t="n">
        <v>3.12</v>
      </c>
      <c r="J338" s="14" t="n">
        <v>37.64</v>
      </c>
      <c r="K338" s="14" t="n">
        <v>33.02</v>
      </c>
      <c r="L338" s="14" t="n">
        <v>-4.61</v>
      </c>
      <c r="M338" s="14" t="n">
        <v>-0.46</v>
      </c>
      <c r="O338" s="14" t="n">
        <v>10.5</v>
      </c>
      <c r="P338" s="14" t="n">
        <v>-5.47</v>
      </c>
      <c r="Q338" s="14" t="n">
        <v>3.21</v>
      </c>
      <c r="R338" s="14" t="n">
        <v>11.2</v>
      </c>
      <c r="S338" s="14" t="n">
        <v>9.28</v>
      </c>
      <c r="T338" s="14" t="n">
        <v>9.59</v>
      </c>
      <c r="U338" s="14" t="n">
        <v>0.83</v>
      </c>
      <c r="V338" s="14" t="n">
        <v>0.17</v>
      </c>
      <c r="W338" s="14" t="n">
        <v>0</v>
      </c>
      <c r="Y338" s="14" t="n">
        <v>53.51</v>
      </c>
      <c r="Z338" s="16" t="n">
        <v>82945.75</v>
      </c>
      <c r="AA338" s="14" t="n">
        <v>17.83</v>
      </c>
      <c r="AB338" s="14" t="n">
        <v>2</v>
      </c>
      <c r="AC338" s="14" t="n">
        <v>-2.95</v>
      </c>
      <c r="AD338" s="16" t="n">
        <v>788247563</v>
      </c>
    </row>
    <row r="339" customFormat="false" ht="15.75" hidden="false" customHeight="false" outlineLevel="0" collapsed="false">
      <c r="A339" s="14" t="s">
        <v>370</v>
      </c>
      <c r="B339" s="14" t="n">
        <v>23.17</v>
      </c>
      <c r="C339" s="14" t="n">
        <v>0.37</v>
      </c>
      <c r="D339" s="14" t="n">
        <v>53.68</v>
      </c>
      <c r="E339" s="14" t="n">
        <v>8.81</v>
      </c>
      <c r="F339" s="14" t="n">
        <v>2.1</v>
      </c>
      <c r="G339" s="14" t="n">
        <v>41.24</v>
      </c>
      <c r="H339" s="14" t="n">
        <v>10.09</v>
      </c>
      <c r="I339" s="14" t="n">
        <v>4.65</v>
      </c>
      <c r="J339" s="14" t="n">
        <v>24.75</v>
      </c>
      <c r="K339" s="14" t="n">
        <v>24.95</v>
      </c>
      <c r="L339" s="14" t="n">
        <v>0.19</v>
      </c>
      <c r="M339" s="14" t="n">
        <v>0.07</v>
      </c>
      <c r="N339" s="14" t="n">
        <v>2.5</v>
      </c>
      <c r="O339" s="14" t="n">
        <v>7.47</v>
      </c>
      <c r="P339" s="14" t="n">
        <v>-6.76</v>
      </c>
      <c r="Q339" s="14" t="n">
        <v>1.69</v>
      </c>
      <c r="R339" s="14" t="n">
        <v>16.42</v>
      </c>
      <c r="S339" s="14" t="n">
        <v>3.92</v>
      </c>
      <c r="T339" s="14" t="n">
        <v>16.72</v>
      </c>
      <c r="U339" s="14" t="n">
        <v>0.24</v>
      </c>
      <c r="V339" s="14" t="n">
        <v>0.76</v>
      </c>
      <c r="W339" s="14" t="n">
        <v>0.84</v>
      </c>
      <c r="Z339" s="16" t="n">
        <v>40466806.51</v>
      </c>
      <c r="AA339" s="14" t="n">
        <v>2.63</v>
      </c>
      <c r="AB339" s="14" t="n">
        <v>0.43</v>
      </c>
      <c r="AC339" s="14" t="n">
        <v>0.3</v>
      </c>
      <c r="AD339" s="16" t="n">
        <v>4350752948.87</v>
      </c>
    </row>
    <row r="340" customFormat="false" ht="15.75" hidden="false" customHeight="false" outlineLevel="0" collapsed="false">
      <c r="A340" s="14" t="s">
        <v>371</v>
      </c>
      <c r="B340" s="14" t="n">
        <v>4.23</v>
      </c>
      <c r="D340" s="14" t="n">
        <v>-0.15</v>
      </c>
      <c r="E340" s="14" t="n">
        <v>1.22</v>
      </c>
      <c r="F340" s="14" t="n">
        <v>0.14</v>
      </c>
      <c r="G340" s="14" t="n">
        <v>43.92</v>
      </c>
      <c r="H340" s="14" t="n">
        <v>-102.79</v>
      </c>
      <c r="I340" s="14" t="n">
        <v>-359.32</v>
      </c>
      <c r="J340" s="14" t="n">
        <v>-0.51</v>
      </c>
      <c r="K340" s="14" t="n">
        <v>-3.26</v>
      </c>
      <c r="L340" s="14" t="n">
        <v>-2.75</v>
      </c>
      <c r="M340" s="14" t="n">
        <v>6.62</v>
      </c>
      <c r="N340" s="14" t="n">
        <v>0.52</v>
      </c>
      <c r="O340" s="14" t="n">
        <v>1.46</v>
      </c>
      <c r="P340" s="14" t="n">
        <v>-0.18</v>
      </c>
      <c r="Q340" s="14" t="n">
        <v>1.68</v>
      </c>
      <c r="R340" s="14" t="n">
        <v>-840.73</v>
      </c>
      <c r="S340" s="14" t="n">
        <v>-94.75</v>
      </c>
      <c r="T340" s="14" t="n">
        <v>-33.03</v>
      </c>
      <c r="U340" s="14" t="n">
        <v>0.11</v>
      </c>
      <c r="V340" s="14" t="n">
        <v>0.89</v>
      </c>
      <c r="W340" s="14" t="n">
        <v>0.26</v>
      </c>
      <c r="X340" s="14" t="n">
        <v>-12.82</v>
      </c>
      <c r="Z340" s="16" t="n">
        <v>9854525.9</v>
      </c>
      <c r="AA340" s="14" t="n">
        <v>3.46</v>
      </c>
      <c r="AB340" s="14" t="n">
        <v>-29.12</v>
      </c>
      <c r="AC340" s="14" t="n">
        <v>0</v>
      </c>
      <c r="AD340" s="16" t="n">
        <v>290550498.38</v>
      </c>
    </row>
    <row r="341" customFormat="false" ht="15.75" hidden="false" customHeight="false" outlineLevel="0" collapsed="false">
      <c r="A341" s="14" t="s">
        <v>372</v>
      </c>
      <c r="B341" s="14" t="n">
        <v>31.68</v>
      </c>
      <c r="C341" s="14" t="n">
        <v>1.03</v>
      </c>
      <c r="D341" s="14" t="n">
        <v>13.93</v>
      </c>
      <c r="E341" s="14" t="n">
        <v>1.02</v>
      </c>
      <c r="F341" s="14" t="n">
        <v>0.7</v>
      </c>
      <c r="G341" s="14" t="n">
        <v>98.82</v>
      </c>
      <c r="H341" s="14" t="n">
        <v>254.89</v>
      </c>
      <c r="I341" s="14" t="n">
        <v>161.03</v>
      </c>
      <c r="J341" s="14" t="n">
        <v>8.8</v>
      </c>
      <c r="K341" s="14" t="n">
        <v>10.21</v>
      </c>
      <c r="L341" s="14" t="n">
        <v>1.42</v>
      </c>
      <c r="M341" s="14" t="n">
        <v>0.16</v>
      </c>
      <c r="N341" s="14" t="n">
        <v>22.43</v>
      </c>
      <c r="O341" s="14" t="n">
        <v>6.12</v>
      </c>
      <c r="P341" s="14" t="n">
        <v>-0.87</v>
      </c>
      <c r="Q341" s="14" t="n">
        <v>2.5</v>
      </c>
      <c r="R341" s="14" t="n">
        <v>7.33</v>
      </c>
      <c r="S341" s="14" t="n">
        <v>5.05</v>
      </c>
      <c r="T341" s="14" t="n">
        <v>5.97</v>
      </c>
      <c r="U341" s="14" t="n">
        <v>0.69</v>
      </c>
      <c r="V341" s="14" t="n">
        <v>0.3</v>
      </c>
      <c r="W341" s="14" t="n">
        <v>0.03</v>
      </c>
      <c r="X341" s="14" t="n">
        <v>8.78</v>
      </c>
      <c r="Y341" s="14" t="n">
        <v>52.67</v>
      </c>
      <c r="Z341" s="16" t="n">
        <v>11237545.32</v>
      </c>
      <c r="AA341" s="14" t="n">
        <v>31.03</v>
      </c>
      <c r="AB341" s="14" t="n">
        <v>2.27</v>
      </c>
      <c r="AC341" s="14" t="n">
        <v>0.1</v>
      </c>
      <c r="AD341" s="16" t="n">
        <v>3234358815.64</v>
      </c>
    </row>
    <row r="342" customFormat="false" ht="15.75" hidden="false" customHeight="false" outlineLevel="0" collapsed="false">
      <c r="A342" s="14" t="s">
        <v>373</v>
      </c>
      <c r="B342" s="14" t="n">
        <v>18.79</v>
      </c>
      <c r="D342" s="14" t="n">
        <v>18.66</v>
      </c>
      <c r="E342" s="14" t="n">
        <v>6.03</v>
      </c>
      <c r="F342" s="14" t="n">
        <v>0.91</v>
      </c>
      <c r="G342" s="14" t="n">
        <v>21.29</v>
      </c>
      <c r="H342" s="14" t="n">
        <v>17.68</v>
      </c>
      <c r="I342" s="14" t="n">
        <v>9.23</v>
      </c>
      <c r="J342" s="14" t="n">
        <v>9.74</v>
      </c>
      <c r="K342" s="14" t="n">
        <v>13.85</v>
      </c>
      <c r="L342" s="14" t="n">
        <v>4.13</v>
      </c>
      <c r="M342" s="14" t="n">
        <v>2.56</v>
      </c>
      <c r="N342" s="14" t="n">
        <v>1.72</v>
      </c>
      <c r="O342" s="14" t="n">
        <v>3.91</v>
      </c>
      <c r="P342" s="14" t="n">
        <v>-1.56</v>
      </c>
      <c r="Q342" s="14" t="n">
        <v>2.26</v>
      </c>
      <c r="R342" s="14" t="n">
        <v>32.32</v>
      </c>
      <c r="S342" s="14" t="n">
        <v>4.88</v>
      </c>
      <c r="T342" s="14" t="n">
        <v>8.89</v>
      </c>
      <c r="U342" s="14" t="n">
        <v>0.15</v>
      </c>
      <c r="V342" s="14" t="n">
        <v>0.85</v>
      </c>
      <c r="W342" s="14" t="n">
        <v>0.53</v>
      </c>
      <c r="X342" s="14" t="n">
        <v>4.71</v>
      </c>
      <c r="Z342" s="16" t="n">
        <v>12643877.54</v>
      </c>
      <c r="AA342" s="14" t="n">
        <v>3.11</v>
      </c>
      <c r="AB342" s="14" t="n">
        <v>1</v>
      </c>
      <c r="AC342" s="14" t="n">
        <v>-0.09</v>
      </c>
      <c r="AD342" s="16" t="n">
        <v>1978171130.88</v>
      </c>
    </row>
    <row r="343" customFormat="false" ht="15.75" hidden="false" customHeight="false" outlineLevel="0" collapsed="false">
      <c r="A343" s="14" t="s">
        <v>374</v>
      </c>
      <c r="B343" s="14" t="n">
        <v>4.47</v>
      </c>
      <c r="D343" s="14" t="n">
        <v>101.92</v>
      </c>
      <c r="E343" s="14" t="n">
        <v>3.68</v>
      </c>
      <c r="F343" s="14" t="n">
        <v>1.68</v>
      </c>
      <c r="G343" s="14" t="n">
        <v>85.89</v>
      </c>
      <c r="H343" s="14" t="n">
        <v>26.03</v>
      </c>
      <c r="I343" s="14" t="n">
        <v>3.48</v>
      </c>
      <c r="J343" s="14" t="n">
        <v>13.64</v>
      </c>
      <c r="K343" s="14" t="n">
        <v>10.8</v>
      </c>
      <c r="L343" s="14" t="n">
        <v>-2.81</v>
      </c>
      <c r="M343" s="14" t="n">
        <v>-0.76</v>
      </c>
      <c r="N343" s="14" t="n">
        <v>3.55</v>
      </c>
      <c r="O343" s="14" t="n">
        <v>6.24</v>
      </c>
      <c r="P343" s="14" t="n">
        <v>-3</v>
      </c>
      <c r="Q343" s="14" t="n">
        <v>2.6</v>
      </c>
      <c r="R343" s="14" t="n">
        <v>3.61</v>
      </c>
      <c r="S343" s="14" t="n">
        <v>1.65</v>
      </c>
      <c r="T343" s="14" t="n">
        <v>18.5</v>
      </c>
      <c r="U343" s="14" t="n">
        <v>0.46</v>
      </c>
      <c r="V343" s="14" t="n">
        <v>0.56</v>
      </c>
      <c r="W343" s="14" t="n">
        <v>0.47</v>
      </c>
      <c r="X343" s="14" t="n">
        <v>-3.97</v>
      </c>
      <c r="Z343" s="16" t="n">
        <v>5212023.32</v>
      </c>
      <c r="AA343" s="14" t="n">
        <v>1.22</v>
      </c>
      <c r="AB343" s="14" t="n">
        <v>0.04</v>
      </c>
      <c r="AC343" s="14" t="n">
        <v>-0.55</v>
      </c>
      <c r="AD343" s="16" t="n">
        <v>662520293.19</v>
      </c>
    </row>
    <row r="344" customFormat="false" ht="15.75" hidden="false" customHeight="false" outlineLevel="0" collapsed="false">
      <c r="A344" s="14" t="s">
        <v>375</v>
      </c>
      <c r="B344" s="14" t="n">
        <v>43.9</v>
      </c>
      <c r="C344" s="14" t="n">
        <v>0.84</v>
      </c>
      <c r="D344" s="14" t="n">
        <v>42.06</v>
      </c>
      <c r="E344" s="14" t="n">
        <v>7.35</v>
      </c>
      <c r="F344" s="14" t="n">
        <v>2.68</v>
      </c>
      <c r="G344" s="14" t="n">
        <v>56.1</v>
      </c>
      <c r="H344" s="14" t="n">
        <v>9.1</v>
      </c>
      <c r="I344" s="14" t="n">
        <v>12.93</v>
      </c>
      <c r="J344" s="14" t="n">
        <v>59.78</v>
      </c>
      <c r="K344" s="14" t="n">
        <v>61.21</v>
      </c>
      <c r="L344" s="14" t="n">
        <v>1.48</v>
      </c>
      <c r="M344" s="14" t="n">
        <v>0.18</v>
      </c>
      <c r="N344" s="14" t="n">
        <v>5.44</v>
      </c>
      <c r="O344" s="14" t="n">
        <v>10.37</v>
      </c>
      <c r="P344" s="14" t="n">
        <v>-6.05</v>
      </c>
      <c r="Q344" s="14" t="n">
        <v>1.86</v>
      </c>
      <c r="R344" s="14" t="n">
        <v>17.48</v>
      </c>
      <c r="S344" s="14" t="n">
        <v>6.37</v>
      </c>
      <c r="T344" s="14" t="n">
        <v>6.91</v>
      </c>
      <c r="U344" s="14" t="n">
        <v>0.36</v>
      </c>
      <c r="V344" s="14" t="n">
        <v>0.64</v>
      </c>
      <c r="W344" s="14" t="n">
        <v>0.49</v>
      </c>
      <c r="X344" s="14" t="n">
        <v>4.17</v>
      </c>
      <c r="Y344" s="14" t="n">
        <v>13.62</v>
      </c>
      <c r="Z344" s="16" t="n">
        <v>414541348.05</v>
      </c>
      <c r="AA344" s="14" t="n">
        <v>5.97</v>
      </c>
      <c r="AB344" s="14" t="n">
        <v>1.04</v>
      </c>
      <c r="AC344" s="14" t="n">
        <v>-40.82</v>
      </c>
      <c r="AD344" s="16" t="n">
        <v>39435510633.75</v>
      </c>
    </row>
    <row r="345" customFormat="false" ht="15.75" hidden="false" customHeight="false" outlineLevel="0" collapsed="false">
      <c r="A345" s="14" t="s">
        <v>376</v>
      </c>
      <c r="B345" s="14" t="n">
        <v>86.61</v>
      </c>
      <c r="C345" s="14" t="n">
        <v>1.14</v>
      </c>
      <c r="D345" s="14" t="n">
        <v>23.71</v>
      </c>
      <c r="E345" s="14" t="n">
        <v>5.81</v>
      </c>
      <c r="F345" s="14" t="n">
        <v>5.63</v>
      </c>
      <c r="J345" s="14" t="n">
        <v>23.24</v>
      </c>
      <c r="K345" s="14" t="n">
        <v>22.96</v>
      </c>
      <c r="L345" s="14" t="n">
        <v>-0.28</v>
      </c>
      <c r="M345" s="14" t="n">
        <v>-0.07</v>
      </c>
      <c r="O345" s="14" t="n">
        <v>128.08</v>
      </c>
      <c r="P345" s="14" t="n">
        <v>-6.09</v>
      </c>
      <c r="Q345" s="14" t="n">
        <v>2.41</v>
      </c>
      <c r="R345" s="14" t="n">
        <v>24.5</v>
      </c>
      <c r="S345" s="14" t="n">
        <v>23.74</v>
      </c>
      <c r="T345" s="14" t="n">
        <v>24.67</v>
      </c>
      <c r="U345" s="14" t="n">
        <v>0.97</v>
      </c>
      <c r="V345" s="14" t="n">
        <v>0.03</v>
      </c>
      <c r="W345" s="14" t="n">
        <v>0</v>
      </c>
      <c r="AA345" s="14" t="n">
        <v>14.9</v>
      </c>
      <c r="AB345" s="14" t="n">
        <v>3.65</v>
      </c>
      <c r="AC345" s="14" t="n">
        <v>-0.45</v>
      </c>
      <c r="AD345" s="16" t="n">
        <v>18664056853.83</v>
      </c>
    </row>
    <row r="346" customFormat="false" ht="15.75" hidden="false" customHeight="false" outlineLevel="0" collapsed="false">
      <c r="A346" s="14" t="s">
        <v>377</v>
      </c>
      <c r="B346" s="14" t="n">
        <v>6.21</v>
      </c>
      <c r="D346" s="14" t="n">
        <v>4.25</v>
      </c>
      <c r="E346" s="14" t="n">
        <v>1.3</v>
      </c>
      <c r="F346" s="14" t="n">
        <v>0.36</v>
      </c>
      <c r="G346" s="14" t="n">
        <v>22.53</v>
      </c>
      <c r="H346" s="14" t="n">
        <v>-1.1</v>
      </c>
      <c r="I346" s="14" t="n">
        <v>70.21</v>
      </c>
      <c r="J346" s="14" t="n">
        <v>-271.67</v>
      </c>
      <c r="K346" s="14" t="n">
        <v>-439.24</v>
      </c>
      <c r="L346" s="14" t="n">
        <v>-164.94</v>
      </c>
      <c r="M346" s="14" t="n">
        <v>0.79</v>
      </c>
      <c r="N346" s="14" t="n">
        <v>2.98</v>
      </c>
      <c r="O346" s="14" t="n">
        <v>1.48</v>
      </c>
      <c r="P346" s="14" t="n">
        <v>-0.6</v>
      </c>
      <c r="Q346" s="14" t="n">
        <v>2.47</v>
      </c>
      <c r="R346" s="14" t="n">
        <v>30.53</v>
      </c>
      <c r="S346" s="14" t="n">
        <v>8.38</v>
      </c>
      <c r="T346" s="14" t="n">
        <v>-0.56</v>
      </c>
      <c r="U346" s="14" t="n">
        <v>0.27</v>
      </c>
      <c r="V346" s="14" t="n">
        <v>0.73</v>
      </c>
      <c r="W346" s="14" t="n">
        <v>0.12</v>
      </c>
      <c r="X346" s="14" t="n">
        <v>-27.27</v>
      </c>
      <c r="Z346" s="16" t="n">
        <v>23318807.73</v>
      </c>
      <c r="AA346" s="14" t="n">
        <v>4.79</v>
      </c>
      <c r="AB346" s="14" t="n">
        <v>1.46</v>
      </c>
      <c r="AC346" s="14" t="n">
        <v>-0.03</v>
      </c>
      <c r="AD346" s="16" t="n">
        <v>178839962.28</v>
      </c>
    </row>
    <row r="347" customFormat="false" ht="15.75" hidden="false" customHeight="false" outlineLevel="0" collapsed="false">
      <c r="A347" s="14" t="s">
        <v>378</v>
      </c>
      <c r="B347" s="14" t="n">
        <v>0</v>
      </c>
      <c r="D347" s="14" t="n">
        <v>0</v>
      </c>
      <c r="E347" s="14" t="n">
        <v>0</v>
      </c>
      <c r="F347" s="14" t="n">
        <v>0</v>
      </c>
      <c r="G347" s="14" t="n">
        <v>25.83</v>
      </c>
      <c r="H347" s="14" t="n">
        <v>14.34</v>
      </c>
      <c r="I347" s="14" t="n">
        <v>8.69</v>
      </c>
      <c r="J347" s="14" t="n">
        <v>0</v>
      </c>
      <c r="K347" s="14" t="n">
        <v>14.12</v>
      </c>
      <c r="L347" s="14" t="n">
        <v>0.14</v>
      </c>
      <c r="M347" s="14" t="n">
        <v>0.02</v>
      </c>
      <c r="N347" s="14" t="n">
        <v>0</v>
      </c>
      <c r="O347" s="14" t="n">
        <v>0</v>
      </c>
      <c r="P347" s="14" t="n">
        <v>0</v>
      </c>
      <c r="Q347" s="14" t="n">
        <v>1.98</v>
      </c>
      <c r="R347" s="14" t="n">
        <v>9.69</v>
      </c>
      <c r="S347" s="14" t="n">
        <v>6.02</v>
      </c>
      <c r="T347" s="14" t="n">
        <v>9.13</v>
      </c>
      <c r="U347" s="14" t="n">
        <v>0.62</v>
      </c>
      <c r="V347" s="14" t="n">
        <v>0.36</v>
      </c>
      <c r="W347" s="14" t="n">
        <v>0.69</v>
      </c>
      <c r="X347" s="14" t="n">
        <v>7.04</v>
      </c>
      <c r="Y347" s="14" t="n">
        <v>-0.09</v>
      </c>
      <c r="AA347" s="14" t="n">
        <v>18.34</v>
      </c>
      <c r="AB347" s="14" t="n">
        <v>1.78</v>
      </c>
      <c r="AC347" s="14" t="n">
        <v>0</v>
      </c>
      <c r="AD347" s="16" t="n">
        <v>213003000</v>
      </c>
    </row>
    <row r="348" customFormat="false" ht="15.75" hidden="false" customHeight="false" outlineLevel="0" collapsed="false">
      <c r="A348" s="14" t="s">
        <v>379</v>
      </c>
      <c r="B348" s="14" t="n">
        <v>73.7</v>
      </c>
      <c r="C348" s="14" t="n">
        <v>8.52</v>
      </c>
      <c r="D348" s="14" t="n">
        <v>41.47</v>
      </c>
      <c r="E348" s="14" t="n">
        <v>4.02</v>
      </c>
      <c r="F348" s="14" t="n">
        <v>2.5</v>
      </c>
      <c r="G348" s="14" t="n">
        <v>25.83</v>
      </c>
      <c r="H348" s="14" t="n">
        <v>14.34</v>
      </c>
      <c r="I348" s="14" t="n">
        <v>8.69</v>
      </c>
      <c r="J348" s="14" t="n">
        <v>25.13</v>
      </c>
      <c r="K348" s="14" t="n">
        <v>14.12</v>
      </c>
      <c r="L348" s="14" t="n">
        <v>0.14</v>
      </c>
      <c r="M348" s="14" t="n">
        <v>0.02</v>
      </c>
      <c r="N348" s="14" t="n">
        <v>3.61</v>
      </c>
      <c r="O348" s="14" t="n">
        <v>19.67</v>
      </c>
      <c r="P348" s="14" t="n">
        <v>-3.42</v>
      </c>
      <c r="Q348" s="14" t="n">
        <v>1.98</v>
      </c>
      <c r="R348" s="14" t="n">
        <v>9.69</v>
      </c>
      <c r="S348" s="14" t="n">
        <v>6.02</v>
      </c>
      <c r="T348" s="14" t="n">
        <v>9.13</v>
      </c>
      <c r="U348" s="14" t="n">
        <v>0.62</v>
      </c>
      <c r="V348" s="14" t="n">
        <v>0.36</v>
      </c>
      <c r="W348" s="14" t="n">
        <v>0.69</v>
      </c>
      <c r="X348" s="14" t="n">
        <v>7.04</v>
      </c>
      <c r="Y348" s="14" t="n">
        <v>-0.09</v>
      </c>
      <c r="Z348" s="16" t="n">
        <v>45603.06</v>
      </c>
      <c r="AA348" s="14" t="n">
        <v>18.34</v>
      </c>
      <c r="AB348" s="14" t="n">
        <v>1.78</v>
      </c>
      <c r="AC348" s="14" t="n">
        <v>-1.39</v>
      </c>
      <c r="AD348" s="16" t="n">
        <v>213003000</v>
      </c>
    </row>
    <row r="349" customFormat="false" ht="15.75" hidden="false" customHeight="false" outlineLevel="0" collapsed="false">
      <c r="A349" s="14" t="s">
        <v>380</v>
      </c>
      <c r="B349" s="14" t="n">
        <v>27.64</v>
      </c>
      <c r="C349" s="14" t="n">
        <v>0.12</v>
      </c>
      <c r="D349" s="16" t="n">
        <v>1183.89</v>
      </c>
      <c r="E349" s="14" t="n">
        <v>5.49</v>
      </c>
      <c r="F349" s="14" t="n">
        <v>4.14</v>
      </c>
      <c r="G349" s="14" t="n">
        <v>42.7</v>
      </c>
      <c r="H349" s="14" t="n">
        <v>7.58</v>
      </c>
      <c r="I349" s="14" t="n">
        <v>2.5</v>
      </c>
      <c r="J349" s="14" t="n">
        <v>390.96</v>
      </c>
      <c r="K349" s="14" t="n">
        <v>331.15</v>
      </c>
      <c r="L349" s="14" t="n">
        <v>-54.99</v>
      </c>
      <c r="M349" s="14" t="n">
        <v>-0.77</v>
      </c>
      <c r="N349" s="14" t="n">
        <v>29.64</v>
      </c>
      <c r="O349" s="14" t="n">
        <v>6.87</v>
      </c>
      <c r="P349" s="14" t="n">
        <v>-15.59</v>
      </c>
      <c r="Q349" s="14" t="n">
        <v>5.57</v>
      </c>
      <c r="R349" s="14" t="n">
        <v>0.46</v>
      </c>
      <c r="S349" s="14" t="n">
        <v>0.35</v>
      </c>
      <c r="T349" s="14" t="n">
        <v>0.99</v>
      </c>
      <c r="U349" s="14" t="n">
        <v>0.75</v>
      </c>
      <c r="V349" s="14" t="n">
        <v>0.25</v>
      </c>
      <c r="W349" s="14" t="n">
        <v>0.14</v>
      </c>
      <c r="Z349" s="16" t="n">
        <v>198769843.39</v>
      </c>
      <c r="AA349" s="14" t="n">
        <v>5.03</v>
      </c>
      <c r="AB349" s="14" t="n">
        <v>0.02</v>
      </c>
      <c r="AC349" s="14" t="n">
        <v>-229.96</v>
      </c>
      <c r="AD349" s="16" t="n">
        <v>15942124051.56</v>
      </c>
    </row>
    <row r="350" customFormat="false" ht="15.75" hidden="false" customHeight="false" outlineLevel="0" collapsed="false">
      <c r="A350" s="14" t="s">
        <v>381</v>
      </c>
      <c r="B350" s="14" t="n">
        <v>37</v>
      </c>
      <c r="D350" s="14" t="n">
        <v>-220.77</v>
      </c>
      <c r="E350" s="14" t="n">
        <v>-5.85</v>
      </c>
      <c r="F350" s="14" t="n">
        <v>43.98</v>
      </c>
      <c r="J350" s="14" t="n">
        <v>-222.22</v>
      </c>
      <c r="K350" s="14" t="n">
        <v>-252.57</v>
      </c>
      <c r="L350" s="14" t="n">
        <v>0</v>
      </c>
      <c r="O350" s="14" t="n">
        <v>-871.77</v>
      </c>
      <c r="P350" s="14" t="n">
        <v>-43.98</v>
      </c>
      <c r="Q350" s="14" t="n">
        <v>0</v>
      </c>
      <c r="R350" s="14" t="n">
        <v>-2.65</v>
      </c>
      <c r="S350" s="14" t="n">
        <v>-19.92</v>
      </c>
      <c r="T350" s="14" t="n">
        <v>2.63</v>
      </c>
      <c r="U350" s="14" t="n">
        <v>-7.52</v>
      </c>
      <c r="V350" s="14" t="n">
        <v>8.52</v>
      </c>
      <c r="W350" s="14" t="n">
        <v>0</v>
      </c>
      <c r="Z350" s="16" t="n">
        <v>14800</v>
      </c>
      <c r="AA350" s="14" t="n">
        <v>-6.32</v>
      </c>
      <c r="AB350" s="14" t="n">
        <v>-0.17</v>
      </c>
      <c r="AC350" s="14" t="n">
        <v>13.54</v>
      </c>
      <c r="AD350" s="16" t="n">
        <v>38643515</v>
      </c>
    </row>
    <row r="351" customFormat="false" ht="15.75" hidden="false" customHeight="false" outlineLevel="0" collapsed="false">
      <c r="A351" s="14" t="s">
        <v>382</v>
      </c>
      <c r="B351" s="14" t="n">
        <v>47</v>
      </c>
      <c r="D351" s="14" t="n">
        <v>-280.44</v>
      </c>
      <c r="E351" s="14" t="n">
        <v>-7.43</v>
      </c>
      <c r="F351" s="14" t="n">
        <v>55.87</v>
      </c>
      <c r="J351" s="14" t="n">
        <v>-282.27</v>
      </c>
      <c r="K351" s="14" t="n">
        <v>-252.57</v>
      </c>
      <c r="L351" s="14" t="n">
        <v>0</v>
      </c>
      <c r="O351" s="16" t="n">
        <v>-1107.39</v>
      </c>
      <c r="P351" s="14" t="n">
        <v>-55.87</v>
      </c>
      <c r="Q351" s="14" t="n">
        <v>0</v>
      </c>
      <c r="R351" s="14" t="n">
        <v>-2.65</v>
      </c>
      <c r="S351" s="14" t="n">
        <v>-19.92</v>
      </c>
      <c r="T351" s="14" t="n">
        <v>2.63</v>
      </c>
      <c r="U351" s="14" t="n">
        <v>-7.52</v>
      </c>
      <c r="V351" s="14" t="n">
        <v>8.52</v>
      </c>
      <c r="W351" s="14" t="n">
        <v>0</v>
      </c>
      <c r="Z351" s="16" t="n">
        <v>14029.38</v>
      </c>
      <c r="AA351" s="14" t="n">
        <v>-6.32</v>
      </c>
      <c r="AB351" s="14" t="n">
        <v>-0.17</v>
      </c>
      <c r="AC351" s="14" t="n">
        <v>17.2</v>
      </c>
      <c r="AD351" s="16" t="n">
        <v>38643515</v>
      </c>
    </row>
    <row r="352" customFormat="false" ht="15.75" hidden="false" customHeight="false" outlineLevel="0" collapsed="false">
      <c r="A352" s="14" t="s">
        <v>383</v>
      </c>
      <c r="B352" s="14" t="n">
        <v>16.57</v>
      </c>
      <c r="D352" s="14" t="n">
        <v>140.07</v>
      </c>
      <c r="E352" s="14" t="n">
        <v>20.39</v>
      </c>
      <c r="F352" s="14" t="n">
        <v>4.9</v>
      </c>
      <c r="G352" s="14" t="n">
        <v>37.52</v>
      </c>
      <c r="H352" s="14" t="n">
        <v>20.41</v>
      </c>
      <c r="I352" s="14" t="n">
        <v>10.54</v>
      </c>
      <c r="J352" s="14" t="n">
        <v>72.34</v>
      </c>
      <c r="K352" s="14" t="n">
        <v>72.5</v>
      </c>
      <c r="L352" s="14" t="n">
        <v>0.03</v>
      </c>
      <c r="M352" s="14" t="n">
        <v>0.01</v>
      </c>
      <c r="N352" s="14" t="n">
        <v>14.77</v>
      </c>
      <c r="O352" s="14" t="n">
        <v>18.9</v>
      </c>
      <c r="P352" s="14" t="n">
        <v>-9.22</v>
      </c>
      <c r="Q352" s="14" t="n">
        <v>2.25</v>
      </c>
      <c r="R352" s="14" t="n">
        <v>14.56</v>
      </c>
      <c r="S352" s="14" t="n">
        <v>3.5</v>
      </c>
      <c r="T352" s="14" t="n">
        <v>11.63</v>
      </c>
      <c r="U352" s="14" t="n">
        <v>0.24</v>
      </c>
      <c r="V352" s="14" t="n">
        <v>0.76</v>
      </c>
      <c r="W352" s="14" t="n">
        <v>0.33</v>
      </c>
      <c r="Z352" s="16" t="n">
        <v>8688393.1</v>
      </c>
      <c r="AA352" s="14" t="n">
        <v>0.81</v>
      </c>
      <c r="AB352" s="14" t="n">
        <v>0.12</v>
      </c>
      <c r="AD352" s="16" t="n">
        <v>5872644318.22</v>
      </c>
    </row>
    <row r="353" customFormat="false" ht="15.75" hidden="false" customHeight="false" outlineLevel="0" collapsed="false">
      <c r="A353" s="14" t="s">
        <v>384</v>
      </c>
      <c r="B353" s="14" t="n">
        <v>17.06</v>
      </c>
      <c r="D353" s="14" t="n">
        <v>-33.19</v>
      </c>
      <c r="E353" s="14" t="n">
        <v>2.62</v>
      </c>
      <c r="F353" s="14" t="n">
        <v>1.95</v>
      </c>
      <c r="G353" s="14" t="n">
        <v>40.49</v>
      </c>
      <c r="H353" s="14" t="n">
        <v>-5.46</v>
      </c>
      <c r="I353" s="14" t="n">
        <v>-8.34</v>
      </c>
      <c r="J353" s="14" t="n">
        <v>-50.68</v>
      </c>
      <c r="K353" s="14" t="n">
        <v>-36.44</v>
      </c>
      <c r="L353" s="14" t="n">
        <v>14.3</v>
      </c>
      <c r="M353" s="14" t="n">
        <v>-0.74</v>
      </c>
      <c r="N353" s="14" t="n">
        <v>2.77</v>
      </c>
      <c r="O353" s="14" t="n">
        <v>2.93</v>
      </c>
      <c r="P353" s="14" t="n">
        <v>-15.1</v>
      </c>
      <c r="Q353" s="14" t="n">
        <v>4.25</v>
      </c>
      <c r="R353" s="14" t="n">
        <v>-7.9</v>
      </c>
      <c r="S353" s="14" t="n">
        <v>-5.88</v>
      </c>
      <c r="T353" s="14" t="n">
        <v>-4.8</v>
      </c>
      <c r="U353" s="14" t="n">
        <v>0.74</v>
      </c>
      <c r="V353" s="14" t="n">
        <v>0.26</v>
      </c>
      <c r="W353" s="14" t="n">
        <v>0.71</v>
      </c>
      <c r="Z353" s="16" t="n">
        <v>3421544.2</v>
      </c>
      <c r="AA353" s="14" t="n">
        <v>6.53</v>
      </c>
      <c r="AB353" s="14" t="n">
        <v>-0.52</v>
      </c>
      <c r="AC353" s="14" t="n">
        <v>-1.09</v>
      </c>
      <c r="AD353" s="16" t="n">
        <v>1824172055.52</v>
      </c>
    </row>
    <row r="354" customFormat="false" ht="15.75" hidden="false" customHeight="false" outlineLevel="0" collapsed="false">
      <c r="A354" s="14" t="s">
        <v>385</v>
      </c>
      <c r="B354" s="14" t="n">
        <v>31.85</v>
      </c>
      <c r="C354" s="14" t="n">
        <v>1.75</v>
      </c>
      <c r="D354" s="14" t="n">
        <v>16.82</v>
      </c>
      <c r="E354" s="14" t="n">
        <v>1.62</v>
      </c>
      <c r="F354" s="14" t="n">
        <v>1.04</v>
      </c>
      <c r="G354" s="14" t="n">
        <v>30.34</v>
      </c>
      <c r="H354" s="14" t="n">
        <v>7.44</v>
      </c>
      <c r="I354" s="14" t="n">
        <v>9.03</v>
      </c>
      <c r="J354" s="14" t="n">
        <v>20.41</v>
      </c>
      <c r="K354" s="14" t="n">
        <v>21.15</v>
      </c>
      <c r="L354" s="14" t="n">
        <v>0.83</v>
      </c>
      <c r="M354" s="14" t="n">
        <v>0.07</v>
      </c>
      <c r="N354" s="14" t="n">
        <v>1.52</v>
      </c>
      <c r="O354" s="14" t="n">
        <v>3.54</v>
      </c>
      <c r="P354" s="14" t="n">
        <v>-1.82</v>
      </c>
      <c r="Q354" s="14" t="n">
        <v>3.13</v>
      </c>
      <c r="R354" s="14" t="n">
        <v>9.61</v>
      </c>
      <c r="S354" s="14" t="n">
        <v>6.16</v>
      </c>
      <c r="T354" s="14" t="n">
        <v>5.76</v>
      </c>
      <c r="U354" s="14" t="n">
        <v>0.64</v>
      </c>
      <c r="V354" s="14" t="n">
        <v>0.36</v>
      </c>
      <c r="W354" s="14" t="n">
        <v>0.68</v>
      </c>
      <c r="X354" s="14" t="n">
        <v>9.43</v>
      </c>
      <c r="Y354" s="14" t="n">
        <v>4.81</v>
      </c>
      <c r="Z354" s="16" t="n">
        <v>35918720.02</v>
      </c>
      <c r="AA354" s="14" t="n">
        <v>19.7</v>
      </c>
      <c r="AB354" s="14" t="n">
        <v>1.89</v>
      </c>
      <c r="AC354" s="14" t="n">
        <v>21.84</v>
      </c>
      <c r="AD354" s="16" t="n">
        <v>10749690000</v>
      </c>
    </row>
    <row r="355" customFormat="false" ht="15.75" hidden="false" customHeight="false" outlineLevel="0" collapsed="false">
      <c r="A355" s="14" t="s">
        <v>386</v>
      </c>
      <c r="B355" s="14" t="n">
        <v>10.02</v>
      </c>
      <c r="D355" s="14" t="n">
        <v>-16.78</v>
      </c>
      <c r="E355" s="14" t="n">
        <v>0.83</v>
      </c>
      <c r="F355" s="14" t="n">
        <v>0.39</v>
      </c>
      <c r="G355" s="14" t="n">
        <v>29.27</v>
      </c>
      <c r="H355" s="14" t="n">
        <v>-8.39</v>
      </c>
      <c r="I355" s="14" t="n">
        <v>-8.36</v>
      </c>
      <c r="J355" s="14" t="n">
        <v>-16.72</v>
      </c>
      <c r="K355" s="14" t="n">
        <v>-17.1</v>
      </c>
      <c r="L355" s="14" t="n">
        <v>-0.42</v>
      </c>
      <c r="M355" s="14" t="n">
        <v>0.02</v>
      </c>
      <c r="N355" s="14" t="n">
        <v>1.4</v>
      </c>
      <c r="O355" s="14" t="n">
        <v>1.82</v>
      </c>
      <c r="P355" s="14" t="n">
        <v>-0.68</v>
      </c>
      <c r="Q355" s="14" t="n">
        <v>2.04</v>
      </c>
      <c r="R355" s="14" t="n">
        <v>-4.97</v>
      </c>
      <c r="S355" s="14" t="n">
        <v>-2.33</v>
      </c>
      <c r="T355" s="14" t="n">
        <v>-5.33</v>
      </c>
      <c r="U355" s="14" t="n">
        <v>0.47</v>
      </c>
      <c r="V355" s="14" t="n">
        <v>0.53</v>
      </c>
      <c r="W355" s="14" t="n">
        <v>0.28</v>
      </c>
      <c r="X355" s="14" t="n">
        <v>-8.09</v>
      </c>
      <c r="Z355" s="16" t="n">
        <v>3137412.93</v>
      </c>
      <c r="AA355" s="14" t="n">
        <v>12.03</v>
      </c>
      <c r="AB355" s="14" t="n">
        <v>-0.6</v>
      </c>
      <c r="AC355" s="14" t="n">
        <v>0.27</v>
      </c>
      <c r="AD355" s="16" t="n">
        <v>850791937.5</v>
      </c>
    </row>
    <row r="356" customFormat="false" ht="15.75" hidden="false" customHeight="false" outlineLevel="0" collapsed="false">
      <c r="A356" s="14" t="s">
        <v>387</v>
      </c>
      <c r="B356" s="14" t="n">
        <v>4.06</v>
      </c>
      <c r="D356" s="14" t="n">
        <v>-2.41</v>
      </c>
      <c r="E356" s="14" t="n">
        <v>1</v>
      </c>
      <c r="F356" s="14" t="n">
        <v>0.42</v>
      </c>
      <c r="G356" s="14" t="n">
        <v>23.49</v>
      </c>
      <c r="H356" s="14" t="n">
        <v>-50.77</v>
      </c>
      <c r="I356" s="14" t="n">
        <v>-43.55</v>
      </c>
      <c r="J356" s="14" t="n">
        <v>-2.07</v>
      </c>
      <c r="K356" s="14" t="n">
        <v>-2.39</v>
      </c>
      <c r="L356" s="14" t="n">
        <v>-0.33</v>
      </c>
      <c r="M356" s="14" t="n">
        <v>0.16</v>
      </c>
      <c r="N356" s="14" t="n">
        <v>1.05</v>
      </c>
      <c r="O356" s="14" t="n">
        <v>4.1</v>
      </c>
      <c r="P356" s="14" t="n">
        <v>-0.56</v>
      </c>
      <c r="Q356" s="14" t="n">
        <v>1.68</v>
      </c>
      <c r="R356" s="14" t="n">
        <v>-41.61</v>
      </c>
      <c r="S356" s="14" t="n">
        <v>-17.41</v>
      </c>
      <c r="T356" s="14" t="n">
        <v>-36.89</v>
      </c>
      <c r="U356" s="14" t="n">
        <v>0.42</v>
      </c>
      <c r="V356" s="14" t="n">
        <v>0.58</v>
      </c>
      <c r="W356" s="14" t="n">
        <v>0.4</v>
      </c>
      <c r="X356" s="14" t="n">
        <v>-6.51</v>
      </c>
      <c r="Z356" s="16" t="n">
        <v>18650810.98</v>
      </c>
      <c r="AA356" s="14" t="n">
        <v>4.05</v>
      </c>
      <c r="AB356" s="14" t="n">
        <v>-1.69</v>
      </c>
      <c r="AC356" s="14" t="n">
        <v>0</v>
      </c>
      <c r="AD356" s="16" t="n">
        <v>1156932901.2</v>
      </c>
    </row>
    <row r="357" customFormat="false" ht="15.75" hidden="false" customHeight="false" outlineLevel="0" collapsed="false">
      <c r="A357" s="14" t="s">
        <v>388</v>
      </c>
      <c r="B357" s="14" t="n">
        <v>6.2</v>
      </c>
      <c r="C357" s="14" t="n">
        <v>0.1</v>
      </c>
      <c r="D357" s="14" t="n">
        <v>23.84</v>
      </c>
      <c r="E357" s="14" t="n">
        <v>1.11</v>
      </c>
      <c r="F357" s="14" t="n">
        <v>0.7</v>
      </c>
      <c r="G357" s="14" t="n">
        <v>22.46</v>
      </c>
      <c r="H357" s="14" t="n">
        <v>10.28</v>
      </c>
      <c r="I357" s="14" t="n">
        <v>8.83</v>
      </c>
      <c r="J357" s="14" t="n">
        <v>20.49</v>
      </c>
      <c r="K357" s="14" t="n">
        <v>10.9</v>
      </c>
      <c r="L357" s="14" t="n">
        <v>-9.59</v>
      </c>
      <c r="M357" s="14" t="n">
        <v>-0.52</v>
      </c>
      <c r="N357" s="14" t="n">
        <v>2.11</v>
      </c>
      <c r="O357" s="14" t="n">
        <v>1.17</v>
      </c>
      <c r="P357" s="14" t="n">
        <v>-6.16</v>
      </c>
      <c r="Q357" s="14" t="n">
        <v>3.1</v>
      </c>
      <c r="R357" s="14" t="n">
        <v>4.65</v>
      </c>
      <c r="S357" s="14" t="n">
        <v>2.95</v>
      </c>
      <c r="T357" s="14" t="n">
        <v>3.9</v>
      </c>
      <c r="U357" s="14" t="n">
        <v>0.63</v>
      </c>
      <c r="V357" s="14" t="n">
        <v>0.34</v>
      </c>
      <c r="W357" s="14" t="n">
        <v>0.33</v>
      </c>
      <c r="Z357" s="16" t="n">
        <v>4420122.61</v>
      </c>
      <c r="AA357" s="14" t="n">
        <v>5.59</v>
      </c>
      <c r="AB357" s="14" t="n">
        <v>0.26</v>
      </c>
      <c r="AC357" s="14" t="n">
        <v>0.34</v>
      </c>
      <c r="AD357" s="16" t="n">
        <v>1289409914.2</v>
      </c>
    </row>
    <row r="358" customFormat="false" ht="15.75" hidden="false" customHeight="false" outlineLevel="0" collapsed="false">
      <c r="A358" s="14" t="s">
        <v>389</v>
      </c>
      <c r="B358" s="14" t="n">
        <v>27.05</v>
      </c>
      <c r="D358" s="14" t="n">
        <v>56.39</v>
      </c>
      <c r="E358" s="14" t="n">
        <v>1.96</v>
      </c>
      <c r="F358" s="14" t="n">
        <v>1.7</v>
      </c>
      <c r="G358" s="14" t="n">
        <v>80.07</v>
      </c>
      <c r="H358" s="14" t="n">
        <v>23.18</v>
      </c>
      <c r="I358" s="14" t="n">
        <v>16.04</v>
      </c>
      <c r="J358" s="14" t="n">
        <v>39.01</v>
      </c>
      <c r="K358" s="14" t="n">
        <v>30.16</v>
      </c>
      <c r="N358" s="14" t="n">
        <v>9.04</v>
      </c>
      <c r="O358" s="14" t="n">
        <v>4.51</v>
      </c>
      <c r="P358" s="14" t="n">
        <v>-2.9</v>
      </c>
      <c r="Q358" s="14" t="n">
        <v>11.96</v>
      </c>
      <c r="R358" s="14" t="n">
        <v>3.47</v>
      </c>
      <c r="S358" s="14" t="n">
        <v>3.02</v>
      </c>
      <c r="U358" s="14" t="n">
        <v>0.87</v>
      </c>
      <c r="V358" s="14" t="n">
        <v>0.13</v>
      </c>
      <c r="W358" s="14" t="n">
        <v>0.19</v>
      </c>
      <c r="X358" s="14" t="n">
        <v>-30.32</v>
      </c>
      <c r="Z358" s="16" t="n">
        <v>63251.29</v>
      </c>
      <c r="AA358" s="14" t="n">
        <v>13.82</v>
      </c>
      <c r="AB358" s="14" t="n">
        <v>0.48</v>
      </c>
      <c r="AC358" s="14" t="n">
        <v>-3.95</v>
      </c>
      <c r="AD358" s="16" t="n">
        <v>376683062.15</v>
      </c>
    </row>
    <row r="359" customFormat="false" ht="15.75" hidden="false" customHeight="false" outlineLevel="0" collapsed="false">
      <c r="A359" s="14" t="s">
        <v>390</v>
      </c>
      <c r="B359" s="14" t="n">
        <v>12.94</v>
      </c>
      <c r="C359" s="14" t="n">
        <v>3.82</v>
      </c>
      <c r="D359" s="14" t="n">
        <v>26.97</v>
      </c>
      <c r="E359" s="14" t="n">
        <v>0.94</v>
      </c>
      <c r="F359" s="14" t="n">
        <v>0.82</v>
      </c>
      <c r="G359" s="14" t="n">
        <v>80.07</v>
      </c>
      <c r="H359" s="14" t="n">
        <v>23.18</v>
      </c>
      <c r="I359" s="14" t="n">
        <v>16.04</v>
      </c>
      <c r="J359" s="14" t="n">
        <v>18.66</v>
      </c>
      <c r="K359" s="14" t="n">
        <v>30.16</v>
      </c>
      <c r="N359" s="14" t="n">
        <v>4.33</v>
      </c>
      <c r="O359" s="14" t="n">
        <v>2.16</v>
      </c>
      <c r="P359" s="14" t="n">
        <v>-1.39</v>
      </c>
      <c r="Q359" s="14" t="n">
        <v>11.96</v>
      </c>
      <c r="R359" s="14" t="n">
        <v>3.47</v>
      </c>
      <c r="S359" s="14" t="n">
        <v>3.02</v>
      </c>
      <c r="U359" s="14" t="n">
        <v>0.87</v>
      </c>
      <c r="V359" s="14" t="n">
        <v>0.13</v>
      </c>
      <c r="W359" s="14" t="n">
        <v>0.19</v>
      </c>
      <c r="X359" s="14" t="n">
        <v>-30.32</v>
      </c>
      <c r="Z359" s="16" t="n">
        <v>29369.41</v>
      </c>
      <c r="AA359" s="14" t="n">
        <v>13.82</v>
      </c>
      <c r="AB359" s="14" t="n">
        <v>0.48</v>
      </c>
      <c r="AC359" s="14" t="n">
        <v>-1.89</v>
      </c>
      <c r="AD359" s="16" t="n">
        <v>376683062.15</v>
      </c>
    </row>
    <row r="360" customFormat="false" ht="15.75" hidden="false" customHeight="false" outlineLevel="0" collapsed="false">
      <c r="A360" s="14" t="s">
        <v>391</v>
      </c>
      <c r="B360" s="14" t="n">
        <v>19.13</v>
      </c>
      <c r="D360" s="14" t="n">
        <v>2.49</v>
      </c>
      <c r="E360" s="14" t="n">
        <v>-0.27</v>
      </c>
      <c r="F360" s="14" t="n">
        <v>0.24</v>
      </c>
      <c r="G360" s="14" t="n">
        <v>15.21</v>
      </c>
      <c r="H360" s="14" t="n">
        <v>16.06</v>
      </c>
      <c r="I360" s="14" t="n">
        <v>7.38</v>
      </c>
      <c r="J360" s="14" t="n">
        <v>1.14</v>
      </c>
      <c r="K360" s="14" t="n">
        <v>8.25</v>
      </c>
      <c r="L360" s="14" t="n">
        <v>7.08</v>
      </c>
      <c r="N360" s="14" t="n">
        <v>0.18</v>
      </c>
      <c r="O360" s="14" t="n">
        <v>0.6</v>
      </c>
      <c r="P360" s="14" t="n">
        <v>-0.71</v>
      </c>
      <c r="Q360" s="14" t="n">
        <v>2.42</v>
      </c>
      <c r="R360" s="14" t="n">
        <v>-10.68</v>
      </c>
      <c r="S360" s="14" t="n">
        <v>9.47</v>
      </c>
      <c r="T360" s="14" t="n">
        <v>26.48</v>
      </c>
      <c r="U360" s="14" t="n">
        <v>-0.89</v>
      </c>
      <c r="V360" s="14" t="n">
        <v>1.89</v>
      </c>
      <c r="W360" s="14" t="n">
        <v>1.28</v>
      </c>
      <c r="X360" s="14" t="n">
        <v>5.03</v>
      </c>
      <c r="AA360" s="14" t="n">
        <v>-71.91</v>
      </c>
      <c r="AB360" s="14" t="n">
        <v>7.68</v>
      </c>
      <c r="AC360" s="14" t="n">
        <v>-0.02</v>
      </c>
      <c r="AD360" s="16" t="n">
        <v>113122544.79</v>
      </c>
    </row>
    <row r="361" customFormat="false" ht="15.75" hidden="false" customHeight="false" outlineLevel="0" collapsed="false">
      <c r="A361" s="14" t="s">
        <v>392</v>
      </c>
      <c r="B361" s="14" t="n">
        <v>19.79</v>
      </c>
      <c r="D361" s="14" t="n">
        <v>2.58</v>
      </c>
      <c r="E361" s="14" t="n">
        <v>-0.28</v>
      </c>
      <c r="F361" s="14" t="n">
        <v>0.24</v>
      </c>
      <c r="G361" s="14" t="n">
        <v>15.21</v>
      </c>
      <c r="H361" s="14" t="n">
        <v>16.06</v>
      </c>
      <c r="I361" s="14" t="n">
        <v>7.38</v>
      </c>
      <c r="J361" s="14" t="n">
        <v>1.18</v>
      </c>
      <c r="K361" s="14" t="n">
        <v>8.25</v>
      </c>
      <c r="L361" s="14" t="n">
        <v>7.08</v>
      </c>
      <c r="N361" s="14" t="n">
        <v>0.19</v>
      </c>
      <c r="O361" s="14" t="n">
        <v>0.62</v>
      </c>
      <c r="P361" s="14" t="n">
        <v>-0.74</v>
      </c>
      <c r="Q361" s="14" t="n">
        <v>2.42</v>
      </c>
      <c r="R361" s="14" t="n">
        <v>-10.68</v>
      </c>
      <c r="S361" s="14" t="n">
        <v>9.47</v>
      </c>
      <c r="T361" s="14" t="n">
        <v>26.48</v>
      </c>
      <c r="U361" s="14" t="n">
        <v>-0.89</v>
      </c>
      <c r="V361" s="14" t="n">
        <v>1.89</v>
      </c>
      <c r="W361" s="14" t="n">
        <v>1.28</v>
      </c>
      <c r="X361" s="14" t="n">
        <v>5.03</v>
      </c>
      <c r="Z361" s="16" t="n">
        <v>455698.63</v>
      </c>
      <c r="AA361" s="14" t="n">
        <v>-71.91</v>
      </c>
      <c r="AB361" s="14" t="n">
        <v>7.68</v>
      </c>
      <c r="AC361" s="14" t="n">
        <v>-0.02</v>
      </c>
      <c r="AD361" s="16" t="n">
        <v>113122544.79</v>
      </c>
    </row>
    <row r="362" customFormat="false" ht="15.75" hidden="false" customHeight="false" outlineLevel="0" collapsed="false">
      <c r="A362" s="14" t="s">
        <v>393</v>
      </c>
      <c r="B362" s="14" t="n">
        <v>21.27</v>
      </c>
      <c r="C362" s="14" t="n">
        <v>0.23</v>
      </c>
      <c r="D362" s="14" t="n">
        <v>222.91</v>
      </c>
      <c r="E362" s="14" t="n">
        <v>18.99</v>
      </c>
      <c r="F362" s="14" t="n">
        <v>6.11</v>
      </c>
      <c r="G362" s="14" t="n">
        <v>25.38</v>
      </c>
      <c r="H362" s="14" t="n">
        <v>3.68</v>
      </c>
      <c r="I362" s="14" t="n">
        <v>1.92</v>
      </c>
      <c r="J362" s="14" t="n">
        <v>116.63</v>
      </c>
      <c r="K362" s="14" t="n">
        <v>116.66</v>
      </c>
      <c r="L362" s="14" t="n">
        <v>0.24</v>
      </c>
      <c r="M362" s="14" t="n">
        <v>0.04</v>
      </c>
      <c r="N362" s="14" t="n">
        <v>4.29</v>
      </c>
      <c r="O362" s="14" t="n">
        <v>36.84</v>
      </c>
      <c r="P362" s="14" t="n">
        <v>-17.29</v>
      </c>
      <c r="Q362" s="14" t="n">
        <v>1.34</v>
      </c>
      <c r="R362" s="14" t="n">
        <v>8.52</v>
      </c>
      <c r="S362" s="14" t="n">
        <v>2.74</v>
      </c>
      <c r="T362" s="14" t="n">
        <v>12.37</v>
      </c>
      <c r="U362" s="14" t="n">
        <v>0.32</v>
      </c>
      <c r="V362" s="14" t="n">
        <v>0.68</v>
      </c>
      <c r="W362" s="14" t="n">
        <v>1.42</v>
      </c>
      <c r="X362" s="14" t="n">
        <v>26.58</v>
      </c>
      <c r="Z362" s="16" t="n">
        <v>426527787.17</v>
      </c>
      <c r="AA362" s="14" t="n">
        <v>1.12</v>
      </c>
      <c r="AB362" s="14" t="n">
        <v>0.1</v>
      </c>
      <c r="AC362" s="14" t="n">
        <v>-9.1</v>
      </c>
      <c r="AD362" s="16" t="n">
        <v>137842238446.08</v>
      </c>
    </row>
    <row r="363" customFormat="false" ht="15.75" hidden="false" customHeight="false" outlineLevel="0" collapsed="false">
      <c r="A363" s="14" t="s">
        <v>394</v>
      </c>
      <c r="B363" s="14" t="n">
        <v>8.56</v>
      </c>
      <c r="C363" s="14" t="n">
        <v>0.27</v>
      </c>
      <c r="D363" s="14" t="n">
        <v>593.34</v>
      </c>
      <c r="E363" s="14" t="n">
        <v>1.95</v>
      </c>
      <c r="F363" s="14" t="n">
        <v>1.44</v>
      </c>
      <c r="G363" s="14" t="n">
        <v>42.21</v>
      </c>
      <c r="H363" s="14" t="n">
        <v>5.78</v>
      </c>
      <c r="I363" s="14" t="n">
        <v>0.68</v>
      </c>
      <c r="J363" s="14" t="n">
        <v>69.82</v>
      </c>
      <c r="K363" s="14" t="n">
        <v>64.97</v>
      </c>
      <c r="L363" s="14" t="n">
        <v>-4.53</v>
      </c>
      <c r="M363" s="14" t="n">
        <v>-0.13</v>
      </c>
      <c r="N363" s="14" t="n">
        <v>4.04</v>
      </c>
      <c r="O363" s="14" t="n">
        <v>5.03</v>
      </c>
      <c r="P363" s="14" t="n">
        <v>-2.41</v>
      </c>
      <c r="Q363" s="14" t="n">
        <v>3.54</v>
      </c>
      <c r="R363" s="14" t="n">
        <v>0.33</v>
      </c>
      <c r="S363" s="14" t="n">
        <v>0.24</v>
      </c>
      <c r="T363" s="14" t="n">
        <v>1.12</v>
      </c>
      <c r="U363" s="14" t="n">
        <v>0.74</v>
      </c>
      <c r="V363" s="14" t="n">
        <v>0.26</v>
      </c>
      <c r="W363" s="14" t="n">
        <v>0.36</v>
      </c>
      <c r="X363" s="14" t="n">
        <v>-2.55</v>
      </c>
      <c r="Z363" s="16" t="n">
        <v>16145396.66</v>
      </c>
      <c r="AA363" s="14" t="n">
        <v>4.39</v>
      </c>
      <c r="AB363" s="14" t="n">
        <v>0.01</v>
      </c>
      <c r="AC363" s="14" t="n">
        <v>-5.4</v>
      </c>
      <c r="AD363" s="16" t="n">
        <v>2148477579.6</v>
      </c>
    </row>
    <row r="364" customFormat="false" ht="15.75" hidden="false" customHeight="false" outlineLevel="0" collapsed="false">
      <c r="A364" s="14" t="s">
        <v>395</v>
      </c>
      <c r="B364" s="14" t="n">
        <v>14</v>
      </c>
      <c r="D364" s="14" t="n">
        <v>-2.17</v>
      </c>
      <c r="E364" s="14" t="n">
        <v>-0.11</v>
      </c>
      <c r="F364" s="14" t="n">
        <v>0.71</v>
      </c>
      <c r="J364" s="14" t="n">
        <v>-181.31</v>
      </c>
      <c r="K364" s="14" t="n">
        <v>-719.57</v>
      </c>
      <c r="L364" s="14" t="n">
        <v>-538.27</v>
      </c>
      <c r="O364" s="14" t="n">
        <v>-0.1</v>
      </c>
      <c r="P364" s="14" t="n">
        <v>-0.75</v>
      </c>
      <c r="Q364" s="14" t="n">
        <v>0.01</v>
      </c>
      <c r="R364" s="14" t="n">
        <v>-4.97</v>
      </c>
      <c r="S364" s="14" t="n">
        <v>-32.75</v>
      </c>
      <c r="T364" s="14" t="n">
        <v>0.28</v>
      </c>
      <c r="U364" s="14" t="n">
        <v>-6.58</v>
      </c>
      <c r="V364" s="14" t="n">
        <v>7.6</v>
      </c>
      <c r="W364" s="14" t="n">
        <v>0</v>
      </c>
      <c r="X364" s="14" t="n">
        <v>-6.95</v>
      </c>
      <c r="Z364" s="16" t="n">
        <v>6294058.38</v>
      </c>
      <c r="AA364" s="14" t="n">
        <v>-129.88</v>
      </c>
      <c r="AB364" s="14" t="n">
        <v>-6.46</v>
      </c>
      <c r="AC364" s="14" t="n">
        <v>0.03</v>
      </c>
      <c r="AD364" s="16" t="n">
        <v>90834562</v>
      </c>
    </row>
    <row r="365" customFormat="false" ht="15.75" hidden="false" customHeight="false" outlineLevel="0" collapsed="false">
      <c r="A365" s="14" t="s">
        <v>396</v>
      </c>
      <c r="B365" s="14" t="n">
        <v>60.21</v>
      </c>
      <c r="D365" s="14" t="n">
        <v>33.83</v>
      </c>
      <c r="E365" s="14" t="n">
        <v>-1.06</v>
      </c>
      <c r="F365" s="14" t="n">
        <v>0.13</v>
      </c>
      <c r="G365" s="14" t="n">
        <v>34.46</v>
      </c>
      <c r="H365" s="14" t="n">
        <v>10.96</v>
      </c>
      <c r="I365" s="14" t="n">
        <v>0.79</v>
      </c>
      <c r="J365" s="14" t="n">
        <v>2.43</v>
      </c>
      <c r="K365" s="14" t="n">
        <v>6.39</v>
      </c>
      <c r="L365" s="14" t="n">
        <v>3.61</v>
      </c>
      <c r="N365" s="14" t="n">
        <v>0.27</v>
      </c>
      <c r="O365" s="14" t="n">
        <v>-0.24</v>
      </c>
      <c r="P365" s="14" t="n">
        <v>-0.19</v>
      </c>
      <c r="Q365" s="14" t="n">
        <v>0.35</v>
      </c>
      <c r="R365" s="14" t="n">
        <v>-3.14</v>
      </c>
      <c r="S365" s="14" t="n">
        <v>0.39</v>
      </c>
      <c r="T365" s="14" t="n">
        <v>64.18</v>
      </c>
      <c r="U365" s="14" t="n">
        <v>-0.12</v>
      </c>
      <c r="V365" s="14" t="n">
        <v>1.12</v>
      </c>
      <c r="W365" s="14" t="n">
        <v>0.49</v>
      </c>
      <c r="X365" s="14" t="n">
        <v>4.94</v>
      </c>
      <c r="Z365" s="16" t="n">
        <v>190721.66</v>
      </c>
      <c r="AA365" s="14" t="n">
        <v>-56.71</v>
      </c>
      <c r="AB365" s="14" t="n">
        <v>1.78</v>
      </c>
      <c r="AC365" s="14" t="n">
        <v>-0.25</v>
      </c>
      <c r="AD365" s="16" t="n">
        <v>170840308.8</v>
      </c>
    </row>
    <row r="366" customFormat="false" ht="15.75" hidden="false" customHeight="false" outlineLevel="0" collapsed="false">
      <c r="A366" s="14" t="s">
        <v>397</v>
      </c>
      <c r="B366" s="14" t="n">
        <v>17.4</v>
      </c>
      <c r="D366" s="14" t="n">
        <v>17.21</v>
      </c>
      <c r="E366" s="14" t="n">
        <v>-0.34</v>
      </c>
      <c r="F366" s="14" t="n">
        <v>0.49</v>
      </c>
      <c r="G366" s="14" t="n">
        <v>26.85</v>
      </c>
      <c r="H366" s="14" t="n">
        <v>12</v>
      </c>
      <c r="I366" s="14" t="n">
        <v>2.67</v>
      </c>
      <c r="J366" s="14" t="n">
        <v>3.83</v>
      </c>
      <c r="K366" s="14" t="n">
        <v>3.54</v>
      </c>
      <c r="L366" s="14" t="n">
        <v>-0.32</v>
      </c>
      <c r="N366" s="14" t="n">
        <v>0.46</v>
      </c>
      <c r="O366" s="14" t="n">
        <v>-0.31</v>
      </c>
      <c r="P366" s="14" t="n">
        <v>-0.9</v>
      </c>
      <c r="Q366" s="14" t="n">
        <v>0.22</v>
      </c>
      <c r="R366" s="14" t="n">
        <v>-1.96</v>
      </c>
      <c r="S366" s="14" t="n">
        <v>2.87</v>
      </c>
      <c r="T366" s="14" t="n">
        <v>-6.35</v>
      </c>
      <c r="U366" s="14" t="n">
        <v>-1.47</v>
      </c>
      <c r="V366" s="14" t="n">
        <v>2.47</v>
      </c>
      <c r="W366" s="14" t="n">
        <v>1.08</v>
      </c>
      <c r="X366" s="14" t="n">
        <v>4.62</v>
      </c>
      <c r="Z366" s="16" t="n">
        <v>740065.9</v>
      </c>
      <c r="AA366" s="14" t="n">
        <v>-51.91</v>
      </c>
      <c r="AB366" s="14" t="n">
        <v>1.02</v>
      </c>
      <c r="AC366" s="14" t="n">
        <v>-0.12</v>
      </c>
      <c r="AD366" s="16" t="n">
        <v>125387766</v>
      </c>
    </row>
    <row r="367" customFormat="false" ht="15.75" hidden="false" customHeight="false" outlineLevel="0" collapsed="false">
      <c r="A367" s="14" t="s">
        <v>398</v>
      </c>
      <c r="B367" s="14" t="n">
        <v>305</v>
      </c>
      <c r="C367" s="14" t="n">
        <v>3.67</v>
      </c>
      <c r="D367" s="14" t="n">
        <v>17.44</v>
      </c>
      <c r="E367" s="14" t="n">
        <v>3.94</v>
      </c>
      <c r="F367" s="14" t="n">
        <v>2.29</v>
      </c>
      <c r="G367" s="14" t="n">
        <v>-1.59</v>
      </c>
      <c r="H367" s="14" t="n">
        <v>226.69</v>
      </c>
      <c r="I367" s="14" t="n">
        <v>195.51</v>
      </c>
      <c r="J367" s="14" t="n">
        <v>15.04</v>
      </c>
      <c r="K367" s="14" t="n">
        <v>14.15</v>
      </c>
      <c r="L367" s="14" t="n">
        <v>-0.9</v>
      </c>
      <c r="M367" s="14" t="n">
        <v>-0.23</v>
      </c>
      <c r="N367" s="14" t="n">
        <v>34.1</v>
      </c>
      <c r="O367" s="14" t="n">
        <v>7.35</v>
      </c>
      <c r="P367" s="14" t="n">
        <v>-3.96</v>
      </c>
      <c r="Q367" s="14" t="n">
        <v>3.8</v>
      </c>
      <c r="R367" s="14" t="n">
        <v>22.61</v>
      </c>
      <c r="S367" s="14" t="n">
        <v>13.12</v>
      </c>
      <c r="T367" s="14" t="n">
        <v>9.43</v>
      </c>
      <c r="U367" s="14" t="n">
        <v>0.58</v>
      </c>
      <c r="V367" s="14" t="n">
        <v>0.42</v>
      </c>
      <c r="W367" s="14" t="n">
        <v>0.07</v>
      </c>
      <c r="X367" s="14" t="n">
        <v>94.65</v>
      </c>
      <c r="Z367" s="16" t="n">
        <v>85314.29</v>
      </c>
      <c r="AA367" s="14" t="n">
        <v>77.34</v>
      </c>
      <c r="AB367" s="14" t="n">
        <v>17.49</v>
      </c>
      <c r="AC367" s="14" t="n">
        <v>-0.03</v>
      </c>
      <c r="AD367" s="16" t="n">
        <v>3736622405</v>
      </c>
    </row>
    <row r="368" customFormat="false" ht="15.75" hidden="false" customHeight="false" outlineLevel="0" collapsed="false">
      <c r="A368" s="14" t="s">
        <v>399</v>
      </c>
      <c r="B368" s="14" t="n">
        <v>17.42</v>
      </c>
      <c r="D368" s="14" t="n">
        <v>197.63</v>
      </c>
      <c r="E368" s="14" t="n">
        <v>6.66</v>
      </c>
      <c r="F368" s="14" t="n">
        <v>0.73</v>
      </c>
      <c r="G368" s="14" t="n">
        <v>274.79</v>
      </c>
      <c r="H368" s="14" t="n">
        <v>60.62</v>
      </c>
      <c r="I368" s="14" t="n">
        <v>31.44</v>
      </c>
      <c r="J368" s="14" t="n">
        <v>102.5</v>
      </c>
      <c r="K368" s="14" t="n">
        <v>102.03</v>
      </c>
      <c r="N368" s="14" t="n">
        <v>62.13</v>
      </c>
      <c r="P368" s="14" t="n">
        <v>-1.46</v>
      </c>
      <c r="R368" s="14" t="n">
        <v>3.37</v>
      </c>
      <c r="S368" s="14" t="n">
        <v>0.37</v>
      </c>
      <c r="U368" s="14" t="n">
        <v>0.11</v>
      </c>
      <c r="V368" s="14" t="n">
        <v>0.89</v>
      </c>
      <c r="W368" s="14" t="n">
        <v>0.01</v>
      </c>
      <c r="Z368" s="16" t="n">
        <v>14583430.24</v>
      </c>
      <c r="AA368" s="14" t="n">
        <v>2.61</v>
      </c>
      <c r="AB368" s="14" t="n">
        <v>0.09</v>
      </c>
      <c r="AD368" s="16" t="n">
        <v>4060886666.67</v>
      </c>
    </row>
    <row r="369" customFormat="false" ht="15.75" hidden="false" customHeight="false" outlineLevel="0" collapsed="false">
      <c r="A369" s="14" t="s">
        <v>400</v>
      </c>
      <c r="B369" s="14" t="n">
        <v>7.17</v>
      </c>
      <c r="D369" s="14" t="n">
        <v>244.59</v>
      </c>
      <c r="E369" s="14" t="n">
        <v>8.25</v>
      </c>
      <c r="F369" s="14" t="n">
        <v>0.9</v>
      </c>
      <c r="G369" s="14" t="n">
        <v>274.79</v>
      </c>
      <c r="H369" s="14" t="n">
        <v>60.62</v>
      </c>
      <c r="I369" s="14" t="n">
        <v>31.44</v>
      </c>
      <c r="J369" s="14" t="n">
        <v>126.86</v>
      </c>
      <c r="K369" s="14" t="n">
        <v>102.03</v>
      </c>
      <c r="N369" s="14" t="n">
        <v>76.9</v>
      </c>
      <c r="P369" s="14" t="n">
        <v>-1.81</v>
      </c>
      <c r="R369" s="14" t="n">
        <v>3.37</v>
      </c>
      <c r="S369" s="14" t="n">
        <v>0.37</v>
      </c>
      <c r="U369" s="14" t="n">
        <v>0.11</v>
      </c>
      <c r="V369" s="14" t="n">
        <v>0.89</v>
      </c>
      <c r="W369" s="14" t="n">
        <v>0.01</v>
      </c>
      <c r="Z369" s="16" t="n">
        <v>863169.45</v>
      </c>
      <c r="AA369" s="14" t="n">
        <v>0.87</v>
      </c>
      <c r="AB369" s="14" t="n">
        <v>0.03</v>
      </c>
      <c r="AD369" s="16" t="n">
        <v>4060886666.67</v>
      </c>
    </row>
    <row r="370" customFormat="false" ht="15.75" hidden="false" customHeight="false" outlineLevel="0" collapsed="false">
      <c r="A370" s="14" t="s">
        <v>401</v>
      </c>
      <c r="B370" s="14" t="n">
        <v>5.06</v>
      </c>
      <c r="D370" s="14" t="n">
        <v>172.95</v>
      </c>
      <c r="E370" s="14" t="n">
        <v>5.83</v>
      </c>
      <c r="F370" s="14" t="n">
        <v>0.64</v>
      </c>
      <c r="G370" s="14" t="n">
        <v>274.79</v>
      </c>
      <c r="H370" s="14" t="n">
        <v>60.62</v>
      </c>
      <c r="I370" s="14" t="n">
        <v>31.44</v>
      </c>
      <c r="J370" s="14" t="n">
        <v>89.7</v>
      </c>
      <c r="K370" s="14" t="n">
        <v>102.03</v>
      </c>
      <c r="N370" s="14" t="n">
        <v>54.37</v>
      </c>
      <c r="P370" s="14" t="n">
        <v>-1.28</v>
      </c>
      <c r="R370" s="14" t="n">
        <v>3.37</v>
      </c>
      <c r="S370" s="14" t="n">
        <v>0.37</v>
      </c>
      <c r="U370" s="14" t="n">
        <v>0.11</v>
      </c>
      <c r="V370" s="14" t="n">
        <v>0.89</v>
      </c>
      <c r="W370" s="14" t="n">
        <v>0.01</v>
      </c>
      <c r="Z370" s="16" t="n">
        <v>1225430.45</v>
      </c>
      <c r="AA370" s="14" t="n">
        <v>0.87</v>
      </c>
      <c r="AB370" s="14" t="n">
        <v>0.03</v>
      </c>
      <c r="AD370" s="16" t="n">
        <v>4060886666.67</v>
      </c>
    </row>
    <row r="371" customFormat="false" ht="15.75" hidden="false" customHeight="false" outlineLevel="0" collapsed="false">
      <c r="A371" s="14" t="s">
        <v>402</v>
      </c>
      <c r="B371" s="14" t="n">
        <v>18.94</v>
      </c>
      <c r="C371" s="14" t="n">
        <v>0</v>
      </c>
      <c r="D371" s="14" t="n">
        <v>46.79</v>
      </c>
      <c r="E371" s="14" t="n">
        <v>3.62</v>
      </c>
      <c r="F371" s="14" t="n">
        <v>3.31</v>
      </c>
      <c r="G371" s="14" t="n">
        <v>91.66</v>
      </c>
      <c r="H371" s="14" t="n">
        <v>21.49</v>
      </c>
      <c r="I371" s="14" t="n">
        <v>21.48</v>
      </c>
      <c r="J371" s="14" t="n">
        <v>46.78</v>
      </c>
      <c r="K371" s="14" t="n">
        <v>36.32</v>
      </c>
      <c r="L371" s="14" t="n">
        <v>-10.58</v>
      </c>
      <c r="M371" s="14" t="n">
        <v>-0.82</v>
      </c>
      <c r="N371" s="14" t="n">
        <v>10.05</v>
      </c>
      <c r="O371" s="14" t="n">
        <v>4.39</v>
      </c>
      <c r="P371" s="14" t="n">
        <v>-20.3</v>
      </c>
      <c r="Q371" s="14" t="n">
        <v>10.25</v>
      </c>
      <c r="R371" s="14" t="n">
        <v>7.74</v>
      </c>
      <c r="S371" s="14" t="n">
        <v>7.08</v>
      </c>
      <c r="T371" s="14" t="n">
        <v>6.95</v>
      </c>
      <c r="U371" s="14" t="n">
        <v>0.91</v>
      </c>
      <c r="V371" s="14" t="n">
        <v>0.09</v>
      </c>
      <c r="W371" s="14" t="n">
        <v>0.33</v>
      </c>
      <c r="Z371" s="16" t="n">
        <v>26852871.73</v>
      </c>
      <c r="AA371" s="14" t="n">
        <v>5.24</v>
      </c>
      <c r="AB371" s="14" t="n">
        <v>0.41</v>
      </c>
      <c r="AD371" s="16" t="n">
        <v>2411649609</v>
      </c>
    </row>
    <row r="372" customFormat="false" ht="15.75" hidden="false" customHeight="false" outlineLevel="0" collapsed="false">
      <c r="A372" s="14" t="s">
        <v>403</v>
      </c>
      <c r="B372" s="14" t="n">
        <v>19.57</v>
      </c>
      <c r="C372" s="14" t="n">
        <v>1.63</v>
      </c>
      <c r="D372" s="14" t="n">
        <v>17.56</v>
      </c>
      <c r="E372" s="14" t="n">
        <v>2.49</v>
      </c>
      <c r="F372" s="14" t="n">
        <v>0.45</v>
      </c>
      <c r="G372" s="14" t="n">
        <v>26.09</v>
      </c>
      <c r="H372" s="14" t="n">
        <v>17.39</v>
      </c>
      <c r="I372" s="14" t="n">
        <v>8.58</v>
      </c>
      <c r="J372" s="14" t="n">
        <v>8.66</v>
      </c>
      <c r="K372" s="14" t="n">
        <v>17.62</v>
      </c>
      <c r="L372" s="14" t="n">
        <v>9.01</v>
      </c>
      <c r="M372" s="14" t="n">
        <v>2.59</v>
      </c>
      <c r="N372" s="14" t="n">
        <v>1.51</v>
      </c>
      <c r="O372" s="14" t="n">
        <v>2.98</v>
      </c>
      <c r="P372" s="14" t="n">
        <v>-0.63</v>
      </c>
      <c r="Q372" s="14" t="n">
        <v>2.08</v>
      </c>
      <c r="R372" s="14" t="n">
        <v>14.17</v>
      </c>
      <c r="S372" s="14" t="n">
        <v>2.55</v>
      </c>
      <c r="T372" s="14" t="n">
        <v>4.64</v>
      </c>
      <c r="U372" s="14" t="n">
        <v>0.18</v>
      </c>
      <c r="V372" s="14" t="n">
        <v>0.82</v>
      </c>
      <c r="W372" s="14" t="n">
        <v>0.3</v>
      </c>
      <c r="X372" s="14" t="n">
        <v>27.48</v>
      </c>
      <c r="Y372" s="14" t="n">
        <v>10.21</v>
      </c>
      <c r="Z372" s="16" t="n">
        <v>38975323</v>
      </c>
      <c r="AA372" s="14" t="n">
        <v>7.86</v>
      </c>
      <c r="AB372" s="14" t="n">
        <v>1.11</v>
      </c>
      <c r="AC372" s="14" t="n">
        <v>0.05</v>
      </c>
      <c r="AD372" s="16" t="n">
        <v>5808035302.02</v>
      </c>
    </row>
    <row r="373" customFormat="false" ht="15.75" hidden="false" customHeight="false" outlineLevel="0" collapsed="false">
      <c r="A373" s="14" t="s">
        <v>404</v>
      </c>
      <c r="B373" s="14" t="n">
        <v>19.12</v>
      </c>
      <c r="C373" s="14" t="n">
        <v>1.07</v>
      </c>
      <c r="D373" s="14" t="n">
        <v>3.65</v>
      </c>
      <c r="E373" s="14" t="n">
        <v>5.85</v>
      </c>
      <c r="F373" s="14" t="n">
        <v>0.33</v>
      </c>
      <c r="G373" s="14" t="n">
        <v>17.26</v>
      </c>
      <c r="H373" s="14" t="n">
        <v>11.56</v>
      </c>
      <c r="I373" s="14" t="n">
        <v>5.22</v>
      </c>
      <c r="J373" s="14" t="n">
        <v>1.65</v>
      </c>
      <c r="K373" s="14" t="n">
        <v>3.91</v>
      </c>
      <c r="L373" s="14" t="n">
        <v>2.24</v>
      </c>
      <c r="M373" s="14" t="n">
        <v>7.95</v>
      </c>
      <c r="N373" s="14" t="n">
        <v>0.19</v>
      </c>
      <c r="O373" s="14" t="n">
        <v>3.02</v>
      </c>
      <c r="P373" s="14" t="n">
        <v>-0.6</v>
      </c>
      <c r="Q373" s="14" t="n">
        <v>1.31</v>
      </c>
      <c r="R373" s="14" t="n">
        <v>160.09</v>
      </c>
      <c r="S373" s="14" t="n">
        <v>8.91</v>
      </c>
      <c r="T373" s="14" t="n">
        <v>21.94</v>
      </c>
      <c r="U373" s="14" t="n">
        <v>0.06</v>
      </c>
      <c r="V373" s="14" t="n">
        <v>0.9</v>
      </c>
      <c r="W373" s="14" t="n">
        <v>1.71</v>
      </c>
      <c r="X373" s="14" t="n">
        <v>28.12</v>
      </c>
      <c r="Z373" s="16" t="n">
        <v>194590811.2</v>
      </c>
      <c r="AA373" s="14" t="n">
        <v>3.26</v>
      </c>
      <c r="AB373" s="14" t="n">
        <v>5.23</v>
      </c>
      <c r="AC373" s="14" t="n">
        <v>0</v>
      </c>
      <c r="AD373" s="16" t="n">
        <v>13686757126.12</v>
      </c>
    </row>
    <row r="374" customFormat="false" ht="15.75" hidden="false" customHeight="false" outlineLevel="0" collapsed="false">
      <c r="A374" s="14" t="s">
        <v>405</v>
      </c>
      <c r="B374" s="14" t="n">
        <v>40</v>
      </c>
      <c r="C374" s="14" t="n">
        <v>0.72</v>
      </c>
      <c r="D374" s="14" t="n">
        <v>22.77</v>
      </c>
      <c r="E374" s="14" t="n">
        <v>3.1</v>
      </c>
      <c r="F374" s="14" t="n">
        <v>1.28</v>
      </c>
      <c r="G374" s="14" t="n">
        <v>34.41</v>
      </c>
      <c r="H374" s="14" t="n">
        <v>31.2</v>
      </c>
      <c r="I374" s="14" t="n">
        <v>15.33</v>
      </c>
      <c r="J374" s="14" t="n">
        <v>11.19</v>
      </c>
      <c r="K374" s="14" t="n">
        <v>9.87</v>
      </c>
      <c r="L374" s="14" t="n">
        <v>1.49</v>
      </c>
      <c r="M374" s="14" t="n">
        <v>0.41</v>
      </c>
      <c r="N374" s="14" t="n">
        <v>3.49</v>
      </c>
      <c r="O374" s="14" t="n">
        <v>-40.95</v>
      </c>
      <c r="P374" s="14" t="n">
        <v>-1.48</v>
      </c>
      <c r="Q374" s="14" t="n">
        <v>0.81</v>
      </c>
      <c r="R374" s="14" t="n">
        <v>13.61</v>
      </c>
      <c r="S374" s="14" t="n">
        <v>5.61</v>
      </c>
      <c r="T374" s="14" t="n">
        <v>12.8</v>
      </c>
      <c r="U374" s="14" t="n">
        <v>0.41</v>
      </c>
      <c r="V374" s="14" t="n">
        <v>0.59</v>
      </c>
      <c r="W374" s="14" t="n">
        <v>0.37</v>
      </c>
      <c r="X374" s="14" t="n">
        <v>2.59</v>
      </c>
      <c r="Y374" s="14" t="n">
        <v>7.78</v>
      </c>
      <c r="Z374" s="16" t="n">
        <v>11424</v>
      </c>
      <c r="AA374" s="14" t="n">
        <v>12.91</v>
      </c>
      <c r="AB374" s="14" t="n">
        <v>1.76</v>
      </c>
      <c r="AC374" s="14" t="n">
        <v>0.22</v>
      </c>
      <c r="AD374" s="16" t="n">
        <v>10179902091.85</v>
      </c>
    </row>
    <row r="375" customFormat="false" ht="15.75" hidden="false" customHeight="false" outlineLevel="0" collapsed="false">
      <c r="A375" s="14" t="s">
        <v>406</v>
      </c>
      <c r="B375" s="14" t="n">
        <v>17.45</v>
      </c>
      <c r="C375" s="14" t="n">
        <v>1.81</v>
      </c>
      <c r="D375" s="14" t="n">
        <v>9.93</v>
      </c>
      <c r="E375" s="14" t="n">
        <v>1.35</v>
      </c>
      <c r="F375" s="14" t="n">
        <v>0.56</v>
      </c>
      <c r="G375" s="14" t="n">
        <v>34.41</v>
      </c>
      <c r="H375" s="14" t="n">
        <v>31.2</v>
      </c>
      <c r="I375" s="14" t="n">
        <v>15.33</v>
      </c>
      <c r="J375" s="14" t="n">
        <v>4.88</v>
      </c>
      <c r="K375" s="14" t="n">
        <v>9.87</v>
      </c>
      <c r="L375" s="14" t="n">
        <v>1.49</v>
      </c>
      <c r="M375" s="14" t="n">
        <v>0.41</v>
      </c>
      <c r="N375" s="14" t="n">
        <v>1.52</v>
      </c>
      <c r="O375" s="14" t="n">
        <v>-17.87</v>
      </c>
      <c r="P375" s="14" t="n">
        <v>-0.65</v>
      </c>
      <c r="Q375" s="14" t="n">
        <v>0.81</v>
      </c>
      <c r="R375" s="14" t="n">
        <v>13.61</v>
      </c>
      <c r="S375" s="14" t="n">
        <v>5.61</v>
      </c>
      <c r="T375" s="14" t="n">
        <v>12.8</v>
      </c>
      <c r="U375" s="14" t="n">
        <v>0.41</v>
      </c>
      <c r="V375" s="14" t="n">
        <v>0.59</v>
      </c>
      <c r="W375" s="14" t="n">
        <v>0.37</v>
      </c>
      <c r="X375" s="14" t="n">
        <v>2.59</v>
      </c>
      <c r="Y375" s="14" t="n">
        <v>7.78</v>
      </c>
      <c r="Z375" s="16" t="n">
        <v>9900</v>
      </c>
      <c r="AA375" s="14" t="n">
        <v>12.91</v>
      </c>
      <c r="AB375" s="14" t="n">
        <v>1.76</v>
      </c>
      <c r="AC375" s="14" t="n">
        <v>0.1</v>
      </c>
      <c r="AD375" s="16" t="n">
        <v>10179902091.85</v>
      </c>
    </row>
    <row r="376" customFormat="false" ht="15.75" hidden="false" customHeight="false" outlineLevel="0" collapsed="false">
      <c r="A376" s="14" t="s">
        <v>407</v>
      </c>
      <c r="B376" s="14" t="n">
        <v>29.31</v>
      </c>
      <c r="C376" s="14" t="n">
        <v>1.08</v>
      </c>
      <c r="D376" s="14" t="n">
        <v>16.68</v>
      </c>
      <c r="E376" s="14" t="n">
        <v>2.27</v>
      </c>
      <c r="F376" s="14" t="n">
        <v>0.94</v>
      </c>
      <c r="G376" s="14" t="n">
        <v>34.41</v>
      </c>
      <c r="H376" s="14" t="n">
        <v>31.2</v>
      </c>
      <c r="I376" s="14" t="n">
        <v>15.33</v>
      </c>
      <c r="J376" s="14" t="n">
        <v>8.2</v>
      </c>
      <c r="K376" s="14" t="n">
        <v>9.87</v>
      </c>
      <c r="L376" s="14" t="n">
        <v>1.49</v>
      </c>
      <c r="M376" s="14" t="n">
        <v>0.41</v>
      </c>
      <c r="N376" s="14" t="n">
        <v>2.56</v>
      </c>
      <c r="O376" s="14" t="n">
        <v>-30.01</v>
      </c>
      <c r="P376" s="14" t="n">
        <v>-1.08</v>
      </c>
      <c r="Q376" s="14" t="n">
        <v>0.81</v>
      </c>
      <c r="R376" s="14" t="n">
        <v>13.61</v>
      </c>
      <c r="S376" s="14" t="n">
        <v>5.61</v>
      </c>
      <c r="T376" s="14" t="n">
        <v>12.8</v>
      </c>
      <c r="U376" s="14" t="n">
        <v>0.41</v>
      </c>
      <c r="V376" s="14" t="n">
        <v>0.59</v>
      </c>
      <c r="W376" s="14" t="n">
        <v>0.37</v>
      </c>
      <c r="X376" s="14" t="n">
        <v>2.59</v>
      </c>
      <c r="Y376" s="14" t="n">
        <v>7.78</v>
      </c>
      <c r="Z376" s="16" t="n">
        <v>5801</v>
      </c>
      <c r="AA376" s="14" t="n">
        <v>12.91</v>
      </c>
      <c r="AB376" s="14" t="n">
        <v>1.76</v>
      </c>
      <c r="AC376" s="14" t="n">
        <v>0.16</v>
      </c>
      <c r="AD376" s="16" t="n">
        <v>10179902091.85</v>
      </c>
    </row>
    <row r="377" customFormat="false" ht="15.75" hidden="false" customHeight="false" outlineLevel="0" collapsed="false">
      <c r="A377" s="14" t="s">
        <v>408</v>
      </c>
      <c r="B377" s="14" t="n">
        <v>16.21</v>
      </c>
      <c r="C377" s="14" t="n">
        <v>5.21</v>
      </c>
      <c r="D377" s="14" t="n">
        <v>13.48</v>
      </c>
      <c r="E377" s="14" t="n">
        <v>1.37</v>
      </c>
      <c r="F377" s="14" t="n">
        <v>0.42</v>
      </c>
      <c r="G377" s="14" t="n">
        <v>28.13</v>
      </c>
      <c r="H377" s="14" t="n">
        <v>10.76</v>
      </c>
      <c r="I377" s="14" t="n">
        <v>8.65</v>
      </c>
      <c r="J377" s="14" t="n">
        <v>10.83</v>
      </c>
      <c r="K377" s="14" t="n">
        <v>15.83</v>
      </c>
      <c r="L377" s="14" t="n">
        <v>5.01</v>
      </c>
      <c r="M377" s="14" t="n">
        <v>0.63</v>
      </c>
      <c r="N377" s="14" t="n">
        <v>1.17</v>
      </c>
      <c r="O377" s="14" t="n">
        <v>1.66</v>
      </c>
      <c r="P377" s="14" t="n">
        <v>-0.79</v>
      </c>
      <c r="Q377" s="14" t="n">
        <v>2.16</v>
      </c>
      <c r="R377" s="14" t="n">
        <v>10.14</v>
      </c>
      <c r="S377" s="14" t="n">
        <v>3.1</v>
      </c>
      <c r="T377" s="14" t="n">
        <v>5.39</v>
      </c>
      <c r="U377" s="14" t="n">
        <v>0.31</v>
      </c>
      <c r="V377" s="14" t="n">
        <v>0.68</v>
      </c>
      <c r="W377" s="14" t="n">
        <v>0.36</v>
      </c>
      <c r="X377" s="14" t="n">
        <v>6.89</v>
      </c>
      <c r="Y377" s="14" t="n">
        <v>0.85</v>
      </c>
      <c r="Z377" s="16" t="n">
        <v>57950501.78</v>
      </c>
      <c r="AA377" s="14" t="n">
        <v>11.89</v>
      </c>
      <c r="AB377" s="14" t="n">
        <v>1.21</v>
      </c>
      <c r="AC377" s="14" t="n">
        <v>-3.46</v>
      </c>
      <c r="AD377" s="16" t="n">
        <v>7841890535.92</v>
      </c>
    </row>
    <row r="378" customFormat="false" ht="15.75" hidden="false" customHeight="false" outlineLevel="0" collapsed="false">
      <c r="A378" s="14" t="s">
        <v>409</v>
      </c>
      <c r="B378" s="14" t="n">
        <v>48</v>
      </c>
      <c r="D378" s="14" t="n">
        <v>-6.47</v>
      </c>
      <c r="E378" s="14" t="n">
        <v>0.37</v>
      </c>
      <c r="F378" s="14" t="n">
        <v>0.22</v>
      </c>
      <c r="G378" s="14" t="n">
        <v>23.35</v>
      </c>
      <c r="H378" s="14" t="n">
        <v>-56.65</v>
      </c>
      <c r="I378" s="14" t="n">
        <v>-44.35</v>
      </c>
      <c r="J378" s="14" t="n">
        <v>-5.06</v>
      </c>
      <c r="K378" s="14" t="n">
        <v>-5.93</v>
      </c>
      <c r="L378" s="14" t="n">
        <v>-0.79</v>
      </c>
      <c r="M378" s="14" t="n">
        <v>0.06</v>
      </c>
      <c r="N378" s="14" t="n">
        <v>2.87</v>
      </c>
      <c r="O378" s="14" t="n">
        <v>9.24</v>
      </c>
      <c r="P378" s="14" t="n">
        <v>-0.23</v>
      </c>
      <c r="Q378" s="14" t="n">
        <v>1.57</v>
      </c>
      <c r="R378" s="14" t="n">
        <v>-5.79</v>
      </c>
      <c r="S378" s="14" t="n">
        <v>-3.39</v>
      </c>
      <c r="T378" s="14" t="n">
        <v>-8.41</v>
      </c>
      <c r="U378" s="14" t="n">
        <v>0.59</v>
      </c>
      <c r="V378" s="14" t="n">
        <v>0.41</v>
      </c>
      <c r="W378" s="14" t="n">
        <v>0.08</v>
      </c>
      <c r="X378" s="14" t="n">
        <v>-2.17</v>
      </c>
      <c r="Z378" s="16" t="n">
        <v>13800</v>
      </c>
      <c r="AA378" s="14" t="n">
        <v>128.29</v>
      </c>
      <c r="AB378" s="14" t="n">
        <v>-7.42</v>
      </c>
      <c r="AC378" s="14" t="n">
        <v>-0.55</v>
      </c>
      <c r="AD378" s="16" t="n">
        <v>312225541.76</v>
      </c>
    </row>
    <row r="379" customFormat="false" ht="15.75" hidden="false" customHeight="false" outlineLevel="0" collapsed="false">
      <c r="A379" s="14" t="s">
        <v>410</v>
      </c>
      <c r="B379" s="14" t="n">
        <v>54.19</v>
      </c>
      <c r="D379" s="14" t="n">
        <v>-7.3</v>
      </c>
      <c r="E379" s="14" t="n">
        <v>0.42</v>
      </c>
      <c r="F379" s="14" t="n">
        <v>0.25</v>
      </c>
      <c r="G379" s="14" t="n">
        <v>23.35</v>
      </c>
      <c r="H379" s="14" t="n">
        <v>-56.65</v>
      </c>
      <c r="I379" s="14" t="n">
        <v>-44.35</v>
      </c>
      <c r="J379" s="14" t="n">
        <v>-5.72</v>
      </c>
      <c r="K379" s="14" t="n">
        <v>-5.93</v>
      </c>
      <c r="L379" s="14" t="n">
        <v>-0.79</v>
      </c>
      <c r="M379" s="14" t="n">
        <v>0.06</v>
      </c>
      <c r="N379" s="14" t="n">
        <v>3.24</v>
      </c>
      <c r="O379" s="14" t="n">
        <v>10.43</v>
      </c>
      <c r="P379" s="14" t="n">
        <v>-0.26</v>
      </c>
      <c r="Q379" s="14" t="n">
        <v>1.57</v>
      </c>
      <c r="R379" s="14" t="n">
        <v>-5.79</v>
      </c>
      <c r="S379" s="14" t="n">
        <v>-3.39</v>
      </c>
      <c r="T379" s="14" t="n">
        <v>-8.41</v>
      </c>
      <c r="U379" s="14" t="n">
        <v>0.59</v>
      </c>
      <c r="V379" s="14" t="n">
        <v>0.41</v>
      </c>
      <c r="W379" s="14" t="n">
        <v>0.08</v>
      </c>
      <c r="X379" s="14" t="n">
        <v>-2.17</v>
      </c>
      <c r="Z379" s="16" t="n">
        <v>16486</v>
      </c>
      <c r="AA379" s="14" t="n">
        <v>128.29</v>
      </c>
      <c r="AB379" s="14" t="n">
        <v>-7.42</v>
      </c>
      <c r="AC379" s="14" t="n">
        <v>-0.62</v>
      </c>
      <c r="AD379" s="16" t="n">
        <v>312225541.76</v>
      </c>
    </row>
    <row r="380" customFormat="false" ht="15.75" hidden="false" customHeight="false" outlineLevel="0" collapsed="false">
      <c r="A380" s="14" t="s">
        <v>411</v>
      </c>
      <c r="B380" s="14" t="n">
        <v>702.5</v>
      </c>
      <c r="D380" s="16" t="n">
        <v>7674.04</v>
      </c>
      <c r="E380" s="14" t="n">
        <v>349.51</v>
      </c>
      <c r="F380" s="14" t="n">
        <v>72.02</v>
      </c>
      <c r="G380" s="14" t="n">
        <v>32.64</v>
      </c>
      <c r="H380" s="14" t="n">
        <v>17.43</v>
      </c>
      <c r="I380" s="14" t="n">
        <v>2.16</v>
      </c>
      <c r="J380" s="14" t="n">
        <v>951.96</v>
      </c>
      <c r="K380" s="14" t="n">
        <v>959.31</v>
      </c>
      <c r="L380" s="14" t="n">
        <v>7.35</v>
      </c>
      <c r="M380" s="14" t="n">
        <v>2.7</v>
      </c>
      <c r="N380" s="14" t="n">
        <v>165.9</v>
      </c>
      <c r="O380" s="14" t="n">
        <v>-654.25</v>
      </c>
      <c r="P380" s="14" t="n">
        <v>-93.92</v>
      </c>
      <c r="Q380" s="14" t="n">
        <v>0.68</v>
      </c>
      <c r="R380" s="14" t="n">
        <v>4.55</v>
      </c>
      <c r="S380" s="14" t="n">
        <v>0.94</v>
      </c>
      <c r="T380" s="14" t="n">
        <v>7.92</v>
      </c>
      <c r="U380" s="14" t="n">
        <v>0.21</v>
      </c>
      <c r="V380" s="14" t="n">
        <v>0.79</v>
      </c>
      <c r="W380" s="14" t="n">
        <v>0.43</v>
      </c>
      <c r="X380" s="14" t="n">
        <v>14.18</v>
      </c>
      <c r="AA380" s="14" t="n">
        <v>2.01</v>
      </c>
      <c r="AB380" s="14" t="n">
        <v>0.09</v>
      </c>
      <c r="AC380" s="14" t="n">
        <v>13.94</v>
      </c>
      <c r="AD380" s="16" t="n">
        <v>18271898550</v>
      </c>
    </row>
    <row r="381" customFormat="false" ht="15.75" hidden="false" customHeight="false" outlineLevel="0" collapsed="false">
      <c r="A381" s="14" t="s">
        <v>412</v>
      </c>
      <c r="B381" s="14" t="n">
        <v>0</v>
      </c>
      <c r="D381" s="14" t="n">
        <v>0</v>
      </c>
      <c r="E381" s="14" t="n">
        <v>0</v>
      </c>
      <c r="F381" s="14" t="n">
        <v>0</v>
      </c>
      <c r="G381" s="14" t="n">
        <v>8.63</v>
      </c>
      <c r="H381" s="14" t="n">
        <v>2.72</v>
      </c>
      <c r="I381" s="14" t="n">
        <v>2.71</v>
      </c>
      <c r="J381" s="14" t="n">
        <v>0</v>
      </c>
      <c r="K381" s="14" t="n">
        <v>30.13</v>
      </c>
      <c r="L381" s="14" t="n">
        <v>27.05</v>
      </c>
      <c r="M381" s="14" t="n">
        <v>2</v>
      </c>
      <c r="N381" s="14" t="n">
        <v>0</v>
      </c>
      <c r="O381" s="14" t="n">
        <v>0</v>
      </c>
      <c r="P381" s="14" t="n">
        <v>0</v>
      </c>
      <c r="Q381" s="14" t="n">
        <v>0.71</v>
      </c>
      <c r="R381" s="14" t="n">
        <v>7.38</v>
      </c>
      <c r="S381" s="14" t="n">
        <v>1.69</v>
      </c>
      <c r="T381" s="14" t="n">
        <v>-0.6</v>
      </c>
      <c r="U381" s="14" t="n">
        <v>0.23</v>
      </c>
      <c r="V381" s="14" t="n">
        <v>0.77</v>
      </c>
      <c r="W381" s="14" t="n">
        <v>0.62</v>
      </c>
      <c r="X381" s="14" t="n">
        <v>0.14</v>
      </c>
      <c r="AA381" s="14" t="n">
        <v>159.6</v>
      </c>
      <c r="AB381" s="14" t="n">
        <v>11.78</v>
      </c>
      <c r="AC381" s="14" t="n">
        <v>0</v>
      </c>
      <c r="AD381" s="16" t="n">
        <v>8770440.96</v>
      </c>
    </row>
    <row r="382" customFormat="false" ht="15.75" hidden="false" customHeight="false" outlineLevel="0" collapsed="false">
      <c r="A382" s="14" t="s">
        <v>413</v>
      </c>
      <c r="B382" s="14" t="n">
        <v>54.51</v>
      </c>
      <c r="D382" s="14" t="n">
        <v>4.63</v>
      </c>
      <c r="E382" s="14" t="n">
        <v>0.34</v>
      </c>
      <c r="F382" s="14" t="n">
        <v>0.08</v>
      </c>
      <c r="G382" s="14" t="n">
        <v>8.63</v>
      </c>
      <c r="H382" s="14" t="n">
        <v>2.72</v>
      </c>
      <c r="I382" s="14" t="n">
        <v>2.71</v>
      </c>
      <c r="J382" s="14" t="n">
        <v>4.62</v>
      </c>
      <c r="K382" s="14" t="n">
        <v>30.13</v>
      </c>
      <c r="L382" s="14" t="n">
        <v>27.05</v>
      </c>
      <c r="M382" s="14" t="n">
        <v>2</v>
      </c>
      <c r="N382" s="14" t="n">
        <v>0.13</v>
      </c>
      <c r="O382" s="14" t="n">
        <v>-0.56</v>
      </c>
      <c r="P382" s="14" t="n">
        <v>-0.12</v>
      </c>
      <c r="Q382" s="14" t="n">
        <v>0.71</v>
      </c>
      <c r="R382" s="14" t="n">
        <v>7.38</v>
      </c>
      <c r="S382" s="14" t="n">
        <v>1.69</v>
      </c>
      <c r="T382" s="14" t="n">
        <v>-0.6</v>
      </c>
      <c r="U382" s="14" t="n">
        <v>0.23</v>
      </c>
      <c r="V382" s="14" t="n">
        <v>0.77</v>
      </c>
      <c r="W382" s="14" t="n">
        <v>0.62</v>
      </c>
      <c r="X382" s="14" t="n">
        <v>0.14</v>
      </c>
      <c r="Z382" s="16" t="n">
        <v>15866.82</v>
      </c>
      <c r="AA382" s="14" t="n">
        <v>159.6</v>
      </c>
      <c r="AB382" s="14" t="n">
        <v>11.78</v>
      </c>
      <c r="AC382" s="14" t="n">
        <v>-0.06</v>
      </c>
      <c r="AD382" s="16" t="n">
        <v>8770440.96</v>
      </c>
    </row>
    <row r="383" customFormat="false" ht="15.75" hidden="false" customHeight="false" outlineLevel="0" collapsed="false">
      <c r="A383" s="14" t="s">
        <v>414</v>
      </c>
      <c r="B383" s="14" t="n">
        <v>11.87</v>
      </c>
      <c r="C383" s="14" t="n">
        <v>3.76</v>
      </c>
      <c r="D383" s="14" t="n">
        <v>29.42</v>
      </c>
      <c r="E383" s="14" t="n">
        <v>1.26</v>
      </c>
      <c r="F383" s="14" t="n">
        <v>0.95</v>
      </c>
      <c r="G383" s="14" t="n">
        <v>34.19</v>
      </c>
      <c r="H383" s="14" t="n">
        <v>8.85</v>
      </c>
      <c r="I383" s="14" t="n">
        <v>9.54</v>
      </c>
      <c r="J383" s="14" t="n">
        <v>31.72</v>
      </c>
      <c r="K383" s="14" t="n">
        <v>14.97</v>
      </c>
      <c r="L383" s="14" t="n">
        <v>-16.64</v>
      </c>
      <c r="M383" s="14" t="n">
        <v>-0.66</v>
      </c>
      <c r="N383" s="14" t="n">
        <v>2.81</v>
      </c>
      <c r="O383" s="14" t="n">
        <v>1.52</v>
      </c>
      <c r="P383" s="14" t="n">
        <v>-4.99</v>
      </c>
      <c r="Q383" s="14" t="n">
        <v>4.29</v>
      </c>
      <c r="R383" s="14" t="n">
        <v>4.3</v>
      </c>
      <c r="S383" s="14" t="n">
        <v>3.22</v>
      </c>
      <c r="T383" s="14" t="n">
        <v>3</v>
      </c>
      <c r="U383" s="14" t="n">
        <v>0.75</v>
      </c>
      <c r="V383" s="14" t="n">
        <v>0.25</v>
      </c>
      <c r="W383" s="14" t="n">
        <v>0.34</v>
      </c>
      <c r="Z383" s="16" t="n">
        <v>13680781.37</v>
      </c>
      <c r="AA383" s="14" t="n">
        <v>9.41</v>
      </c>
      <c r="AB383" s="14" t="n">
        <v>0.4</v>
      </c>
      <c r="AC383" s="14" t="n">
        <v>0.26</v>
      </c>
      <c r="AD383" s="16" t="n">
        <v>1254489365.2</v>
      </c>
    </row>
    <row r="384" customFormat="false" ht="15.75" hidden="false" customHeight="false" outlineLevel="0" collapsed="false">
      <c r="A384" s="14" t="s">
        <v>415</v>
      </c>
      <c r="B384" s="14" t="n">
        <v>64.5</v>
      </c>
      <c r="C384" s="14" t="n">
        <v>3.08</v>
      </c>
      <c r="D384" s="14" t="n">
        <v>8.77</v>
      </c>
      <c r="E384" s="14" t="n">
        <v>2.05</v>
      </c>
      <c r="F384" s="14" t="n">
        <v>1.42</v>
      </c>
      <c r="G384" s="14" t="n">
        <v>30.38</v>
      </c>
      <c r="H384" s="14" t="n">
        <v>18.82</v>
      </c>
      <c r="I384" s="14" t="n">
        <v>16.54</v>
      </c>
      <c r="J384" s="14" t="n">
        <v>7.71</v>
      </c>
      <c r="K384" s="14" t="n">
        <v>5.99</v>
      </c>
      <c r="L384" s="14" t="n">
        <v>-0.74</v>
      </c>
      <c r="M384" s="14" t="n">
        <v>-0.2</v>
      </c>
      <c r="N384" s="14" t="n">
        <v>1.45</v>
      </c>
      <c r="O384" s="14" t="n">
        <v>2.83</v>
      </c>
      <c r="P384" s="14" t="n">
        <v>-6.38</v>
      </c>
      <c r="Q384" s="14" t="n">
        <v>2.83</v>
      </c>
      <c r="R384" s="14" t="n">
        <v>23.32</v>
      </c>
      <c r="S384" s="14" t="n">
        <v>16.23</v>
      </c>
      <c r="T384" s="14" t="n">
        <v>13.16</v>
      </c>
      <c r="U384" s="14" t="n">
        <v>0.7</v>
      </c>
      <c r="V384" s="14" t="n">
        <v>0.3</v>
      </c>
      <c r="W384" s="14" t="n">
        <v>0.98</v>
      </c>
      <c r="X384" s="14" t="n">
        <v>10.62</v>
      </c>
      <c r="Y384" s="14" t="n">
        <v>28.09</v>
      </c>
      <c r="Z384" s="16" t="n">
        <v>10300</v>
      </c>
      <c r="AA384" s="14" t="n">
        <v>31.53</v>
      </c>
      <c r="AB384" s="14" t="n">
        <v>7.35</v>
      </c>
      <c r="AC384" s="14" t="n">
        <v>0.02</v>
      </c>
      <c r="AD384" s="16" t="n">
        <v>514497521.9</v>
      </c>
    </row>
    <row r="385" customFormat="false" ht="15.75" hidden="false" customHeight="false" outlineLevel="0" collapsed="false">
      <c r="A385" s="14" t="s">
        <v>416</v>
      </c>
      <c r="B385" s="14" t="n">
        <v>49.3</v>
      </c>
      <c r="C385" s="14" t="n">
        <v>4.44</v>
      </c>
      <c r="D385" s="14" t="n">
        <v>6.7</v>
      </c>
      <c r="E385" s="14" t="n">
        <v>1.56</v>
      </c>
      <c r="F385" s="14" t="n">
        <v>1.09</v>
      </c>
      <c r="G385" s="14" t="n">
        <v>30.38</v>
      </c>
      <c r="H385" s="14" t="n">
        <v>18.82</v>
      </c>
      <c r="I385" s="14" t="n">
        <v>16.54</v>
      </c>
      <c r="J385" s="14" t="n">
        <v>5.89</v>
      </c>
      <c r="K385" s="14" t="n">
        <v>5.99</v>
      </c>
      <c r="L385" s="14" t="n">
        <v>-0.74</v>
      </c>
      <c r="M385" s="14" t="n">
        <v>-0.2</v>
      </c>
      <c r="N385" s="14" t="n">
        <v>1.11</v>
      </c>
      <c r="O385" s="14" t="n">
        <v>2.17</v>
      </c>
      <c r="P385" s="14" t="n">
        <v>-4.87</v>
      </c>
      <c r="Q385" s="14" t="n">
        <v>2.83</v>
      </c>
      <c r="R385" s="14" t="n">
        <v>23.32</v>
      </c>
      <c r="S385" s="14" t="n">
        <v>16.23</v>
      </c>
      <c r="T385" s="14" t="n">
        <v>13.16</v>
      </c>
      <c r="U385" s="14" t="n">
        <v>0.7</v>
      </c>
      <c r="V385" s="14" t="n">
        <v>0.3</v>
      </c>
      <c r="W385" s="14" t="n">
        <v>0.98</v>
      </c>
      <c r="X385" s="14" t="n">
        <v>10.62</v>
      </c>
      <c r="Y385" s="14" t="n">
        <v>28.09</v>
      </c>
      <c r="Z385" s="16" t="n">
        <v>186122.9</v>
      </c>
      <c r="AA385" s="14" t="n">
        <v>31.53</v>
      </c>
      <c r="AB385" s="14" t="n">
        <v>7.35</v>
      </c>
      <c r="AC385" s="14" t="n">
        <v>0.02</v>
      </c>
      <c r="AD385" s="16" t="n">
        <v>514497521.9</v>
      </c>
    </row>
    <row r="386" customFormat="false" ht="15.75" hidden="false" customHeight="false" outlineLevel="0" collapsed="false">
      <c r="A386" s="14" t="s">
        <v>417</v>
      </c>
      <c r="B386" s="14" t="n">
        <v>23.09</v>
      </c>
      <c r="C386" s="14" t="n">
        <v>1.98</v>
      </c>
      <c r="D386" s="14" t="n">
        <v>16.61</v>
      </c>
      <c r="E386" s="14" t="n">
        <v>2.2</v>
      </c>
      <c r="F386" s="14" t="n">
        <v>1.31</v>
      </c>
      <c r="G386" s="14" t="n">
        <v>73.82</v>
      </c>
      <c r="H386" s="14" t="n">
        <v>92.51</v>
      </c>
      <c r="I386" s="14" t="n">
        <v>81.47</v>
      </c>
      <c r="J386" s="14" t="n">
        <v>14.63</v>
      </c>
      <c r="K386" s="14" t="n">
        <v>16.73</v>
      </c>
      <c r="L386" s="14" t="n">
        <v>2.05</v>
      </c>
      <c r="M386" s="14" t="n">
        <v>0.31</v>
      </c>
      <c r="N386" s="14" t="n">
        <v>13.54</v>
      </c>
      <c r="O386" s="14" t="n">
        <v>22.66</v>
      </c>
      <c r="P386" s="14" t="n">
        <v>-1.59</v>
      </c>
      <c r="Q386" s="14" t="n">
        <v>1.51</v>
      </c>
      <c r="R386" s="14" t="n">
        <v>13.27</v>
      </c>
      <c r="S386" s="14" t="n">
        <v>7.91</v>
      </c>
      <c r="T386" s="14" t="n">
        <v>9.57</v>
      </c>
      <c r="U386" s="14" t="n">
        <v>0.6</v>
      </c>
      <c r="V386" s="14" t="n">
        <v>0.4</v>
      </c>
      <c r="W386" s="14" t="n">
        <v>0.1</v>
      </c>
      <c r="X386" s="14" t="n">
        <v>0.31</v>
      </c>
      <c r="Y386" s="14" t="n">
        <v>21.64</v>
      </c>
      <c r="Z386" s="16" t="n">
        <v>147626146.51</v>
      </c>
      <c r="AA386" s="14" t="n">
        <v>10.45</v>
      </c>
      <c r="AB386" s="14" t="n">
        <v>1.39</v>
      </c>
      <c r="AC386" s="14" t="n">
        <v>0.34</v>
      </c>
      <c r="AD386" s="16" t="n">
        <v>13883583821.25</v>
      </c>
    </row>
    <row r="387" customFormat="false" ht="15.75" hidden="false" customHeight="false" outlineLevel="0" collapsed="false">
      <c r="A387" s="14" t="s">
        <v>418</v>
      </c>
      <c r="B387" s="14" t="n">
        <v>42</v>
      </c>
      <c r="D387" s="14" t="n">
        <v>2.87</v>
      </c>
      <c r="E387" s="14" t="n">
        <v>-0.48</v>
      </c>
      <c r="F387" s="14" t="n">
        <v>0.45</v>
      </c>
      <c r="G387" s="14" t="n">
        <v>12.01</v>
      </c>
      <c r="H387" s="14" t="n">
        <v>31.41</v>
      </c>
      <c r="I387" s="14" t="n">
        <v>19.02</v>
      </c>
      <c r="J387" s="14" t="n">
        <v>1.74</v>
      </c>
      <c r="K387" s="14" t="n">
        <v>2.08</v>
      </c>
      <c r="L387" s="14" t="n">
        <v>0.9</v>
      </c>
      <c r="N387" s="14" t="n">
        <v>0.55</v>
      </c>
      <c r="O387" s="14" t="n">
        <v>-1.1</v>
      </c>
      <c r="P387" s="14" t="n">
        <v>-0.62</v>
      </c>
      <c r="Q387" s="14" t="n">
        <v>0.4</v>
      </c>
      <c r="R387" s="14" t="n">
        <v>-16.76</v>
      </c>
      <c r="S387" s="14" t="n">
        <v>15.83</v>
      </c>
      <c r="T387" s="14" t="n">
        <v>-29.76</v>
      </c>
      <c r="U387" s="14" t="n">
        <v>-0.94</v>
      </c>
      <c r="V387" s="14" t="n">
        <v>1.95</v>
      </c>
      <c r="W387" s="14" t="n">
        <v>0.83</v>
      </c>
      <c r="X387" s="14" t="n">
        <v>-0.73</v>
      </c>
      <c r="Z387" s="16" t="n">
        <v>21020.56</v>
      </c>
      <c r="AA387" s="14" t="n">
        <v>-87.29</v>
      </c>
      <c r="AB387" s="14" t="n">
        <v>14.63</v>
      </c>
      <c r="AC387" s="14" t="n">
        <v>-0.02</v>
      </c>
      <c r="AD387" s="16" t="n">
        <v>58749125.64</v>
      </c>
    </row>
    <row r="388" customFormat="false" ht="15.75" hidden="false" customHeight="false" outlineLevel="0" collapsed="false">
      <c r="A388" s="14" t="s">
        <v>419</v>
      </c>
      <c r="B388" s="14" t="n">
        <v>21.82</v>
      </c>
      <c r="D388" s="14" t="n">
        <v>1.49</v>
      </c>
      <c r="E388" s="14" t="n">
        <v>-0.25</v>
      </c>
      <c r="F388" s="14" t="n">
        <v>0.24</v>
      </c>
      <c r="G388" s="14" t="n">
        <v>12.01</v>
      </c>
      <c r="H388" s="14" t="n">
        <v>31.41</v>
      </c>
      <c r="I388" s="14" t="n">
        <v>19.02</v>
      </c>
      <c r="J388" s="14" t="n">
        <v>0.9</v>
      </c>
      <c r="K388" s="14" t="n">
        <v>2.08</v>
      </c>
      <c r="L388" s="14" t="n">
        <v>0.9</v>
      </c>
      <c r="N388" s="14" t="n">
        <v>0.28</v>
      </c>
      <c r="O388" s="14" t="n">
        <v>-0.57</v>
      </c>
      <c r="P388" s="14" t="n">
        <v>-0.32</v>
      </c>
      <c r="Q388" s="14" t="n">
        <v>0.4</v>
      </c>
      <c r="R388" s="14" t="n">
        <v>-16.76</v>
      </c>
      <c r="S388" s="14" t="n">
        <v>15.83</v>
      </c>
      <c r="T388" s="14" t="n">
        <v>-29.76</v>
      </c>
      <c r="U388" s="14" t="n">
        <v>-0.94</v>
      </c>
      <c r="V388" s="14" t="n">
        <v>1.95</v>
      </c>
      <c r="W388" s="14" t="n">
        <v>0.83</v>
      </c>
      <c r="X388" s="14" t="n">
        <v>-0.73</v>
      </c>
      <c r="Z388" s="16" t="n">
        <v>313415.93</v>
      </c>
      <c r="AA388" s="14" t="n">
        <v>-87.29</v>
      </c>
      <c r="AB388" s="14" t="n">
        <v>14.63</v>
      </c>
      <c r="AC388" s="14" t="n">
        <v>-0.01</v>
      </c>
      <c r="AD388" s="16" t="n">
        <v>58749125.64</v>
      </c>
    </row>
    <row r="389" customFormat="false" ht="15.75" hidden="false" customHeight="false" outlineLevel="0" collapsed="false">
      <c r="A389" s="14" t="s">
        <v>420</v>
      </c>
      <c r="B389" s="14" t="n">
        <v>15.9</v>
      </c>
      <c r="D389" s="14" t="n">
        <v>-5.44</v>
      </c>
      <c r="E389" s="14" t="n">
        <v>0.64</v>
      </c>
      <c r="F389" s="14" t="n">
        <v>0.18</v>
      </c>
      <c r="G389" s="14" t="n">
        <v>8.18</v>
      </c>
      <c r="H389" s="14" t="n">
        <v>-0.49</v>
      </c>
      <c r="I389" s="14" t="n">
        <v>-4.65</v>
      </c>
      <c r="J389" s="14" t="n">
        <v>-51.85</v>
      </c>
      <c r="K389" s="14" t="n">
        <v>-137.8</v>
      </c>
      <c r="L389" s="14" t="n">
        <v>-86.08</v>
      </c>
      <c r="M389" s="14" t="n">
        <v>1.06</v>
      </c>
      <c r="N389" s="14" t="n">
        <v>0.25</v>
      </c>
      <c r="O389" s="14" t="n">
        <v>-28.71</v>
      </c>
      <c r="P389" s="14" t="n">
        <v>-0.32</v>
      </c>
      <c r="Q389" s="14" t="n">
        <v>0.99</v>
      </c>
      <c r="R389" s="14" t="n">
        <v>-11.71</v>
      </c>
      <c r="S389" s="14" t="n">
        <v>-3.29</v>
      </c>
      <c r="T389" s="14" t="n">
        <v>-1.34</v>
      </c>
      <c r="U389" s="14" t="n">
        <v>0.28</v>
      </c>
      <c r="V389" s="14" t="n">
        <v>0.7</v>
      </c>
      <c r="W389" s="14" t="n">
        <v>0.71</v>
      </c>
      <c r="X389" s="14" t="n">
        <v>5.05</v>
      </c>
      <c r="Z389" s="16" t="n">
        <v>34893337.8</v>
      </c>
      <c r="AA389" s="14" t="n">
        <v>24.97</v>
      </c>
      <c r="AB389" s="14" t="n">
        <v>-2.92</v>
      </c>
      <c r="AC389" s="14" t="n">
        <v>0.02</v>
      </c>
      <c r="AD389" s="16" t="n">
        <v>2437992871.86</v>
      </c>
    </row>
    <row r="390" customFormat="false" ht="15.75" hidden="false" customHeight="false" outlineLevel="0" collapsed="false">
      <c r="A390" s="14" t="s">
        <v>421</v>
      </c>
      <c r="B390" s="14" t="n">
        <v>64.37</v>
      </c>
      <c r="D390" s="14" t="n">
        <v>11.8</v>
      </c>
      <c r="E390" s="14" t="n">
        <v>2.76</v>
      </c>
      <c r="F390" s="14" t="n">
        <v>1.15</v>
      </c>
      <c r="G390" s="14" t="n">
        <v>41.15</v>
      </c>
      <c r="H390" s="14" t="n">
        <v>16.49</v>
      </c>
      <c r="I390" s="14" t="n">
        <v>9.34</v>
      </c>
      <c r="J390" s="14" t="n">
        <v>6.68</v>
      </c>
      <c r="K390" s="14" t="n">
        <v>5.06</v>
      </c>
      <c r="L390" s="14" t="n">
        <v>1.17</v>
      </c>
      <c r="M390" s="14" t="n">
        <v>0.48</v>
      </c>
      <c r="N390" s="14" t="n">
        <v>1.1</v>
      </c>
      <c r="O390" s="14" t="n">
        <v>3.2</v>
      </c>
      <c r="P390" s="14" t="n">
        <v>-2.87</v>
      </c>
      <c r="Q390" s="14" t="n">
        <v>2.52</v>
      </c>
      <c r="R390" s="14" t="n">
        <v>23.42</v>
      </c>
      <c r="S390" s="14" t="n">
        <v>9.77</v>
      </c>
      <c r="T390" s="14" t="n">
        <v>15.89</v>
      </c>
      <c r="U390" s="14" t="n">
        <v>0.42</v>
      </c>
      <c r="V390" s="14" t="n">
        <v>0.58</v>
      </c>
      <c r="W390" s="14" t="n">
        <v>1.05</v>
      </c>
      <c r="X390" s="14" t="n">
        <v>7.87</v>
      </c>
      <c r="Y390" s="14" t="n">
        <v>33.76</v>
      </c>
      <c r="AA390" s="14" t="n">
        <v>23.3</v>
      </c>
      <c r="AB390" s="14" t="n">
        <v>5.46</v>
      </c>
      <c r="AC390" s="14" t="n">
        <v>-1.14</v>
      </c>
      <c r="AD390" s="16" t="n">
        <v>508315292.42</v>
      </c>
    </row>
    <row r="391" customFormat="false" ht="15.75" hidden="false" customHeight="false" outlineLevel="0" collapsed="false">
      <c r="A391" s="14" t="s">
        <v>422</v>
      </c>
      <c r="B391" s="14" t="n">
        <v>19.02</v>
      </c>
      <c r="D391" s="14" t="n">
        <v>3.49</v>
      </c>
      <c r="E391" s="14" t="n">
        <v>0.82</v>
      </c>
      <c r="F391" s="14" t="n">
        <v>0.34</v>
      </c>
      <c r="G391" s="14" t="n">
        <v>41.15</v>
      </c>
      <c r="H391" s="14" t="n">
        <v>16.49</v>
      </c>
      <c r="I391" s="14" t="n">
        <v>9.34</v>
      </c>
      <c r="J391" s="14" t="n">
        <v>1.97</v>
      </c>
      <c r="K391" s="14" t="n">
        <v>5.06</v>
      </c>
      <c r="L391" s="14" t="n">
        <v>1.17</v>
      </c>
      <c r="M391" s="14" t="n">
        <v>0.48</v>
      </c>
      <c r="N391" s="14" t="n">
        <v>0.33</v>
      </c>
      <c r="O391" s="14" t="n">
        <v>0.94</v>
      </c>
      <c r="P391" s="14" t="n">
        <v>-0.85</v>
      </c>
      <c r="Q391" s="14" t="n">
        <v>2.52</v>
      </c>
      <c r="R391" s="14" t="n">
        <v>23.42</v>
      </c>
      <c r="S391" s="14" t="n">
        <v>9.77</v>
      </c>
      <c r="T391" s="14" t="n">
        <v>15.89</v>
      </c>
      <c r="U391" s="14" t="n">
        <v>0.42</v>
      </c>
      <c r="V391" s="14" t="n">
        <v>0.58</v>
      </c>
      <c r="W391" s="14" t="n">
        <v>1.05</v>
      </c>
      <c r="X391" s="14" t="n">
        <v>7.87</v>
      </c>
      <c r="Y391" s="14" t="n">
        <v>33.76</v>
      </c>
      <c r="AA391" s="14" t="n">
        <v>23.3</v>
      </c>
      <c r="AB391" s="14" t="n">
        <v>5.46</v>
      </c>
      <c r="AC391" s="14" t="n">
        <v>-0.34</v>
      </c>
      <c r="AD391" s="16" t="n">
        <v>508315292.42</v>
      </c>
    </row>
    <row r="392" customFormat="false" ht="15.75" hidden="false" customHeight="false" outlineLevel="0" collapsed="false">
      <c r="A392" s="14" t="s">
        <v>423</v>
      </c>
      <c r="B392" s="14" t="n">
        <v>0</v>
      </c>
      <c r="D392" s="14" t="n">
        <v>0</v>
      </c>
      <c r="E392" s="14" t="n">
        <v>0</v>
      </c>
      <c r="F392" s="14" t="n">
        <v>0</v>
      </c>
      <c r="G392" s="14" t="n">
        <v>41.33</v>
      </c>
      <c r="H392" s="14" t="n">
        <v>33.05</v>
      </c>
      <c r="I392" s="14" t="n">
        <v>-0.1</v>
      </c>
      <c r="J392" s="14" t="n">
        <v>0</v>
      </c>
      <c r="K392" s="14" t="n">
        <v>6.22</v>
      </c>
      <c r="L392" s="14" t="n">
        <v>6.22</v>
      </c>
      <c r="M392" s="14" t="n">
        <v>52.52</v>
      </c>
      <c r="N392" s="14" t="n">
        <v>0</v>
      </c>
      <c r="O392" s="14" t="n">
        <v>0</v>
      </c>
      <c r="P392" s="14" t="n">
        <v>0</v>
      </c>
      <c r="Q392" s="14" t="n">
        <v>2.08</v>
      </c>
      <c r="R392" s="14" t="n">
        <v>-2.67</v>
      </c>
      <c r="S392" s="14" t="n">
        <v>-0.03</v>
      </c>
      <c r="T392" s="14" t="n">
        <v>11.38</v>
      </c>
      <c r="U392" s="14" t="n">
        <v>0.01</v>
      </c>
      <c r="V392" s="14" t="n">
        <v>0.96</v>
      </c>
      <c r="W392" s="14" t="n">
        <v>0.31</v>
      </c>
      <c r="X392" s="14" t="n">
        <v>24.4</v>
      </c>
      <c r="AA392" s="14" t="n">
        <v>7.32</v>
      </c>
      <c r="AB392" s="14" t="n">
        <v>-0.2</v>
      </c>
      <c r="AC392" s="14" t="n">
        <v>0</v>
      </c>
      <c r="AD392" s="14" t="n">
        <v>0</v>
      </c>
    </row>
    <row r="393" customFormat="false" ht="15.75" hidden="false" customHeight="false" outlineLevel="0" collapsed="false">
      <c r="A393" s="14" t="s">
        <v>424</v>
      </c>
      <c r="B393" s="14" t="n">
        <v>52.97</v>
      </c>
      <c r="D393" s="14" t="n">
        <v>-271.37</v>
      </c>
      <c r="E393" s="14" t="n">
        <v>7.23</v>
      </c>
      <c r="F393" s="14" t="n">
        <v>0.09</v>
      </c>
      <c r="G393" s="14" t="n">
        <v>41.33</v>
      </c>
      <c r="H393" s="14" t="n">
        <v>33.05</v>
      </c>
      <c r="I393" s="14" t="n">
        <v>-0.1</v>
      </c>
      <c r="J393" s="14" t="n">
        <v>0.86</v>
      </c>
      <c r="K393" s="14" t="n">
        <v>6.22</v>
      </c>
      <c r="L393" s="14" t="n">
        <v>6.22</v>
      </c>
      <c r="M393" s="14" t="n">
        <v>52.52</v>
      </c>
      <c r="N393" s="14" t="n">
        <v>0.28</v>
      </c>
      <c r="O393" s="14" t="n">
        <v>0.94</v>
      </c>
      <c r="P393" s="14" t="n">
        <v>-0.11</v>
      </c>
      <c r="Q393" s="14" t="n">
        <v>2.08</v>
      </c>
      <c r="R393" s="14" t="n">
        <v>-2.67</v>
      </c>
      <c r="S393" s="14" t="n">
        <v>-0.03</v>
      </c>
      <c r="T393" s="14" t="n">
        <v>11.38</v>
      </c>
      <c r="U393" s="14" t="n">
        <v>0.01</v>
      </c>
      <c r="V393" s="14" t="n">
        <v>0.96</v>
      </c>
      <c r="W393" s="14" t="n">
        <v>0.31</v>
      </c>
      <c r="X393" s="14" t="n">
        <v>24.4</v>
      </c>
      <c r="AA393" s="14" t="n">
        <v>7.32</v>
      </c>
      <c r="AB393" s="14" t="n">
        <v>-0.2</v>
      </c>
      <c r="AC393" s="14" t="n">
        <v>2.74</v>
      </c>
      <c r="AD393" s="14" t="n">
        <v>0</v>
      </c>
    </row>
    <row r="394" customFormat="false" ht="15.75" hidden="false" customHeight="false" outlineLevel="0" collapsed="false">
      <c r="A394" s="14" t="s">
        <v>425</v>
      </c>
      <c r="B394" s="14" t="n">
        <v>0</v>
      </c>
      <c r="D394" s="14" t="n">
        <v>0</v>
      </c>
      <c r="E394" s="14" t="n">
        <v>0</v>
      </c>
      <c r="F394" s="14" t="n">
        <v>0</v>
      </c>
      <c r="G394" s="14" t="n">
        <v>41.33</v>
      </c>
      <c r="H394" s="14" t="n">
        <v>33.05</v>
      </c>
      <c r="I394" s="14" t="n">
        <v>-0.1</v>
      </c>
      <c r="J394" s="14" t="n">
        <v>0</v>
      </c>
      <c r="K394" s="14" t="n">
        <v>6.22</v>
      </c>
      <c r="L394" s="14" t="n">
        <v>6.22</v>
      </c>
      <c r="M394" s="14" t="n">
        <v>52.52</v>
      </c>
      <c r="N394" s="14" t="n">
        <v>0</v>
      </c>
      <c r="O394" s="14" t="n">
        <v>0</v>
      </c>
      <c r="P394" s="14" t="n">
        <v>0</v>
      </c>
      <c r="Q394" s="14" t="n">
        <v>2.08</v>
      </c>
      <c r="R394" s="14" t="n">
        <v>-2.67</v>
      </c>
      <c r="S394" s="14" t="n">
        <v>-0.03</v>
      </c>
      <c r="T394" s="14" t="n">
        <v>11.38</v>
      </c>
      <c r="U394" s="14" t="n">
        <v>0.01</v>
      </c>
      <c r="V394" s="14" t="n">
        <v>0.96</v>
      </c>
      <c r="W394" s="14" t="n">
        <v>0.31</v>
      </c>
      <c r="X394" s="14" t="n">
        <v>24.4</v>
      </c>
      <c r="AA394" s="14" t="n">
        <v>7.32</v>
      </c>
      <c r="AB394" s="14" t="n">
        <v>-0.2</v>
      </c>
      <c r="AC394" s="14" t="n">
        <v>0</v>
      </c>
      <c r="AD394" s="14" t="n">
        <v>0</v>
      </c>
    </row>
    <row r="395" customFormat="false" ht="15.75" hidden="false" customHeight="false" outlineLevel="0" collapsed="false">
      <c r="A395" s="14" t="s">
        <v>426</v>
      </c>
      <c r="B395" s="14" t="n">
        <v>17.65</v>
      </c>
      <c r="C395" s="14" t="n">
        <v>2.18</v>
      </c>
      <c r="D395" s="14" t="n">
        <v>6.62</v>
      </c>
      <c r="E395" s="14" t="n">
        <v>0.98</v>
      </c>
      <c r="F395" s="14" t="n">
        <v>0.3</v>
      </c>
      <c r="G395" s="14" t="n">
        <v>23.97</v>
      </c>
      <c r="H395" s="14" t="n">
        <v>16.39</v>
      </c>
      <c r="I395" s="14" t="n">
        <v>9.51</v>
      </c>
      <c r="J395" s="14" t="n">
        <v>3.84</v>
      </c>
      <c r="K395" s="14" t="n">
        <v>8.63</v>
      </c>
      <c r="L395" s="14" t="n">
        <v>4.79</v>
      </c>
      <c r="M395" s="14" t="n">
        <v>1.22</v>
      </c>
      <c r="N395" s="14" t="n">
        <v>0.63</v>
      </c>
      <c r="O395" s="14" t="n">
        <v>5.82</v>
      </c>
      <c r="P395" s="14" t="n">
        <v>-0.37</v>
      </c>
      <c r="Q395" s="14" t="n">
        <v>1.33</v>
      </c>
      <c r="R395" s="14" t="n">
        <v>14.8</v>
      </c>
      <c r="S395" s="14" t="n">
        <v>4.48</v>
      </c>
      <c r="T395" s="14" t="n">
        <v>8.38</v>
      </c>
      <c r="U395" s="14" t="n">
        <v>0.3</v>
      </c>
      <c r="V395" s="14" t="n">
        <v>0.69</v>
      </c>
      <c r="W395" s="14" t="n">
        <v>0.47</v>
      </c>
      <c r="X395" s="14" t="n">
        <v>16.97</v>
      </c>
      <c r="Y395" s="14" t="n">
        <v>50.84</v>
      </c>
      <c r="Z395" s="16" t="n">
        <v>40343867.88</v>
      </c>
      <c r="AA395" s="14" t="n">
        <v>18.03</v>
      </c>
      <c r="AB395" s="14" t="n">
        <v>2.67</v>
      </c>
      <c r="AC395" s="14" t="n">
        <v>0.17</v>
      </c>
      <c r="AD395" s="16" t="n">
        <v>21435659399.68</v>
      </c>
    </row>
    <row r="396" customFormat="false" ht="15.75" hidden="false" customHeight="false" outlineLevel="0" collapsed="false">
      <c r="A396" s="14" t="s">
        <v>427</v>
      </c>
      <c r="B396" s="14" t="n">
        <v>5.84</v>
      </c>
      <c r="C396" s="14" t="n">
        <v>0.21</v>
      </c>
      <c r="D396" s="14" t="n">
        <v>88.32</v>
      </c>
      <c r="E396" s="14" t="n">
        <v>3.01</v>
      </c>
      <c r="F396" s="14" t="n">
        <v>2.02</v>
      </c>
      <c r="G396" s="14" t="n">
        <v>65.05</v>
      </c>
      <c r="H396" s="14" t="n">
        <v>16.52</v>
      </c>
      <c r="I396" s="14" t="n">
        <v>7.16</v>
      </c>
      <c r="J396" s="14" t="n">
        <v>38.3</v>
      </c>
      <c r="K396" s="14" t="n">
        <v>31.68</v>
      </c>
      <c r="L396" s="14" t="n">
        <v>-6.55</v>
      </c>
      <c r="M396" s="14" t="n">
        <v>-0.52</v>
      </c>
      <c r="N396" s="14" t="n">
        <v>6.33</v>
      </c>
      <c r="O396" s="14" t="n">
        <v>4.27</v>
      </c>
      <c r="P396" s="14" t="n">
        <v>-5.12</v>
      </c>
      <c r="Q396" s="14" t="n">
        <v>4.63</v>
      </c>
      <c r="R396" s="14" t="n">
        <v>3.41</v>
      </c>
      <c r="S396" s="14" t="n">
        <v>2.29</v>
      </c>
      <c r="T396" s="14" t="n">
        <v>4.19</v>
      </c>
      <c r="U396" s="14" t="n">
        <v>0.67</v>
      </c>
      <c r="V396" s="14" t="n">
        <v>0.33</v>
      </c>
      <c r="W396" s="14" t="n">
        <v>0.32</v>
      </c>
      <c r="Z396" s="16" t="n">
        <v>14640860.37</v>
      </c>
      <c r="AA396" s="14" t="n">
        <v>1.94</v>
      </c>
      <c r="AB396" s="14" t="n">
        <v>0.07</v>
      </c>
      <c r="AC396" s="14" t="n">
        <v>1.49</v>
      </c>
      <c r="AD396" s="16" t="n">
        <v>1391401383.9</v>
      </c>
    </row>
    <row r="397" customFormat="false" ht="15.75" hidden="false" customHeight="false" outlineLevel="0" collapsed="false">
      <c r="A397" s="14" t="s">
        <v>428</v>
      </c>
      <c r="B397" s="14" t="n">
        <v>25.71</v>
      </c>
      <c r="D397" s="14" t="n">
        <v>-243.09</v>
      </c>
      <c r="E397" s="14" t="n">
        <v>44.79</v>
      </c>
      <c r="F397" s="14" t="n">
        <v>27.34</v>
      </c>
      <c r="G397" s="14" t="n">
        <v>92.19</v>
      </c>
      <c r="H397" s="14" t="n">
        <v>-19.85</v>
      </c>
      <c r="I397" s="14" t="n">
        <v>-20.32</v>
      </c>
      <c r="J397" s="14" t="n">
        <v>-248.85</v>
      </c>
      <c r="K397" s="14" t="n">
        <v>-246.64</v>
      </c>
      <c r="L397" s="14" t="n">
        <v>6.95</v>
      </c>
      <c r="M397" s="14" t="n">
        <v>-1.25</v>
      </c>
      <c r="N397" s="14" t="n">
        <v>49.39</v>
      </c>
      <c r="O397" s="14" t="n">
        <v>46.61</v>
      </c>
      <c r="P397" s="16" t="n">
        <v>-1135.69</v>
      </c>
      <c r="Q397" s="14" t="n">
        <v>2.51</v>
      </c>
      <c r="R397" s="14" t="n">
        <v>-18.43</v>
      </c>
      <c r="S397" s="14" t="n">
        <v>-11.25</v>
      </c>
      <c r="T397" s="14" t="n">
        <v>-18</v>
      </c>
      <c r="U397" s="14" t="n">
        <v>0.61</v>
      </c>
      <c r="V397" s="14" t="n">
        <v>0.39</v>
      </c>
      <c r="W397" s="14" t="n">
        <v>0.55</v>
      </c>
      <c r="Z397" s="16" t="n">
        <v>8588150.19</v>
      </c>
      <c r="AA397" s="14" t="n">
        <v>0.57</v>
      </c>
      <c r="AB397" s="14" t="n">
        <v>-0.11</v>
      </c>
      <c r="AD397" s="16" t="n">
        <v>1315884860.6</v>
      </c>
    </row>
    <row r="398" customFormat="false" ht="15.75" hidden="false" customHeight="false" outlineLevel="0" collapsed="false">
      <c r="A398" s="14" t="s">
        <v>429</v>
      </c>
      <c r="B398" s="14" t="n">
        <v>19</v>
      </c>
      <c r="D398" s="14" t="n">
        <v>-142.48</v>
      </c>
      <c r="E398" s="14" t="n">
        <v>-0.9</v>
      </c>
      <c r="F398" s="14" t="n">
        <v>7.27</v>
      </c>
      <c r="G398" s="14" t="n">
        <v>90.78</v>
      </c>
      <c r="H398" s="14" t="n">
        <v>106.82</v>
      </c>
      <c r="I398" s="14" t="n">
        <v>-54.27</v>
      </c>
      <c r="J398" s="14" t="n">
        <v>72.39</v>
      </c>
      <c r="K398" s="14" t="n">
        <v>93.83</v>
      </c>
      <c r="L398" s="14" t="n">
        <v>21.44</v>
      </c>
      <c r="N398" s="14" t="n">
        <v>77.33</v>
      </c>
      <c r="O398" s="14" t="n">
        <v>-2.7</v>
      </c>
      <c r="P398" s="14" t="n">
        <v>-7.83</v>
      </c>
      <c r="Q398" s="14" t="n">
        <v>0.03</v>
      </c>
      <c r="R398" s="14" t="n">
        <v>-0.63</v>
      </c>
      <c r="S398" s="14" t="n">
        <v>-5.1</v>
      </c>
      <c r="T398" s="14" t="n">
        <v>-1.69</v>
      </c>
      <c r="U398" s="14" t="n">
        <v>-8.1</v>
      </c>
      <c r="V398" s="14" t="n">
        <v>9.1</v>
      </c>
      <c r="W398" s="14" t="n">
        <v>0.09</v>
      </c>
      <c r="Z398" s="16" t="n">
        <v>20828.03</v>
      </c>
      <c r="AA398" s="14" t="n">
        <v>-21.18</v>
      </c>
      <c r="AB398" s="14" t="n">
        <v>-0.13</v>
      </c>
      <c r="AC398" s="14" t="n">
        <v>0</v>
      </c>
      <c r="AD398" s="16" t="n">
        <v>125808234</v>
      </c>
    </row>
    <row r="399" customFormat="false" ht="15.75" hidden="false" customHeight="false" outlineLevel="0" collapsed="false">
      <c r="A399" s="14" t="s">
        <v>430</v>
      </c>
      <c r="B399" s="14" t="n">
        <v>0</v>
      </c>
      <c r="D399" s="14" t="n">
        <v>0</v>
      </c>
      <c r="E399" s="14" t="n">
        <v>0</v>
      </c>
      <c r="F399" s="14" t="n">
        <v>0</v>
      </c>
      <c r="G399" s="14" t="n">
        <v>32.92</v>
      </c>
      <c r="H399" s="14" t="n">
        <v>22</v>
      </c>
      <c r="I399" s="14" t="n">
        <v>14.48</v>
      </c>
      <c r="J399" s="14" t="n">
        <v>0</v>
      </c>
      <c r="K399" s="14" t="n">
        <v>-0.4</v>
      </c>
      <c r="L399" s="14" t="n">
        <v>-0.4</v>
      </c>
      <c r="M399" s="14" t="n">
        <v>-0.13</v>
      </c>
      <c r="N399" s="14" t="n">
        <v>0</v>
      </c>
      <c r="O399" s="14" t="n">
        <v>0</v>
      </c>
      <c r="P399" s="14" t="n">
        <v>0</v>
      </c>
      <c r="Q399" s="14" t="n">
        <v>2.65</v>
      </c>
      <c r="R399" s="14" t="n">
        <v>20.75</v>
      </c>
      <c r="S399" s="14" t="n">
        <v>13.56</v>
      </c>
      <c r="T399" s="14" t="n">
        <v>21.5</v>
      </c>
      <c r="U399" s="14" t="n">
        <v>0.65</v>
      </c>
      <c r="V399" s="14" t="n">
        <v>0.35</v>
      </c>
      <c r="W399" s="14" t="n">
        <v>0.94</v>
      </c>
      <c r="X399" s="14" t="n">
        <v>9.55</v>
      </c>
      <c r="Y399" s="14" t="n">
        <v>6.53</v>
      </c>
      <c r="AA399" s="14" t="n">
        <v>13.79</v>
      </c>
      <c r="AB399" s="14" t="n">
        <v>2.86</v>
      </c>
      <c r="AC399" s="14" t="n">
        <v>0</v>
      </c>
      <c r="AD399" s="14" t="n">
        <v>0</v>
      </c>
    </row>
    <row r="400" customFormat="false" ht="15.75" hidden="false" customHeight="false" outlineLevel="0" collapsed="false">
      <c r="A400" s="14" t="s">
        <v>431</v>
      </c>
      <c r="B400" s="14" t="n">
        <v>56.34</v>
      </c>
      <c r="D400" s="16" t="n">
        <v>5025.97</v>
      </c>
      <c r="E400" s="14" t="n">
        <v>2.7</v>
      </c>
      <c r="F400" s="14" t="n">
        <v>1.25</v>
      </c>
      <c r="G400" s="14" t="n">
        <v>64.81</v>
      </c>
      <c r="H400" s="14" t="n">
        <v>3.67</v>
      </c>
      <c r="I400" s="14" t="n">
        <v>0.04</v>
      </c>
      <c r="J400" s="14" t="n">
        <v>54.43</v>
      </c>
      <c r="K400" s="14" t="n">
        <v>59.59</v>
      </c>
      <c r="L400" s="14" t="n">
        <v>5.22</v>
      </c>
      <c r="M400" s="14" t="n">
        <v>0.26</v>
      </c>
      <c r="N400" s="14" t="n">
        <v>2</v>
      </c>
      <c r="O400" s="14" t="n">
        <v>28.38</v>
      </c>
      <c r="P400" s="14" t="n">
        <v>-1.76</v>
      </c>
      <c r="Q400" s="14" t="n">
        <v>1.18</v>
      </c>
      <c r="R400" s="14" t="n">
        <v>0.05</v>
      </c>
      <c r="S400" s="14" t="n">
        <v>0.02</v>
      </c>
      <c r="T400" s="14" t="n">
        <v>2.7</v>
      </c>
      <c r="U400" s="14" t="n">
        <v>0.46</v>
      </c>
      <c r="V400" s="14" t="n">
        <v>0.54</v>
      </c>
      <c r="W400" s="14" t="n">
        <v>0.63</v>
      </c>
      <c r="X400" s="14" t="n">
        <v>36.13</v>
      </c>
      <c r="Z400" s="16" t="n">
        <v>324385875.63</v>
      </c>
      <c r="AA400" s="14" t="n">
        <v>20.84</v>
      </c>
      <c r="AB400" s="14" t="n">
        <v>0.01</v>
      </c>
      <c r="AC400" s="14" t="n">
        <v>-49.14</v>
      </c>
      <c r="AD400" s="16" t="n">
        <v>77464350515.64</v>
      </c>
    </row>
    <row r="401" customFormat="false" ht="15.75" hidden="false" customHeight="false" outlineLevel="0" collapsed="false">
      <c r="A401" s="14" t="s">
        <v>432</v>
      </c>
      <c r="B401" s="14" t="n">
        <v>260</v>
      </c>
      <c r="D401" s="14" t="n">
        <v>10.87</v>
      </c>
      <c r="E401" s="14" t="n">
        <v>1.99</v>
      </c>
      <c r="F401" s="14" t="n">
        <v>0.48</v>
      </c>
      <c r="G401" s="14" t="n">
        <v>17.63</v>
      </c>
      <c r="H401" s="14" t="n">
        <v>6.76</v>
      </c>
      <c r="I401" s="14" t="n">
        <v>3.59</v>
      </c>
      <c r="J401" s="14" t="n">
        <v>5.78</v>
      </c>
      <c r="K401" s="14" t="n">
        <v>7.16</v>
      </c>
      <c r="L401" s="14" t="n">
        <v>1.38</v>
      </c>
      <c r="M401" s="14" t="n">
        <v>0.48</v>
      </c>
      <c r="N401" s="14" t="n">
        <v>0.39</v>
      </c>
      <c r="O401" s="14" t="n">
        <v>1.46</v>
      </c>
      <c r="P401" s="14" t="n">
        <v>-1.11</v>
      </c>
      <c r="Q401" s="14" t="n">
        <v>2.31</v>
      </c>
      <c r="R401" s="14" t="n">
        <v>18.34</v>
      </c>
      <c r="S401" s="14" t="n">
        <v>4.37</v>
      </c>
      <c r="T401" s="14" t="n">
        <v>19.6</v>
      </c>
      <c r="U401" s="14" t="n">
        <v>0.24</v>
      </c>
      <c r="V401" s="14" t="n">
        <v>0.76</v>
      </c>
      <c r="W401" s="14" t="n">
        <v>1.22</v>
      </c>
      <c r="X401" s="14" t="n">
        <v>16.61</v>
      </c>
      <c r="Z401" s="16" t="n">
        <v>228584.2</v>
      </c>
      <c r="AA401" s="14" t="n">
        <v>130.45</v>
      </c>
      <c r="AB401" s="14" t="n">
        <v>23.92</v>
      </c>
      <c r="AC401" s="14" t="n">
        <v>-0.12</v>
      </c>
      <c r="AD401" s="16" t="n">
        <v>33265440</v>
      </c>
    </row>
    <row r="402" customFormat="false" ht="15.75" hidden="false" customHeight="false" outlineLevel="0" collapsed="false">
      <c r="A402" s="14" t="s">
        <v>433</v>
      </c>
      <c r="B402" s="14" t="n">
        <v>1.6</v>
      </c>
      <c r="C402" s="14" t="n">
        <v>16.01</v>
      </c>
      <c r="D402" s="14" t="n">
        <v>0.14</v>
      </c>
      <c r="E402" s="14" t="n">
        <v>0.06</v>
      </c>
      <c r="F402" s="14" t="n">
        <v>0.03</v>
      </c>
      <c r="G402" s="14" t="n">
        <v>34.42</v>
      </c>
      <c r="H402" s="14" t="n">
        <v>24.97</v>
      </c>
      <c r="I402" s="14" t="n">
        <v>20.84</v>
      </c>
      <c r="J402" s="14" t="n">
        <v>0.12</v>
      </c>
      <c r="K402" s="14" t="n">
        <v>0.68</v>
      </c>
      <c r="L402" s="14" t="n">
        <v>0.56</v>
      </c>
      <c r="M402" s="14" t="n">
        <v>0.29</v>
      </c>
      <c r="N402" s="14" t="n">
        <v>0.03</v>
      </c>
      <c r="O402" s="14" t="n">
        <v>0.08</v>
      </c>
      <c r="P402" s="14" t="n">
        <v>-0.12</v>
      </c>
      <c r="Q402" s="14" t="n">
        <v>1.89</v>
      </c>
      <c r="R402" s="14" t="n">
        <v>42.76</v>
      </c>
      <c r="S402" s="14" t="n">
        <v>20.98</v>
      </c>
      <c r="T402" s="14" t="n">
        <v>22.45</v>
      </c>
      <c r="U402" s="14" t="n">
        <v>0.49</v>
      </c>
      <c r="V402" s="14" t="n">
        <v>0.51</v>
      </c>
      <c r="W402" s="14" t="n">
        <v>1.01</v>
      </c>
      <c r="X402" s="14" t="n">
        <v>8.36</v>
      </c>
      <c r="Z402" s="16" t="n">
        <v>37500</v>
      </c>
      <c r="AA402" s="14" t="n">
        <v>26.23</v>
      </c>
      <c r="AB402" s="14" t="n">
        <v>11.22</v>
      </c>
      <c r="AC402" s="14" t="n">
        <v>0</v>
      </c>
      <c r="AD402" s="16" t="n">
        <v>18059369.6</v>
      </c>
    </row>
    <row r="403" customFormat="false" ht="15.75" hidden="false" customHeight="false" outlineLevel="0" collapsed="false">
      <c r="A403" s="14" t="s">
        <v>434</v>
      </c>
      <c r="B403" s="14" t="n">
        <v>12.94</v>
      </c>
      <c r="C403" s="14" t="n">
        <v>5.91</v>
      </c>
      <c r="D403" s="14" t="n">
        <v>17.42</v>
      </c>
      <c r="E403" s="14" t="n">
        <v>5.31</v>
      </c>
      <c r="F403" s="14" t="n">
        <v>3.38</v>
      </c>
      <c r="G403" s="14" t="n">
        <v>61.88</v>
      </c>
      <c r="H403" s="14" t="n">
        <v>32.09</v>
      </c>
      <c r="I403" s="14" t="n">
        <v>22.4</v>
      </c>
      <c r="J403" s="14" t="n">
        <v>12.16</v>
      </c>
      <c r="K403" s="14" t="n">
        <v>10.63</v>
      </c>
      <c r="L403" s="14" t="n">
        <v>-1.5</v>
      </c>
      <c r="M403" s="14" t="n">
        <v>-0.65</v>
      </c>
      <c r="N403" s="14" t="n">
        <v>3.9</v>
      </c>
      <c r="O403" s="14" t="n">
        <v>12.48</v>
      </c>
      <c r="P403" s="14" t="n">
        <v>-7.42</v>
      </c>
      <c r="Q403" s="14" t="n">
        <v>1.99</v>
      </c>
      <c r="R403" s="14" t="n">
        <v>30.46</v>
      </c>
      <c r="S403" s="14" t="n">
        <v>19.42</v>
      </c>
      <c r="T403" s="14" t="n">
        <v>29.87</v>
      </c>
      <c r="U403" s="14" t="n">
        <v>0.64</v>
      </c>
      <c r="V403" s="14" t="n">
        <v>0.36</v>
      </c>
      <c r="W403" s="14" t="n">
        <v>0.87</v>
      </c>
      <c r="X403" s="14" t="n">
        <v>7.15</v>
      </c>
      <c r="Y403" s="14" t="n">
        <v>10.22</v>
      </c>
      <c r="Z403" s="16" t="n">
        <v>11786852.49</v>
      </c>
      <c r="AA403" s="14" t="n">
        <v>2.44</v>
      </c>
      <c r="AB403" s="14" t="n">
        <v>0.74</v>
      </c>
      <c r="AC403" s="14" t="n">
        <v>0.35</v>
      </c>
      <c r="AD403" s="16" t="n">
        <v>6859015764.72</v>
      </c>
    </row>
    <row r="404" customFormat="false" ht="15.75" hidden="false" customHeight="false" outlineLevel="0" collapsed="false">
      <c r="A404" s="14" t="s">
        <v>435</v>
      </c>
      <c r="B404" s="14" t="n">
        <v>33.88</v>
      </c>
      <c r="C404" s="14" t="n">
        <v>1.81</v>
      </c>
      <c r="D404" s="14" t="n">
        <v>18.03</v>
      </c>
      <c r="E404" s="14" t="n">
        <v>3.2</v>
      </c>
      <c r="F404" s="14" t="n">
        <v>1.65</v>
      </c>
      <c r="G404" s="14" t="n">
        <v>51.58</v>
      </c>
      <c r="H404" s="14" t="n">
        <v>15.28</v>
      </c>
      <c r="I404" s="14" t="n">
        <v>12.88</v>
      </c>
      <c r="J404" s="14" t="n">
        <v>15.2</v>
      </c>
      <c r="K404" s="14" t="n">
        <v>16.47</v>
      </c>
      <c r="L404" s="14" t="n">
        <v>1.26</v>
      </c>
      <c r="M404" s="14" t="n">
        <v>0.27</v>
      </c>
      <c r="N404" s="14" t="n">
        <v>2.32</v>
      </c>
      <c r="O404" s="14" t="n">
        <v>4.2</v>
      </c>
      <c r="P404" s="14" t="n">
        <v>-4.23</v>
      </c>
      <c r="Q404" s="14" t="n">
        <v>2.8</v>
      </c>
      <c r="R404" s="14" t="n">
        <v>17.75</v>
      </c>
      <c r="S404" s="14" t="n">
        <v>9.13</v>
      </c>
      <c r="T404" s="14" t="n">
        <v>11.73</v>
      </c>
      <c r="U404" s="14" t="n">
        <v>0.51</v>
      </c>
      <c r="V404" s="14" t="n">
        <v>0.49</v>
      </c>
      <c r="W404" s="14" t="n">
        <v>0.71</v>
      </c>
      <c r="X404" s="14" t="n">
        <v>6.45</v>
      </c>
      <c r="Y404" s="14" t="n">
        <v>5.33</v>
      </c>
      <c r="Z404" s="16" t="n">
        <v>1468793.34</v>
      </c>
      <c r="AA404" s="14" t="n">
        <v>10.59</v>
      </c>
      <c r="AB404" s="14" t="n">
        <v>1.88</v>
      </c>
      <c r="AC404" s="14" t="n">
        <v>0.17</v>
      </c>
      <c r="AD404" s="16" t="n">
        <v>1828331813.34</v>
      </c>
    </row>
    <row r="405" customFormat="false" ht="15.75" hidden="false" customHeight="false" outlineLevel="0" collapsed="false">
      <c r="A405" s="14" t="s">
        <v>436</v>
      </c>
      <c r="B405" s="14" t="n">
        <v>1.63</v>
      </c>
      <c r="D405" s="14" t="n">
        <v>-2.15</v>
      </c>
      <c r="E405" s="14" t="n">
        <v>-0.98</v>
      </c>
      <c r="F405" s="14" t="n">
        <v>0.92</v>
      </c>
      <c r="J405" s="14" t="n">
        <v>-9.26</v>
      </c>
      <c r="K405" s="14" t="n">
        <v>-9.26</v>
      </c>
      <c r="L405" s="14" t="n">
        <v>0</v>
      </c>
      <c r="O405" s="14" t="n">
        <v>-0.98</v>
      </c>
      <c r="Q405" s="14" t="n">
        <v>0.51</v>
      </c>
      <c r="R405" s="14" t="n">
        <v>-45.53</v>
      </c>
      <c r="S405" s="14" t="n">
        <v>-43.02</v>
      </c>
      <c r="T405" s="14" t="n">
        <v>10.57</v>
      </c>
      <c r="U405" s="14" t="n">
        <v>-0.94</v>
      </c>
      <c r="V405" s="14" t="n">
        <v>1.94</v>
      </c>
      <c r="W405" s="14" t="n">
        <v>0</v>
      </c>
      <c r="AA405" s="14" t="n">
        <v>-1.67</v>
      </c>
      <c r="AB405" s="14" t="n">
        <v>-0.76</v>
      </c>
      <c r="AC405" s="14" t="n">
        <v>0.02</v>
      </c>
      <c r="AD405" s="16" t="n">
        <v>52747073.84</v>
      </c>
    </row>
    <row r="406" customFormat="false" ht="15.75" hidden="false" customHeight="false" outlineLevel="0" collapsed="false">
      <c r="A406" s="14" t="s">
        <v>438</v>
      </c>
      <c r="B406" s="14" t="n">
        <v>1.52</v>
      </c>
      <c r="D406" s="14" t="n">
        <v>-1.17</v>
      </c>
      <c r="E406" s="14" t="n">
        <v>2.12</v>
      </c>
      <c r="F406" s="14" t="n">
        <v>0.13</v>
      </c>
      <c r="G406" s="14" t="n">
        <v>18.92</v>
      </c>
      <c r="H406" s="14" t="n">
        <v>-27.4</v>
      </c>
      <c r="I406" s="14" t="n">
        <v>-114.46</v>
      </c>
      <c r="J406" s="14" t="n">
        <v>-4.88</v>
      </c>
      <c r="K406" s="14" t="n">
        <v>-18.54</v>
      </c>
      <c r="L406" s="14" t="n">
        <v>-13.61</v>
      </c>
      <c r="M406" s="14" t="n">
        <v>5.93</v>
      </c>
      <c r="N406" s="14" t="n">
        <v>1.34</v>
      </c>
      <c r="O406" s="14" t="n">
        <v>0.8</v>
      </c>
      <c r="P406" s="14" t="n">
        <v>-0.24</v>
      </c>
      <c r="Q406" s="14" t="n">
        <v>1.5</v>
      </c>
      <c r="R406" s="14" t="n">
        <v>-182.01</v>
      </c>
      <c r="S406" s="14" t="n">
        <v>-10.73</v>
      </c>
      <c r="T406" s="14" t="n">
        <v>-16.51</v>
      </c>
      <c r="U406" s="14" t="n">
        <v>0.06</v>
      </c>
      <c r="V406" s="14" t="n">
        <v>0.94</v>
      </c>
      <c r="W406" s="14" t="n">
        <v>0.09</v>
      </c>
      <c r="X406" s="14" t="n">
        <v>-19.43</v>
      </c>
      <c r="Z406" s="16" t="n">
        <v>92887287.07</v>
      </c>
      <c r="AA406" s="14" t="n">
        <v>0.72</v>
      </c>
      <c r="AB406" s="14" t="n">
        <v>-1.3</v>
      </c>
      <c r="AC406" s="14" t="n">
        <v>0.02</v>
      </c>
      <c r="AD406" s="16" t="n">
        <v>9157646125.4</v>
      </c>
    </row>
    <row r="407" customFormat="false" ht="15.75" hidden="false" customHeight="false" outlineLevel="0" collapsed="false">
      <c r="A407" s="14" t="s">
        <v>439</v>
      </c>
      <c r="B407" s="14" t="n">
        <v>2.2</v>
      </c>
      <c r="D407" s="14" t="n">
        <v>-1.69</v>
      </c>
      <c r="E407" s="14" t="n">
        <v>3.07</v>
      </c>
      <c r="F407" s="14" t="n">
        <v>0.18</v>
      </c>
      <c r="G407" s="14" t="n">
        <v>18.92</v>
      </c>
      <c r="H407" s="14" t="n">
        <v>-27.4</v>
      </c>
      <c r="I407" s="14" t="n">
        <v>-114.46</v>
      </c>
      <c r="J407" s="14" t="n">
        <v>-7.06</v>
      </c>
      <c r="K407" s="14" t="n">
        <v>-18.54</v>
      </c>
      <c r="L407" s="14" t="n">
        <v>-13.61</v>
      </c>
      <c r="M407" s="14" t="n">
        <v>5.93</v>
      </c>
      <c r="N407" s="14" t="n">
        <v>1.93</v>
      </c>
      <c r="O407" s="14" t="n">
        <v>1.15</v>
      </c>
      <c r="P407" s="14" t="n">
        <v>-0.34</v>
      </c>
      <c r="Q407" s="14" t="n">
        <v>1.5</v>
      </c>
      <c r="R407" s="14" t="n">
        <v>-182.01</v>
      </c>
      <c r="S407" s="14" t="n">
        <v>-10.73</v>
      </c>
      <c r="T407" s="14" t="n">
        <v>-16.51</v>
      </c>
      <c r="U407" s="14" t="n">
        <v>0.06</v>
      </c>
      <c r="V407" s="14" t="n">
        <v>0.94</v>
      </c>
      <c r="W407" s="14" t="n">
        <v>0.09</v>
      </c>
      <c r="X407" s="14" t="n">
        <v>-19.43</v>
      </c>
      <c r="Z407" s="16" t="n">
        <v>3474485.46</v>
      </c>
      <c r="AA407" s="14" t="n">
        <v>0.72</v>
      </c>
      <c r="AB407" s="14" t="n">
        <v>-1.3</v>
      </c>
      <c r="AC407" s="14" t="n">
        <v>0.03</v>
      </c>
      <c r="AD407" s="16" t="n">
        <v>9157646125.4</v>
      </c>
    </row>
    <row r="408" customFormat="false" ht="15.75" hidden="false" customHeight="false" outlineLevel="0" collapsed="false">
      <c r="A408" s="14" t="s">
        <v>440</v>
      </c>
      <c r="B408" s="14" t="n">
        <v>38.14</v>
      </c>
      <c r="D408" s="14" t="n">
        <v>681.57</v>
      </c>
      <c r="E408" s="14" t="n">
        <v>2.06</v>
      </c>
      <c r="F408" s="14" t="n">
        <v>0.68</v>
      </c>
      <c r="G408" s="14" t="n">
        <v>39.64</v>
      </c>
      <c r="H408" s="14" t="n">
        <v>43.24</v>
      </c>
      <c r="I408" s="14" t="n">
        <v>0.86</v>
      </c>
      <c r="J408" s="14" t="n">
        <v>13.53</v>
      </c>
      <c r="K408" s="14" t="n">
        <v>22.81</v>
      </c>
      <c r="L408" s="14" t="n">
        <v>9.32</v>
      </c>
      <c r="M408" s="14" t="n">
        <v>1.42</v>
      </c>
      <c r="N408" s="14" t="n">
        <v>5.85</v>
      </c>
      <c r="O408" s="14" t="n">
        <v>5.85</v>
      </c>
      <c r="P408" s="14" t="n">
        <v>-0.81</v>
      </c>
      <c r="Q408" s="14" t="n">
        <v>3.14</v>
      </c>
      <c r="R408" s="14" t="n">
        <v>0.3</v>
      </c>
      <c r="S408" s="14" t="n">
        <v>0.1</v>
      </c>
      <c r="T408" s="14" t="n">
        <v>4.84</v>
      </c>
      <c r="U408" s="14" t="n">
        <v>0.33</v>
      </c>
      <c r="V408" s="14" t="n">
        <v>0.66</v>
      </c>
      <c r="W408" s="14" t="n">
        <v>0.12</v>
      </c>
      <c r="X408" s="14" t="n">
        <v>50.4</v>
      </c>
      <c r="Y408" s="14" t="n">
        <v>62.86</v>
      </c>
      <c r="Z408" s="16" t="n">
        <v>23280047.41</v>
      </c>
      <c r="AA408" s="14" t="n">
        <v>18.56</v>
      </c>
      <c r="AB408" s="14" t="n">
        <v>0.06</v>
      </c>
      <c r="AC408" s="14" t="n">
        <v>-0.36</v>
      </c>
      <c r="AD408" s="16" t="n">
        <v>7462118294.7</v>
      </c>
    </row>
    <row r="409" customFormat="false" ht="15.75" hidden="false" customHeight="false" outlineLevel="0" collapsed="false">
      <c r="A409" s="14" t="s">
        <v>441</v>
      </c>
      <c r="B409" s="14" t="n">
        <v>8.9</v>
      </c>
      <c r="D409" s="14" t="n">
        <v>-73.99</v>
      </c>
      <c r="E409" s="14" t="n">
        <v>1.94</v>
      </c>
      <c r="F409" s="14" t="n">
        <v>0.93</v>
      </c>
      <c r="G409" s="14" t="n">
        <v>15.61</v>
      </c>
      <c r="H409" s="14" t="n">
        <v>6.23</v>
      </c>
      <c r="I409" s="14" t="n">
        <v>-3.78</v>
      </c>
      <c r="J409" s="14" t="n">
        <v>44.86</v>
      </c>
      <c r="K409" s="14" t="n">
        <v>44.65</v>
      </c>
      <c r="L409" s="14" t="n">
        <v>-0.31</v>
      </c>
      <c r="M409" s="14" t="n">
        <v>-0.01</v>
      </c>
      <c r="N409" s="14" t="n">
        <v>2.79</v>
      </c>
      <c r="O409" s="14" t="n">
        <v>2.55</v>
      </c>
      <c r="P409" s="14" t="n">
        <v>-1.95</v>
      </c>
      <c r="Q409" s="14" t="n">
        <v>3.35</v>
      </c>
      <c r="R409" s="14" t="n">
        <v>-2.62</v>
      </c>
      <c r="S409" s="14" t="n">
        <v>-1.26</v>
      </c>
      <c r="T409" s="14" t="n">
        <v>1.42</v>
      </c>
      <c r="U409" s="14" t="n">
        <v>0.48</v>
      </c>
      <c r="V409" s="14" t="n">
        <v>0.52</v>
      </c>
      <c r="W409" s="14" t="n">
        <v>0.33</v>
      </c>
      <c r="Z409" s="16" t="n">
        <v>5649334.05</v>
      </c>
      <c r="AA409" s="14" t="n">
        <v>4.59</v>
      </c>
      <c r="AB409" s="14" t="n">
        <v>-0.12</v>
      </c>
      <c r="AC409" s="14" t="n">
        <v>-0.38</v>
      </c>
      <c r="AD409" s="16" t="n">
        <v>1783639221.68</v>
      </c>
    </row>
    <row r="410" customFormat="false" ht="15.75" hidden="false" customHeight="false" outlineLevel="0" collapsed="false">
      <c r="A410" s="14" t="s">
        <v>442</v>
      </c>
      <c r="B410" s="14" t="n">
        <v>28.22</v>
      </c>
      <c r="D410" s="14" t="n">
        <v>-45.95</v>
      </c>
      <c r="E410" s="14" t="n">
        <v>5.41</v>
      </c>
      <c r="F410" s="14" t="n">
        <v>1.96</v>
      </c>
      <c r="G410" s="14" t="n">
        <v>36.44</v>
      </c>
      <c r="H410" s="14" t="n">
        <v>15.18</v>
      </c>
      <c r="I410" s="14" t="n">
        <v>-11.31</v>
      </c>
      <c r="J410" s="14" t="n">
        <v>34.23</v>
      </c>
      <c r="K410" s="14" t="n">
        <v>34.17</v>
      </c>
      <c r="L410" s="14" t="n">
        <v>-0.02</v>
      </c>
      <c r="M410" s="14" t="n">
        <v>0</v>
      </c>
      <c r="N410" s="14" t="n">
        <v>5.2</v>
      </c>
      <c r="O410" s="14" t="n">
        <v>7.16</v>
      </c>
      <c r="P410" s="14" t="n">
        <v>-3.89</v>
      </c>
      <c r="Q410" s="14" t="n">
        <v>2.24</v>
      </c>
      <c r="R410" s="14" t="n">
        <v>-11.78</v>
      </c>
      <c r="S410" s="14" t="n">
        <v>-4.27</v>
      </c>
      <c r="T410" s="14" t="n">
        <v>4.93</v>
      </c>
      <c r="U410" s="14" t="n">
        <v>0.36</v>
      </c>
      <c r="V410" s="14" t="n">
        <v>0.62</v>
      </c>
      <c r="W410" s="14" t="n">
        <v>0.38</v>
      </c>
      <c r="Z410" s="16" t="n">
        <v>7899324.22</v>
      </c>
      <c r="AA410" s="14" t="n">
        <v>5.21</v>
      </c>
      <c r="AB410" s="14" t="n">
        <v>-0.61</v>
      </c>
      <c r="AC410" s="14" t="n">
        <v>-0.09</v>
      </c>
      <c r="AD410" s="16" t="n">
        <v>2014174654.3</v>
      </c>
    </row>
    <row r="411" customFormat="false" ht="15.75" hidden="false" customHeight="false" outlineLevel="0" collapsed="false">
      <c r="A411" s="14" t="s">
        <v>443</v>
      </c>
      <c r="B411" s="14" t="n">
        <v>10.02</v>
      </c>
      <c r="D411" s="14" t="n">
        <v>-0.04</v>
      </c>
      <c r="E411" s="14" t="n">
        <v>-0.01</v>
      </c>
      <c r="F411" s="14" t="n">
        <v>0.02</v>
      </c>
      <c r="G411" s="14" t="n">
        <v>96.2</v>
      </c>
      <c r="H411" s="16" t="n">
        <v>-4680.14</v>
      </c>
      <c r="I411" s="16" t="n">
        <v>-6925.42</v>
      </c>
      <c r="J411" s="14" t="n">
        <v>-0.05</v>
      </c>
      <c r="K411" s="14" t="n">
        <v>-7.77</v>
      </c>
      <c r="L411" s="14" t="n">
        <v>-7.72</v>
      </c>
      <c r="N411" s="14" t="n">
        <v>2.51</v>
      </c>
      <c r="O411" s="14" t="n">
        <v>-0.06</v>
      </c>
      <c r="P411" s="14" t="n">
        <v>-0.02</v>
      </c>
      <c r="Q411" s="14" t="n">
        <v>0.03</v>
      </c>
      <c r="R411" s="14" t="n">
        <v>-15.68</v>
      </c>
      <c r="S411" s="14" t="n">
        <v>-58.41</v>
      </c>
      <c r="T411" s="14" t="n">
        <v>60.57</v>
      </c>
      <c r="U411" s="14" t="n">
        <v>-3.73</v>
      </c>
      <c r="V411" s="14" t="n">
        <v>4.73</v>
      </c>
      <c r="W411" s="14" t="n">
        <v>0.01</v>
      </c>
      <c r="X411" s="14" t="n">
        <v>-44.4</v>
      </c>
      <c r="Z411" s="16" t="n">
        <v>206786.78</v>
      </c>
      <c r="AA411" s="16" t="n">
        <v>-1763.25</v>
      </c>
      <c r="AB411" s="14" t="n">
        <v>-276.42</v>
      </c>
      <c r="AC411" s="14" t="n">
        <v>0</v>
      </c>
      <c r="AD411" s="16" t="n">
        <v>31165576.2</v>
      </c>
    </row>
    <row r="412" customFormat="false" ht="15.75" hidden="false" customHeight="false" outlineLevel="0" collapsed="false">
      <c r="A412" s="14" t="s">
        <v>444</v>
      </c>
      <c r="B412" s="14" t="n">
        <v>21.33</v>
      </c>
      <c r="C412" s="14" t="n">
        <v>1.57</v>
      </c>
      <c r="D412" s="14" t="n">
        <v>17.37</v>
      </c>
      <c r="E412" s="14" t="n">
        <v>3.7</v>
      </c>
      <c r="F412" s="14" t="n">
        <v>1.41</v>
      </c>
      <c r="G412" s="14" t="n">
        <v>27.99</v>
      </c>
      <c r="H412" s="14" t="n">
        <v>15.19</v>
      </c>
      <c r="I412" s="14" t="n">
        <v>9.67</v>
      </c>
      <c r="J412" s="14" t="n">
        <v>11.06</v>
      </c>
      <c r="K412" s="14" t="n">
        <v>11.53</v>
      </c>
      <c r="L412" s="14" t="n">
        <v>0.49</v>
      </c>
      <c r="M412" s="14" t="n">
        <v>0.16</v>
      </c>
      <c r="N412" s="14" t="n">
        <v>1.68</v>
      </c>
      <c r="O412" s="14" t="n">
        <v>8.1</v>
      </c>
      <c r="P412" s="14" t="n">
        <v>-2.48</v>
      </c>
      <c r="Q412" s="14" t="n">
        <v>1.67</v>
      </c>
      <c r="R412" s="14" t="n">
        <v>21.29</v>
      </c>
      <c r="S412" s="14" t="n">
        <v>8.1</v>
      </c>
      <c r="T412" s="14" t="n">
        <v>16.77</v>
      </c>
      <c r="U412" s="14" t="n">
        <v>0.38</v>
      </c>
      <c r="V412" s="14" t="n">
        <v>0.62</v>
      </c>
      <c r="W412" s="14" t="n">
        <v>0.84</v>
      </c>
      <c r="X412" s="14" t="n">
        <v>14.12</v>
      </c>
      <c r="Y412" s="14" t="n">
        <v>8.5</v>
      </c>
      <c r="Z412" s="16" t="n">
        <v>7610832.27</v>
      </c>
      <c r="AA412" s="14" t="n">
        <v>5.77</v>
      </c>
      <c r="AB412" s="14" t="n">
        <v>1.23</v>
      </c>
      <c r="AC412" s="14" t="n">
        <v>1.58</v>
      </c>
      <c r="AD412" s="16" t="n">
        <v>2787224501.6</v>
      </c>
    </row>
    <row r="413" customFormat="false" ht="15.75" hidden="false" customHeight="false" outlineLevel="0" collapsed="false">
      <c r="A413" s="14" t="s">
        <v>445</v>
      </c>
      <c r="B413" s="14" t="n">
        <v>105</v>
      </c>
      <c r="C413" s="14" t="n">
        <v>2.43</v>
      </c>
      <c r="D413" s="14" t="n">
        <v>11.03</v>
      </c>
      <c r="E413" s="14" t="n">
        <v>2.8</v>
      </c>
      <c r="F413" s="14" t="n">
        <v>1.28</v>
      </c>
      <c r="G413" s="14" t="n">
        <v>20.71</v>
      </c>
      <c r="H413" s="14" t="n">
        <v>15.29</v>
      </c>
      <c r="I413" s="14" t="n">
        <v>9.91</v>
      </c>
      <c r="J413" s="14" t="n">
        <v>7.15</v>
      </c>
      <c r="K413" s="14" t="n">
        <v>7.34</v>
      </c>
      <c r="L413" s="14" t="n">
        <v>0.16</v>
      </c>
      <c r="M413" s="14" t="n">
        <v>0.06</v>
      </c>
      <c r="N413" s="14" t="n">
        <v>1.09</v>
      </c>
      <c r="O413" s="14" t="n">
        <v>2.52</v>
      </c>
      <c r="P413" s="14" t="n">
        <v>-7.47</v>
      </c>
      <c r="Q413" s="14" t="n">
        <v>2.6</v>
      </c>
      <c r="R413" s="14" t="n">
        <v>25.34</v>
      </c>
      <c r="S413" s="14" t="n">
        <v>11.63</v>
      </c>
      <c r="T413" s="14" t="n">
        <v>16.91</v>
      </c>
      <c r="U413" s="14" t="n">
        <v>0.46</v>
      </c>
      <c r="V413" s="14" t="n">
        <v>0.54</v>
      </c>
      <c r="W413" s="14" t="n">
        <v>1.17</v>
      </c>
      <c r="X413" s="14" t="n">
        <v>17.73</v>
      </c>
      <c r="Y413" s="14" t="n">
        <v>75.16</v>
      </c>
      <c r="Z413" s="16" t="n">
        <v>47055.64</v>
      </c>
      <c r="AA413" s="14" t="n">
        <v>37.56</v>
      </c>
      <c r="AB413" s="14" t="n">
        <v>9.52</v>
      </c>
      <c r="AC413" s="14" t="n">
        <v>0.16</v>
      </c>
      <c r="AD413" s="16" t="n">
        <v>1925370105</v>
      </c>
    </row>
    <row r="414" customFormat="false" ht="15.75" hidden="false" customHeight="false" outlineLevel="0" collapsed="false">
      <c r="A414" s="14" t="s">
        <v>446</v>
      </c>
      <c r="B414" s="14" t="n">
        <v>114</v>
      </c>
      <c r="C414" s="14" t="n">
        <v>4.54</v>
      </c>
      <c r="D414" s="14" t="n">
        <v>11.98</v>
      </c>
      <c r="E414" s="14" t="n">
        <v>3.03</v>
      </c>
      <c r="F414" s="14" t="n">
        <v>1.39</v>
      </c>
      <c r="G414" s="14" t="n">
        <v>20.71</v>
      </c>
      <c r="H414" s="14" t="n">
        <v>15.29</v>
      </c>
      <c r="I414" s="14" t="n">
        <v>9.91</v>
      </c>
      <c r="J414" s="14" t="n">
        <v>7.76</v>
      </c>
      <c r="K414" s="14" t="n">
        <v>7.34</v>
      </c>
      <c r="L414" s="14" t="n">
        <v>0.16</v>
      </c>
      <c r="M414" s="14" t="n">
        <v>0.06</v>
      </c>
      <c r="N414" s="14" t="n">
        <v>1.19</v>
      </c>
      <c r="O414" s="14" t="n">
        <v>2.73</v>
      </c>
      <c r="P414" s="14" t="n">
        <v>-8.11</v>
      </c>
      <c r="Q414" s="14" t="n">
        <v>2.6</v>
      </c>
      <c r="R414" s="14" t="n">
        <v>25.34</v>
      </c>
      <c r="S414" s="14" t="n">
        <v>11.63</v>
      </c>
      <c r="T414" s="14" t="n">
        <v>16.91</v>
      </c>
      <c r="U414" s="14" t="n">
        <v>0.46</v>
      </c>
      <c r="V414" s="14" t="n">
        <v>0.54</v>
      </c>
      <c r="W414" s="14" t="n">
        <v>1.17</v>
      </c>
      <c r="X414" s="14" t="n">
        <v>17.73</v>
      </c>
      <c r="Y414" s="14" t="n">
        <v>75.16</v>
      </c>
      <c r="Z414" s="16" t="n">
        <v>50216</v>
      </c>
      <c r="AA414" s="14" t="n">
        <v>37.56</v>
      </c>
      <c r="AB414" s="14" t="n">
        <v>9.52</v>
      </c>
      <c r="AC414" s="14" t="n">
        <v>0.17</v>
      </c>
      <c r="AD414" s="16" t="n">
        <v>1925370105</v>
      </c>
    </row>
    <row r="415" customFormat="false" ht="15.75" hidden="false" customHeight="false" outlineLevel="0" collapsed="false">
      <c r="A415" s="14" t="s">
        <v>447</v>
      </c>
      <c r="B415" s="14" t="n">
        <v>38.35</v>
      </c>
      <c r="C415" s="14" t="n">
        <v>5.68</v>
      </c>
      <c r="D415" s="14" t="n">
        <v>4.26</v>
      </c>
      <c r="E415" s="14" t="n">
        <v>0.74</v>
      </c>
      <c r="F415" s="14" t="n">
        <v>0.21</v>
      </c>
      <c r="G415" s="14" t="n">
        <v>29.16</v>
      </c>
      <c r="H415" s="14" t="n">
        <v>6</v>
      </c>
      <c r="I415" s="14" t="n">
        <v>5.5</v>
      </c>
      <c r="J415" s="14" t="n">
        <v>3.9</v>
      </c>
      <c r="K415" s="14" t="n">
        <v>5.72</v>
      </c>
      <c r="L415" s="14" t="n">
        <v>1.83</v>
      </c>
      <c r="M415" s="14" t="n">
        <v>0.35</v>
      </c>
      <c r="N415" s="14" t="n">
        <v>0.23</v>
      </c>
      <c r="O415" s="14" t="n">
        <v>-4.97</v>
      </c>
      <c r="P415" s="14" t="n">
        <v>-0.28</v>
      </c>
      <c r="Q415" s="14" t="n">
        <v>0.87</v>
      </c>
      <c r="R415" s="14" t="n">
        <v>17.29</v>
      </c>
      <c r="S415" s="14" t="n">
        <v>4.84</v>
      </c>
      <c r="T415" s="14" t="n">
        <v>7.96</v>
      </c>
      <c r="U415" s="14" t="n">
        <v>0.28</v>
      </c>
      <c r="V415" s="14" t="n">
        <v>0.66</v>
      </c>
      <c r="W415" s="14" t="n">
        <v>0.88</v>
      </c>
      <c r="X415" s="14" t="n">
        <v>6.62</v>
      </c>
      <c r="Z415" s="16" t="n">
        <v>141370926.73</v>
      </c>
      <c r="AA415" s="14" t="n">
        <v>52.09</v>
      </c>
      <c r="AB415" s="14" t="n">
        <v>9.01</v>
      </c>
      <c r="AC415" s="14" t="n">
        <v>0.01</v>
      </c>
      <c r="AD415" s="16" t="n">
        <v>10258369924.95</v>
      </c>
    </row>
    <row r="416" customFormat="false" ht="15.75" hidden="false" customHeight="false" outlineLevel="0" collapsed="false">
      <c r="A416" s="14" t="s">
        <v>448</v>
      </c>
      <c r="B416" s="14" t="n">
        <v>72.11</v>
      </c>
      <c r="D416" s="14" t="n">
        <v>8.01</v>
      </c>
      <c r="E416" s="14" t="n">
        <v>1.38</v>
      </c>
      <c r="F416" s="14" t="n">
        <v>0.39</v>
      </c>
      <c r="G416" s="14" t="n">
        <v>29.16</v>
      </c>
      <c r="H416" s="14" t="n">
        <v>6</v>
      </c>
      <c r="I416" s="14" t="n">
        <v>5.5</v>
      </c>
      <c r="J416" s="14" t="n">
        <v>7.34</v>
      </c>
      <c r="K416" s="14" t="n">
        <v>5.72</v>
      </c>
      <c r="L416" s="14" t="n">
        <v>1.83</v>
      </c>
      <c r="M416" s="14" t="n">
        <v>0.35</v>
      </c>
      <c r="N416" s="14" t="n">
        <v>0.44</v>
      </c>
      <c r="O416" s="14" t="n">
        <v>-9.34</v>
      </c>
      <c r="P416" s="14" t="n">
        <v>-0.53</v>
      </c>
      <c r="Q416" s="14" t="n">
        <v>0.87</v>
      </c>
      <c r="R416" s="14" t="n">
        <v>17.29</v>
      </c>
      <c r="S416" s="14" t="n">
        <v>4.84</v>
      </c>
      <c r="T416" s="14" t="n">
        <v>7.96</v>
      </c>
      <c r="U416" s="14" t="n">
        <v>0.28</v>
      </c>
      <c r="V416" s="14" t="n">
        <v>0.66</v>
      </c>
      <c r="W416" s="14" t="n">
        <v>0.88</v>
      </c>
      <c r="X416" s="14" t="n">
        <v>6.62</v>
      </c>
      <c r="AA416" s="14" t="n">
        <v>52.09</v>
      </c>
      <c r="AB416" s="14" t="n">
        <v>9.01</v>
      </c>
      <c r="AC416" s="14" t="n">
        <v>0.02</v>
      </c>
      <c r="AD416" s="16" t="n">
        <v>10258369924.95</v>
      </c>
    </row>
    <row r="417" customFormat="false" ht="15.75" hidden="false" customHeight="false" outlineLevel="0" collapsed="false">
      <c r="A417" s="14" t="s">
        <v>449</v>
      </c>
      <c r="B417" s="14" t="n">
        <v>7.06</v>
      </c>
      <c r="D417" s="14" t="n">
        <v>-0.79</v>
      </c>
      <c r="E417" s="14" t="n">
        <v>-0.07</v>
      </c>
      <c r="F417" s="14" t="n">
        <v>0.24</v>
      </c>
      <c r="G417" s="14" t="n">
        <v>34.05</v>
      </c>
      <c r="H417" s="14" t="n">
        <v>-130.63</v>
      </c>
      <c r="I417" s="14" t="n">
        <v>-196.66</v>
      </c>
      <c r="J417" s="14" t="n">
        <v>-1.19</v>
      </c>
      <c r="K417" s="14" t="n">
        <v>-4.66</v>
      </c>
      <c r="L417" s="14" t="n">
        <v>-3.47</v>
      </c>
      <c r="N417" s="14" t="n">
        <v>1.56</v>
      </c>
      <c r="O417" s="14" t="n">
        <v>-0.17</v>
      </c>
      <c r="P417" s="14" t="n">
        <v>-1.11</v>
      </c>
      <c r="Q417" s="14" t="n">
        <v>0.36</v>
      </c>
      <c r="R417" s="14" t="n">
        <v>-9.03</v>
      </c>
      <c r="S417" s="14" t="n">
        <v>-30.18</v>
      </c>
      <c r="T417" s="14" t="n">
        <v>10</v>
      </c>
      <c r="U417" s="14" t="n">
        <v>-3.34</v>
      </c>
      <c r="V417" s="14" t="n">
        <v>4.38</v>
      </c>
      <c r="W417" s="14" t="n">
        <v>0.15</v>
      </c>
      <c r="X417" s="14" t="n">
        <v>-35.22</v>
      </c>
      <c r="Z417" s="16" t="n">
        <v>1439390.68</v>
      </c>
      <c r="AA417" s="14" t="n">
        <v>-98.67</v>
      </c>
      <c r="AB417" s="14" t="n">
        <v>-8.91</v>
      </c>
      <c r="AC417" s="14" t="n">
        <v>0.02</v>
      </c>
      <c r="AD417" s="16" t="n">
        <v>395179537.28</v>
      </c>
    </row>
    <row r="418" customFormat="false" ht="15.75" hidden="false" customHeight="false" outlineLevel="0" collapsed="false">
      <c r="A418" s="14" t="s">
        <v>450</v>
      </c>
      <c r="B418" s="14" t="n">
        <v>6.88</v>
      </c>
      <c r="D418" s="14" t="n">
        <v>31.36</v>
      </c>
      <c r="E418" s="14" t="n">
        <v>5.24</v>
      </c>
      <c r="F418" s="14" t="n">
        <v>1.43</v>
      </c>
      <c r="G418" s="14" t="n">
        <v>36.43</v>
      </c>
      <c r="H418" s="14" t="n">
        <v>10.49</v>
      </c>
      <c r="I418" s="14" t="n">
        <v>10.17</v>
      </c>
      <c r="J418" s="14" t="n">
        <v>30.4</v>
      </c>
      <c r="K418" s="14" t="n">
        <v>31.5</v>
      </c>
      <c r="L418" s="14" t="n">
        <v>1.19</v>
      </c>
      <c r="M418" s="14" t="n">
        <v>0.21</v>
      </c>
      <c r="N418" s="14" t="n">
        <v>3.19</v>
      </c>
      <c r="O418" s="14" t="n">
        <v>4.14</v>
      </c>
      <c r="P418" s="14" t="n">
        <v>-6.23</v>
      </c>
      <c r="Q418" s="14" t="n">
        <v>1.82</v>
      </c>
      <c r="R418" s="14" t="n">
        <v>16.71</v>
      </c>
      <c r="S418" s="14" t="n">
        <v>4.57</v>
      </c>
      <c r="T418" s="14" t="n">
        <v>9.3</v>
      </c>
      <c r="U418" s="14" t="n">
        <v>0.27</v>
      </c>
      <c r="V418" s="14" t="n">
        <v>0.73</v>
      </c>
      <c r="W418" s="14" t="n">
        <v>0.45</v>
      </c>
      <c r="X418" s="14" t="n">
        <v>173.12</v>
      </c>
      <c r="Z418" s="16" t="n">
        <v>2409891.76</v>
      </c>
      <c r="AA418" s="14" t="n">
        <v>1.31</v>
      </c>
      <c r="AB418" s="14" t="n">
        <v>0.22</v>
      </c>
      <c r="AC418" s="14" t="n">
        <v>0.14</v>
      </c>
      <c r="AD418" s="16" t="n">
        <v>538165483.94</v>
      </c>
    </row>
    <row r="419" customFormat="false" ht="15.75" hidden="false" customHeight="false" outlineLevel="0" collapsed="false">
      <c r="A419" s="14" t="s">
        <v>451</v>
      </c>
      <c r="B419" s="14" t="n">
        <v>71</v>
      </c>
      <c r="C419" s="14" t="n">
        <v>42.74</v>
      </c>
      <c r="D419" s="14" t="n">
        <v>1.91</v>
      </c>
      <c r="E419" s="14" t="n">
        <v>1.61</v>
      </c>
      <c r="F419" s="14" t="n">
        <v>1.45</v>
      </c>
      <c r="G419" s="14" t="n">
        <v>36.48</v>
      </c>
      <c r="H419" s="14" t="n">
        <v>739.71</v>
      </c>
      <c r="I419" s="14" t="n">
        <v>494.78</v>
      </c>
      <c r="J419" s="14" t="n">
        <v>1.28</v>
      </c>
      <c r="K419" s="14" t="n">
        <v>0.87</v>
      </c>
      <c r="L419" s="14" t="n">
        <v>-0.36</v>
      </c>
      <c r="M419" s="14" t="n">
        <v>-0.46</v>
      </c>
      <c r="N419" s="14" t="n">
        <v>9.46</v>
      </c>
      <c r="O419" s="14" t="n">
        <v>3.37</v>
      </c>
      <c r="P419" s="14" t="n">
        <v>-2.63</v>
      </c>
      <c r="Q419" s="14" t="n">
        <v>24.55</v>
      </c>
      <c r="R419" s="14" t="n">
        <v>84.06</v>
      </c>
      <c r="S419" s="14" t="n">
        <v>75.91</v>
      </c>
      <c r="T419" s="14" t="n">
        <v>81.61</v>
      </c>
      <c r="U419" s="14" t="n">
        <v>0.9</v>
      </c>
      <c r="V419" s="14" t="n">
        <v>0.1</v>
      </c>
      <c r="W419" s="14" t="n">
        <v>0.15</v>
      </c>
      <c r="X419" s="14" t="n">
        <v>-8.83</v>
      </c>
      <c r="Y419" s="14" t="n">
        <v>78.06</v>
      </c>
      <c r="Z419" s="16" t="n">
        <v>51782.93</v>
      </c>
      <c r="AA419" s="14" t="n">
        <v>44.18</v>
      </c>
      <c r="AB419" s="14" t="n">
        <v>37.13</v>
      </c>
      <c r="AC419" s="14" t="n">
        <v>0</v>
      </c>
      <c r="AD419" s="16" t="n">
        <v>880886556.9</v>
      </c>
    </row>
    <row r="420" customFormat="false" ht="15.75" hidden="false" customHeight="false" outlineLevel="0" collapsed="false">
      <c r="A420" s="14" t="s">
        <v>452</v>
      </c>
      <c r="B420" s="14" t="n">
        <v>68.5</v>
      </c>
      <c r="C420" s="14" t="n">
        <v>48.73</v>
      </c>
      <c r="D420" s="14" t="n">
        <v>1.84</v>
      </c>
      <c r="E420" s="14" t="n">
        <v>1.55</v>
      </c>
      <c r="F420" s="14" t="n">
        <v>1.4</v>
      </c>
      <c r="G420" s="14" t="n">
        <v>36.48</v>
      </c>
      <c r="H420" s="14" t="n">
        <v>739.71</v>
      </c>
      <c r="I420" s="14" t="n">
        <v>494.78</v>
      </c>
      <c r="J420" s="14" t="n">
        <v>1.23</v>
      </c>
      <c r="K420" s="14" t="n">
        <v>0.87</v>
      </c>
      <c r="L420" s="14" t="n">
        <v>-0.36</v>
      </c>
      <c r="M420" s="14" t="n">
        <v>-0.46</v>
      </c>
      <c r="N420" s="14" t="n">
        <v>9.13</v>
      </c>
      <c r="O420" s="14" t="n">
        <v>3.25</v>
      </c>
      <c r="P420" s="14" t="n">
        <v>-2.54</v>
      </c>
      <c r="Q420" s="14" t="n">
        <v>24.55</v>
      </c>
      <c r="R420" s="14" t="n">
        <v>84.06</v>
      </c>
      <c r="S420" s="14" t="n">
        <v>75.91</v>
      </c>
      <c r="T420" s="14" t="n">
        <v>81.61</v>
      </c>
      <c r="U420" s="14" t="n">
        <v>0.9</v>
      </c>
      <c r="V420" s="14" t="n">
        <v>0.1</v>
      </c>
      <c r="W420" s="14" t="n">
        <v>0.15</v>
      </c>
      <c r="X420" s="14" t="n">
        <v>-8.83</v>
      </c>
      <c r="Y420" s="14" t="n">
        <v>78.06</v>
      </c>
      <c r="Z420" s="16" t="n">
        <v>28660.63</v>
      </c>
      <c r="AA420" s="14" t="n">
        <v>44.18</v>
      </c>
      <c r="AB420" s="14" t="n">
        <v>37.13</v>
      </c>
      <c r="AC420" s="14" t="n">
        <v>0</v>
      </c>
      <c r="AD420" s="16" t="n">
        <v>880886556.9</v>
      </c>
    </row>
    <row r="421" customFormat="false" ht="15.75" hidden="false" customHeight="false" outlineLevel="0" collapsed="false">
      <c r="A421" s="14" t="s">
        <v>453</v>
      </c>
      <c r="B421" s="14" t="n">
        <v>29.35</v>
      </c>
      <c r="C421" s="14" t="n">
        <v>3.52</v>
      </c>
      <c r="D421" s="14" t="n">
        <v>6.74</v>
      </c>
      <c r="E421" s="14" t="n">
        <v>1.22</v>
      </c>
      <c r="F421" s="14" t="n">
        <v>0.38</v>
      </c>
      <c r="G421" s="14" t="n">
        <v>48.23</v>
      </c>
      <c r="H421" s="14" t="n">
        <v>45.61</v>
      </c>
      <c r="I421" s="14" t="n">
        <v>20.09</v>
      </c>
      <c r="J421" s="14" t="n">
        <v>2.97</v>
      </c>
      <c r="K421" s="14" t="n">
        <v>5.55</v>
      </c>
      <c r="L421" s="14" t="n">
        <v>2.58</v>
      </c>
      <c r="M421" s="14" t="n">
        <v>1.06</v>
      </c>
      <c r="N421" s="14" t="n">
        <v>1.35</v>
      </c>
      <c r="O421" s="14" t="n">
        <v>12.98</v>
      </c>
      <c r="P421" s="14" t="n">
        <v>-0.45</v>
      </c>
      <c r="Q421" s="14" t="n">
        <v>1.24</v>
      </c>
      <c r="R421" s="14" t="n">
        <v>18.12</v>
      </c>
      <c r="S421" s="14" t="n">
        <v>5.69</v>
      </c>
      <c r="T421" s="14" t="n">
        <v>16.06</v>
      </c>
      <c r="U421" s="14" t="n">
        <v>0.31</v>
      </c>
      <c r="V421" s="14" t="n">
        <v>0.68</v>
      </c>
      <c r="W421" s="14" t="n">
        <v>0.28</v>
      </c>
      <c r="X421" s="14" t="n">
        <v>-3.29</v>
      </c>
      <c r="Z421" s="16" t="n">
        <v>545566646.41</v>
      </c>
      <c r="AA421" s="14" t="n">
        <v>24.03</v>
      </c>
      <c r="AB421" s="14" t="n">
        <v>4.35</v>
      </c>
      <c r="AC421" s="14" t="n">
        <v>-0.01</v>
      </c>
      <c r="AD421" s="16" t="n">
        <v>382366164721.82</v>
      </c>
    </row>
    <row r="422" customFormat="false" ht="15.75" hidden="false" customHeight="false" outlineLevel="0" collapsed="false">
      <c r="A422" s="14" t="s">
        <v>454</v>
      </c>
      <c r="B422" s="14" t="n">
        <v>28.94</v>
      </c>
      <c r="C422" s="14" t="n">
        <v>2.74</v>
      </c>
      <c r="D422" s="14" t="n">
        <v>6.65</v>
      </c>
      <c r="E422" s="14" t="n">
        <v>1.2</v>
      </c>
      <c r="F422" s="14" t="n">
        <v>0.38</v>
      </c>
      <c r="G422" s="14" t="n">
        <v>48.23</v>
      </c>
      <c r="H422" s="14" t="n">
        <v>45.61</v>
      </c>
      <c r="I422" s="14" t="n">
        <v>20.09</v>
      </c>
      <c r="J422" s="14" t="n">
        <v>2.93</v>
      </c>
      <c r="K422" s="14" t="n">
        <v>5.55</v>
      </c>
      <c r="L422" s="14" t="n">
        <v>2.58</v>
      </c>
      <c r="M422" s="14" t="n">
        <v>1.06</v>
      </c>
      <c r="N422" s="14" t="n">
        <v>1.34</v>
      </c>
      <c r="O422" s="14" t="n">
        <v>12.8</v>
      </c>
      <c r="P422" s="14" t="n">
        <v>-0.45</v>
      </c>
      <c r="Q422" s="14" t="n">
        <v>1.24</v>
      </c>
      <c r="R422" s="14" t="n">
        <v>18.12</v>
      </c>
      <c r="S422" s="14" t="n">
        <v>5.69</v>
      </c>
      <c r="T422" s="14" t="n">
        <v>16.06</v>
      </c>
      <c r="U422" s="14" t="n">
        <v>0.31</v>
      </c>
      <c r="V422" s="14" t="n">
        <v>0.68</v>
      </c>
      <c r="W422" s="14" t="n">
        <v>0.28</v>
      </c>
      <c r="X422" s="14" t="n">
        <v>-3.29</v>
      </c>
      <c r="Z422" s="16" t="n">
        <v>1921816618.68</v>
      </c>
      <c r="AA422" s="14" t="n">
        <v>24.03</v>
      </c>
      <c r="AB422" s="14" t="n">
        <v>4.35</v>
      </c>
      <c r="AC422" s="14" t="n">
        <v>-0.01</v>
      </c>
      <c r="AD422" s="16" t="n">
        <v>382366164721.82</v>
      </c>
    </row>
    <row r="423" customFormat="false" ht="15.75" hidden="false" customHeight="false" outlineLevel="0" collapsed="false">
      <c r="A423" s="14" t="s">
        <v>455</v>
      </c>
      <c r="B423" s="14" t="n">
        <v>25.28</v>
      </c>
      <c r="C423" s="14" t="n">
        <v>0.16</v>
      </c>
      <c r="D423" s="14" t="n">
        <v>198.07</v>
      </c>
      <c r="E423" s="14" t="n">
        <v>18.29</v>
      </c>
      <c r="F423" s="14" t="n">
        <v>5.1</v>
      </c>
      <c r="G423" s="14" t="n">
        <v>48.33</v>
      </c>
      <c r="H423" s="14" t="n">
        <v>7.51</v>
      </c>
      <c r="I423" s="14" t="n">
        <v>3.16</v>
      </c>
      <c r="J423" s="14" t="n">
        <v>83.33</v>
      </c>
      <c r="K423" s="14" t="n">
        <v>84.03</v>
      </c>
      <c r="L423" s="14" t="n">
        <v>0.31</v>
      </c>
      <c r="M423" s="14" t="n">
        <v>0.07</v>
      </c>
      <c r="N423" s="14" t="n">
        <v>6.26</v>
      </c>
      <c r="O423" s="14" t="n">
        <v>55.95</v>
      </c>
      <c r="P423" s="14" t="n">
        <v>-9.09</v>
      </c>
      <c r="Q423" s="14" t="n">
        <v>1.26</v>
      </c>
      <c r="R423" s="14" t="n">
        <v>9.24</v>
      </c>
      <c r="S423" s="14" t="n">
        <v>2.58</v>
      </c>
      <c r="T423" s="14" t="n">
        <v>11.37</v>
      </c>
      <c r="U423" s="14" t="n">
        <v>0.28</v>
      </c>
      <c r="V423" s="14" t="n">
        <v>0.72</v>
      </c>
      <c r="W423" s="14" t="n">
        <v>0.82</v>
      </c>
      <c r="Z423" s="16" t="n">
        <v>84853677.71</v>
      </c>
      <c r="AA423" s="14" t="n">
        <v>1.38</v>
      </c>
      <c r="AB423" s="14" t="n">
        <v>0.13</v>
      </c>
      <c r="AC423" s="14" t="n">
        <v>8.36</v>
      </c>
      <c r="AD423" s="16" t="n">
        <v>10007376429.2</v>
      </c>
    </row>
    <row r="424" customFormat="false" ht="15.75" hidden="false" customHeight="false" outlineLevel="0" collapsed="false">
      <c r="A424" s="14" t="s">
        <v>456</v>
      </c>
      <c r="B424" s="14" t="n">
        <v>6.74</v>
      </c>
      <c r="D424" s="14" t="n">
        <v>13.81</v>
      </c>
      <c r="E424" s="14" t="n">
        <v>0.79</v>
      </c>
      <c r="F424" s="14" t="n">
        <v>0.2</v>
      </c>
      <c r="G424" s="14" t="n">
        <v>13.96</v>
      </c>
      <c r="H424" s="14" t="n">
        <v>2.05</v>
      </c>
      <c r="I424" s="14" t="n">
        <v>1.08</v>
      </c>
      <c r="J424" s="14" t="n">
        <v>7.29</v>
      </c>
      <c r="K424" s="14" t="n">
        <v>10.36</v>
      </c>
      <c r="L424" s="14" t="n">
        <v>3.19</v>
      </c>
      <c r="M424" s="14" t="n">
        <v>0.35</v>
      </c>
      <c r="N424" s="14" t="n">
        <v>0.15</v>
      </c>
      <c r="O424" s="14" t="n">
        <v>0.98</v>
      </c>
      <c r="P424" s="14" t="n">
        <v>-0.64</v>
      </c>
      <c r="Q424" s="14" t="n">
        <v>1.43</v>
      </c>
      <c r="R424" s="14" t="n">
        <v>5.73</v>
      </c>
      <c r="S424" s="14" t="n">
        <v>1.47</v>
      </c>
      <c r="T424" s="14" t="n">
        <v>4.1</v>
      </c>
      <c r="U424" s="14" t="n">
        <v>0.26</v>
      </c>
      <c r="V424" s="14" t="n">
        <v>0.65</v>
      </c>
      <c r="W424" s="14" t="n">
        <v>1.35</v>
      </c>
      <c r="X424" s="14" t="n">
        <v>9.61</v>
      </c>
      <c r="Z424" s="16" t="n">
        <v>3046237.34</v>
      </c>
      <c r="AA424" s="14" t="n">
        <v>8.52</v>
      </c>
      <c r="AB424" s="14" t="n">
        <v>0.49</v>
      </c>
      <c r="AC424" s="14" t="n">
        <v>0.07</v>
      </c>
      <c r="AD424" s="16" t="n">
        <v>819640557.26</v>
      </c>
    </row>
    <row r="425" customFormat="false" ht="15.75" hidden="false" customHeight="false" outlineLevel="0" collapsed="false">
      <c r="A425" s="14" t="s">
        <v>457</v>
      </c>
      <c r="B425" s="14" t="n">
        <v>11.25</v>
      </c>
      <c r="D425" s="14" t="n">
        <v>38.11</v>
      </c>
      <c r="E425" s="14" t="n">
        <v>2.53</v>
      </c>
      <c r="F425" s="14" t="n">
        <v>0.87</v>
      </c>
      <c r="G425" s="14" t="n">
        <v>31.3</v>
      </c>
      <c r="H425" s="14" t="n">
        <v>5.08</v>
      </c>
      <c r="I425" s="14" t="n">
        <v>1.88</v>
      </c>
      <c r="J425" s="14" t="n">
        <v>14.09</v>
      </c>
      <c r="K425" s="14" t="n">
        <v>15.06</v>
      </c>
      <c r="L425" s="14" t="n">
        <v>1</v>
      </c>
      <c r="M425" s="14" t="n">
        <v>0.18</v>
      </c>
      <c r="N425" s="14" t="n">
        <v>0.72</v>
      </c>
      <c r="O425" s="14" t="n">
        <v>3.89</v>
      </c>
      <c r="P425" s="14" t="n">
        <v>-1.95</v>
      </c>
      <c r="Q425" s="14" t="n">
        <v>1.67</v>
      </c>
      <c r="R425" s="14" t="n">
        <v>6.63</v>
      </c>
      <c r="S425" s="14" t="n">
        <v>2.28</v>
      </c>
      <c r="T425" s="14" t="n">
        <v>12.33</v>
      </c>
      <c r="U425" s="14" t="n">
        <v>0.34</v>
      </c>
      <c r="V425" s="14" t="n">
        <v>0.66</v>
      </c>
      <c r="W425" s="14" t="n">
        <v>1.21</v>
      </c>
      <c r="X425" s="14" t="n">
        <v>8.17</v>
      </c>
      <c r="Y425" s="14" t="n">
        <v>25.42</v>
      </c>
      <c r="Z425" s="16" t="n">
        <v>13647326.12</v>
      </c>
      <c r="AA425" s="14" t="n">
        <v>4.45</v>
      </c>
      <c r="AB425" s="14" t="n">
        <v>0.3</v>
      </c>
      <c r="AC425" s="14" t="n">
        <v>0.16</v>
      </c>
      <c r="AD425" s="16" t="n">
        <v>4979223515.64</v>
      </c>
    </row>
    <row r="426" customFormat="false" ht="15.75" hidden="false" customHeight="false" outlineLevel="0" collapsed="false">
      <c r="A426" s="14" t="s">
        <v>458</v>
      </c>
      <c r="B426" s="14" t="n">
        <v>0</v>
      </c>
      <c r="D426" s="14" t="n">
        <v>0</v>
      </c>
      <c r="E426" s="14" t="n">
        <v>0</v>
      </c>
      <c r="F426" s="14" t="n">
        <v>0</v>
      </c>
      <c r="G426" s="14" t="n">
        <v>20.27</v>
      </c>
      <c r="H426" s="14" t="n">
        <v>-11.41</v>
      </c>
      <c r="I426" s="14" t="n">
        <v>-8.79</v>
      </c>
      <c r="J426" s="14" t="n">
        <v>0</v>
      </c>
      <c r="K426" s="14" t="n">
        <v>-2.79</v>
      </c>
      <c r="N426" s="14" t="n">
        <v>0</v>
      </c>
      <c r="O426" s="14" t="n">
        <v>0</v>
      </c>
      <c r="P426" s="14" t="n">
        <v>0</v>
      </c>
      <c r="Q426" s="14" t="n">
        <v>0.64</v>
      </c>
      <c r="R426" s="14" t="n">
        <v>-8.11</v>
      </c>
      <c r="S426" s="14" t="n">
        <v>-0.42</v>
      </c>
      <c r="U426" s="14" t="n">
        <v>0.05</v>
      </c>
      <c r="V426" s="14" t="n">
        <v>0.95</v>
      </c>
      <c r="W426" s="14" t="n">
        <v>0.05</v>
      </c>
      <c r="X426" s="14" t="n">
        <v>4.73</v>
      </c>
      <c r="AA426" s="14" t="n">
        <v>5.06</v>
      </c>
      <c r="AB426" s="14" t="n">
        <v>-0.41</v>
      </c>
      <c r="AC426" s="14" t="n">
        <v>0</v>
      </c>
      <c r="AD426" s="16" t="n">
        <v>219917163.66</v>
      </c>
    </row>
    <row r="427" customFormat="false" ht="15.75" hidden="false" customHeight="false" outlineLevel="0" collapsed="false">
      <c r="A427" s="14" t="s">
        <v>459</v>
      </c>
      <c r="B427" s="14" t="n">
        <v>3.02</v>
      </c>
      <c r="D427" s="14" t="n">
        <v>-7.36</v>
      </c>
      <c r="E427" s="14" t="n">
        <v>0.6</v>
      </c>
      <c r="F427" s="14" t="n">
        <v>0.03</v>
      </c>
      <c r="G427" s="14" t="n">
        <v>20.27</v>
      </c>
      <c r="H427" s="14" t="n">
        <v>-11.41</v>
      </c>
      <c r="I427" s="14" t="n">
        <v>-8.79</v>
      </c>
      <c r="J427" s="14" t="n">
        <v>-5.67</v>
      </c>
      <c r="K427" s="14" t="n">
        <v>-2.79</v>
      </c>
      <c r="N427" s="14" t="n">
        <v>0.65</v>
      </c>
      <c r="O427" s="14" t="n">
        <v>-0.21</v>
      </c>
      <c r="P427" s="14" t="n">
        <v>-0.04</v>
      </c>
      <c r="Q427" s="14" t="n">
        <v>0.64</v>
      </c>
      <c r="R427" s="14" t="n">
        <v>-8.11</v>
      </c>
      <c r="S427" s="14" t="n">
        <v>-0.42</v>
      </c>
      <c r="U427" s="14" t="n">
        <v>0.05</v>
      </c>
      <c r="V427" s="14" t="n">
        <v>0.95</v>
      </c>
      <c r="W427" s="14" t="n">
        <v>0.05</v>
      </c>
      <c r="X427" s="14" t="n">
        <v>4.73</v>
      </c>
      <c r="Z427" s="16" t="n">
        <v>4108443.56</v>
      </c>
      <c r="AA427" s="14" t="n">
        <v>5.06</v>
      </c>
      <c r="AB427" s="14" t="n">
        <v>-0.41</v>
      </c>
      <c r="AC427" s="14" t="n">
        <v>0.35</v>
      </c>
      <c r="AD427" s="16" t="n">
        <v>219917163.66</v>
      </c>
    </row>
    <row r="428" customFormat="false" ht="15.75" hidden="false" customHeight="false" outlineLevel="0" collapsed="false">
      <c r="A428" s="14" t="s">
        <v>460</v>
      </c>
      <c r="B428" s="14" t="n">
        <v>18.45</v>
      </c>
      <c r="D428" s="14" t="n">
        <v>-2.19</v>
      </c>
      <c r="E428" s="14" t="n">
        <v>-1.13</v>
      </c>
      <c r="F428" s="14" t="n">
        <v>0.37</v>
      </c>
      <c r="G428" s="14" t="n">
        <v>1.15</v>
      </c>
      <c r="H428" s="14" t="n">
        <v>-18.61</v>
      </c>
      <c r="I428" s="14" t="n">
        <v>-24.9</v>
      </c>
      <c r="J428" s="14" t="n">
        <v>-2.93</v>
      </c>
      <c r="K428" s="14" t="n">
        <v>-4.83</v>
      </c>
      <c r="L428" s="14" t="n">
        <v>-1.88</v>
      </c>
      <c r="N428" s="14" t="n">
        <v>0.55</v>
      </c>
      <c r="O428" s="14" t="n">
        <v>-1.77</v>
      </c>
      <c r="P428" s="14" t="n">
        <v>-0.54</v>
      </c>
      <c r="Q428" s="14" t="n">
        <v>0.6</v>
      </c>
      <c r="R428" s="14" t="n">
        <v>-51.39</v>
      </c>
      <c r="S428" s="14" t="n">
        <v>-16.81</v>
      </c>
      <c r="T428" s="14" t="n">
        <v>352.56</v>
      </c>
      <c r="U428" s="14" t="n">
        <v>-0.33</v>
      </c>
      <c r="V428" s="14" t="n">
        <v>1.33</v>
      </c>
      <c r="W428" s="14" t="n">
        <v>0.68</v>
      </c>
      <c r="X428" s="14" t="n">
        <v>-5.14</v>
      </c>
      <c r="Z428" s="16" t="n">
        <v>311267.59</v>
      </c>
      <c r="AA428" s="14" t="n">
        <v>-16.37</v>
      </c>
      <c r="AB428" s="14" t="n">
        <v>-8.41</v>
      </c>
      <c r="AC428" s="14" t="n">
        <v>0</v>
      </c>
      <c r="AD428" s="16" t="n">
        <v>230491503.9</v>
      </c>
    </row>
    <row r="429" customFormat="false" ht="15.75" hidden="false" customHeight="false" outlineLevel="0" collapsed="false">
      <c r="A429" s="14" t="s">
        <v>461</v>
      </c>
      <c r="B429" s="14" t="n">
        <v>6.36</v>
      </c>
      <c r="C429" s="14" t="n">
        <v>3.08</v>
      </c>
      <c r="D429" s="14" t="n">
        <v>8.03</v>
      </c>
      <c r="E429" s="14" t="n">
        <v>4.64</v>
      </c>
      <c r="F429" s="14" t="n">
        <v>1.11</v>
      </c>
      <c r="G429" s="14" t="n">
        <v>35.67</v>
      </c>
      <c r="H429" s="14" t="n">
        <v>17.84</v>
      </c>
      <c r="I429" s="14" t="n">
        <v>15.93</v>
      </c>
      <c r="J429" s="14" t="n">
        <v>7.17</v>
      </c>
      <c r="K429" s="14" t="n">
        <v>7.66</v>
      </c>
      <c r="L429" s="14" t="n">
        <v>0.51</v>
      </c>
      <c r="M429" s="14" t="n">
        <v>0.33</v>
      </c>
      <c r="N429" s="14" t="n">
        <v>1.28</v>
      </c>
      <c r="O429" s="14" t="n">
        <v>1.39</v>
      </c>
      <c r="P429" s="14" t="n">
        <v>-38.36</v>
      </c>
      <c r="Q429" s="14" t="n">
        <v>5.68</v>
      </c>
      <c r="R429" s="14" t="n">
        <v>57.76</v>
      </c>
      <c r="S429" s="14" t="n">
        <v>13.83</v>
      </c>
      <c r="T429" s="14" t="n">
        <v>24.53</v>
      </c>
      <c r="U429" s="14" t="n">
        <v>0.24</v>
      </c>
      <c r="V429" s="14" t="n">
        <v>0.76</v>
      </c>
      <c r="W429" s="14" t="n">
        <v>0.87</v>
      </c>
      <c r="Z429" s="16" t="n">
        <v>9775225.8</v>
      </c>
      <c r="AA429" s="14" t="n">
        <v>1.37</v>
      </c>
      <c r="AB429" s="14" t="n">
        <v>0.79</v>
      </c>
      <c r="AC429" s="14" t="n">
        <v>0.12</v>
      </c>
      <c r="AD429" s="16" t="n">
        <v>1294983040</v>
      </c>
    </row>
    <row r="430" customFormat="false" ht="15.75" hidden="false" customHeight="false" outlineLevel="0" collapsed="false">
      <c r="A430" s="14" t="s">
        <v>462</v>
      </c>
      <c r="B430" s="14" t="n">
        <v>15</v>
      </c>
      <c r="D430" s="14" t="n">
        <v>-0.94</v>
      </c>
      <c r="E430" s="14" t="n">
        <v>-1.1</v>
      </c>
      <c r="F430" s="14" t="n">
        <v>0.18</v>
      </c>
      <c r="G430" s="14" t="n">
        <v>1.42</v>
      </c>
      <c r="H430" s="14" t="n">
        <v>-6.18</v>
      </c>
      <c r="I430" s="14" t="n">
        <v>-14.8</v>
      </c>
      <c r="J430" s="14" t="n">
        <v>-2.25</v>
      </c>
      <c r="K430" s="14" t="n">
        <v>-12.77</v>
      </c>
      <c r="L430" s="14" t="n">
        <v>-10.51</v>
      </c>
      <c r="N430" s="14" t="n">
        <v>0.14</v>
      </c>
      <c r="O430" s="14" t="n">
        <v>-0.26</v>
      </c>
      <c r="P430" s="14" t="n">
        <v>-0.3</v>
      </c>
      <c r="Q430" s="14" t="n">
        <v>0.38</v>
      </c>
      <c r="R430" s="14" t="n">
        <v>-116.86</v>
      </c>
      <c r="S430" s="14" t="n">
        <v>-18.89</v>
      </c>
      <c r="T430" s="14" t="n">
        <v>-11.39</v>
      </c>
      <c r="U430" s="14" t="n">
        <v>-0.16</v>
      </c>
      <c r="V430" s="14" t="n">
        <v>1.16</v>
      </c>
      <c r="W430" s="14" t="n">
        <v>1.28</v>
      </c>
      <c r="X430" s="14" t="n">
        <v>-4.39</v>
      </c>
      <c r="Z430" s="16" t="n">
        <v>11594549.68</v>
      </c>
      <c r="AA430" s="14" t="n">
        <v>-13.68</v>
      </c>
      <c r="AB430" s="14" t="n">
        <v>-15.99</v>
      </c>
      <c r="AC430" s="14" t="n">
        <v>-0.04</v>
      </c>
      <c r="AD430" s="16" t="n">
        <v>653227927.45</v>
      </c>
    </row>
    <row r="431" customFormat="false" ht="15.75" hidden="false" customHeight="false" outlineLevel="0" collapsed="false">
      <c r="A431" s="14" t="s">
        <v>463</v>
      </c>
      <c r="B431" s="14" t="n">
        <v>21.12</v>
      </c>
      <c r="C431" s="14" t="n">
        <v>0.64</v>
      </c>
      <c r="D431" s="14" t="n">
        <v>51.67</v>
      </c>
      <c r="E431" s="14" t="n">
        <v>3.15</v>
      </c>
      <c r="F431" s="14" t="n">
        <v>1.42</v>
      </c>
      <c r="G431" s="14" t="n">
        <v>29.77</v>
      </c>
      <c r="H431" s="14" t="n">
        <v>3.09</v>
      </c>
      <c r="I431" s="14" t="n">
        <v>2.15</v>
      </c>
      <c r="J431" s="14" t="n">
        <v>35.92</v>
      </c>
      <c r="K431" s="14" t="n">
        <v>39.77</v>
      </c>
      <c r="L431" s="14" t="n">
        <v>3.88</v>
      </c>
      <c r="M431" s="14" t="n">
        <v>0.34</v>
      </c>
      <c r="N431" s="14" t="n">
        <v>1.11</v>
      </c>
      <c r="O431" s="14" t="n">
        <v>4.61</v>
      </c>
      <c r="P431" s="14" t="n">
        <v>-3.91</v>
      </c>
      <c r="Q431" s="14" t="n">
        <v>1.94</v>
      </c>
      <c r="R431" s="14" t="n">
        <v>6.09</v>
      </c>
      <c r="S431" s="14" t="n">
        <v>2.75</v>
      </c>
      <c r="T431" s="14" t="n">
        <v>5.32</v>
      </c>
      <c r="U431" s="14" t="n">
        <v>0.45</v>
      </c>
      <c r="V431" s="14" t="n">
        <v>0.55</v>
      </c>
      <c r="W431" s="14" t="n">
        <v>1.28</v>
      </c>
      <c r="X431" s="14" t="n">
        <v>7.26</v>
      </c>
      <c r="Y431" s="14" t="n">
        <v>4.4</v>
      </c>
      <c r="Z431" s="16" t="n">
        <v>17631743.95</v>
      </c>
      <c r="AA431" s="14" t="n">
        <v>6.71</v>
      </c>
      <c r="AB431" s="14" t="n">
        <v>0.41</v>
      </c>
      <c r="AC431" s="14" t="n">
        <v>-2.52</v>
      </c>
      <c r="AD431" s="16" t="n">
        <v>3196236229</v>
      </c>
    </row>
    <row r="432" customFormat="false" ht="15.75" hidden="false" customHeight="false" outlineLevel="0" collapsed="false">
      <c r="A432" s="14" t="s">
        <v>464</v>
      </c>
      <c r="B432" s="14" t="n">
        <v>21.1</v>
      </c>
      <c r="C432" s="14" t="n">
        <v>0.71</v>
      </c>
      <c r="D432" s="14" t="n">
        <v>51.62</v>
      </c>
      <c r="E432" s="14" t="n">
        <v>3.15</v>
      </c>
      <c r="F432" s="14" t="n">
        <v>1.42</v>
      </c>
      <c r="G432" s="14" t="n">
        <v>29.77</v>
      </c>
      <c r="H432" s="14" t="n">
        <v>3.09</v>
      </c>
      <c r="I432" s="14" t="n">
        <v>2.15</v>
      </c>
      <c r="J432" s="14" t="n">
        <v>35.89</v>
      </c>
      <c r="K432" s="14" t="n">
        <v>39.77</v>
      </c>
      <c r="L432" s="14" t="n">
        <v>3.88</v>
      </c>
      <c r="M432" s="14" t="n">
        <v>0.34</v>
      </c>
      <c r="N432" s="14" t="n">
        <v>1.11</v>
      </c>
      <c r="O432" s="14" t="n">
        <v>4.6</v>
      </c>
      <c r="P432" s="14" t="n">
        <v>-3.91</v>
      </c>
      <c r="Q432" s="14" t="n">
        <v>1.94</v>
      </c>
      <c r="R432" s="14" t="n">
        <v>6.09</v>
      </c>
      <c r="S432" s="14" t="n">
        <v>2.75</v>
      </c>
      <c r="T432" s="14" t="n">
        <v>5.32</v>
      </c>
      <c r="U432" s="14" t="n">
        <v>0.45</v>
      </c>
      <c r="V432" s="14" t="n">
        <v>0.55</v>
      </c>
      <c r="W432" s="14" t="n">
        <v>1.28</v>
      </c>
      <c r="X432" s="14" t="n">
        <v>7.26</v>
      </c>
      <c r="Y432" s="14" t="n">
        <v>4.4</v>
      </c>
      <c r="Z432" s="16" t="n">
        <v>241538.76</v>
      </c>
      <c r="AA432" s="14" t="n">
        <v>6.71</v>
      </c>
      <c r="AB432" s="14" t="n">
        <v>0.41</v>
      </c>
      <c r="AC432" s="14" t="n">
        <v>-2.52</v>
      </c>
      <c r="AD432" s="16" t="n">
        <v>3196236229</v>
      </c>
    </row>
    <row r="433" customFormat="false" ht="15.75" hidden="false" customHeight="false" outlineLevel="0" collapsed="false">
      <c r="A433" s="14" t="s">
        <v>465</v>
      </c>
      <c r="B433" s="14" t="n">
        <v>3.24</v>
      </c>
      <c r="C433" s="14" t="n">
        <v>0.62</v>
      </c>
      <c r="D433" s="14" t="n">
        <v>40.26</v>
      </c>
      <c r="E433" s="14" t="n">
        <v>1.19</v>
      </c>
      <c r="F433" s="14" t="n">
        <v>0.51</v>
      </c>
      <c r="G433" s="14" t="n">
        <v>15.58</v>
      </c>
      <c r="H433" s="14" t="n">
        <v>2.58</v>
      </c>
      <c r="I433" s="14" t="n">
        <v>2.17</v>
      </c>
      <c r="J433" s="14" t="n">
        <v>33.91</v>
      </c>
      <c r="K433" s="14" t="n">
        <v>47.04</v>
      </c>
      <c r="L433" s="14" t="n">
        <v>11.86</v>
      </c>
      <c r="M433" s="14" t="n">
        <v>0.41</v>
      </c>
      <c r="N433" s="14" t="n">
        <v>0.88</v>
      </c>
      <c r="O433" s="14" t="n">
        <v>2.17</v>
      </c>
      <c r="P433" s="14" t="n">
        <v>-1.1</v>
      </c>
      <c r="Q433" s="14" t="n">
        <v>1.81</v>
      </c>
      <c r="R433" s="14" t="n">
        <v>2.94</v>
      </c>
      <c r="S433" s="14" t="n">
        <v>1.28</v>
      </c>
      <c r="T433" s="14" t="n">
        <v>1.45</v>
      </c>
      <c r="U433" s="14" t="n">
        <v>0.43</v>
      </c>
      <c r="V433" s="14" t="n">
        <v>0.56</v>
      </c>
      <c r="W433" s="14" t="n">
        <v>0.59</v>
      </c>
      <c r="X433" s="14" t="n">
        <v>5.56</v>
      </c>
      <c r="Y433" s="14" t="n">
        <v>0.36</v>
      </c>
      <c r="Z433" s="16" t="n">
        <v>1105810.32</v>
      </c>
      <c r="AA433" s="14" t="n">
        <v>2.73</v>
      </c>
      <c r="AB433" s="14" t="n">
        <v>0.08</v>
      </c>
      <c r="AC433" s="14" t="n">
        <v>-0.67</v>
      </c>
      <c r="AD433" s="16" t="n">
        <v>3182933693.9</v>
      </c>
    </row>
    <row r="434" customFormat="false" ht="15.75" hidden="false" customHeight="false" outlineLevel="0" collapsed="false">
      <c r="A434" s="14" t="s">
        <v>466</v>
      </c>
      <c r="B434" s="14" t="n">
        <v>3.42</v>
      </c>
      <c r="C434" s="14" t="n">
        <v>0.58</v>
      </c>
      <c r="D434" s="14" t="n">
        <v>42.5</v>
      </c>
      <c r="E434" s="14" t="n">
        <v>1.25</v>
      </c>
      <c r="F434" s="14" t="n">
        <v>0.54</v>
      </c>
      <c r="G434" s="14" t="n">
        <v>15.58</v>
      </c>
      <c r="H434" s="14" t="n">
        <v>2.58</v>
      </c>
      <c r="I434" s="14" t="n">
        <v>2.17</v>
      </c>
      <c r="J434" s="14" t="n">
        <v>35.8</v>
      </c>
      <c r="K434" s="14" t="n">
        <v>47.04</v>
      </c>
      <c r="L434" s="14" t="n">
        <v>11.86</v>
      </c>
      <c r="M434" s="14" t="n">
        <v>0.41</v>
      </c>
      <c r="N434" s="14" t="n">
        <v>0.92</v>
      </c>
      <c r="O434" s="14" t="n">
        <v>2.29</v>
      </c>
      <c r="P434" s="14" t="n">
        <v>-1.16</v>
      </c>
      <c r="Q434" s="14" t="n">
        <v>1.81</v>
      </c>
      <c r="R434" s="14" t="n">
        <v>2.94</v>
      </c>
      <c r="S434" s="14" t="n">
        <v>1.28</v>
      </c>
      <c r="T434" s="14" t="n">
        <v>1.45</v>
      </c>
      <c r="U434" s="14" t="n">
        <v>0.43</v>
      </c>
      <c r="V434" s="14" t="n">
        <v>0.56</v>
      </c>
      <c r="W434" s="14" t="n">
        <v>0.59</v>
      </c>
      <c r="X434" s="14" t="n">
        <v>5.56</v>
      </c>
      <c r="Y434" s="14" t="n">
        <v>0.36</v>
      </c>
      <c r="Z434" s="16" t="n">
        <v>19198383.44</v>
      </c>
      <c r="AA434" s="14" t="n">
        <v>2.73</v>
      </c>
      <c r="AB434" s="14" t="n">
        <v>0.08</v>
      </c>
      <c r="AC434" s="14" t="n">
        <v>-0.71</v>
      </c>
      <c r="AD434" s="16" t="n">
        <v>3182933693.9</v>
      </c>
    </row>
    <row r="435" customFormat="false" ht="15.75" hidden="false" customHeight="false" outlineLevel="0" collapsed="false">
      <c r="A435" s="14" t="s">
        <v>467</v>
      </c>
      <c r="B435" s="14" t="n">
        <v>12.35</v>
      </c>
      <c r="C435" s="14" t="n">
        <v>2.76</v>
      </c>
      <c r="D435" s="14" t="n">
        <v>7.22</v>
      </c>
      <c r="E435" s="14" t="n">
        <v>1.61</v>
      </c>
      <c r="F435" s="14" t="n">
        <v>0.59</v>
      </c>
      <c r="G435" s="14" t="n">
        <v>21.33</v>
      </c>
      <c r="H435" s="14" t="n">
        <v>13.26</v>
      </c>
      <c r="I435" s="14" t="n">
        <v>9.74</v>
      </c>
      <c r="J435" s="14" t="n">
        <v>5.3</v>
      </c>
      <c r="K435" s="14" t="n">
        <v>6.01</v>
      </c>
      <c r="L435" s="14" t="n">
        <v>0.81</v>
      </c>
      <c r="M435" s="14" t="n">
        <v>0.24</v>
      </c>
      <c r="N435" s="14" t="n">
        <v>0.7</v>
      </c>
      <c r="O435" s="14" t="n">
        <v>1.72</v>
      </c>
      <c r="P435" s="14" t="n">
        <v>-2.85</v>
      </c>
      <c r="Q435" s="14" t="n">
        <v>1.77</v>
      </c>
      <c r="R435" s="14" t="n">
        <v>22.33</v>
      </c>
      <c r="S435" s="14" t="n">
        <v>8.21</v>
      </c>
      <c r="T435" s="14" t="n">
        <v>13.52</v>
      </c>
      <c r="U435" s="14" t="n">
        <v>0.37</v>
      </c>
      <c r="V435" s="14" t="n">
        <v>0.63</v>
      </c>
      <c r="W435" s="14" t="n">
        <v>0.84</v>
      </c>
      <c r="X435" s="14" t="n">
        <v>3.53</v>
      </c>
      <c r="Z435" s="16" t="n">
        <v>122639500.51</v>
      </c>
      <c r="AA435" s="14" t="n">
        <v>7.66</v>
      </c>
      <c r="AB435" s="14" t="n">
        <v>1.71</v>
      </c>
      <c r="AC435" s="14" t="n">
        <v>0.01</v>
      </c>
      <c r="AD435" s="16" t="n">
        <v>1720034000</v>
      </c>
    </row>
    <row r="436" customFormat="false" ht="15.75" hidden="false" customHeight="false" outlineLevel="0" collapsed="false">
      <c r="A436" s="14" t="s">
        <v>468</v>
      </c>
      <c r="B436" s="14" t="n">
        <v>16.82</v>
      </c>
      <c r="C436" s="14" t="n">
        <v>0.31</v>
      </c>
      <c r="D436" s="14" t="n">
        <v>158.39</v>
      </c>
      <c r="E436" s="14" t="n">
        <v>1.6</v>
      </c>
      <c r="F436" s="14" t="n">
        <v>1.04</v>
      </c>
      <c r="G436" s="14" t="n">
        <v>6.92</v>
      </c>
      <c r="H436" s="14" t="n">
        <v>2.8</v>
      </c>
      <c r="I436" s="14" t="n">
        <v>0.82</v>
      </c>
      <c r="J436" s="14" t="n">
        <v>46.46</v>
      </c>
      <c r="K436" s="14" t="n">
        <v>25.17</v>
      </c>
      <c r="L436" s="14" t="n">
        <v>-20.82</v>
      </c>
      <c r="M436" s="14" t="n">
        <v>-0.72</v>
      </c>
      <c r="N436" s="14" t="n">
        <v>1.3</v>
      </c>
      <c r="O436" s="14" t="n">
        <v>1.96</v>
      </c>
      <c r="P436" s="14" t="n">
        <v>-4.03</v>
      </c>
      <c r="Q436" s="14" t="n">
        <v>3.53</v>
      </c>
      <c r="R436" s="14" t="n">
        <v>1.01</v>
      </c>
      <c r="S436" s="14" t="n">
        <v>0.66</v>
      </c>
      <c r="T436" s="14" t="n">
        <v>1.87</v>
      </c>
      <c r="U436" s="14" t="n">
        <v>0.65</v>
      </c>
      <c r="V436" s="14" t="n">
        <v>0.35</v>
      </c>
      <c r="W436" s="14" t="n">
        <v>0.8</v>
      </c>
      <c r="Z436" s="16" t="n">
        <v>4075797.66</v>
      </c>
      <c r="AA436" s="14" t="n">
        <v>10.5</v>
      </c>
      <c r="AB436" s="14" t="n">
        <v>0.11</v>
      </c>
      <c r="AC436" s="14" t="n">
        <v>-1.79</v>
      </c>
      <c r="AD436" s="16" t="n">
        <v>1492753352.4</v>
      </c>
    </row>
    <row r="437" customFormat="false" ht="15.75" hidden="false" customHeight="false" outlineLevel="0" collapsed="false">
      <c r="A437" s="14" t="s">
        <v>469</v>
      </c>
      <c r="B437" s="14" t="n">
        <v>14.6</v>
      </c>
      <c r="D437" s="14" t="n">
        <v>-18.95</v>
      </c>
      <c r="E437" s="14" t="n">
        <v>0.02</v>
      </c>
      <c r="F437" s="14" t="n">
        <v>0.01</v>
      </c>
      <c r="J437" s="14" t="n">
        <v>-8.78</v>
      </c>
      <c r="K437" s="14" t="n">
        <v>10.33</v>
      </c>
      <c r="L437" s="14" t="n">
        <v>19.11</v>
      </c>
      <c r="M437" s="14" t="n">
        <v>-0.04</v>
      </c>
      <c r="O437" s="14" t="n">
        <v>0.45</v>
      </c>
      <c r="P437" s="14" t="n">
        <v>-0.01</v>
      </c>
      <c r="Q437" s="14" t="n">
        <v>63.26</v>
      </c>
      <c r="R437" s="14" t="n">
        <v>-0.09</v>
      </c>
      <c r="S437" s="14" t="n">
        <v>-0.07</v>
      </c>
      <c r="T437" s="14" t="n">
        <v>-0.2</v>
      </c>
      <c r="U437" s="14" t="n">
        <v>0.7</v>
      </c>
      <c r="V437" s="14" t="n">
        <v>0.3</v>
      </c>
      <c r="W437" s="14" t="n">
        <v>0</v>
      </c>
      <c r="AA437" s="14" t="n">
        <v>813.95</v>
      </c>
      <c r="AB437" s="14" t="n">
        <v>-0.77</v>
      </c>
      <c r="AC437" s="14" t="n">
        <v>0.17</v>
      </c>
      <c r="AD437" s="16" t="n">
        <v>1080400</v>
      </c>
    </row>
    <row r="438" customFormat="false" ht="15.75" hidden="false" customHeight="false" outlineLevel="0" collapsed="false">
      <c r="A438" s="14" t="s">
        <v>470</v>
      </c>
      <c r="B438" s="14" t="n">
        <v>7.92</v>
      </c>
      <c r="D438" s="14" t="n">
        <v>-518.42</v>
      </c>
      <c r="E438" s="16" t="n">
        <v>3715.36</v>
      </c>
      <c r="F438" s="14" t="n">
        <v>19.1</v>
      </c>
      <c r="J438" s="14" t="n">
        <v>-518.42</v>
      </c>
      <c r="K438" s="14" t="n">
        <v>-520.39</v>
      </c>
      <c r="P438" s="16" t="n">
        <v>-3715.36</v>
      </c>
      <c r="Q438" s="14" t="n">
        <v>1</v>
      </c>
      <c r="R438" s="14" t="n">
        <v>-716.67</v>
      </c>
      <c r="S438" s="14" t="n">
        <v>-3.68</v>
      </c>
      <c r="U438" s="14" t="n">
        <v>0.01</v>
      </c>
      <c r="V438" s="14" t="n">
        <v>0.99</v>
      </c>
      <c r="W438" s="14" t="n">
        <v>0</v>
      </c>
      <c r="Z438" s="16" t="n">
        <v>43303.76</v>
      </c>
      <c r="AA438" s="14" t="n">
        <v>0</v>
      </c>
      <c r="AB438" s="14" t="n">
        <v>-0.02</v>
      </c>
      <c r="AC438" s="14" t="n">
        <v>5.21</v>
      </c>
      <c r="AD438" s="16" t="n">
        <v>22376594.7</v>
      </c>
    </row>
    <row r="439" customFormat="false" ht="15.75" hidden="false" customHeight="false" outlineLevel="0" collapsed="false">
      <c r="A439" s="14" t="s">
        <v>471</v>
      </c>
      <c r="B439" s="14" t="n">
        <v>18.72</v>
      </c>
      <c r="D439" s="14" t="n">
        <v>48.02</v>
      </c>
      <c r="E439" s="14" t="n">
        <v>3.08</v>
      </c>
      <c r="F439" s="14" t="n">
        <v>1.76</v>
      </c>
      <c r="G439" s="14" t="n">
        <v>43.63</v>
      </c>
      <c r="H439" s="14" t="n">
        <v>48.67</v>
      </c>
      <c r="I439" s="14" t="n">
        <v>14.66</v>
      </c>
      <c r="J439" s="14" t="n">
        <v>14.46</v>
      </c>
      <c r="K439" s="14" t="n">
        <v>14.08</v>
      </c>
      <c r="L439" s="14" t="n">
        <v>-0.44</v>
      </c>
      <c r="M439" s="14" t="n">
        <v>-0.09</v>
      </c>
      <c r="N439" s="14" t="n">
        <v>7.04</v>
      </c>
      <c r="O439" s="14" t="n">
        <v>9.43</v>
      </c>
      <c r="P439" s="14" t="n">
        <v>-3.14</v>
      </c>
      <c r="Q439" s="14" t="n">
        <v>1.74</v>
      </c>
      <c r="R439" s="14" t="n">
        <v>6.42</v>
      </c>
      <c r="S439" s="14" t="n">
        <v>3.67</v>
      </c>
      <c r="T439" s="14" t="n">
        <v>13.51</v>
      </c>
      <c r="U439" s="14" t="n">
        <v>0.57</v>
      </c>
      <c r="V439" s="14" t="n">
        <v>0.43</v>
      </c>
      <c r="W439" s="14" t="n">
        <v>0.25</v>
      </c>
      <c r="X439" s="14" t="n">
        <v>49.72</v>
      </c>
      <c r="Y439" s="14" t="n">
        <v>32.61</v>
      </c>
      <c r="Z439" s="16" t="n">
        <v>222734522.05</v>
      </c>
      <c r="AA439" s="14" t="n">
        <v>6.07</v>
      </c>
      <c r="AB439" s="14" t="n">
        <v>0.39</v>
      </c>
      <c r="AC439" s="14" t="n">
        <v>-0.9</v>
      </c>
      <c r="AD439" s="16" t="n">
        <v>16503836577.55</v>
      </c>
    </row>
    <row r="440" customFormat="false" ht="15.75" hidden="false" customHeight="false" outlineLevel="0" collapsed="false">
      <c r="A440" s="14" t="s">
        <v>472</v>
      </c>
      <c r="B440" s="14" t="n">
        <v>10.33</v>
      </c>
      <c r="D440" s="14" t="n">
        <v>-58.22</v>
      </c>
      <c r="E440" s="14" t="n">
        <v>1.78</v>
      </c>
      <c r="F440" s="14" t="n">
        <v>1.19</v>
      </c>
      <c r="G440" s="14" t="n">
        <v>11.68</v>
      </c>
      <c r="H440" s="14" t="n">
        <v>-6.01</v>
      </c>
      <c r="I440" s="14" t="n">
        <v>-2.76</v>
      </c>
      <c r="J440" s="14" t="n">
        <v>-26.75</v>
      </c>
      <c r="K440" s="14" t="n">
        <v>-25.4</v>
      </c>
      <c r="L440" s="14" t="n">
        <v>1.42</v>
      </c>
      <c r="M440" s="14" t="n">
        <v>-0.09</v>
      </c>
      <c r="N440" s="14" t="n">
        <v>1.61</v>
      </c>
      <c r="O440" s="14" t="n">
        <v>3.51</v>
      </c>
      <c r="P440" s="14" t="n">
        <v>-2.69</v>
      </c>
      <c r="Q440" s="14" t="n">
        <v>2.54</v>
      </c>
      <c r="R440" s="14" t="n">
        <v>-3.06</v>
      </c>
      <c r="S440" s="14" t="n">
        <v>-2.04</v>
      </c>
      <c r="T440" s="14" t="n">
        <v>-9.73</v>
      </c>
      <c r="U440" s="14" t="n">
        <v>0.67</v>
      </c>
      <c r="V440" s="14" t="n">
        <v>0.33</v>
      </c>
      <c r="W440" s="14" t="n">
        <v>0.74</v>
      </c>
      <c r="Z440" s="16" t="n">
        <v>3667778.88</v>
      </c>
      <c r="AA440" s="14" t="n">
        <v>5.79</v>
      </c>
      <c r="AB440" s="14" t="n">
        <v>-0.18</v>
      </c>
      <c r="AC440" s="14" t="n">
        <v>-0.27</v>
      </c>
      <c r="AD440" s="16" t="n">
        <v>402451055.72</v>
      </c>
    </row>
    <row r="441" customFormat="false" ht="15.75" hidden="false" customHeight="false" outlineLevel="0" collapsed="false">
      <c r="A441" s="14" t="s">
        <v>473</v>
      </c>
      <c r="B441" s="14" t="n">
        <v>52.37</v>
      </c>
      <c r="C441" s="14" t="n">
        <v>5.35</v>
      </c>
      <c r="D441" s="14" t="n">
        <v>9.64</v>
      </c>
      <c r="E441" s="14" t="n">
        <v>1.95</v>
      </c>
      <c r="F441" s="14" t="n">
        <v>0.46</v>
      </c>
      <c r="G441" s="14" t="n">
        <v>100</v>
      </c>
      <c r="H441" s="14" t="n">
        <v>8.48</v>
      </c>
      <c r="I441" s="14" t="n">
        <v>9.26</v>
      </c>
      <c r="J441" s="14" t="n">
        <v>10.54</v>
      </c>
      <c r="K441" s="14" t="n">
        <v>4.43</v>
      </c>
      <c r="L441" s="14" t="n">
        <v>-6.07</v>
      </c>
      <c r="M441" s="14" t="n">
        <v>-1.12</v>
      </c>
      <c r="N441" s="14" t="n">
        <v>0.89</v>
      </c>
      <c r="O441" s="14" t="n">
        <v>5.18</v>
      </c>
      <c r="P441" s="14" t="n">
        <v>-1.4</v>
      </c>
      <c r="Q441" s="14" t="n">
        <v>1.15</v>
      </c>
      <c r="R441" s="14" t="n">
        <v>20.23</v>
      </c>
      <c r="S441" s="14" t="n">
        <v>4.79</v>
      </c>
      <c r="T441" s="14" t="n">
        <v>7.37</v>
      </c>
      <c r="U441" s="14" t="n">
        <v>0.24</v>
      </c>
      <c r="V441" s="14" t="n">
        <v>0.76</v>
      </c>
      <c r="W441" s="14" t="n">
        <v>0.52</v>
      </c>
      <c r="X441" s="14" t="n">
        <v>3.79</v>
      </c>
      <c r="Y441" s="14" t="n">
        <v>11.08</v>
      </c>
      <c r="Z441" s="16" t="n">
        <v>54685799.98</v>
      </c>
      <c r="AA441" s="14" t="n">
        <v>26.86</v>
      </c>
      <c r="AB441" s="14" t="n">
        <v>5.43</v>
      </c>
      <c r="AC441" s="14" t="n">
        <v>0.28</v>
      </c>
      <c r="AD441" s="16" t="n">
        <v>16872663235.7</v>
      </c>
    </row>
    <row r="442" customFormat="false" ht="15.75" hidden="false" customHeight="false" outlineLevel="0" collapsed="false">
      <c r="A442" s="14" t="s">
        <v>474</v>
      </c>
      <c r="B442" s="14" t="n">
        <v>17</v>
      </c>
      <c r="C442" s="14" t="n">
        <v>2.5</v>
      </c>
      <c r="D442" s="14" t="n">
        <v>17.8</v>
      </c>
      <c r="E442" s="14" t="n">
        <v>6.61</v>
      </c>
      <c r="F442" s="14" t="n">
        <v>1.32</v>
      </c>
      <c r="G442" s="14" t="n">
        <v>36.89</v>
      </c>
      <c r="H442" s="14" t="n">
        <v>10.8</v>
      </c>
      <c r="I442" s="14" t="n">
        <v>10.01</v>
      </c>
      <c r="J442" s="14" t="n">
        <v>16.5</v>
      </c>
      <c r="K442" s="14" t="n">
        <v>19.27</v>
      </c>
      <c r="L442" s="14" t="n">
        <v>2.94</v>
      </c>
      <c r="M442" s="14" t="n">
        <v>1.18</v>
      </c>
      <c r="N442" s="14" t="n">
        <v>1.78</v>
      </c>
      <c r="O442" s="14" t="n">
        <v>22.63</v>
      </c>
      <c r="P442" s="14" t="n">
        <v>-2.35</v>
      </c>
      <c r="Q442" s="14" t="n">
        <v>1.15</v>
      </c>
      <c r="R442" s="14" t="n">
        <v>37.11</v>
      </c>
      <c r="S442" s="14" t="n">
        <v>7.39</v>
      </c>
      <c r="T442" s="14" t="n">
        <v>10.69</v>
      </c>
      <c r="U442" s="14" t="n">
        <v>0.2</v>
      </c>
      <c r="V442" s="14" t="n">
        <v>0.8</v>
      </c>
      <c r="W442" s="14" t="n">
        <v>0.74</v>
      </c>
      <c r="X442" s="14" t="n">
        <v>4.66</v>
      </c>
      <c r="Y442" s="14" t="n">
        <v>19.48</v>
      </c>
      <c r="Z442" s="16" t="n">
        <v>51630873.98</v>
      </c>
      <c r="AA442" s="14" t="n">
        <v>2.57</v>
      </c>
      <c r="AB442" s="14" t="n">
        <v>0.96</v>
      </c>
      <c r="AC442" s="14" t="n">
        <v>0.09</v>
      </c>
      <c r="AD442" s="16" t="n">
        <v>2599183852.02</v>
      </c>
    </row>
    <row r="443" customFormat="false" ht="15.75" hidden="false" customHeight="false" outlineLevel="0" collapsed="false">
      <c r="A443" s="14" t="s">
        <v>475</v>
      </c>
      <c r="B443" s="14" t="n">
        <v>0</v>
      </c>
      <c r="D443" s="14" t="n">
        <v>0</v>
      </c>
      <c r="E443" s="14" t="n">
        <v>0</v>
      </c>
      <c r="F443" s="14" t="n">
        <v>0</v>
      </c>
      <c r="G443" s="14" t="n">
        <v>42.87</v>
      </c>
      <c r="H443" s="14" t="n">
        <v>6.38</v>
      </c>
      <c r="I443" s="14" t="n">
        <v>4.04</v>
      </c>
      <c r="J443" s="14" t="n">
        <v>0</v>
      </c>
      <c r="K443" s="14" t="n">
        <v>4.03</v>
      </c>
      <c r="L443" s="14" t="n">
        <v>4.03</v>
      </c>
      <c r="M443" s="14" t="n">
        <v>0.64</v>
      </c>
      <c r="N443" s="14" t="n">
        <v>0</v>
      </c>
      <c r="O443" s="14" t="n">
        <v>0</v>
      </c>
      <c r="P443" s="14" t="n">
        <v>0</v>
      </c>
      <c r="Q443" s="14" t="n">
        <v>1.66</v>
      </c>
      <c r="R443" s="14" t="n">
        <v>10.13</v>
      </c>
      <c r="S443" s="14" t="n">
        <v>3.69</v>
      </c>
      <c r="T443" s="14" t="n">
        <v>6.6</v>
      </c>
      <c r="U443" s="14" t="n">
        <v>0.36</v>
      </c>
      <c r="V443" s="14" t="n">
        <v>0.64</v>
      </c>
      <c r="W443" s="14" t="n">
        <v>0.91</v>
      </c>
      <c r="X443" s="14" t="n">
        <v>62.04</v>
      </c>
      <c r="Y443" s="14" t="n">
        <v>64.28</v>
      </c>
      <c r="AA443" s="14" t="n">
        <v>13.54</v>
      </c>
      <c r="AB443" s="14" t="n">
        <v>1.37</v>
      </c>
      <c r="AC443" s="14" t="n">
        <v>0</v>
      </c>
      <c r="AD443" s="14" t="n">
        <v>0</v>
      </c>
    </row>
    <row r="444" customFormat="false" ht="15.75" hidden="false" customHeight="false" outlineLevel="0" collapsed="false">
      <c r="A444" s="14" t="s">
        <v>476</v>
      </c>
      <c r="B444" s="14" t="n">
        <v>0</v>
      </c>
      <c r="D444" s="14" t="n">
        <v>0</v>
      </c>
      <c r="E444" s="14" t="n">
        <v>0</v>
      </c>
      <c r="F444" s="14" t="n">
        <v>0</v>
      </c>
      <c r="G444" s="14" t="n">
        <v>42.87</v>
      </c>
      <c r="H444" s="14" t="n">
        <v>6.38</v>
      </c>
      <c r="I444" s="14" t="n">
        <v>4.04</v>
      </c>
      <c r="J444" s="14" t="n">
        <v>0</v>
      </c>
      <c r="K444" s="14" t="n">
        <v>4.03</v>
      </c>
      <c r="L444" s="14" t="n">
        <v>4.03</v>
      </c>
      <c r="M444" s="14" t="n">
        <v>0.64</v>
      </c>
      <c r="N444" s="14" t="n">
        <v>0</v>
      </c>
      <c r="O444" s="14" t="n">
        <v>0</v>
      </c>
      <c r="P444" s="14" t="n">
        <v>0</v>
      </c>
      <c r="Q444" s="14" t="n">
        <v>1.66</v>
      </c>
      <c r="R444" s="14" t="n">
        <v>10.13</v>
      </c>
      <c r="S444" s="14" t="n">
        <v>3.69</v>
      </c>
      <c r="T444" s="14" t="n">
        <v>6.6</v>
      </c>
      <c r="U444" s="14" t="n">
        <v>0.36</v>
      </c>
      <c r="V444" s="14" t="n">
        <v>0.64</v>
      </c>
      <c r="W444" s="14" t="n">
        <v>0.91</v>
      </c>
      <c r="X444" s="14" t="n">
        <v>62.04</v>
      </c>
      <c r="Y444" s="14" t="n">
        <v>64.28</v>
      </c>
      <c r="AA444" s="14" t="n">
        <v>13.54</v>
      </c>
      <c r="AB444" s="14" t="n">
        <v>1.37</v>
      </c>
      <c r="AC444" s="14" t="n">
        <v>0</v>
      </c>
      <c r="AD444" s="14" t="n">
        <v>0</v>
      </c>
    </row>
    <row r="445" customFormat="false" ht="15.75" hidden="false" customHeight="false" outlineLevel="0" collapsed="false">
      <c r="A445" s="14" t="s">
        <v>477</v>
      </c>
      <c r="B445" s="14" t="n">
        <v>13.99</v>
      </c>
      <c r="D445" s="14" t="n">
        <v>25.26</v>
      </c>
      <c r="E445" s="14" t="n">
        <v>2.29</v>
      </c>
      <c r="F445" s="14" t="n">
        <v>0.87</v>
      </c>
      <c r="G445" s="14" t="n">
        <v>16.23</v>
      </c>
      <c r="H445" s="14" t="n">
        <v>7.77</v>
      </c>
      <c r="I445" s="14" t="n">
        <v>4.49</v>
      </c>
      <c r="J445" s="14" t="n">
        <v>14.6</v>
      </c>
      <c r="K445" s="14" t="n">
        <v>11.17</v>
      </c>
      <c r="L445" s="14" t="n">
        <v>2.36</v>
      </c>
      <c r="M445" s="14" t="n">
        <v>0.37</v>
      </c>
      <c r="N445" s="14" t="n">
        <v>1.13</v>
      </c>
      <c r="O445" s="14" t="n">
        <v>4.35</v>
      </c>
      <c r="P445" s="14" t="n">
        <v>-1.78</v>
      </c>
      <c r="Q445" s="14" t="n">
        <v>1.63</v>
      </c>
      <c r="R445" s="14" t="n">
        <v>9.06</v>
      </c>
      <c r="S445" s="14" t="n">
        <v>3.43</v>
      </c>
      <c r="T445" s="14" t="n">
        <v>6.93</v>
      </c>
      <c r="U445" s="14" t="n">
        <v>0.38</v>
      </c>
      <c r="V445" s="14" t="n">
        <v>0.53</v>
      </c>
      <c r="W445" s="14" t="n">
        <v>0.76</v>
      </c>
      <c r="X445" s="14" t="n">
        <v>1.6</v>
      </c>
      <c r="Y445" s="14" t="n">
        <v>-29.08</v>
      </c>
      <c r="Z445" s="16" t="n">
        <v>240594.56</v>
      </c>
      <c r="AA445" s="14" t="n">
        <v>6.12</v>
      </c>
      <c r="AB445" s="14" t="n">
        <v>0.55</v>
      </c>
      <c r="AC445" s="14" t="n">
        <v>1.17</v>
      </c>
      <c r="AD445" s="16" t="n">
        <v>405684051.92</v>
      </c>
    </row>
    <row r="446" customFormat="false" ht="15.75" hidden="false" customHeight="false" outlineLevel="0" collapsed="false">
      <c r="A446" s="14" t="s">
        <v>478</v>
      </c>
      <c r="B446" s="14" t="n">
        <v>5.75</v>
      </c>
      <c r="D446" s="14" t="n">
        <v>10.38</v>
      </c>
      <c r="E446" s="14" t="n">
        <v>0.94</v>
      </c>
      <c r="F446" s="14" t="n">
        <v>0.36</v>
      </c>
      <c r="G446" s="14" t="n">
        <v>16.23</v>
      </c>
      <c r="H446" s="14" t="n">
        <v>7.77</v>
      </c>
      <c r="I446" s="14" t="n">
        <v>4.49</v>
      </c>
      <c r="J446" s="14" t="n">
        <v>6</v>
      </c>
      <c r="K446" s="14" t="n">
        <v>11.17</v>
      </c>
      <c r="L446" s="14" t="n">
        <v>2.36</v>
      </c>
      <c r="M446" s="14" t="n">
        <v>0.37</v>
      </c>
      <c r="N446" s="14" t="n">
        <v>0.47</v>
      </c>
      <c r="O446" s="14" t="n">
        <v>1.79</v>
      </c>
      <c r="P446" s="14" t="n">
        <v>-0.73</v>
      </c>
      <c r="Q446" s="14" t="n">
        <v>1.63</v>
      </c>
      <c r="R446" s="14" t="n">
        <v>9.06</v>
      </c>
      <c r="S446" s="14" t="n">
        <v>3.43</v>
      </c>
      <c r="T446" s="14" t="n">
        <v>6.93</v>
      </c>
      <c r="U446" s="14" t="n">
        <v>0.38</v>
      </c>
      <c r="V446" s="14" t="n">
        <v>0.53</v>
      </c>
      <c r="W446" s="14" t="n">
        <v>0.76</v>
      </c>
      <c r="X446" s="14" t="n">
        <v>1.6</v>
      </c>
      <c r="Y446" s="14" t="n">
        <v>-29.08</v>
      </c>
      <c r="Z446" s="16" t="n">
        <v>191275.66</v>
      </c>
      <c r="AA446" s="14" t="n">
        <v>6.12</v>
      </c>
      <c r="AB446" s="14" t="n">
        <v>0.55</v>
      </c>
      <c r="AC446" s="14" t="n">
        <v>0.48</v>
      </c>
      <c r="AD446" s="16" t="n">
        <v>405684051.92</v>
      </c>
    </row>
    <row r="447" customFormat="false" ht="15.75" hidden="false" customHeight="false" outlineLevel="0" collapsed="false">
      <c r="A447" s="14" t="s">
        <v>479</v>
      </c>
      <c r="B447" s="14" t="n">
        <v>28.86</v>
      </c>
      <c r="C447" s="14" t="n">
        <v>7.96</v>
      </c>
      <c r="D447" s="14" t="n">
        <v>18.79</v>
      </c>
      <c r="E447" s="14" t="n">
        <v>4.55</v>
      </c>
      <c r="F447" s="14" t="n">
        <v>1.87</v>
      </c>
      <c r="G447" s="14" t="n">
        <v>80.64</v>
      </c>
      <c r="H447" s="14" t="n">
        <v>32.26</v>
      </c>
      <c r="I447" s="14" t="n">
        <v>21.32</v>
      </c>
      <c r="J447" s="14" t="n">
        <v>12.41</v>
      </c>
      <c r="K447" s="14" t="n">
        <v>13.14</v>
      </c>
      <c r="L447" s="14" t="n">
        <v>0.73</v>
      </c>
      <c r="M447" s="14" t="n">
        <v>0.27</v>
      </c>
      <c r="N447" s="14" t="n">
        <v>4.01</v>
      </c>
      <c r="O447" s="14" t="n">
        <v>13.19</v>
      </c>
      <c r="P447" s="14" t="n">
        <v>-2.99</v>
      </c>
      <c r="Q447" s="14" t="n">
        <v>1.6</v>
      </c>
      <c r="R447" s="14" t="n">
        <v>24.23</v>
      </c>
      <c r="S447" s="14" t="n">
        <v>9.93</v>
      </c>
      <c r="T447" s="14" t="n">
        <v>15.54</v>
      </c>
      <c r="U447" s="14" t="n">
        <v>0.41</v>
      </c>
      <c r="V447" s="14" t="n">
        <v>0.59</v>
      </c>
      <c r="W447" s="14" t="n">
        <v>0.47</v>
      </c>
      <c r="X447" s="14" t="n">
        <v>3.21</v>
      </c>
      <c r="Y447" s="14" t="n">
        <v>10.41</v>
      </c>
      <c r="Z447" s="16" t="n">
        <v>75755817.12</v>
      </c>
      <c r="AA447" s="14" t="n">
        <v>6.34</v>
      </c>
      <c r="AB447" s="14" t="n">
        <v>1.54</v>
      </c>
      <c r="AC447" s="14" t="n">
        <v>0.98</v>
      </c>
      <c r="AD447" s="16" t="n">
        <v>8190973133</v>
      </c>
    </row>
    <row r="448" customFormat="false" ht="15.75" hidden="false" customHeight="false" outlineLevel="0" collapsed="false">
      <c r="A448" s="14" t="s">
        <v>480</v>
      </c>
      <c r="B448" s="14" t="n">
        <v>0</v>
      </c>
      <c r="D448" s="14" t="n">
        <v>0</v>
      </c>
      <c r="E448" s="14" t="n">
        <v>0</v>
      </c>
      <c r="F448" s="14" t="n">
        <v>0</v>
      </c>
      <c r="G448" s="14" t="n">
        <v>30.6</v>
      </c>
      <c r="H448" s="14" t="n">
        <v>16.8</v>
      </c>
      <c r="I448" s="14" t="n">
        <v>8.4</v>
      </c>
      <c r="J448" s="14" t="n">
        <v>0</v>
      </c>
      <c r="K448" s="14" t="n">
        <v>0.33</v>
      </c>
      <c r="L448" s="14" t="n">
        <v>0.33</v>
      </c>
      <c r="M448" s="14" t="n">
        <v>0.14</v>
      </c>
      <c r="N448" s="14" t="n">
        <v>0</v>
      </c>
      <c r="O448" s="14" t="n">
        <v>0</v>
      </c>
      <c r="P448" s="14" t="n">
        <v>0</v>
      </c>
      <c r="Q448" s="14" t="n">
        <v>1.19</v>
      </c>
      <c r="R448" s="14" t="n">
        <v>20.73</v>
      </c>
      <c r="S448" s="14" t="n">
        <v>9.63</v>
      </c>
      <c r="T448" s="14" t="n">
        <v>18.55</v>
      </c>
      <c r="U448" s="14" t="n">
        <v>0.46</v>
      </c>
      <c r="V448" s="14" t="n">
        <v>0.54</v>
      </c>
      <c r="W448" s="14" t="n">
        <v>1.15</v>
      </c>
      <c r="X448" s="14" t="n">
        <v>15.13</v>
      </c>
      <c r="Y448" s="14" t="n">
        <v>6.21</v>
      </c>
      <c r="AA448" s="14" t="n">
        <v>61.97</v>
      </c>
      <c r="AB448" s="14" t="n">
        <v>12.85</v>
      </c>
      <c r="AC448" s="14" t="n">
        <v>0</v>
      </c>
      <c r="AD448" s="14" t="n">
        <v>0</v>
      </c>
    </row>
    <row r="449" customFormat="false" ht="15.75" hidden="false" customHeight="false" outlineLevel="0" collapsed="false">
      <c r="A449" s="14" t="s">
        <v>481</v>
      </c>
      <c r="B449" s="14" t="n">
        <v>0</v>
      </c>
      <c r="D449" s="14" t="n">
        <v>0</v>
      </c>
      <c r="E449" s="14" t="n">
        <v>0</v>
      </c>
      <c r="F449" s="14" t="n">
        <v>0</v>
      </c>
      <c r="J449" s="14" t="n">
        <v>0</v>
      </c>
      <c r="K449" s="14" t="n">
        <v>0.5</v>
      </c>
      <c r="L449" s="14" t="n">
        <v>0.5</v>
      </c>
      <c r="M449" s="14" t="n">
        <v>-1.09</v>
      </c>
      <c r="O449" s="14" t="n">
        <v>0</v>
      </c>
      <c r="Q449" s="14" t="n">
        <v>8.44</v>
      </c>
      <c r="R449" s="14" t="n">
        <v>-214.93</v>
      </c>
      <c r="S449" s="14" t="n">
        <v>-189.47</v>
      </c>
      <c r="T449" s="14" t="n">
        <v>-217.91</v>
      </c>
      <c r="U449" s="14" t="n">
        <v>0.88</v>
      </c>
      <c r="V449" s="14" t="n">
        <v>0.12</v>
      </c>
      <c r="W449" s="14" t="n">
        <v>0</v>
      </c>
      <c r="AA449" s="14" t="n">
        <v>0</v>
      </c>
      <c r="AB449" s="14" t="n">
        <v>0</v>
      </c>
      <c r="AC449" s="14" t="n">
        <v>0</v>
      </c>
      <c r="AD449" s="14" t="n">
        <v>0</v>
      </c>
    </row>
    <row r="450" customFormat="false" ht="15.75" hidden="false" customHeight="false" outlineLevel="0" collapsed="false">
      <c r="A450" s="14" t="s">
        <v>482</v>
      </c>
      <c r="B450" s="14" t="n">
        <v>25.01</v>
      </c>
      <c r="C450" s="14" t="n">
        <v>0.46</v>
      </c>
      <c r="D450" s="14" t="n">
        <v>77.16</v>
      </c>
      <c r="E450" s="14" t="n">
        <v>9.34</v>
      </c>
      <c r="F450" s="14" t="n">
        <v>2.92</v>
      </c>
      <c r="G450" s="14" t="n">
        <v>29.37</v>
      </c>
      <c r="H450" s="14" t="n">
        <v>4.78</v>
      </c>
      <c r="I450" s="14" t="n">
        <v>2.58</v>
      </c>
      <c r="J450" s="14" t="n">
        <v>41.64</v>
      </c>
      <c r="K450" s="14" t="n">
        <v>42.49</v>
      </c>
      <c r="L450" s="14" t="n">
        <v>0.91</v>
      </c>
      <c r="M450" s="14" t="n">
        <v>0.2</v>
      </c>
      <c r="N450" s="14" t="n">
        <v>1.99</v>
      </c>
      <c r="O450" s="14" t="n">
        <v>16.08</v>
      </c>
      <c r="P450" s="14" t="n">
        <v>-6.06</v>
      </c>
      <c r="Q450" s="14" t="n">
        <v>1.54</v>
      </c>
      <c r="R450" s="14" t="n">
        <v>12.11</v>
      </c>
      <c r="S450" s="14" t="n">
        <v>3.78</v>
      </c>
      <c r="T450" s="14" t="n">
        <v>13.82</v>
      </c>
      <c r="U450" s="14" t="n">
        <v>0.31</v>
      </c>
      <c r="V450" s="14" t="n">
        <v>0.68</v>
      </c>
      <c r="W450" s="14" t="n">
        <v>1.47</v>
      </c>
      <c r="X450" s="14" t="n">
        <v>17.66</v>
      </c>
      <c r="Y450" s="14" t="n">
        <v>7.84</v>
      </c>
      <c r="Z450" s="16" t="n">
        <v>153429967.8</v>
      </c>
      <c r="AA450" s="14" t="n">
        <v>2.68</v>
      </c>
      <c r="AB450" s="14" t="n">
        <v>0.32</v>
      </c>
      <c r="AC450" s="14" t="n">
        <v>-2.29</v>
      </c>
      <c r="AD450" s="16" t="n">
        <v>41265211400</v>
      </c>
    </row>
    <row r="451" customFormat="false" ht="15.75" hidden="false" customHeight="false" outlineLevel="0" collapsed="false">
      <c r="A451" s="14" t="s">
        <v>483</v>
      </c>
      <c r="B451" s="14" t="n">
        <v>19.41</v>
      </c>
      <c r="D451" s="14" t="n">
        <v>48.5</v>
      </c>
      <c r="E451" s="14" t="n">
        <v>2.38</v>
      </c>
      <c r="F451" s="14" t="n">
        <v>0.87</v>
      </c>
      <c r="G451" s="14" t="n">
        <v>33.19</v>
      </c>
      <c r="H451" s="14" t="n">
        <v>30.11</v>
      </c>
      <c r="I451" s="14" t="n">
        <v>10.18</v>
      </c>
      <c r="J451" s="14" t="n">
        <v>16.4</v>
      </c>
      <c r="K451" s="14" t="n">
        <v>21.76</v>
      </c>
      <c r="L451" s="14" t="n">
        <v>5.41</v>
      </c>
      <c r="M451" s="14" t="n">
        <v>0.78</v>
      </c>
      <c r="N451" s="14" t="n">
        <v>4.94</v>
      </c>
      <c r="O451" s="14" t="n">
        <v>10.56</v>
      </c>
      <c r="P451" s="14" t="n">
        <v>-1.05</v>
      </c>
      <c r="Q451" s="14" t="n">
        <v>1.92</v>
      </c>
      <c r="R451" s="14" t="n">
        <v>4.9</v>
      </c>
      <c r="S451" s="14" t="n">
        <v>1.79</v>
      </c>
      <c r="T451" s="14" t="n">
        <v>6.12</v>
      </c>
      <c r="U451" s="14" t="n">
        <v>0.36</v>
      </c>
      <c r="V451" s="14" t="n">
        <v>0.63</v>
      </c>
      <c r="W451" s="14" t="n">
        <v>0.18</v>
      </c>
      <c r="X451" s="14" t="n">
        <v>10.92</v>
      </c>
      <c r="Z451" s="16" t="n">
        <v>160095870.41</v>
      </c>
      <c r="AA451" s="14" t="n">
        <v>8.16</v>
      </c>
      <c r="AB451" s="14" t="n">
        <v>0.4</v>
      </c>
      <c r="AC451" s="14" t="n">
        <v>0.88</v>
      </c>
      <c r="AD451" s="16" t="n">
        <v>35896514193.76</v>
      </c>
    </row>
    <row r="452" customFormat="false" ht="15.75" hidden="false" customHeight="false" outlineLevel="0" collapsed="false">
      <c r="A452" s="14" t="s">
        <v>484</v>
      </c>
      <c r="B452" s="14" t="n">
        <v>8.65</v>
      </c>
      <c r="C452" s="14" t="n">
        <v>2.85</v>
      </c>
      <c r="D452" s="14" t="n">
        <v>16.89</v>
      </c>
      <c r="E452" s="14" t="n">
        <v>2.63</v>
      </c>
      <c r="F452" s="14" t="n">
        <v>1.17</v>
      </c>
      <c r="G452" s="14" t="n">
        <v>32.92</v>
      </c>
      <c r="H452" s="14" t="n">
        <v>18.84</v>
      </c>
      <c r="I452" s="14" t="n">
        <v>11.44</v>
      </c>
      <c r="J452" s="14" t="n">
        <v>10.26</v>
      </c>
      <c r="K452" s="14" t="n">
        <v>11.27</v>
      </c>
      <c r="L452" s="14" t="n">
        <v>1</v>
      </c>
      <c r="M452" s="14" t="n">
        <v>0.26</v>
      </c>
      <c r="N452" s="14" t="n">
        <v>1.93</v>
      </c>
      <c r="O452" s="14" t="n">
        <v>3.59</v>
      </c>
      <c r="P452" s="14" t="n">
        <v>-2.12</v>
      </c>
      <c r="Q452" s="14" t="n">
        <v>3.64</v>
      </c>
      <c r="R452" s="14" t="n">
        <v>15.6</v>
      </c>
      <c r="S452" s="14" t="n">
        <v>6.92</v>
      </c>
      <c r="T452" s="14" t="n">
        <v>11.95</v>
      </c>
      <c r="U452" s="14" t="n">
        <v>0.44</v>
      </c>
      <c r="V452" s="14" t="n">
        <v>0.56</v>
      </c>
      <c r="W452" s="14" t="n">
        <v>0.61</v>
      </c>
      <c r="X452" s="14" t="n">
        <v>6.3</v>
      </c>
      <c r="Y452" s="14" t="n">
        <v>184.81</v>
      </c>
      <c r="Z452" s="16" t="n">
        <v>20570491.2</v>
      </c>
      <c r="AA452" s="14" t="n">
        <v>3.28</v>
      </c>
      <c r="AB452" s="14" t="n">
        <v>0.51</v>
      </c>
      <c r="AC452" s="14" t="n">
        <v>-0.05</v>
      </c>
      <c r="AD452" s="16" t="n">
        <v>2223197235.1</v>
      </c>
    </row>
    <row r="453" customFormat="false" ht="15.75" hidden="false" customHeight="false" outlineLevel="0" collapsed="false">
      <c r="A453" s="14" t="s">
        <v>485</v>
      </c>
      <c r="B453" s="14" t="n">
        <v>5.5</v>
      </c>
      <c r="C453" s="14" t="n">
        <v>1.06</v>
      </c>
      <c r="D453" s="14" t="n">
        <v>10.74</v>
      </c>
      <c r="E453" s="14" t="n">
        <v>1.68</v>
      </c>
      <c r="F453" s="14" t="n">
        <v>0.74</v>
      </c>
      <c r="G453" s="14" t="n">
        <v>32.92</v>
      </c>
      <c r="H453" s="14" t="n">
        <v>18.84</v>
      </c>
      <c r="I453" s="14" t="n">
        <v>11.44</v>
      </c>
      <c r="J453" s="14" t="n">
        <v>6.52</v>
      </c>
      <c r="K453" s="14" t="n">
        <v>11.27</v>
      </c>
      <c r="L453" s="14" t="n">
        <v>1</v>
      </c>
      <c r="M453" s="14" t="n">
        <v>0.26</v>
      </c>
      <c r="N453" s="14" t="n">
        <v>1.23</v>
      </c>
      <c r="O453" s="14" t="n">
        <v>2.28</v>
      </c>
      <c r="P453" s="14" t="n">
        <v>-1.35</v>
      </c>
      <c r="Q453" s="14" t="n">
        <v>3.64</v>
      </c>
      <c r="R453" s="14" t="n">
        <v>15.6</v>
      </c>
      <c r="S453" s="14" t="n">
        <v>6.92</v>
      </c>
      <c r="T453" s="14" t="n">
        <v>11.95</v>
      </c>
      <c r="U453" s="14" t="n">
        <v>0.44</v>
      </c>
      <c r="V453" s="14" t="n">
        <v>0.56</v>
      </c>
      <c r="W453" s="14" t="n">
        <v>0.61</v>
      </c>
      <c r="X453" s="14" t="n">
        <v>6.3</v>
      </c>
      <c r="Y453" s="14" t="n">
        <v>184.81</v>
      </c>
      <c r="Z453" s="16" t="n">
        <v>644391.25</v>
      </c>
      <c r="AA453" s="14" t="n">
        <v>3.28</v>
      </c>
      <c r="AB453" s="14" t="n">
        <v>0.51</v>
      </c>
      <c r="AC453" s="14" t="n">
        <v>-0.03</v>
      </c>
      <c r="AD453" s="16" t="n">
        <v>2223197235.1</v>
      </c>
    </row>
    <row r="454" customFormat="false" ht="15.75" hidden="false" customHeight="false" outlineLevel="0" collapsed="false">
      <c r="A454" s="14" t="s">
        <v>486</v>
      </c>
      <c r="B454" s="14" t="n">
        <v>12.6</v>
      </c>
      <c r="C454" s="14" t="n">
        <v>4.82</v>
      </c>
      <c r="D454" s="14" t="n">
        <v>5.48</v>
      </c>
      <c r="E454" s="14" t="n">
        <v>2</v>
      </c>
      <c r="F454" s="14" t="n">
        <v>0.46</v>
      </c>
      <c r="G454" s="14" t="n">
        <v>26.37</v>
      </c>
      <c r="H454" s="14" t="n">
        <v>20.38</v>
      </c>
      <c r="I454" s="14" t="n">
        <v>13.03</v>
      </c>
      <c r="J454" s="14" t="n">
        <v>3.5</v>
      </c>
      <c r="K454" s="14" t="n">
        <v>5.06</v>
      </c>
      <c r="L454" s="14" t="n">
        <v>1.36</v>
      </c>
      <c r="M454" s="14" t="n">
        <v>0.77</v>
      </c>
      <c r="N454" s="14" t="n">
        <v>0.71</v>
      </c>
      <c r="O454" s="14" t="n">
        <v>1.58</v>
      </c>
      <c r="P454" s="14" t="n">
        <v>-1.15</v>
      </c>
      <c r="Q454" s="14" t="n">
        <v>1.93</v>
      </c>
      <c r="R454" s="14" t="n">
        <v>36.45</v>
      </c>
      <c r="S454" s="14" t="n">
        <v>8.38</v>
      </c>
      <c r="T454" s="14" t="n">
        <v>11.72</v>
      </c>
      <c r="U454" s="14" t="n">
        <v>0.23</v>
      </c>
      <c r="V454" s="14" t="n">
        <v>0.7</v>
      </c>
      <c r="W454" s="14" t="n">
        <v>0.64</v>
      </c>
      <c r="X454" s="14" t="n">
        <v>11.59</v>
      </c>
      <c r="Z454" s="16" t="n">
        <v>425579.8</v>
      </c>
      <c r="AA454" s="14" t="n">
        <v>6.31</v>
      </c>
      <c r="AB454" s="14" t="n">
        <v>2.3</v>
      </c>
      <c r="AC454" s="14" t="n">
        <v>0.02</v>
      </c>
      <c r="AD454" s="16" t="n">
        <v>4601446447.95</v>
      </c>
    </row>
    <row r="455" customFormat="false" ht="15.75" hidden="false" customHeight="false" outlineLevel="0" collapsed="false">
      <c r="A455" s="14" t="s">
        <v>487</v>
      </c>
      <c r="B455" s="14" t="n">
        <v>13.56</v>
      </c>
      <c r="C455" s="14" t="n">
        <v>4.48</v>
      </c>
      <c r="D455" s="14" t="n">
        <v>5.89</v>
      </c>
      <c r="E455" s="14" t="n">
        <v>2.15</v>
      </c>
      <c r="F455" s="14" t="n">
        <v>0.49</v>
      </c>
      <c r="G455" s="14" t="n">
        <v>26.37</v>
      </c>
      <c r="H455" s="14" t="n">
        <v>20.38</v>
      </c>
      <c r="I455" s="14" t="n">
        <v>13.03</v>
      </c>
      <c r="J455" s="14" t="n">
        <v>3.77</v>
      </c>
      <c r="K455" s="14" t="n">
        <v>5.06</v>
      </c>
      <c r="L455" s="14" t="n">
        <v>1.36</v>
      </c>
      <c r="M455" s="14" t="n">
        <v>0.77</v>
      </c>
      <c r="N455" s="14" t="n">
        <v>0.77</v>
      </c>
      <c r="O455" s="14" t="n">
        <v>1.7</v>
      </c>
      <c r="P455" s="14" t="n">
        <v>-1.24</v>
      </c>
      <c r="Q455" s="14" t="n">
        <v>1.93</v>
      </c>
      <c r="R455" s="14" t="n">
        <v>36.45</v>
      </c>
      <c r="S455" s="14" t="n">
        <v>8.38</v>
      </c>
      <c r="T455" s="14" t="n">
        <v>11.72</v>
      </c>
      <c r="U455" s="14" t="n">
        <v>0.23</v>
      </c>
      <c r="V455" s="14" t="n">
        <v>0.7</v>
      </c>
      <c r="W455" s="14" t="n">
        <v>0.64</v>
      </c>
      <c r="X455" s="14" t="n">
        <v>11.59</v>
      </c>
      <c r="Z455" s="16" t="n">
        <v>54077461.07</v>
      </c>
      <c r="AA455" s="14" t="n">
        <v>6.31</v>
      </c>
      <c r="AB455" s="14" t="n">
        <v>2.3</v>
      </c>
      <c r="AC455" s="14" t="n">
        <v>0.02</v>
      </c>
      <c r="AD455" s="16" t="n">
        <v>4601446447.95</v>
      </c>
    </row>
    <row r="456" customFormat="false" ht="15.75" hidden="false" customHeight="false" outlineLevel="0" collapsed="false">
      <c r="A456" s="14" t="s">
        <v>488</v>
      </c>
      <c r="B456" s="14" t="n">
        <v>6.5</v>
      </c>
      <c r="D456" s="16" t="n">
        <v>-82141.99</v>
      </c>
      <c r="E456" s="14" t="n">
        <v>-8.34</v>
      </c>
      <c r="F456" s="14" t="n">
        <v>8.84</v>
      </c>
      <c r="G456" s="14" t="n">
        <v>18.74</v>
      </c>
      <c r="H456" s="14" t="n">
        <v>3.6</v>
      </c>
      <c r="I456" s="14" t="n">
        <v>-0.02</v>
      </c>
      <c r="J456" s="14" t="n">
        <v>373.94</v>
      </c>
      <c r="K456" s="14" t="n">
        <v>206.4</v>
      </c>
      <c r="L456" s="14" t="n">
        <v>-3.07</v>
      </c>
      <c r="N456" s="14" t="n">
        <v>13.47</v>
      </c>
      <c r="O456" s="16" t="n">
        <v>-1031.07</v>
      </c>
      <c r="P456" s="14" t="n">
        <v>-19.32</v>
      </c>
      <c r="Q456" s="14" t="n">
        <v>0.98</v>
      </c>
      <c r="R456" s="14" t="n">
        <v>-0.01</v>
      </c>
      <c r="S456" s="14" t="n">
        <v>-0.01</v>
      </c>
      <c r="T456" s="14" t="n">
        <v>-2.23</v>
      </c>
      <c r="U456" s="14" t="n">
        <v>-1.06</v>
      </c>
      <c r="V456" s="14" t="n">
        <v>2.06</v>
      </c>
      <c r="W456" s="14" t="n">
        <v>0.66</v>
      </c>
      <c r="X456" s="14" t="n">
        <v>117.05</v>
      </c>
      <c r="Z456" s="16" t="n">
        <v>12182821.22</v>
      </c>
      <c r="AA456" s="14" t="n">
        <v>-0.78</v>
      </c>
      <c r="AB456" s="14" t="n">
        <v>0</v>
      </c>
      <c r="AC456" s="14" t="n">
        <v>822.93</v>
      </c>
      <c r="AD456" s="16" t="n">
        <v>276082012.08</v>
      </c>
    </row>
    <row r="457" customFormat="false" ht="15.75" hidden="false" customHeight="false" outlineLevel="0" collapsed="false">
      <c r="A457" s="14" t="s">
        <v>489</v>
      </c>
      <c r="B457" s="14" t="n">
        <v>2.18</v>
      </c>
      <c r="D457" s="16" t="n">
        <v>-27549.16</v>
      </c>
      <c r="E457" s="14" t="n">
        <v>-2.8</v>
      </c>
      <c r="F457" s="14" t="n">
        <v>2.97</v>
      </c>
      <c r="G457" s="14" t="n">
        <v>18.74</v>
      </c>
      <c r="H457" s="14" t="n">
        <v>3.6</v>
      </c>
      <c r="I457" s="14" t="n">
        <v>-0.02</v>
      </c>
      <c r="J457" s="14" t="n">
        <v>125.41</v>
      </c>
      <c r="K457" s="14" t="n">
        <v>206.4</v>
      </c>
      <c r="L457" s="14" t="n">
        <v>-3.07</v>
      </c>
      <c r="N457" s="14" t="n">
        <v>4.52</v>
      </c>
      <c r="O457" s="14" t="n">
        <v>-345.81</v>
      </c>
      <c r="P457" s="14" t="n">
        <v>-6.48</v>
      </c>
      <c r="Q457" s="14" t="n">
        <v>0.98</v>
      </c>
      <c r="R457" s="14" t="n">
        <v>-0.01</v>
      </c>
      <c r="S457" s="14" t="n">
        <v>-0.01</v>
      </c>
      <c r="T457" s="14" t="n">
        <v>-2.23</v>
      </c>
      <c r="U457" s="14" t="n">
        <v>-1.06</v>
      </c>
      <c r="V457" s="14" t="n">
        <v>2.06</v>
      </c>
      <c r="W457" s="14" t="n">
        <v>0.66</v>
      </c>
      <c r="X457" s="14" t="n">
        <v>117.05</v>
      </c>
      <c r="Z457" s="16" t="n">
        <v>8635821.63</v>
      </c>
      <c r="AA457" s="14" t="n">
        <v>-0.78</v>
      </c>
      <c r="AB457" s="14" t="n">
        <v>0</v>
      </c>
      <c r="AC457" s="14" t="n">
        <v>276</v>
      </c>
      <c r="AD457" s="16" t="n">
        <v>276082012.08</v>
      </c>
    </row>
    <row r="458" customFormat="false" ht="15.75" hidden="false" customHeight="false" outlineLevel="0" collapsed="false">
      <c r="A458" s="14" t="s">
        <v>490</v>
      </c>
      <c r="B458" s="14" t="n">
        <v>12</v>
      </c>
      <c r="C458" s="14" t="n">
        <v>0.08</v>
      </c>
      <c r="D458" s="14" t="n">
        <v>45.97</v>
      </c>
      <c r="E458" s="14" t="n">
        <v>0.85</v>
      </c>
      <c r="F458" s="14" t="n">
        <v>0.31</v>
      </c>
      <c r="G458" s="14" t="n">
        <v>23.01</v>
      </c>
      <c r="H458" s="14" t="n">
        <v>6.91</v>
      </c>
      <c r="I458" s="14" t="n">
        <v>3.26</v>
      </c>
      <c r="J458" s="14" t="n">
        <v>21.7</v>
      </c>
      <c r="K458" s="14" t="n">
        <v>38.33</v>
      </c>
      <c r="L458" s="14" t="n">
        <v>16.63</v>
      </c>
      <c r="M458" s="14" t="n">
        <v>0.65</v>
      </c>
      <c r="N458" s="14" t="n">
        <v>1.5</v>
      </c>
      <c r="O458" s="14" t="n">
        <v>1.62</v>
      </c>
      <c r="P458" s="14" t="n">
        <v>-0.51</v>
      </c>
      <c r="Q458" s="14" t="n">
        <v>1.89</v>
      </c>
      <c r="R458" s="14" t="n">
        <v>1.84</v>
      </c>
      <c r="S458" s="14" t="n">
        <v>0.67</v>
      </c>
      <c r="T458" s="14" t="n">
        <v>1.3</v>
      </c>
      <c r="U458" s="14" t="n">
        <v>0.36</v>
      </c>
      <c r="V458" s="14" t="n">
        <v>0.63</v>
      </c>
      <c r="W458" s="14" t="n">
        <v>0.2</v>
      </c>
      <c r="X458" s="14" t="n">
        <v>-10.68</v>
      </c>
      <c r="Y458" s="14" t="n">
        <v>-15.5</v>
      </c>
      <c r="Z458" s="16" t="n">
        <v>313361.9</v>
      </c>
      <c r="AA458" s="14" t="n">
        <v>14.17</v>
      </c>
      <c r="AB458" s="14" t="n">
        <v>0.26</v>
      </c>
      <c r="AC458" s="14" t="n">
        <v>0.25</v>
      </c>
      <c r="AD458" s="16" t="n">
        <v>525237696</v>
      </c>
    </row>
    <row r="459" customFormat="false" ht="15.75" hidden="false" customHeight="false" outlineLevel="0" collapsed="false">
      <c r="A459" s="14" t="s">
        <v>491</v>
      </c>
      <c r="B459" s="14" t="n">
        <v>68.62</v>
      </c>
      <c r="C459" s="14" t="n">
        <v>0.42</v>
      </c>
      <c r="D459" s="14" t="n">
        <v>199.85</v>
      </c>
      <c r="E459" s="14" t="n">
        <v>9.91</v>
      </c>
      <c r="F459" s="14" t="n">
        <v>2.96</v>
      </c>
      <c r="G459" s="14" t="n">
        <v>20.21</v>
      </c>
      <c r="H459" s="14" t="n">
        <v>13.54</v>
      </c>
      <c r="I459" s="14" t="n">
        <v>4.47</v>
      </c>
      <c r="J459" s="14" t="n">
        <v>65.96</v>
      </c>
      <c r="K459" s="14" t="n">
        <v>70.74</v>
      </c>
      <c r="L459" s="14" t="n">
        <v>4.9</v>
      </c>
      <c r="M459" s="14" t="n">
        <v>0.74</v>
      </c>
      <c r="N459" s="14" t="n">
        <v>8.93</v>
      </c>
      <c r="O459" s="14" t="n">
        <v>8.07</v>
      </c>
      <c r="P459" s="14" t="n">
        <v>-5.39</v>
      </c>
      <c r="Q459" s="14" t="n">
        <v>5.33</v>
      </c>
      <c r="R459" s="14" t="n">
        <v>4.96</v>
      </c>
      <c r="S459" s="14" t="n">
        <v>1.48</v>
      </c>
      <c r="T459" s="14" t="n">
        <v>5.35</v>
      </c>
      <c r="U459" s="14" t="n">
        <v>0.3</v>
      </c>
      <c r="V459" s="14" t="n">
        <v>0.69</v>
      </c>
      <c r="W459" s="14" t="n">
        <v>0.33</v>
      </c>
      <c r="Z459" s="16" t="n">
        <v>198669484.73</v>
      </c>
      <c r="AA459" s="14" t="n">
        <v>6.92</v>
      </c>
      <c r="AB459" s="14" t="n">
        <v>0.34</v>
      </c>
      <c r="AC459" s="14" t="n">
        <v>35.49</v>
      </c>
      <c r="AD459" s="16" t="n">
        <v>137710150117.5</v>
      </c>
    </row>
    <row r="460" customFormat="false" ht="15.75" hidden="false" customHeight="false" outlineLevel="0" collapsed="false">
      <c r="A460" s="14" t="s">
        <v>492</v>
      </c>
      <c r="B460" s="14" t="n">
        <v>19.4</v>
      </c>
      <c r="D460" s="14" t="n">
        <v>-373.74</v>
      </c>
      <c r="E460" s="14" t="n">
        <v>5.96</v>
      </c>
      <c r="F460" s="14" t="n">
        <v>2.26</v>
      </c>
      <c r="G460" s="14" t="n">
        <v>37.71</v>
      </c>
      <c r="H460" s="14" t="n">
        <v>28.72</v>
      </c>
      <c r="I460" s="14" t="n">
        <v>-5.24</v>
      </c>
      <c r="J460" s="14" t="n">
        <v>68.26</v>
      </c>
      <c r="K460" s="14" t="n">
        <v>80.82</v>
      </c>
      <c r="L460" s="14" t="n">
        <v>12.57</v>
      </c>
      <c r="M460" s="14" t="n">
        <v>1.1</v>
      </c>
      <c r="N460" s="14" t="n">
        <v>19.6</v>
      </c>
      <c r="O460" s="14" t="n">
        <v>-24.06</v>
      </c>
      <c r="P460" s="14" t="n">
        <v>-2.62</v>
      </c>
      <c r="Q460" s="14" t="n">
        <v>0.59</v>
      </c>
      <c r="R460" s="14" t="n">
        <v>-1.6</v>
      </c>
      <c r="S460" s="14" t="n">
        <v>-0.6</v>
      </c>
      <c r="T460" s="14" t="n">
        <v>3.3</v>
      </c>
      <c r="U460" s="14" t="n">
        <v>0.38</v>
      </c>
      <c r="V460" s="14" t="n">
        <v>0.62</v>
      </c>
      <c r="W460" s="14" t="n">
        <v>0.12</v>
      </c>
      <c r="Z460" s="16" t="n">
        <v>18124628.82</v>
      </c>
      <c r="AA460" s="14" t="n">
        <v>3.25</v>
      </c>
      <c r="AB460" s="14" t="n">
        <v>-0.05</v>
      </c>
      <c r="AD460" s="16" t="n">
        <v>4817476520.8</v>
      </c>
    </row>
    <row r="461" customFormat="false" ht="15.75" hidden="false" customHeight="false" outlineLevel="0" collapsed="false">
      <c r="A461" s="14" t="s">
        <v>493</v>
      </c>
      <c r="B461" s="14" t="n">
        <v>8.93</v>
      </c>
      <c r="C461" s="14" t="n">
        <v>7.95</v>
      </c>
      <c r="D461" s="14" t="n">
        <v>16.22</v>
      </c>
      <c r="E461" s="14" t="n">
        <v>4.82</v>
      </c>
      <c r="F461" s="14" t="n">
        <v>0.9</v>
      </c>
      <c r="G461" s="14" t="n">
        <v>23.42</v>
      </c>
      <c r="H461" s="14" t="n">
        <v>18.77</v>
      </c>
      <c r="I461" s="14" t="n">
        <v>9.76</v>
      </c>
      <c r="J461" s="14" t="n">
        <v>8.43</v>
      </c>
      <c r="K461" s="14" t="n">
        <v>11.18</v>
      </c>
      <c r="L461" s="14" t="n">
        <v>2.72</v>
      </c>
      <c r="M461" s="14" t="n">
        <v>1.55</v>
      </c>
      <c r="N461" s="14" t="n">
        <v>1.58</v>
      </c>
      <c r="O461" s="14" t="n">
        <v>7.58</v>
      </c>
      <c r="P461" s="14" t="n">
        <v>-1.36</v>
      </c>
      <c r="Q461" s="14" t="n">
        <v>1.55</v>
      </c>
      <c r="R461" s="14" t="n">
        <v>29.7</v>
      </c>
      <c r="S461" s="14" t="n">
        <v>5.56</v>
      </c>
      <c r="T461" s="14" t="n">
        <v>12.24</v>
      </c>
      <c r="U461" s="14" t="n">
        <v>0.19</v>
      </c>
      <c r="V461" s="14" t="n">
        <v>0.74</v>
      </c>
      <c r="W461" s="14" t="n">
        <v>0.57</v>
      </c>
      <c r="X461" s="14" t="n">
        <v>6.59</v>
      </c>
      <c r="Y461" s="14" t="n">
        <v>23.64</v>
      </c>
      <c r="Z461" s="16" t="n">
        <v>134765.59</v>
      </c>
      <c r="AA461" s="14" t="n">
        <v>1.85</v>
      </c>
      <c r="AB461" s="14" t="n">
        <v>0.55</v>
      </c>
      <c r="AC461" s="14" t="n">
        <v>0.17</v>
      </c>
      <c r="AD461" s="16" t="n">
        <v>18908497431.04</v>
      </c>
    </row>
    <row r="462" customFormat="false" ht="15.75" hidden="false" customHeight="false" outlineLevel="0" collapsed="false">
      <c r="A462" s="14" t="s">
        <v>494</v>
      </c>
      <c r="B462" s="14" t="n">
        <v>63.74</v>
      </c>
      <c r="C462" s="14" t="n">
        <v>0.59</v>
      </c>
      <c r="D462" s="14" t="n">
        <v>37.2</v>
      </c>
      <c r="E462" s="14" t="n">
        <v>7.47</v>
      </c>
      <c r="F462" s="14" t="n">
        <v>2.38</v>
      </c>
      <c r="G462" s="14" t="n">
        <v>31.27</v>
      </c>
      <c r="H462" s="14" t="n">
        <v>20.13</v>
      </c>
      <c r="I462" s="14" t="n">
        <v>12.6</v>
      </c>
      <c r="J462" s="14" t="n">
        <v>23.29</v>
      </c>
      <c r="K462" s="14" t="n">
        <v>26.5</v>
      </c>
      <c r="L462" s="14" t="n">
        <v>3.34</v>
      </c>
      <c r="M462" s="14" t="n">
        <v>1.07</v>
      </c>
      <c r="N462" s="14" t="n">
        <v>4.69</v>
      </c>
      <c r="O462" s="14" t="n">
        <v>78.17</v>
      </c>
      <c r="P462" s="14" t="n">
        <v>-3.17</v>
      </c>
      <c r="Q462" s="14" t="n">
        <v>1.14</v>
      </c>
      <c r="R462" s="14" t="n">
        <v>20.07</v>
      </c>
      <c r="S462" s="14" t="n">
        <v>6.4</v>
      </c>
      <c r="T462" s="14" t="n">
        <v>9.31</v>
      </c>
      <c r="U462" s="14" t="n">
        <v>0.32</v>
      </c>
      <c r="V462" s="14" t="n">
        <v>0.68</v>
      </c>
      <c r="W462" s="14" t="n">
        <v>0.51</v>
      </c>
      <c r="X462" s="14" t="n">
        <v>21.28</v>
      </c>
      <c r="Y462" s="14" t="n">
        <v>21.1</v>
      </c>
      <c r="Z462" s="16" t="n">
        <v>330548608.66</v>
      </c>
      <c r="AA462" s="14" t="n">
        <v>8.54</v>
      </c>
      <c r="AB462" s="14" t="n">
        <v>1.71</v>
      </c>
      <c r="AC462" s="14" t="n">
        <v>0.71</v>
      </c>
      <c r="AD462" s="16" t="n">
        <v>48079202211.3</v>
      </c>
    </row>
    <row r="463" customFormat="false" ht="15.75" hidden="false" customHeight="false" outlineLevel="0" collapsed="false">
      <c r="A463" s="14" t="s">
        <v>495</v>
      </c>
      <c r="B463" s="14" t="n">
        <v>23.08</v>
      </c>
      <c r="D463" s="14" t="n">
        <v>82.76</v>
      </c>
      <c r="E463" s="14" t="n">
        <v>4.26</v>
      </c>
      <c r="F463" s="14" t="n">
        <v>0.23</v>
      </c>
      <c r="G463" s="14" t="n">
        <v>34.71</v>
      </c>
      <c r="H463" s="14" t="n">
        <v>29.67</v>
      </c>
      <c r="I463" s="14" t="n">
        <v>1.85</v>
      </c>
      <c r="J463" s="14" t="n">
        <v>5.17</v>
      </c>
      <c r="K463" s="14" t="n">
        <v>12.09</v>
      </c>
      <c r="L463" s="14" t="n">
        <v>6.92</v>
      </c>
      <c r="M463" s="14" t="n">
        <v>5.71</v>
      </c>
      <c r="N463" s="14" t="n">
        <v>1.53</v>
      </c>
      <c r="O463" s="14" t="n">
        <v>1.49</v>
      </c>
      <c r="P463" s="14" t="n">
        <v>-0.31</v>
      </c>
      <c r="Q463" s="14" t="n">
        <v>2.64</v>
      </c>
      <c r="R463" s="14" t="n">
        <v>5.15</v>
      </c>
      <c r="S463" s="14" t="n">
        <v>0.28</v>
      </c>
      <c r="T463" s="14" t="n">
        <v>5.46</v>
      </c>
      <c r="U463" s="14" t="n">
        <v>0.05</v>
      </c>
      <c r="V463" s="14" t="n">
        <v>0.71</v>
      </c>
      <c r="W463" s="14" t="n">
        <v>0.15</v>
      </c>
      <c r="X463" s="14" t="n">
        <v>50.58</v>
      </c>
      <c r="Y463" s="14" t="n">
        <v>42.36</v>
      </c>
      <c r="Z463" s="16" t="n">
        <v>105214775.75</v>
      </c>
      <c r="AA463" s="14" t="n">
        <v>5.41</v>
      </c>
      <c r="AB463" s="14" t="n">
        <v>0.28</v>
      </c>
      <c r="AC463" s="14" t="n">
        <v>-2.42</v>
      </c>
      <c r="AD463" s="16" t="n">
        <v>10691215482.28</v>
      </c>
    </row>
    <row r="464" customFormat="false" ht="15.75" hidden="false" customHeight="false" outlineLevel="0" collapsed="false">
      <c r="A464" s="14" t="s">
        <v>496</v>
      </c>
      <c r="B464" s="14" t="n">
        <v>12.55</v>
      </c>
      <c r="D464" s="14" t="n">
        <v>9.19</v>
      </c>
      <c r="E464" s="14" t="n">
        <v>-0.37</v>
      </c>
      <c r="F464" s="14" t="n">
        <v>0.16</v>
      </c>
      <c r="G464" s="14" t="n">
        <v>23.98</v>
      </c>
      <c r="H464" s="14" t="n">
        <v>-40.89</v>
      </c>
      <c r="I464" s="14" t="n">
        <v>56.44</v>
      </c>
      <c r="J464" s="14" t="n">
        <v>-12.69</v>
      </c>
      <c r="K464" s="14" t="n">
        <v>-56.06</v>
      </c>
      <c r="L464" s="14" t="n">
        <v>-43.36</v>
      </c>
      <c r="N464" s="14" t="n">
        <v>5.19</v>
      </c>
      <c r="O464" s="14" t="n">
        <v>0.75</v>
      </c>
      <c r="P464" s="14" t="n">
        <v>-0.31</v>
      </c>
      <c r="Q464" s="14" t="n">
        <v>1.75</v>
      </c>
      <c r="R464" s="14" t="n">
        <v>-4.04</v>
      </c>
      <c r="S464" s="14" t="n">
        <v>1.72</v>
      </c>
      <c r="T464" s="14" t="n">
        <v>-4.93</v>
      </c>
      <c r="U464" s="14" t="n">
        <v>-0.43</v>
      </c>
      <c r="V464" s="14" t="n">
        <v>1.43</v>
      </c>
      <c r="W464" s="14" t="n">
        <v>0.03</v>
      </c>
      <c r="X464" s="14" t="n">
        <v>-29.67</v>
      </c>
      <c r="Y464" s="14" t="n">
        <v>-28.28</v>
      </c>
      <c r="Z464" s="16" t="n">
        <v>694203.34</v>
      </c>
      <c r="AA464" s="14" t="n">
        <v>-33.77</v>
      </c>
      <c r="AB464" s="14" t="n">
        <v>1.37</v>
      </c>
      <c r="AC464" s="14" t="n">
        <v>-0.09</v>
      </c>
      <c r="AD464" s="16" t="n">
        <v>419263124.32</v>
      </c>
    </row>
    <row r="465" customFormat="false" ht="15.75" hidden="false" customHeight="false" outlineLevel="0" collapsed="false">
      <c r="A465" s="14" t="s">
        <v>497</v>
      </c>
      <c r="B465" s="14" t="n">
        <v>4.55</v>
      </c>
      <c r="D465" s="14" t="n">
        <v>10</v>
      </c>
      <c r="E465" s="14" t="n">
        <v>-0.4</v>
      </c>
      <c r="F465" s="14" t="n">
        <v>0.17</v>
      </c>
      <c r="G465" s="14" t="n">
        <v>23.98</v>
      </c>
      <c r="H465" s="14" t="n">
        <v>-40.89</v>
      </c>
      <c r="I465" s="14" t="n">
        <v>56.44</v>
      </c>
      <c r="J465" s="14" t="n">
        <v>-13.8</v>
      </c>
      <c r="K465" s="14" t="n">
        <v>-56.06</v>
      </c>
      <c r="L465" s="14" t="n">
        <v>-43.36</v>
      </c>
      <c r="N465" s="14" t="n">
        <v>5.64</v>
      </c>
      <c r="O465" s="14" t="n">
        <v>0.82</v>
      </c>
      <c r="P465" s="14" t="n">
        <v>-0.34</v>
      </c>
      <c r="Q465" s="14" t="n">
        <v>1.75</v>
      </c>
      <c r="R465" s="14" t="n">
        <v>-4.04</v>
      </c>
      <c r="S465" s="14" t="n">
        <v>1.72</v>
      </c>
      <c r="T465" s="14" t="n">
        <v>-4.93</v>
      </c>
      <c r="U465" s="14" t="n">
        <v>-0.43</v>
      </c>
      <c r="V465" s="14" t="n">
        <v>1.43</v>
      </c>
      <c r="W465" s="14" t="n">
        <v>0.03</v>
      </c>
      <c r="X465" s="14" t="n">
        <v>-29.67</v>
      </c>
      <c r="Y465" s="14" t="n">
        <v>-28.28</v>
      </c>
      <c r="Z465" s="16" t="n">
        <v>1332997.68</v>
      </c>
      <c r="AA465" s="14" t="n">
        <v>-11.26</v>
      </c>
      <c r="AB465" s="14" t="n">
        <v>0.46</v>
      </c>
      <c r="AC465" s="14" t="n">
        <v>-0.1</v>
      </c>
      <c r="AD465" s="16" t="n">
        <v>419263124.32</v>
      </c>
    </row>
    <row r="466" customFormat="false" ht="15.75" hidden="false" customHeight="false" outlineLevel="0" collapsed="false">
      <c r="A466" s="14" t="s">
        <v>498</v>
      </c>
      <c r="B466" s="14" t="n">
        <v>3.96</v>
      </c>
      <c r="D466" s="14" t="n">
        <v>8.7</v>
      </c>
      <c r="E466" s="14" t="n">
        <v>-0.35</v>
      </c>
      <c r="F466" s="14" t="n">
        <v>0.15</v>
      </c>
      <c r="G466" s="14" t="n">
        <v>23.98</v>
      </c>
      <c r="H466" s="14" t="n">
        <v>-40.89</v>
      </c>
      <c r="I466" s="14" t="n">
        <v>56.44</v>
      </c>
      <c r="J466" s="14" t="n">
        <v>-12.01</v>
      </c>
      <c r="K466" s="14" t="n">
        <v>-56.06</v>
      </c>
      <c r="L466" s="14" t="n">
        <v>-43.36</v>
      </c>
      <c r="N466" s="14" t="n">
        <v>4.91</v>
      </c>
      <c r="O466" s="14" t="n">
        <v>0.71</v>
      </c>
      <c r="P466" s="14" t="n">
        <v>-0.29</v>
      </c>
      <c r="Q466" s="14" t="n">
        <v>1.75</v>
      </c>
      <c r="R466" s="14" t="n">
        <v>-4.04</v>
      </c>
      <c r="S466" s="14" t="n">
        <v>1.72</v>
      </c>
      <c r="T466" s="14" t="n">
        <v>-4.93</v>
      </c>
      <c r="U466" s="14" t="n">
        <v>-0.43</v>
      </c>
      <c r="V466" s="14" t="n">
        <v>1.43</v>
      </c>
      <c r="W466" s="14" t="n">
        <v>0.03</v>
      </c>
      <c r="X466" s="14" t="n">
        <v>-29.67</v>
      </c>
      <c r="Y466" s="14" t="n">
        <v>-28.28</v>
      </c>
      <c r="Z466" s="16" t="n">
        <v>2201939.39</v>
      </c>
      <c r="AA466" s="14" t="n">
        <v>-11.26</v>
      </c>
      <c r="AB466" s="14" t="n">
        <v>0.46</v>
      </c>
      <c r="AC466" s="14" t="n">
        <v>-0.08</v>
      </c>
      <c r="AD466" s="16" t="n">
        <v>419263124.32</v>
      </c>
    </row>
    <row r="467" customFormat="false" ht="15.75" hidden="false" customHeight="false" outlineLevel="0" collapsed="false">
      <c r="A467" s="14" t="s">
        <v>499</v>
      </c>
      <c r="B467" s="14" t="n">
        <v>24.17</v>
      </c>
      <c r="C467" s="14" t="n">
        <v>8.56</v>
      </c>
      <c r="D467" s="14" t="n">
        <v>11.48</v>
      </c>
      <c r="E467" s="14" t="n">
        <v>2.13</v>
      </c>
      <c r="F467" s="14" t="n">
        <v>1</v>
      </c>
      <c r="G467" s="14" t="n">
        <v>31.66</v>
      </c>
      <c r="H467" s="14" t="n">
        <v>12.38</v>
      </c>
      <c r="I467" s="14" t="n">
        <v>14.99</v>
      </c>
      <c r="J467" s="14" t="n">
        <v>13.9</v>
      </c>
      <c r="K467" s="14" t="n">
        <v>16.04</v>
      </c>
      <c r="L467" s="14" t="n">
        <v>2.18</v>
      </c>
      <c r="M467" s="14" t="n">
        <v>0.33</v>
      </c>
      <c r="N467" s="14" t="n">
        <v>1.72</v>
      </c>
      <c r="O467" s="14" t="n">
        <v>3.32</v>
      </c>
      <c r="P467" s="14" t="n">
        <v>-2.55</v>
      </c>
      <c r="Q467" s="14" t="n">
        <v>1.97</v>
      </c>
      <c r="R467" s="14" t="n">
        <v>18.51</v>
      </c>
      <c r="S467" s="14" t="n">
        <v>8.69</v>
      </c>
      <c r="T467" s="14" t="n">
        <v>8.7</v>
      </c>
      <c r="U467" s="14" t="n">
        <v>0.47</v>
      </c>
      <c r="V467" s="14" t="n">
        <v>0.53</v>
      </c>
      <c r="W467" s="14" t="n">
        <v>0.58</v>
      </c>
      <c r="X467" s="14" t="n">
        <v>9.91</v>
      </c>
      <c r="Y467" s="14" t="n">
        <v>88.47</v>
      </c>
      <c r="Z467" s="16" t="n">
        <v>29943312.98</v>
      </c>
      <c r="AA467" s="14" t="n">
        <v>11.37</v>
      </c>
      <c r="AB467" s="14" t="n">
        <v>2.11</v>
      </c>
      <c r="AC467" s="14" t="n">
        <v>0.13</v>
      </c>
      <c r="AD467" s="16" t="n">
        <v>1768080859.42</v>
      </c>
    </row>
    <row r="468" customFormat="false" ht="15.75" hidden="false" customHeight="false" outlineLevel="0" collapsed="false">
      <c r="A468" s="14" t="s">
        <v>500</v>
      </c>
      <c r="B468" s="14" t="n">
        <v>7.32</v>
      </c>
      <c r="D468" s="14" t="n">
        <v>22.53</v>
      </c>
      <c r="E468" s="14" t="n">
        <v>0.6</v>
      </c>
      <c r="F468" s="14" t="n">
        <v>0.6</v>
      </c>
      <c r="G468" s="14" t="n">
        <v>96.15</v>
      </c>
      <c r="H468" s="16" t="n">
        <v>105607.69</v>
      </c>
      <c r="I468" s="16" t="n">
        <v>105830.77</v>
      </c>
      <c r="J468" s="14" t="n">
        <v>22.58</v>
      </c>
      <c r="K468" s="14" t="n">
        <v>24.42</v>
      </c>
      <c r="L468" s="14" t="n">
        <v>-0.52</v>
      </c>
      <c r="M468" s="14" t="n">
        <v>-0.01</v>
      </c>
      <c r="N468" s="16" t="n">
        <v>23841.32</v>
      </c>
      <c r="O468" s="14" t="n">
        <v>50.58</v>
      </c>
      <c r="P468" s="14" t="n">
        <v>-0.61</v>
      </c>
      <c r="Q468" s="14" t="n">
        <v>5.25</v>
      </c>
      <c r="R468" s="14" t="n">
        <v>2.66</v>
      </c>
      <c r="S468" s="14" t="n">
        <v>2.65</v>
      </c>
      <c r="T468" s="14" t="n">
        <v>2.65</v>
      </c>
      <c r="U468" s="14" t="n">
        <v>1</v>
      </c>
      <c r="V468" s="14" t="n">
        <v>0</v>
      </c>
      <c r="W468" s="14" t="n">
        <v>0</v>
      </c>
      <c r="X468" s="14" t="n">
        <v>-12.49</v>
      </c>
      <c r="Y468" s="14" t="n">
        <v>-8.01</v>
      </c>
      <c r="Z468" s="16" t="n">
        <v>23314.66</v>
      </c>
      <c r="AA468" s="14" t="n">
        <v>12.22</v>
      </c>
      <c r="AB468" s="14" t="n">
        <v>0.32</v>
      </c>
      <c r="AC468" s="14" t="n">
        <v>-0.66</v>
      </c>
      <c r="AD468" s="16" t="n">
        <v>684840879.24</v>
      </c>
    </row>
    <row r="469" customFormat="false" ht="15.75" hidden="false" customHeight="false" outlineLevel="0" collapsed="false">
      <c r="A469" s="14" t="s">
        <v>501</v>
      </c>
      <c r="B469" s="14" t="n">
        <v>9</v>
      </c>
      <c r="C469" s="14" t="n">
        <v>6.06</v>
      </c>
      <c r="D469" s="14" t="n">
        <v>27.7</v>
      </c>
      <c r="E469" s="14" t="n">
        <v>0.74</v>
      </c>
      <c r="F469" s="14" t="n">
        <v>0.73</v>
      </c>
      <c r="G469" s="14" t="n">
        <v>96.15</v>
      </c>
      <c r="H469" s="16" t="n">
        <v>105607.69</v>
      </c>
      <c r="I469" s="16" t="n">
        <v>105830.77</v>
      </c>
      <c r="J469" s="14" t="n">
        <v>27.76</v>
      </c>
      <c r="K469" s="14" t="n">
        <v>24.42</v>
      </c>
      <c r="L469" s="14" t="n">
        <v>-0.52</v>
      </c>
      <c r="M469" s="14" t="n">
        <v>-0.01</v>
      </c>
      <c r="N469" s="16" t="n">
        <v>29313.09</v>
      </c>
      <c r="O469" s="14" t="n">
        <v>62.19</v>
      </c>
      <c r="P469" s="14" t="n">
        <v>-0.75</v>
      </c>
      <c r="Q469" s="14" t="n">
        <v>5.25</v>
      </c>
      <c r="R469" s="14" t="n">
        <v>2.66</v>
      </c>
      <c r="S469" s="14" t="n">
        <v>2.65</v>
      </c>
      <c r="T469" s="14" t="n">
        <v>2.65</v>
      </c>
      <c r="U469" s="14" t="n">
        <v>1</v>
      </c>
      <c r="V469" s="14" t="n">
        <v>0</v>
      </c>
      <c r="W469" s="14" t="n">
        <v>0</v>
      </c>
      <c r="X469" s="14" t="n">
        <v>-12.49</v>
      </c>
      <c r="Y469" s="14" t="n">
        <v>-8.01</v>
      </c>
      <c r="Z469" s="16" t="n">
        <v>23122.77</v>
      </c>
      <c r="AA469" s="14" t="n">
        <v>12.22</v>
      </c>
      <c r="AB469" s="14" t="n">
        <v>0.32</v>
      </c>
      <c r="AC469" s="14" t="n">
        <v>-0.81</v>
      </c>
      <c r="AD469" s="16" t="n">
        <v>684840879.24</v>
      </c>
    </row>
    <row r="470" customFormat="false" ht="15.75" hidden="false" customHeight="false" outlineLevel="0" collapsed="false">
      <c r="A470" s="14" t="s">
        <v>502</v>
      </c>
      <c r="B470" s="14" t="n">
        <v>6.1</v>
      </c>
      <c r="D470" s="14" t="n">
        <v>18.77</v>
      </c>
      <c r="E470" s="14" t="n">
        <v>0.5</v>
      </c>
      <c r="F470" s="14" t="n">
        <v>0.5</v>
      </c>
      <c r="G470" s="14" t="n">
        <v>96.15</v>
      </c>
      <c r="H470" s="16" t="n">
        <v>105607.69</v>
      </c>
      <c r="I470" s="16" t="n">
        <v>105830.77</v>
      </c>
      <c r="J470" s="14" t="n">
        <v>18.81</v>
      </c>
      <c r="K470" s="14" t="n">
        <v>24.42</v>
      </c>
      <c r="L470" s="14" t="n">
        <v>-0.52</v>
      </c>
      <c r="M470" s="14" t="n">
        <v>-0.01</v>
      </c>
      <c r="N470" s="16" t="n">
        <v>19867.76</v>
      </c>
      <c r="O470" s="14" t="n">
        <v>42.15</v>
      </c>
      <c r="P470" s="14" t="n">
        <v>-0.51</v>
      </c>
      <c r="Q470" s="14" t="n">
        <v>5.25</v>
      </c>
      <c r="R470" s="14" t="n">
        <v>2.66</v>
      </c>
      <c r="S470" s="14" t="n">
        <v>2.65</v>
      </c>
      <c r="T470" s="14" t="n">
        <v>2.65</v>
      </c>
      <c r="U470" s="14" t="n">
        <v>1</v>
      </c>
      <c r="V470" s="14" t="n">
        <v>0</v>
      </c>
      <c r="W470" s="14" t="n">
        <v>0</v>
      </c>
      <c r="X470" s="14" t="n">
        <v>-12.49</v>
      </c>
      <c r="Y470" s="14" t="n">
        <v>-8.01</v>
      </c>
      <c r="Z470" s="16" t="n">
        <v>18426.67</v>
      </c>
      <c r="AA470" s="14" t="n">
        <v>12.22</v>
      </c>
      <c r="AB470" s="14" t="n">
        <v>0.32</v>
      </c>
      <c r="AC470" s="14" t="n">
        <v>-0.55</v>
      </c>
      <c r="AD470" s="16" t="n">
        <v>684840879.24</v>
      </c>
    </row>
    <row r="471" customFormat="false" ht="15.75" hidden="false" customHeight="false" outlineLevel="0" collapsed="false">
      <c r="A471" s="14" t="s">
        <v>503</v>
      </c>
      <c r="B471" s="14" t="n">
        <v>5.55</v>
      </c>
      <c r="D471" s="14" t="n">
        <v>-1.14</v>
      </c>
      <c r="E471" s="14" t="n">
        <v>-0.12</v>
      </c>
      <c r="F471" s="14" t="n">
        <v>0.11</v>
      </c>
      <c r="G471" s="14" t="n">
        <v>-3.5</v>
      </c>
      <c r="H471" s="14" t="n">
        <v>-20.06</v>
      </c>
      <c r="I471" s="14" t="n">
        <v>-21.62</v>
      </c>
      <c r="J471" s="14" t="n">
        <v>-1.23</v>
      </c>
      <c r="K471" s="14" t="n">
        <v>-1.24</v>
      </c>
      <c r="L471" s="14" t="n">
        <v>0</v>
      </c>
      <c r="N471" s="14" t="n">
        <v>0.25</v>
      </c>
      <c r="O471" s="14" t="n">
        <v>-0.13</v>
      </c>
      <c r="P471" s="14" t="n">
        <v>-1.54</v>
      </c>
      <c r="Q471" s="14" t="n">
        <v>0.53</v>
      </c>
      <c r="R471" s="14" t="n">
        <v>-10.3</v>
      </c>
      <c r="S471" s="14" t="n">
        <v>-9.68</v>
      </c>
      <c r="T471" s="14" t="n">
        <v>9.55</v>
      </c>
      <c r="U471" s="14" t="n">
        <v>-0.94</v>
      </c>
      <c r="V471" s="14" t="n">
        <v>1.94</v>
      </c>
      <c r="W471" s="14" t="n">
        <v>0.45</v>
      </c>
      <c r="X471" s="14" t="n">
        <v>16.06</v>
      </c>
      <c r="Z471" s="16" t="n">
        <v>1440412.39</v>
      </c>
      <c r="AA471" s="14" t="n">
        <v>-47.35</v>
      </c>
      <c r="AB471" s="14" t="n">
        <v>-4.87</v>
      </c>
      <c r="AC471" s="14" t="n">
        <v>-0.06</v>
      </c>
      <c r="AD471" s="16" t="n">
        <v>381103871.27</v>
      </c>
    </row>
    <row r="472" customFormat="false" ht="15.75" hidden="false" customHeight="false" outlineLevel="0" collapsed="false">
      <c r="A472" s="14" t="s">
        <v>504</v>
      </c>
      <c r="B472" s="14" t="n">
        <v>45.84</v>
      </c>
      <c r="D472" s="14" t="n">
        <v>-22.04</v>
      </c>
      <c r="E472" s="14" t="n">
        <v>3.33</v>
      </c>
      <c r="F472" s="14" t="n">
        <v>2.02</v>
      </c>
      <c r="G472" s="14" t="n">
        <v>52.55</v>
      </c>
      <c r="H472" s="14" t="n">
        <v>-33.72</v>
      </c>
      <c r="I472" s="14" t="n">
        <v>-83.7</v>
      </c>
      <c r="J472" s="14" t="n">
        <v>-54.72</v>
      </c>
      <c r="K472" s="14" t="n">
        <v>-54.51</v>
      </c>
      <c r="L472" s="14" t="n">
        <v>0.06</v>
      </c>
      <c r="M472" s="14" t="n">
        <v>0</v>
      </c>
      <c r="N472" s="14" t="n">
        <v>18.45</v>
      </c>
      <c r="O472" s="14" t="n">
        <v>4.21</v>
      </c>
      <c r="P472" s="14" t="n">
        <v>-4.35</v>
      </c>
      <c r="Q472" s="14" t="n">
        <v>9.5</v>
      </c>
      <c r="R472" s="14" t="n">
        <v>-15.1</v>
      </c>
      <c r="S472" s="14" t="n">
        <v>-9.16</v>
      </c>
      <c r="T472" s="14" t="n">
        <v>-6.85</v>
      </c>
      <c r="U472" s="14" t="n">
        <v>0.61</v>
      </c>
      <c r="V472" s="14" t="n">
        <v>0.39</v>
      </c>
      <c r="W472" s="14" t="n">
        <v>0.11</v>
      </c>
      <c r="Z472" s="16" t="n">
        <v>73689947.37</v>
      </c>
      <c r="AA472" s="14" t="n">
        <v>13.77</v>
      </c>
      <c r="AB472" s="14" t="n">
        <v>-2.08</v>
      </c>
      <c r="AC472" s="14" t="n">
        <v>-0.05</v>
      </c>
      <c r="AD472" s="16" t="n">
        <v>6051491976.24</v>
      </c>
    </row>
    <row r="473" customFormat="false" ht="15.75" hidden="false" customHeight="false" outlineLevel="0" collapsed="false">
      <c r="A473" s="14" t="s">
        <v>505</v>
      </c>
      <c r="B473" s="14" t="n">
        <v>10.29</v>
      </c>
      <c r="D473" s="14" t="n">
        <v>3.18</v>
      </c>
      <c r="E473" s="14" t="n">
        <v>-0.31</v>
      </c>
      <c r="F473" s="14" t="n">
        <v>0.11</v>
      </c>
      <c r="G473" s="14" t="n">
        <v>44</v>
      </c>
      <c r="H473" s="14" t="n">
        <v>-320.37</v>
      </c>
      <c r="I473" s="14" t="n">
        <v>53.67</v>
      </c>
      <c r="J473" s="14" t="n">
        <v>-0.53</v>
      </c>
      <c r="K473" s="14" t="n">
        <v>-2.98</v>
      </c>
      <c r="L473" s="14" t="n">
        <v>-2.44</v>
      </c>
      <c r="N473" s="14" t="n">
        <v>1.71</v>
      </c>
      <c r="O473" s="14" t="n">
        <v>-0.14</v>
      </c>
      <c r="P473" s="14" t="n">
        <v>-0.18</v>
      </c>
      <c r="Q473" s="14" t="n">
        <v>0.32</v>
      </c>
      <c r="R473" s="14" t="n">
        <v>-9.81</v>
      </c>
      <c r="S473" s="14" t="n">
        <v>3.49</v>
      </c>
      <c r="T473" s="14" t="n">
        <v>-143.5</v>
      </c>
      <c r="U473" s="14" t="n">
        <v>-0.36</v>
      </c>
      <c r="V473" s="14" t="n">
        <v>1.37</v>
      </c>
      <c r="W473" s="14" t="n">
        <v>0.07</v>
      </c>
      <c r="X473" s="14" t="n">
        <v>-42.64</v>
      </c>
      <c r="Z473" s="16" t="n">
        <v>1440229.78</v>
      </c>
      <c r="AA473" s="14" t="n">
        <v>-33.01</v>
      </c>
      <c r="AB473" s="14" t="n">
        <v>3.24</v>
      </c>
      <c r="AC473" s="14" t="n">
        <v>-0.03</v>
      </c>
      <c r="AD473" s="16" t="n">
        <v>178051638.06</v>
      </c>
    </row>
    <row r="474" customFormat="false" ht="15.75" hidden="false" customHeight="false" outlineLevel="0" collapsed="false">
      <c r="A474" s="14" t="s">
        <v>506</v>
      </c>
      <c r="B474" s="14" t="n">
        <v>0</v>
      </c>
      <c r="D474" s="14" t="n">
        <v>0</v>
      </c>
      <c r="E474" s="14" t="n">
        <v>0</v>
      </c>
      <c r="F474" s="14" t="n">
        <v>0</v>
      </c>
      <c r="G474" s="14" t="n">
        <v>38.64</v>
      </c>
      <c r="H474" s="14" t="n">
        <v>28.53</v>
      </c>
      <c r="I474" s="14" t="n">
        <v>16.25</v>
      </c>
      <c r="J474" s="14" t="n">
        <v>0</v>
      </c>
      <c r="K474" s="14" t="n">
        <v>1.33</v>
      </c>
      <c r="L474" s="14" t="n">
        <v>-0.01</v>
      </c>
      <c r="M474" s="14" t="n">
        <v>-0.01</v>
      </c>
      <c r="N474" s="14" t="n">
        <v>0</v>
      </c>
      <c r="O474" s="14" t="n">
        <v>0</v>
      </c>
      <c r="P474" s="14" t="n">
        <v>0</v>
      </c>
      <c r="Q474" s="14" t="n">
        <v>1.42</v>
      </c>
      <c r="R474" s="14" t="n">
        <v>92.62</v>
      </c>
      <c r="S474" s="14" t="n">
        <v>14.57</v>
      </c>
      <c r="T474" s="14" t="n">
        <v>115.41</v>
      </c>
      <c r="U474" s="14" t="n">
        <v>0.16</v>
      </c>
      <c r="V474" s="14" t="n">
        <v>0.84</v>
      </c>
      <c r="W474" s="14" t="n">
        <v>0.9</v>
      </c>
      <c r="X474" s="14" t="n">
        <v>11.33</v>
      </c>
      <c r="AA474" s="14" t="n">
        <v>67.95</v>
      </c>
      <c r="AB474" s="14" t="n">
        <v>62.93</v>
      </c>
      <c r="AC474" s="14" t="n">
        <v>0</v>
      </c>
      <c r="AD474" s="16" t="n">
        <v>86400000</v>
      </c>
    </row>
    <row r="475" customFormat="false" ht="15.75" hidden="false" customHeight="false" outlineLevel="0" collapsed="false">
      <c r="A475" s="14" t="s">
        <v>507</v>
      </c>
      <c r="B475" s="14" t="n">
        <v>360</v>
      </c>
      <c r="D475" s="14" t="n">
        <v>5.72</v>
      </c>
      <c r="E475" s="14" t="n">
        <v>5.3</v>
      </c>
      <c r="F475" s="14" t="n">
        <v>0.83</v>
      </c>
      <c r="G475" s="14" t="n">
        <v>38.64</v>
      </c>
      <c r="H475" s="14" t="n">
        <v>28.53</v>
      </c>
      <c r="I475" s="14" t="n">
        <v>16.25</v>
      </c>
      <c r="J475" s="14" t="n">
        <v>3.26</v>
      </c>
      <c r="K475" s="14" t="n">
        <v>1.33</v>
      </c>
      <c r="L475" s="14" t="n">
        <v>-0.01</v>
      </c>
      <c r="M475" s="14" t="n">
        <v>-0.01</v>
      </c>
      <c r="N475" s="14" t="n">
        <v>0.93</v>
      </c>
      <c r="O475" s="14" t="n">
        <v>6.95</v>
      </c>
      <c r="P475" s="14" t="n">
        <v>-1.41</v>
      </c>
      <c r="Q475" s="14" t="n">
        <v>1.42</v>
      </c>
      <c r="R475" s="14" t="n">
        <v>92.62</v>
      </c>
      <c r="S475" s="14" t="n">
        <v>14.57</v>
      </c>
      <c r="T475" s="14" t="n">
        <v>115.41</v>
      </c>
      <c r="U475" s="14" t="n">
        <v>0.16</v>
      </c>
      <c r="V475" s="14" t="n">
        <v>0.84</v>
      </c>
      <c r="W475" s="14" t="n">
        <v>0.9</v>
      </c>
      <c r="X475" s="14" t="n">
        <v>11.33</v>
      </c>
      <c r="Z475" s="16" t="n">
        <v>305516.73</v>
      </c>
      <c r="AA475" s="14" t="n">
        <v>67.95</v>
      </c>
      <c r="AB475" s="14" t="n">
        <v>62.93</v>
      </c>
      <c r="AC475" s="14" t="n">
        <v>0.06</v>
      </c>
      <c r="AD475" s="16" t="n">
        <v>86400000</v>
      </c>
    </row>
    <row r="476" customFormat="false" ht="15.75" hidden="false" customHeight="false" outlineLevel="0" collapsed="false">
      <c r="A476" s="14" t="s">
        <v>508</v>
      </c>
      <c r="B476" s="14" t="n">
        <v>41.37</v>
      </c>
      <c r="C476" s="14" t="n">
        <v>3.86</v>
      </c>
      <c r="D476" s="14" t="n">
        <v>10.9</v>
      </c>
      <c r="E476" s="14" t="n">
        <v>1.48</v>
      </c>
      <c r="F476" s="14" t="n">
        <v>0.16</v>
      </c>
      <c r="G476" s="14" t="n">
        <v>16.96</v>
      </c>
      <c r="H476" s="14" t="n">
        <v>19.95</v>
      </c>
      <c r="I476" s="14" t="n">
        <v>14.69</v>
      </c>
      <c r="J476" s="14" t="n">
        <v>8.03</v>
      </c>
      <c r="K476" s="14" t="n">
        <v>8.04</v>
      </c>
      <c r="N476" s="14" t="n">
        <v>1.6</v>
      </c>
      <c r="P476" s="14" t="n">
        <v>-0.17</v>
      </c>
      <c r="R476" s="14" t="n">
        <v>13.56</v>
      </c>
      <c r="S476" s="14" t="n">
        <v>1.51</v>
      </c>
      <c r="U476" s="14" t="n">
        <v>0.11</v>
      </c>
      <c r="V476" s="14" t="n">
        <v>0.89</v>
      </c>
      <c r="W476" s="14" t="n">
        <v>0.1</v>
      </c>
      <c r="X476" s="14" t="n">
        <v>-2.12</v>
      </c>
      <c r="Y476" s="14" t="n">
        <v>6.46</v>
      </c>
      <c r="Z476" s="16" t="n">
        <v>104781569.63</v>
      </c>
      <c r="AA476" s="14" t="n">
        <v>28</v>
      </c>
      <c r="AB476" s="14" t="n">
        <v>3.8</v>
      </c>
      <c r="AC476" s="14" t="n">
        <v>-0.75</v>
      </c>
      <c r="AD476" s="16" t="n">
        <v>155332070721.47</v>
      </c>
    </row>
    <row r="477" customFormat="false" ht="15.75" hidden="false" customHeight="false" outlineLevel="0" collapsed="false">
      <c r="A477" s="14" t="s">
        <v>509</v>
      </c>
      <c r="B477" s="14" t="n">
        <v>19.89</v>
      </c>
      <c r="C477" s="14" t="n">
        <v>3.82</v>
      </c>
      <c r="D477" s="14" t="n">
        <v>10.48</v>
      </c>
      <c r="E477" s="14" t="n">
        <v>1.42</v>
      </c>
      <c r="F477" s="14" t="n">
        <v>0.16</v>
      </c>
      <c r="G477" s="14" t="n">
        <v>16.96</v>
      </c>
      <c r="H477" s="14" t="n">
        <v>19.95</v>
      </c>
      <c r="I477" s="14" t="n">
        <v>14.69</v>
      </c>
      <c r="J477" s="14" t="n">
        <v>7.72</v>
      </c>
      <c r="K477" s="14" t="n">
        <v>8.04</v>
      </c>
      <c r="N477" s="14" t="n">
        <v>1.54</v>
      </c>
      <c r="P477" s="14" t="n">
        <v>-0.16</v>
      </c>
      <c r="R477" s="14" t="n">
        <v>13.56</v>
      </c>
      <c r="S477" s="14" t="n">
        <v>1.51</v>
      </c>
      <c r="U477" s="14" t="n">
        <v>0.11</v>
      </c>
      <c r="V477" s="14" t="n">
        <v>0.89</v>
      </c>
      <c r="W477" s="14" t="n">
        <v>0.1</v>
      </c>
      <c r="X477" s="14" t="n">
        <v>-2.12</v>
      </c>
      <c r="Y477" s="14" t="n">
        <v>6.46</v>
      </c>
      <c r="Z477" s="16" t="n">
        <v>823880.39</v>
      </c>
      <c r="AA477" s="14" t="n">
        <v>14</v>
      </c>
      <c r="AB477" s="14" t="n">
        <v>1.9</v>
      </c>
      <c r="AC477" s="14" t="n">
        <v>-0.72</v>
      </c>
      <c r="AD477" s="16" t="n">
        <v>155332070721.47</v>
      </c>
    </row>
    <row r="478" customFormat="false" ht="15.75" hidden="false" customHeight="false" outlineLevel="0" collapsed="false">
      <c r="A478" s="14" t="s">
        <v>510</v>
      </c>
      <c r="B478" s="14" t="n">
        <v>21.53</v>
      </c>
      <c r="C478" s="14" t="n">
        <v>3.88</v>
      </c>
      <c r="D478" s="14" t="n">
        <v>11.34</v>
      </c>
      <c r="E478" s="14" t="n">
        <v>1.54</v>
      </c>
      <c r="F478" s="14" t="n">
        <v>0.17</v>
      </c>
      <c r="G478" s="14" t="n">
        <v>16.96</v>
      </c>
      <c r="H478" s="14" t="n">
        <v>19.95</v>
      </c>
      <c r="I478" s="14" t="n">
        <v>14.69</v>
      </c>
      <c r="J478" s="14" t="n">
        <v>8.36</v>
      </c>
      <c r="K478" s="14" t="n">
        <v>8.04</v>
      </c>
      <c r="N478" s="14" t="n">
        <v>1.67</v>
      </c>
      <c r="P478" s="14" t="n">
        <v>-0.18</v>
      </c>
      <c r="R478" s="14" t="n">
        <v>13.56</v>
      </c>
      <c r="S478" s="14" t="n">
        <v>1.51</v>
      </c>
      <c r="U478" s="14" t="n">
        <v>0.11</v>
      </c>
      <c r="V478" s="14" t="n">
        <v>0.89</v>
      </c>
      <c r="W478" s="14" t="n">
        <v>0.1</v>
      </c>
      <c r="X478" s="14" t="n">
        <v>-2.12</v>
      </c>
      <c r="Y478" s="14" t="n">
        <v>6.46</v>
      </c>
      <c r="Z478" s="16" t="n">
        <v>1644601.76</v>
      </c>
      <c r="AA478" s="14" t="n">
        <v>14</v>
      </c>
      <c r="AB478" s="14" t="n">
        <v>1.9</v>
      </c>
      <c r="AC478" s="14" t="n">
        <v>-0.78</v>
      </c>
      <c r="AD478" s="16" t="n">
        <v>155332070721.47</v>
      </c>
    </row>
    <row r="479" customFormat="false" ht="15.75" hidden="false" customHeight="false" outlineLevel="0" collapsed="false">
      <c r="A479" s="14" t="s">
        <v>511</v>
      </c>
      <c r="B479" s="14" t="n">
        <v>20.36</v>
      </c>
      <c r="C479" s="14" t="n">
        <v>4.88</v>
      </c>
      <c r="D479" s="14" t="n">
        <v>6.24</v>
      </c>
      <c r="E479" s="14" t="n">
        <v>0.86</v>
      </c>
      <c r="F479" s="14" t="n">
        <v>0.44</v>
      </c>
      <c r="G479" s="14" t="n">
        <v>59.41</v>
      </c>
      <c r="H479" s="14" t="n">
        <v>32.74</v>
      </c>
      <c r="I479" s="14" t="n">
        <v>20.64</v>
      </c>
      <c r="J479" s="14" t="n">
        <v>3.93</v>
      </c>
      <c r="K479" s="14" t="n">
        <v>5.72</v>
      </c>
      <c r="L479" s="14" t="n">
        <v>1.77</v>
      </c>
      <c r="M479" s="14" t="n">
        <v>0.39</v>
      </c>
      <c r="N479" s="14" t="n">
        <v>1.29</v>
      </c>
      <c r="O479" s="14" t="n">
        <v>7.23</v>
      </c>
      <c r="P479" s="14" t="n">
        <v>-0.53</v>
      </c>
      <c r="Q479" s="14" t="n">
        <v>1.6</v>
      </c>
      <c r="R479" s="14" t="n">
        <v>13.73</v>
      </c>
      <c r="S479" s="14" t="n">
        <v>7.08</v>
      </c>
      <c r="T479" s="14" t="n">
        <v>10.58</v>
      </c>
      <c r="U479" s="14" t="n">
        <v>0.52</v>
      </c>
      <c r="V479" s="14" t="n">
        <v>0.48</v>
      </c>
      <c r="W479" s="14" t="n">
        <v>0.34</v>
      </c>
      <c r="X479" s="14" t="n">
        <v>10.07</v>
      </c>
      <c r="Y479" s="14" t="n">
        <v>17.84</v>
      </c>
      <c r="Z479" s="16" t="n">
        <v>37386245.22</v>
      </c>
      <c r="AA479" s="14" t="n">
        <v>23.79</v>
      </c>
      <c r="AB479" s="14" t="n">
        <v>3.27</v>
      </c>
      <c r="AC479" s="14" t="n">
        <v>-0.53</v>
      </c>
      <c r="AD479" s="16" t="n">
        <v>6174785750.63</v>
      </c>
    </row>
    <row r="480" customFormat="false" ht="15.75" hidden="false" customHeight="false" outlineLevel="0" collapsed="false">
      <c r="A480" s="14" t="s">
        <v>512</v>
      </c>
      <c r="B480" s="14" t="n">
        <v>4.07</v>
      </c>
      <c r="C480" s="14" t="n">
        <v>4.52</v>
      </c>
      <c r="D480" s="14" t="n">
        <v>6.23</v>
      </c>
      <c r="E480" s="14" t="n">
        <v>0.86</v>
      </c>
      <c r="F480" s="14" t="n">
        <v>0.44</v>
      </c>
      <c r="G480" s="14" t="n">
        <v>59.41</v>
      </c>
      <c r="H480" s="14" t="n">
        <v>32.74</v>
      </c>
      <c r="I480" s="14" t="n">
        <v>20.64</v>
      </c>
      <c r="J480" s="14" t="n">
        <v>3.93</v>
      </c>
      <c r="K480" s="14" t="n">
        <v>5.72</v>
      </c>
      <c r="L480" s="14" t="n">
        <v>1.77</v>
      </c>
      <c r="M480" s="14" t="n">
        <v>0.39</v>
      </c>
      <c r="N480" s="14" t="n">
        <v>1.29</v>
      </c>
      <c r="O480" s="14" t="n">
        <v>7.23</v>
      </c>
      <c r="P480" s="14" t="n">
        <v>-0.53</v>
      </c>
      <c r="Q480" s="14" t="n">
        <v>1.6</v>
      </c>
      <c r="R480" s="14" t="n">
        <v>13.73</v>
      </c>
      <c r="S480" s="14" t="n">
        <v>7.08</v>
      </c>
      <c r="T480" s="14" t="n">
        <v>10.58</v>
      </c>
      <c r="U480" s="14" t="n">
        <v>0.52</v>
      </c>
      <c r="V480" s="14" t="n">
        <v>0.48</v>
      </c>
      <c r="W480" s="14" t="n">
        <v>0.34</v>
      </c>
      <c r="X480" s="14" t="n">
        <v>10.07</v>
      </c>
      <c r="Y480" s="14" t="n">
        <v>17.84</v>
      </c>
      <c r="Z480" s="16" t="n">
        <v>3501420.05</v>
      </c>
      <c r="AA480" s="14" t="n">
        <v>4.76</v>
      </c>
      <c r="AB480" s="14" t="n">
        <v>0.65</v>
      </c>
      <c r="AC480" s="14" t="n">
        <v>-0.53</v>
      </c>
      <c r="AD480" s="16" t="n">
        <v>6174785750.63</v>
      </c>
    </row>
    <row r="481" customFormat="false" ht="15.75" hidden="false" customHeight="false" outlineLevel="0" collapsed="false">
      <c r="A481" s="14" t="s">
        <v>513</v>
      </c>
      <c r="B481" s="14" t="n">
        <v>4.13</v>
      </c>
      <c r="C481" s="14" t="n">
        <v>4.9</v>
      </c>
      <c r="D481" s="14" t="n">
        <v>6.32</v>
      </c>
      <c r="E481" s="14" t="n">
        <v>0.87</v>
      </c>
      <c r="F481" s="14" t="n">
        <v>0.45</v>
      </c>
      <c r="G481" s="14" t="n">
        <v>59.41</v>
      </c>
      <c r="H481" s="14" t="n">
        <v>32.74</v>
      </c>
      <c r="I481" s="14" t="n">
        <v>20.64</v>
      </c>
      <c r="J481" s="14" t="n">
        <v>3.99</v>
      </c>
      <c r="K481" s="14" t="n">
        <v>5.72</v>
      </c>
      <c r="L481" s="14" t="n">
        <v>1.77</v>
      </c>
      <c r="M481" s="14" t="n">
        <v>0.39</v>
      </c>
      <c r="N481" s="14" t="n">
        <v>1.31</v>
      </c>
      <c r="O481" s="14" t="n">
        <v>7.34</v>
      </c>
      <c r="P481" s="14" t="n">
        <v>-0.54</v>
      </c>
      <c r="Q481" s="14" t="n">
        <v>1.6</v>
      </c>
      <c r="R481" s="14" t="n">
        <v>13.73</v>
      </c>
      <c r="S481" s="14" t="n">
        <v>7.08</v>
      </c>
      <c r="T481" s="14" t="n">
        <v>10.58</v>
      </c>
      <c r="U481" s="14" t="n">
        <v>0.52</v>
      </c>
      <c r="V481" s="14" t="n">
        <v>0.48</v>
      </c>
      <c r="W481" s="14" t="n">
        <v>0.34</v>
      </c>
      <c r="X481" s="14" t="n">
        <v>10.07</v>
      </c>
      <c r="Y481" s="14" t="n">
        <v>17.84</v>
      </c>
      <c r="Z481" s="16" t="n">
        <v>15479408.17</v>
      </c>
      <c r="AA481" s="14" t="n">
        <v>4.76</v>
      </c>
      <c r="AB481" s="14" t="n">
        <v>0.65</v>
      </c>
      <c r="AC481" s="14" t="n">
        <v>-0.54</v>
      </c>
      <c r="AD481" s="16" t="n">
        <v>6174785750.63</v>
      </c>
    </row>
    <row r="482" customFormat="false" ht="15.75" hidden="false" customHeight="false" outlineLevel="0" collapsed="false">
      <c r="A482" s="14" t="s">
        <v>514</v>
      </c>
      <c r="B482" s="14" t="n">
        <v>36.82</v>
      </c>
      <c r="D482" s="14" t="n">
        <v>-56.75</v>
      </c>
      <c r="E482" s="14" t="n">
        <v>4.54</v>
      </c>
      <c r="F482" s="14" t="n">
        <v>1.43</v>
      </c>
      <c r="G482" s="14" t="n">
        <v>42.46</v>
      </c>
      <c r="H482" s="14" t="n">
        <v>-3.9</v>
      </c>
      <c r="I482" s="14" t="n">
        <v>-5.79</v>
      </c>
      <c r="J482" s="14" t="n">
        <v>-84.24</v>
      </c>
      <c r="K482" s="14" t="n">
        <v>-97.43</v>
      </c>
      <c r="L482" s="14" t="n">
        <v>-14.15</v>
      </c>
      <c r="M482" s="14" t="n">
        <v>0.76</v>
      </c>
      <c r="N482" s="14" t="n">
        <v>3.28</v>
      </c>
      <c r="O482" s="14" t="n">
        <v>6.34</v>
      </c>
      <c r="P482" s="14" t="n">
        <v>-2.97</v>
      </c>
      <c r="Q482" s="14" t="n">
        <v>1.77</v>
      </c>
      <c r="R482" s="14" t="n">
        <v>-7.99</v>
      </c>
      <c r="S482" s="14" t="n">
        <v>-2.52</v>
      </c>
      <c r="T482" s="14" t="n">
        <v>-5.85</v>
      </c>
      <c r="U482" s="14" t="n">
        <v>0.32</v>
      </c>
      <c r="V482" s="14" t="n">
        <v>0.68</v>
      </c>
      <c r="W482" s="14" t="n">
        <v>0.44</v>
      </c>
      <c r="Z482" s="16" t="n">
        <v>37028868.71</v>
      </c>
      <c r="AA482" s="14" t="n">
        <v>8.12</v>
      </c>
      <c r="AB482" s="14" t="n">
        <v>-0.65</v>
      </c>
      <c r="AC482" s="14" t="n">
        <v>0.38</v>
      </c>
      <c r="AD482" s="16" t="n">
        <v>8812080550</v>
      </c>
    </row>
    <row r="483" customFormat="false" ht="15.75" hidden="false" customHeight="false" outlineLevel="0" collapsed="false">
      <c r="A483" s="14" t="s">
        <v>515</v>
      </c>
      <c r="B483" s="14" t="n">
        <v>36.94</v>
      </c>
      <c r="C483" s="14" t="n">
        <v>1.08</v>
      </c>
      <c r="D483" s="14" t="n">
        <v>11.86</v>
      </c>
      <c r="E483" s="14" t="n">
        <v>1.08</v>
      </c>
      <c r="F483" s="14" t="n">
        <v>0.5</v>
      </c>
      <c r="G483" s="14" t="n">
        <v>35.95</v>
      </c>
      <c r="H483" s="14" t="n">
        <v>24.93</v>
      </c>
      <c r="I483" s="14" t="n">
        <v>11.55</v>
      </c>
      <c r="J483" s="14" t="n">
        <v>5.5</v>
      </c>
      <c r="K483" s="14" t="n">
        <v>8.45</v>
      </c>
      <c r="L483" s="14" t="n">
        <v>2.94</v>
      </c>
      <c r="M483" s="14" t="n">
        <v>0.58</v>
      </c>
      <c r="N483" s="14" t="n">
        <v>1.37</v>
      </c>
      <c r="O483" s="14" t="n">
        <v>328.74</v>
      </c>
      <c r="P483" s="14" t="n">
        <v>-0.57</v>
      </c>
      <c r="Q483" s="14" t="n">
        <v>1.01</v>
      </c>
      <c r="R483" s="14" t="n">
        <v>9.14</v>
      </c>
      <c r="S483" s="14" t="n">
        <v>4.18</v>
      </c>
      <c r="T483" s="14" t="n">
        <v>9.1</v>
      </c>
      <c r="U483" s="14" t="n">
        <v>0.46</v>
      </c>
      <c r="V483" s="14" t="n">
        <v>0.54</v>
      </c>
      <c r="W483" s="14" t="n">
        <v>0.36</v>
      </c>
      <c r="X483" s="14" t="n">
        <v>8.73</v>
      </c>
      <c r="Y483" s="14" t="n">
        <v>12.66</v>
      </c>
      <c r="Z483" s="16" t="n">
        <v>113519927.93</v>
      </c>
      <c r="AA483" s="14" t="n">
        <v>34.07</v>
      </c>
      <c r="AB483" s="14" t="n">
        <v>3.11</v>
      </c>
      <c r="AC483" s="14" t="n">
        <v>3.72</v>
      </c>
      <c r="AD483" s="16" t="n">
        <v>25324040646.45</v>
      </c>
    </row>
    <row r="484" customFormat="false" ht="15.75" hidden="false" customHeight="false" outlineLevel="0" collapsed="false">
      <c r="A484" s="14" t="s">
        <v>516</v>
      </c>
      <c r="B484" s="14" t="n">
        <v>41.54</v>
      </c>
      <c r="C484" s="14" t="n">
        <v>0.88</v>
      </c>
      <c r="D484" s="14" t="n">
        <v>24.97</v>
      </c>
      <c r="E484" s="14" t="n">
        <v>1.54</v>
      </c>
      <c r="F484" s="14" t="n">
        <v>0.8</v>
      </c>
      <c r="G484" s="14" t="n">
        <v>80.74</v>
      </c>
      <c r="H484" s="14" t="n">
        <v>64.47</v>
      </c>
      <c r="I484" s="14" t="n">
        <v>27.48</v>
      </c>
      <c r="J484" s="14" t="n">
        <v>10.64</v>
      </c>
      <c r="K484" s="14" t="n">
        <v>15.29</v>
      </c>
      <c r="L484" s="14" t="n">
        <v>4.6</v>
      </c>
      <c r="M484" s="14" t="n">
        <v>0.66</v>
      </c>
      <c r="N484" s="14" t="n">
        <v>6.86</v>
      </c>
      <c r="O484" s="14" t="n">
        <v>8.72</v>
      </c>
      <c r="P484" s="14" t="n">
        <v>-0.94</v>
      </c>
      <c r="Q484" s="14" t="n">
        <v>2.86</v>
      </c>
      <c r="R484" s="14" t="n">
        <v>6.16</v>
      </c>
      <c r="S484" s="14" t="n">
        <v>3.22</v>
      </c>
      <c r="T484" s="14" t="n">
        <v>6.16</v>
      </c>
      <c r="U484" s="14" t="n">
        <v>0.52</v>
      </c>
      <c r="V484" s="14" t="n">
        <v>0.47</v>
      </c>
      <c r="W484" s="14" t="n">
        <v>0.12</v>
      </c>
      <c r="X484" s="14" t="n">
        <v>-6.59</v>
      </c>
      <c r="Y484" s="14" t="n">
        <v>-11.47</v>
      </c>
      <c r="Z484" s="16" t="n">
        <v>520125.61</v>
      </c>
      <c r="AA484" s="14" t="n">
        <v>27</v>
      </c>
      <c r="AB484" s="14" t="n">
        <v>1.66</v>
      </c>
      <c r="AC484" s="14" t="n">
        <v>4.56</v>
      </c>
      <c r="AD484" s="16" t="n">
        <v>2409955695.06</v>
      </c>
    </row>
    <row r="485" customFormat="false" ht="15.75" hidden="false" customHeight="false" outlineLevel="0" collapsed="false">
      <c r="A485" s="14" t="s">
        <v>517</v>
      </c>
      <c r="B485" s="14" t="n">
        <v>23.8</v>
      </c>
      <c r="D485" s="14" t="n">
        <v>-13.36</v>
      </c>
      <c r="E485" s="14" t="n">
        <v>15</v>
      </c>
      <c r="F485" s="14" t="n">
        <v>1.53</v>
      </c>
      <c r="G485" s="14" t="n">
        <v>48.36</v>
      </c>
      <c r="H485" s="14" t="n">
        <v>-15.73</v>
      </c>
      <c r="I485" s="14" t="n">
        <v>-25.77</v>
      </c>
      <c r="J485" s="14" t="n">
        <v>-21.89</v>
      </c>
      <c r="K485" s="14" t="n">
        <v>-27.94</v>
      </c>
      <c r="L485" s="14" t="n">
        <v>-6.05</v>
      </c>
      <c r="M485" s="14" t="n">
        <v>4.15</v>
      </c>
      <c r="N485" s="14" t="n">
        <v>3.44</v>
      </c>
      <c r="O485" s="14" t="n">
        <v>57.9</v>
      </c>
      <c r="P485" s="14" t="n">
        <v>-2.27</v>
      </c>
      <c r="Q485" s="14" t="n">
        <v>1.09</v>
      </c>
      <c r="R485" s="14" t="n">
        <v>-112.29</v>
      </c>
      <c r="S485" s="14" t="n">
        <v>-11.46</v>
      </c>
      <c r="T485" s="14" t="n">
        <v>-13.15</v>
      </c>
      <c r="U485" s="14" t="n">
        <v>0.1</v>
      </c>
      <c r="V485" s="14" t="n">
        <v>0.9</v>
      </c>
      <c r="W485" s="14" t="n">
        <v>0.44</v>
      </c>
      <c r="X485" s="14" t="n">
        <v>12.49</v>
      </c>
      <c r="AA485" s="14" t="n">
        <v>1.59</v>
      </c>
      <c r="AB485" s="14" t="n">
        <v>-1.78</v>
      </c>
      <c r="AC485" s="14" t="n">
        <v>0.01</v>
      </c>
      <c r="AD485" s="16" t="n">
        <v>6238667820</v>
      </c>
    </row>
    <row r="486" customFormat="false" ht="15.75" hidden="false" customHeight="false" outlineLevel="0" collapsed="false">
      <c r="A486" s="14" t="s">
        <v>518</v>
      </c>
      <c r="B486" s="14" t="n">
        <v>18.11</v>
      </c>
      <c r="C486" s="14" t="n">
        <v>2.02</v>
      </c>
      <c r="D486" s="14" t="n">
        <v>13.07</v>
      </c>
      <c r="E486" s="14" t="n">
        <v>1.6</v>
      </c>
      <c r="F486" s="14" t="n">
        <v>0.74</v>
      </c>
      <c r="G486" s="14" t="n">
        <v>54.43</v>
      </c>
      <c r="H486" s="14" t="n">
        <v>25.09</v>
      </c>
      <c r="I486" s="14" t="n">
        <v>14.28</v>
      </c>
      <c r="J486" s="14" t="n">
        <v>7.44</v>
      </c>
      <c r="K486" s="14" t="n">
        <v>7.35</v>
      </c>
      <c r="L486" s="14" t="n">
        <v>-0.06</v>
      </c>
      <c r="M486" s="14" t="n">
        <v>-0.01</v>
      </c>
      <c r="N486" s="14" t="n">
        <v>1.87</v>
      </c>
      <c r="O486" s="14" t="n">
        <v>4.44</v>
      </c>
      <c r="P486" s="14" t="n">
        <v>-1.08</v>
      </c>
      <c r="Q486" s="14" t="n">
        <v>2.13</v>
      </c>
      <c r="R486" s="14" t="n">
        <v>12.24</v>
      </c>
      <c r="S486" s="14" t="n">
        <v>5.66</v>
      </c>
      <c r="T486" s="14" t="n">
        <v>13.6</v>
      </c>
      <c r="U486" s="14" t="n">
        <v>0.46</v>
      </c>
      <c r="V486" s="14" t="n">
        <v>0.54</v>
      </c>
      <c r="W486" s="14" t="n">
        <v>0.4</v>
      </c>
      <c r="X486" s="14" t="n">
        <v>4.15</v>
      </c>
      <c r="Y486" s="14" t="n">
        <v>0.49</v>
      </c>
      <c r="Z486" s="16" t="n">
        <v>15140167.76</v>
      </c>
      <c r="AA486" s="14" t="n">
        <v>11.32</v>
      </c>
      <c r="AB486" s="14" t="n">
        <v>1.39</v>
      </c>
      <c r="AC486" s="14" t="n">
        <v>0.16</v>
      </c>
      <c r="AD486" s="16" t="n">
        <v>2320849726.8</v>
      </c>
    </row>
    <row r="487" customFormat="false" ht="15.75" hidden="false" customHeight="false" outlineLevel="0" collapsed="false">
      <c r="A487" s="14" t="s">
        <v>519</v>
      </c>
      <c r="B487" s="14" t="n">
        <v>28.2</v>
      </c>
      <c r="D487" s="16" t="n">
        <v>-2275.14</v>
      </c>
      <c r="E487" s="14" t="n">
        <v>9.82</v>
      </c>
      <c r="F487" s="14" t="n">
        <v>2.42</v>
      </c>
      <c r="G487" s="14" t="n">
        <v>20.68</v>
      </c>
      <c r="H487" s="14" t="n">
        <v>3.48</v>
      </c>
      <c r="I487" s="14" t="n">
        <v>-0.15</v>
      </c>
      <c r="J487" s="14" t="n">
        <v>96.81</v>
      </c>
      <c r="K487" s="14" t="n">
        <v>106.48</v>
      </c>
      <c r="L487" s="14" t="n">
        <v>9.19</v>
      </c>
      <c r="M487" s="14" t="n">
        <v>0.93</v>
      </c>
      <c r="N487" s="14" t="n">
        <v>3.37</v>
      </c>
      <c r="O487" s="14" t="n">
        <v>20.7</v>
      </c>
      <c r="P487" s="14" t="n">
        <v>-4.14</v>
      </c>
      <c r="Q487" s="14" t="n">
        <v>1.39</v>
      </c>
      <c r="R487" s="14" t="n">
        <v>-0.43</v>
      </c>
      <c r="S487" s="14" t="n">
        <v>-0.11</v>
      </c>
      <c r="T487" s="14" t="n">
        <v>2.66</v>
      </c>
      <c r="U487" s="14" t="n">
        <v>0.25</v>
      </c>
      <c r="V487" s="14" t="n">
        <v>0.75</v>
      </c>
      <c r="W487" s="14" t="n">
        <v>0.72</v>
      </c>
      <c r="Z487" s="16" t="n">
        <v>27798639.85</v>
      </c>
      <c r="AA487" s="14" t="n">
        <v>2.87</v>
      </c>
      <c r="AB487" s="14" t="n">
        <v>-0.01</v>
      </c>
      <c r="AC487" s="14" t="n">
        <v>26.67</v>
      </c>
      <c r="AD487" s="16" t="n">
        <v>3921242759.98</v>
      </c>
    </row>
    <row r="488" customFormat="false" ht="15.75" hidden="false" customHeight="false" outlineLevel="0" collapsed="false">
      <c r="A488" s="14" t="s">
        <v>520</v>
      </c>
      <c r="B488" s="14" t="n">
        <v>10.76</v>
      </c>
      <c r="D488" s="14" t="n">
        <v>-3.68</v>
      </c>
      <c r="E488" s="14" t="n">
        <v>0.49</v>
      </c>
      <c r="F488" s="14" t="n">
        <v>0.17</v>
      </c>
      <c r="G488" s="14" t="n">
        <v>34.34</v>
      </c>
      <c r="H488" s="14" t="n">
        <v>7.82</v>
      </c>
      <c r="I488" s="14" t="n">
        <v>-8.79</v>
      </c>
      <c r="J488" s="14" t="n">
        <v>4.14</v>
      </c>
      <c r="K488" s="14" t="n">
        <v>10.05</v>
      </c>
      <c r="L488" s="14" t="n">
        <v>5.91</v>
      </c>
      <c r="M488" s="14" t="n">
        <v>0.7</v>
      </c>
      <c r="N488" s="14" t="n">
        <v>0.32</v>
      </c>
      <c r="O488" s="14" t="n">
        <v>1.78</v>
      </c>
      <c r="P488" s="14" t="n">
        <v>-0.3</v>
      </c>
      <c r="Q488" s="14" t="n">
        <v>1.27</v>
      </c>
      <c r="R488" s="14" t="n">
        <v>-13.42</v>
      </c>
      <c r="S488" s="14" t="n">
        <v>-4.57</v>
      </c>
      <c r="T488" s="14" t="n">
        <v>6.38</v>
      </c>
      <c r="U488" s="14" t="n">
        <v>0.34</v>
      </c>
      <c r="V488" s="14" t="n">
        <v>0.66</v>
      </c>
      <c r="W488" s="14" t="n">
        <v>0.52</v>
      </c>
      <c r="X488" s="14" t="n">
        <v>-7.5</v>
      </c>
      <c r="Z488" s="16" t="n">
        <v>2008870.02</v>
      </c>
      <c r="AA488" s="14" t="n">
        <v>21.79</v>
      </c>
      <c r="AB488" s="14" t="n">
        <v>-2.92</v>
      </c>
      <c r="AC488" s="14" t="n">
        <v>0.07</v>
      </c>
      <c r="AD488" s="16" t="n">
        <v>538500000</v>
      </c>
    </row>
    <row r="489" customFormat="false" ht="15.75" hidden="false" customHeight="false" outlineLevel="0" collapsed="false">
      <c r="A489" s="14" t="s">
        <v>521</v>
      </c>
      <c r="B489" s="14" t="n">
        <v>6.25</v>
      </c>
      <c r="D489" s="14" t="n">
        <v>-3.98</v>
      </c>
      <c r="E489" s="14" t="n">
        <v>2.22</v>
      </c>
      <c r="F489" s="14" t="n">
        <v>0.82</v>
      </c>
      <c r="G489" s="14" t="n">
        <v>-210.66</v>
      </c>
      <c r="H489" s="14" t="n">
        <v>-778.33</v>
      </c>
      <c r="I489" s="16" t="n">
        <v>-1039.14</v>
      </c>
      <c r="J489" s="14" t="n">
        <v>-5.32</v>
      </c>
      <c r="K489" s="14" t="n">
        <v>-4.36</v>
      </c>
      <c r="L489" s="14" t="n">
        <v>0.94</v>
      </c>
      <c r="M489" s="14" t="n">
        <v>-0.39</v>
      </c>
      <c r="N489" s="14" t="n">
        <v>41.38</v>
      </c>
      <c r="O489" s="14" t="n">
        <v>5.27</v>
      </c>
      <c r="P489" s="14" t="n">
        <v>-1.63</v>
      </c>
      <c r="Q489" s="14" t="n">
        <v>1.46</v>
      </c>
      <c r="R489" s="14" t="n">
        <v>-55.74</v>
      </c>
      <c r="S489" s="14" t="n">
        <v>-20.63</v>
      </c>
      <c r="T489" s="14" t="n">
        <v>-29.33</v>
      </c>
      <c r="U489" s="14" t="n">
        <v>0.37</v>
      </c>
      <c r="V489" s="14" t="n">
        <v>0.64</v>
      </c>
      <c r="W489" s="14" t="n">
        <v>0.02</v>
      </c>
      <c r="X489" s="14" t="n">
        <v>-40.82</v>
      </c>
      <c r="Z489" s="16" t="n">
        <v>10233421.61</v>
      </c>
      <c r="AA489" s="14" t="n">
        <v>2.82</v>
      </c>
      <c r="AB489" s="14" t="n">
        <v>-1.57</v>
      </c>
      <c r="AC489" s="14" t="n">
        <v>-0.04</v>
      </c>
      <c r="AD489" s="16" t="n">
        <v>419306552.38</v>
      </c>
    </row>
    <row r="490" customFormat="false" ht="15.75" hidden="false" customHeight="false" outlineLevel="0" collapsed="false">
      <c r="A490" s="14" t="s">
        <v>522</v>
      </c>
      <c r="B490" s="14" t="n">
        <v>111.97</v>
      </c>
      <c r="C490" s="14" t="n">
        <v>0.28</v>
      </c>
      <c r="D490" s="14" t="n">
        <v>130.23</v>
      </c>
      <c r="E490" s="14" t="n">
        <v>25.88</v>
      </c>
      <c r="F490" s="14" t="n">
        <v>10.42</v>
      </c>
      <c r="G490" s="14" t="n">
        <v>22.37</v>
      </c>
      <c r="H490" s="14" t="n">
        <v>14.02</v>
      </c>
      <c r="I490" s="14" t="n">
        <v>12.95</v>
      </c>
      <c r="J490" s="14" t="n">
        <v>120.24</v>
      </c>
      <c r="K490" s="14" t="n">
        <v>59.64</v>
      </c>
      <c r="L490" s="14" t="n">
        <v>2.02</v>
      </c>
      <c r="M490" s="14" t="n">
        <v>0.43</v>
      </c>
      <c r="N490" s="14" t="n">
        <v>16.86</v>
      </c>
      <c r="O490" s="14" t="n">
        <v>24.95</v>
      </c>
      <c r="P490" s="14" t="n">
        <v>-31.85</v>
      </c>
      <c r="Q490" s="14" t="n">
        <v>2.63</v>
      </c>
      <c r="R490" s="14" t="n">
        <v>19.88</v>
      </c>
      <c r="S490" s="14" t="n">
        <v>8</v>
      </c>
      <c r="T490" s="14" t="n">
        <v>8.07</v>
      </c>
      <c r="U490" s="14" t="n">
        <v>0.4</v>
      </c>
      <c r="V490" s="14" t="n">
        <v>0.6</v>
      </c>
      <c r="W490" s="14" t="n">
        <v>0.62</v>
      </c>
      <c r="X490" s="14" t="n">
        <v>10.16</v>
      </c>
      <c r="Y490" s="14" t="n">
        <v>24.14</v>
      </c>
      <c r="Z490" s="16" t="n">
        <v>62944.5</v>
      </c>
      <c r="AA490" s="14" t="n">
        <v>4.33</v>
      </c>
      <c r="AB490" s="14" t="n">
        <v>0.86</v>
      </c>
      <c r="AC490" s="14" t="n">
        <v>2.07</v>
      </c>
      <c r="AD490" s="16" t="n">
        <v>9588289033.82</v>
      </c>
    </row>
    <row r="491" customFormat="false" ht="15.75" hidden="false" customHeight="false" outlineLevel="0" collapsed="false">
      <c r="A491" s="14" t="s">
        <v>523</v>
      </c>
      <c r="B491" s="14" t="n">
        <v>10.14</v>
      </c>
      <c r="C491" s="14" t="n">
        <v>3.43</v>
      </c>
      <c r="D491" s="14" t="n">
        <v>11.79</v>
      </c>
      <c r="E491" s="14" t="n">
        <v>2.34</v>
      </c>
      <c r="F491" s="14" t="n">
        <v>0.94</v>
      </c>
      <c r="G491" s="14" t="n">
        <v>22.37</v>
      </c>
      <c r="H491" s="14" t="n">
        <v>14.02</v>
      </c>
      <c r="I491" s="14" t="n">
        <v>12.95</v>
      </c>
      <c r="J491" s="14" t="n">
        <v>10.89</v>
      </c>
      <c r="K491" s="14" t="n">
        <v>59.64</v>
      </c>
      <c r="L491" s="14" t="n">
        <v>2.02</v>
      </c>
      <c r="M491" s="14" t="n">
        <v>0.43</v>
      </c>
      <c r="N491" s="14" t="n">
        <v>1.53</v>
      </c>
      <c r="O491" s="14" t="n">
        <v>2.26</v>
      </c>
      <c r="P491" s="14" t="n">
        <v>-2.88</v>
      </c>
      <c r="Q491" s="14" t="n">
        <v>2.63</v>
      </c>
      <c r="R491" s="14" t="n">
        <v>19.88</v>
      </c>
      <c r="S491" s="14" t="n">
        <v>8</v>
      </c>
      <c r="T491" s="14" t="n">
        <v>8.07</v>
      </c>
      <c r="U491" s="14" t="n">
        <v>0.4</v>
      </c>
      <c r="V491" s="14" t="n">
        <v>0.6</v>
      </c>
      <c r="W491" s="14" t="n">
        <v>0.62</v>
      </c>
      <c r="X491" s="14" t="n">
        <v>10.16</v>
      </c>
      <c r="Y491" s="14" t="n">
        <v>24.14</v>
      </c>
      <c r="Z491" s="16" t="n">
        <v>7465657.95</v>
      </c>
      <c r="AA491" s="14" t="n">
        <v>4.33</v>
      </c>
      <c r="AB491" s="14" t="n">
        <v>0.86</v>
      </c>
      <c r="AC491" s="14" t="n">
        <v>0.19</v>
      </c>
      <c r="AD491" s="16" t="n">
        <v>9588289033.82</v>
      </c>
    </row>
    <row r="492" customFormat="false" ht="15.75" hidden="false" customHeight="false" outlineLevel="0" collapsed="false">
      <c r="A492" s="14" t="s">
        <v>524</v>
      </c>
      <c r="B492" s="14" t="n">
        <v>53.85</v>
      </c>
      <c r="C492" s="14" t="n">
        <v>0.64</v>
      </c>
      <c r="D492" s="14" t="n">
        <v>27.45</v>
      </c>
      <c r="E492" s="14" t="n">
        <v>4.88</v>
      </c>
      <c r="F492" s="14" t="n">
        <v>0.35</v>
      </c>
      <c r="G492" s="14" t="n">
        <v>23.16</v>
      </c>
      <c r="H492" s="14" t="n">
        <v>14.96</v>
      </c>
      <c r="I492" s="14" t="n">
        <v>4.02</v>
      </c>
      <c r="J492" s="14" t="n">
        <v>7.38</v>
      </c>
      <c r="K492" s="14" t="n">
        <v>15.75</v>
      </c>
      <c r="L492" s="14" t="n">
        <v>8.47</v>
      </c>
      <c r="M492" s="14" t="n">
        <v>5.59</v>
      </c>
      <c r="N492" s="14" t="n">
        <v>1.1</v>
      </c>
      <c r="O492" s="14" t="n">
        <v>1.12</v>
      </c>
      <c r="P492" s="14" t="n">
        <v>-0.63</v>
      </c>
      <c r="Q492" s="14" t="n">
        <v>3.25</v>
      </c>
      <c r="R492" s="14" t="n">
        <v>17.76</v>
      </c>
      <c r="S492" s="14" t="n">
        <v>1.27</v>
      </c>
      <c r="T492" s="14" t="n">
        <v>4.06</v>
      </c>
      <c r="U492" s="14" t="n">
        <v>0.07</v>
      </c>
      <c r="V492" s="14" t="n">
        <v>0.88</v>
      </c>
      <c r="W492" s="14" t="n">
        <v>0.32</v>
      </c>
      <c r="X492" s="14" t="n">
        <v>10.36</v>
      </c>
      <c r="Y492" s="14" t="n">
        <v>53.42</v>
      </c>
      <c r="Z492" s="16" t="n">
        <v>28680524.2</v>
      </c>
      <c r="AA492" s="14" t="n">
        <v>11.05</v>
      </c>
      <c r="AB492" s="14" t="n">
        <v>1.96</v>
      </c>
      <c r="AC492" s="14" t="n">
        <v>0.15</v>
      </c>
      <c r="AD492" s="16" t="n">
        <v>10978623719.76</v>
      </c>
    </row>
    <row r="493" customFormat="false" ht="15.75" hidden="false" customHeight="false" outlineLevel="0" collapsed="false">
      <c r="A493" s="14" t="s">
        <v>525</v>
      </c>
      <c r="B493" s="14" t="n">
        <v>48.85</v>
      </c>
      <c r="C493" s="14" t="n">
        <v>3.39</v>
      </c>
      <c r="D493" s="14" t="n">
        <v>13.53</v>
      </c>
      <c r="E493" s="14" t="n">
        <v>2.96</v>
      </c>
      <c r="F493" s="14" t="n">
        <v>1.02</v>
      </c>
      <c r="G493" s="14" t="n">
        <v>31.92</v>
      </c>
      <c r="H493" s="14" t="n">
        <v>25.03</v>
      </c>
      <c r="I493" s="14" t="n">
        <v>15.25</v>
      </c>
      <c r="J493" s="14" t="n">
        <v>8.24</v>
      </c>
      <c r="K493" s="14" t="n">
        <v>9.13</v>
      </c>
      <c r="L493" s="14" t="n">
        <v>0.91</v>
      </c>
      <c r="M493" s="14" t="n">
        <v>0.33</v>
      </c>
      <c r="N493" s="14" t="n">
        <v>2.06</v>
      </c>
      <c r="O493" s="14" t="n">
        <v>5.25</v>
      </c>
      <c r="P493" s="14" t="n">
        <v>-2.11</v>
      </c>
      <c r="Q493" s="14" t="n">
        <v>1.61</v>
      </c>
      <c r="R493" s="14" t="n">
        <v>21.84</v>
      </c>
      <c r="S493" s="14" t="n">
        <v>7.55</v>
      </c>
      <c r="T493" s="14" t="n">
        <v>13.84</v>
      </c>
      <c r="U493" s="14" t="n">
        <v>0.35</v>
      </c>
      <c r="V493" s="14" t="n">
        <v>0.63</v>
      </c>
      <c r="W493" s="14" t="n">
        <v>0.5</v>
      </c>
      <c r="X493" s="14" t="n">
        <v>17.07</v>
      </c>
      <c r="Y493" s="14" t="n">
        <v>33.35</v>
      </c>
      <c r="Z493" s="16" t="n">
        <v>72196209.41</v>
      </c>
      <c r="AA493" s="14" t="n">
        <v>16.53</v>
      </c>
      <c r="AB493" s="14" t="n">
        <v>3.61</v>
      </c>
      <c r="AC493" s="14" t="n">
        <v>0.14</v>
      </c>
      <c r="AD493" s="16" t="n">
        <v>9287694350</v>
      </c>
    </row>
    <row r="494" customFormat="false" ht="15.75" hidden="false" customHeight="false" outlineLevel="0" collapsed="false">
      <c r="A494" s="14" t="s">
        <v>526</v>
      </c>
      <c r="B494" s="14" t="n">
        <v>1.03</v>
      </c>
      <c r="D494" s="14" t="n">
        <v>-0.17</v>
      </c>
      <c r="E494" s="14" t="n">
        <v>-0.12</v>
      </c>
      <c r="F494" s="14" t="n">
        <v>0.23</v>
      </c>
      <c r="G494" s="14" t="n">
        <v>21.69</v>
      </c>
      <c r="H494" s="14" t="n">
        <v>-268.48</v>
      </c>
      <c r="I494" s="14" t="n">
        <v>-291.25</v>
      </c>
      <c r="J494" s="14" t="n">
        <v>-0.18</v>
      </c>
      <c r="K494" s="14" t="n">
        <v>-0.85</v>
      </c>
      <c r="L494" s="14" t="n">
        <v>-0.72</v>
      </c>
      <c r="N494" s="14" t="n">
        <v>0.49</v>
      </c>
      <c r="O494" s="14" t="n">
        <v>-0.96</v>
      </c>
      <c r="P494" s="14" t="n">
        <v>-0.42</v>
      </c>
      <c r="Q494" s="14" t="n">
        <v>0.65</v>
      </c>
      <c r="R494" s="14" t="n">
        <v>-68.74</v>
      </c>
      <c r="S494" s="14" t="n">
        <v>-136.19</v>
      </c>
      <c r="T494" s="14" t="n">
        <v>122.9</v>
      </c>
      <c r="U494" s="14" t="n">
        <v>-1.98</v>
      </c>
      <c r="V494" s="14" t="n">
        <v>2.98</v>
      </c>
      <c r="W494" s="14" t="n">
        <v>0.47</v>
      </c>
      <c r="X494" s="14" t="n">
        <v>-32.61</v>
      </c>
      <c r="Z494" s="16" t="n">
        <v>563422.05</v>
      </c>
      <c r="AA494" s="14" t="n">
        <v>-8.89</v>
      </c>
      <c r="AB494" s="14" t="n">
        <v>-6.11</v>
      </c>
      <c r="AC494" s="14" t="n">
        <v>-0.01</v>
      </c>
      <c r="AD494" s="16" t="n">
        <v>47758028.82</v>
      </c>
    </row>
    <row r="495" customFormat="false" ht="15.75" hidden="false" customHeight="false" outlineLevel="0" collapsed="false">
      <c r="A495" s="14" t="s">
        <v>527</v>
      </c>
      <c r="B495" s="14" t="n">
        <v>0.6</v>
      </c>
      <c r="D495" s="14" t="n">
        <v>-0.1</v>
      </c>
      <c r="E495" s="14" t="n">
        <v>-0.07</v>
      </c>
      <c r="F495" s="14" t="n">
        <v>0.13</v>
      </c>
      <c r="G495" s="14" t="n">
        <v>21.69</v>
      </c>
      <c r="H495" s="14" t="n">
        <v>-268.48</v>
      </c>
      <c r="I495" s="14" t="n">
        <v>-291.25</v>
      </c>
      <c r="J495" s="14" t="n">
        <v>-0.11</v>
      </c>
      <c r="K495" s="14" t="n">
        <v>-0.85</v>
      </c>
      <c r="L495" s="14" t="n">
        <v>-0.72</v>
      </c>
      <c r="N495" s="14" t="n">
        <v>0.29</v>
      </c>
      <c r="O495" s="14" t="n">
        <v>-0.56</v>
      </c>
      <c r="P495" s="14" t="n">
        <v>-0.24</v>
      </c>
      <c r="Q495" s="14" t="n">
        <v>0.65</v>
      </c>
      <c r="R495" s="14" t="n">
        <v>-68.74</v>
      </c>
      <c r="S495" s="14" t="n">
        <v>-136.19</v>
      </c>
      <c r="T495" s="14" t="n">
        <v>122.9</v>
      </c>
      <c r="U495" s="14" t="n">
        <v>-1.98</v>
      </c>
      <c r="V495" s="14" t="n">
        <v>2.98</v>
      </c>
      <c r="W495" s="14" t="n">
        <v>0.47</v>
      </c>
      <c r="X495" s="14" t="n">
        <v>-32.61</v>
      </c>
      <c r="Z495" s="16" t="n">
        <v>888047.41</v>
      </c>
      <c r="AA495" s="14" t="n">
        <v>-8.89</v>
      </c>
      <c r="AB495" s="14" t="n">
        <v>-6.11</v>
      </c>
      <c r="AC495" s="14" t="n">
        <v>0</v>
      </c>
      <c r="AD495" s="16" t="n">
        <v>47758028.82</v>
      </c>
    </row>
    <row r="496" customFormat="false" ht="15.75" hidden="false" customHeight="false" outlineLevel="0" collapsed="false">
      <c r="A496" s="14" t="s">
        <v>528</v>
      </c>
      <c r="B496" s="14" t="n">
        <v>0</v>
      </c>
      <c r="D496" s="14" t="n">
        <v>0</v>
      </c>
      <c r="E496" s="14" t="n">
        <v>0</v>
      </c>
      <c r="F496" s="14" t="n">
        <v>0</v>
      </c>
      <c r="G496" s="14" t="n">
        <v>-23.26</v>
      </c>
      <c r="H496" s="14" t="n">
        <v>-60.07</v>
      </c>
      <c r="I496" s="14" t="n">
        <v>-73.59</v>
      </c>
      <c r="J496" s="14" t="n">
        <v>0</v>
      </c>
      <c r="K496" s="14" t="n">
        <v>-2.96</v>
      </c>
      <c r="L496" s="14" t="n">
        <v>-2.96</v>
      </c>
      <c r="M496" s="14" t="n">
        <v>0.75</v>
      </c>
      <c r="N496" s="14" t="n">
        <v>0</v>
      </c>
      <c r="O496" s="14" t="n">
        <v>0</v>
      </c>
      <c r="P496" s="14" t="n">
        <v>0</v>
      </c>
      <c r="Q496" s="14" t="n">
        <v>0.94</v>
      </c>
      <c r="R496" s="14" t="n">
        <v>-30.91</v>
      </c>
      <c r="S496" s="14" t="n">
        <v>-8.83</v>
      </c>
      <c r="T496" s="14" t="n">
        <v>-13.44</v>
      </c>
      <c r="U496" s="14" t="n">
        <v>0.29</v>
      </c>
      <c r="V496" s="14" t="n">
        <v>0.71</v>
      </c>
      <c r="W496" s="14" t="n">
        <v>0.12</v>
      </c>
      <c r="X496" s="14" t="n">
        <v>18.59</v>
      </c>
      <c r="AA496" s="14" t="n">
        <v>109.53</v>
      </c>
      <c r="AB496" s="14" t="n">
        <v>-33.86</v>
      </c>
      <c r="AC496" s="14" t="n">
        <v>0</v>
      </c>
      <c r="AD496" s="14" t="n">
        <v>0</v>
      </c>
    </row>
    <row r="497" customFormat="false" ht="15.75" hidden="false" customHeight="false" outlineLevel="0" collapsed="false">
      <c r="A497" s="14" t="s">
        <v>529</v>
      </c>
      <c r="B497" s="14" t="n">
        <v>22.4</v>
      </c>
      <c r="C497" s="14" t="n">
        <v>23.65</v>
      </c>
      <c r="D497" s="14" t="n">
        <v>14.84</v>
      </c>
      <c r="E497" s="14" t="n">
        <v>3.1</v>
      </c>
      <c r="F497" s="14" t="n">
        <v>0.81</v>
      </c>
      <c r="G497" s="14" t="n">
        <v>81.93</v>
      </c>
      <c r="H497" s="14" t="n">
        <v>34.48</v>
      </c>
      <c r="I497" s="14" t="n">
        <v>33.91</v>
      </c>
      <c r="J497" s="14" t="n">
        <v>14.59</v>
      </c>
      <c r="K497" s="14" t="n">
        <v>11.18</v>
      </c>
      <c r="L497" s="14" t="n">
        <v>-3.41</v>
      </c>
      <c r="M497" s="14" t="n">
        <v>-0.72</v>
      </c>
      <c r="N497" s="14" t="n">
        <v>5.03</v>
      </c>
      <c r="O497" s="14" t="n">
        <v>29.35</v>
      </c>
      <c r="P497" s="14" t="n">
        <v>-2.1</v>
      </c>
      <c r="Q497" s="14" t="n">
        <v>1.05</v>
      </c>
      <c r="R497" s="14" t="n">
        <v>20.86</v>
      </c>
      <c r="S497" s="14" t="n">
        <v>5.49</v>
      </c>
      <c r="T497" s="14" t="n">
        <v>11.32</v>
      </c>
      <c r="U497" s="14" t="n">
        <v>0.26</v>
      </c>
      <c r="V497" s="14" t="n">
        <v>0.74</v>
      </c>
      <c r="W497" s="14" t="n">
        <v>0.16</v>
      </c>
      <c r="Z497" s="16" t="n">
        <v>17171217.75</v>
      </c>
      <c r="AA497" s="14" t="n">
        <v>7.24</v>
      </c>
      <c r="AB497" s="14" t="n">
        <v>1.51</v>
      </c>
      <c r="AC497" s="14" t="n">
        <v>-0.23</v>
      </c>
      <c r="AD497" s="16" t="n">
        <v>2781160547.2</v>
      </c>
    </row>
    <row r="498" customFormat="false" ht="15.75" hidden="false" customHeight="false" outlineLevel="0" collapsed="false">
      <c r="A498" s="14" t="s">
        <v>530</v>
      </c>
      <c r="B498" s="14" t="n">
        <v>35.16</v>
      </c>
      <c r="C498" s="14" t="n">
        <v>1.54</v>
      </c>
      <c r="D498" s="14" t="n">
        <v>13.43</v>
      </c>
      <c r="E498" s="14" t="n">
        <v>3.12</v>
      </c>
      <c r="F498" s="14" t="n">
        <v>1</v>
      </c>
      <c r="G498" s="14" t="n">
        <v>36.1</v>
      </c>
      <c r="H498" s="14" t="n">
        <v>36.03</v>
      </c>
      <c r="I498" s="14" t="n">
        <v>21.54</v>
      </c>
      <c r="J498" s="14" t="n">
        <v>8.03</v>
      </c>
      <c r="K498" s="14" t="n">
        <v>10.96</v>
      </c>
      <c r="L498" s="14" t="n">
        <v>2.97</v>
      </c>
      <c r="M498" s="14" t="n">
        <v>1.16</v>
      </c>
      <c r="N498" s="14" t="n">
        <v>2.89</v>
      </c>
      <c r="O498" s="14" t="n">
        <v>9.13</v>
      </c>
      <c r="P498" s="14" t="n">
        <v>-1.35</v>
      </c>
      <c r="Q498" s="14" t="n">
        <v>1.74</v>
      </c>
      <c r="R498" s="14" t="n">
        <v>23.26</v>
      </c>
      <c r="S498" s="14" t="n">
        <v>7.47</v>
      </c>
      <c r="T498" s="14" t="n">
        <v>12.76</v>
      </c>
      <c r="U498" s="14" t="n">
        <v>0.32</v>
      </c>
      <c r="V498" s="14" t="n">
        <v>0.68</v>
      </c>
      <c r="W498" s="14" t="n">
        <v>0.35</v>
      </c>
      <c r="X498" s="14" t="n">
        <v>12.98</v>
      </c>
      <c r="Y498" s="14" t="n">
        <v>34.98</v>
      </c>
      <c r="Z498" s="16" t="n">
        <v>39691833.39</v>
      </c>
      <c r="AA498" s="14" t="n">
        <v>11.26</v>
      </c>
      <c r="AB498" s="14" t="n">
        <v>2.62</v>
      </c>
      <c r="AC498" s="14" t="n">
        <v>0.3</v>
      </c>
      <c r="AD498" s="16" t="n">
        <v>12390396515</v>
      </c>
    </row>
    <row r="499" customFormat="false" ht="15.75" hidden="false" customHeight="false" outlineLevel="0" collapsed="false">
      <c r="A499" s="14" t="s">
        <v>531</v>
      </c>
      <c r="B499" s="14" t="n">
        <v>15.5</v>
      </c>
      <c r="D499" s="14" t="n">
        <v>-0.97</v>
      </c>
      <c r="E499" s="14" t="n">
        <v>-0.09</v>
      </c>
      <c r="F499" s="14" t="n">
        <v>0.29</v>
      </c>
      <c r="G499" s="14" t="n">
        <v>17.01</v>
      </c>
      <c r="H499" s="14" t="n">
        <v>-5.56</v>
      </c>
      <c r="I499" s="14" t="n">
        <v>-21.41</v>
      </c>
      <c r="J499" s="14" t="n">
        <v>-3.75</v>
      </c>
      <c r="K499" s="14" t="n">
        <v>-6.25</v>
      </c>
      <c r="L499" s="14" t="n">
        <v>-4.01</v>
      </c>
      <c r="N499" s="14" t="n">
        <v>0.21</v>
      </c>
      <c r="O499" s="14" t="n">
        <v>-0.89</v>
      </c>
      <c r="P499" s="14" t="n">
        <v>-0.67</v>
      </c>
      <c r="Q499" s="14" t="n">
        <v>0.64</v>
      </c>
      <c r="R499" s="14" t="n">
        <v>-8.82</v>
      </c>
      <c r="S499" s="14" t="n">
        <v>-29.49</v>
      </c>
      <c r="T499" s="14" t="n">
        <v>2.54</v>
      </c>
      <c r="U499" s="14" t="n">
        <v>-3.34</v>
      </c>
      <c r="V499" s="14" t="n">
        <v>4.38</v>
      </c>
      <c r="W499" s="14" t="n">
        <v>1.38</v>
      </c>
      <c r="X499" s="14" t="n">
        <v>4.14</v>
      </c>
      <c r="Z499" s="16" t="n">
        <v>22811.48</v>
      </c>
      <c r="AA499" s="14" t="n">
        <v>-180.48</v>
      </c>
      <c r="AB499" s="14" t="n">
        <v>-15.92</v>
      </c>
      <c r="AC499" s="14" t="n">
        <v>0.03</v>
      </c>
      <c r="AD499" s="16" t="n">
        <v>71498055.2</v>
      </c>
    </row>
    <row r="500" customFormat="false" ht="15.75" hidden="false" customHeight="false" outlineLevel="0" collapsed="false">
      <c r="A500" s="14" t="s">
        <v>532</v>
      </c>
      <c r="B500" s="14" t="n">
        <v>5.98</v>
      </c>
      <c r="D500" s="14" t="n">
        <v>-0.38</v>
      </c>
      <c r="E500" s="14" t="n">
        <v>-0.03</v>
      </c>
      <c r="F500" s="14" t="n">
        <v>0.11</v>
      </c>
      <c r="G500" s="14" t="n">
        <v>17.01</v>
      </c>
      <c r="H500" s="14" t="n">
        <v>-5.56</v>
      </c>
      <c r="I500" s="14" t="n">
        <v>-21.41</v>
      </c>
      <c r="J500" s="14" t="n">
        <v>-1.45</v>
      </c>
      <c r="K500" s="14" t="n">
        <v>-6.25</v>
      </c>
      <c r="L500" s="14" t="n">
        <v>-4.01</v>
      </c>
      <c r="N500" s="14" t="n">
        <v>0.08</v>
      </c>
      <c r="O500" s="14" t="n">
        <v>-0.34</v>
      </c>
      <c r="P500" s="14" t="n">
        <v>-0.26</v>
      </c>
      <c r="Q500" s="14" t="n">
        <v>0.64</v>
      </c>
      <c r="R500" s="14" t="n">
        <v>-8.82</v>
      </c>
      <c r="S500" s="14" t="n">
        <v>-29.49</v>
      </c>
      <c r="T500" s="14" t="n">
        <v>2.54</v>
      </c>
      <c r="U500" s="14" t="n">
        <v>-3.34</v>
      </c>
      <c r="V500" s="14" t="n">
        <v>4.38</v>
      </c>
      <c r="W500" s="14" t="n">
        <v>1.38</v>
      </c>
      <c r="X500" s="14" t="n">
        <v>4.14</v>
      </c>
      <c r="Z500" s="16" t="n">
        <v>196184.27</v>
      </c>
      <c r="AA500" s="14" t="n">
        <v>-180.48</v>
      </c>
      <c r="AB500" s="14" t="n">
        <v>-15.92</v>
      </c>
      <c r="AC500" s="14" t="n">
        <v>0.01</v>
      </c>
      <c r="AD500" s="16" t="n">
        <v>71498055.2</v>
      </c>
    </row>
    <row r="501" customFormat="false" ht="15.75" hidden="false" customHeight="false" outlineLevel="0" collapsed="false">
      <c r="A501" s="14" t="s">
        <v>533</v>
      </c>
      <c r="B501" s="14" t="n">
        <v>13.33</v>
      </c>
      <c r="D501" s="14" t="n">
        <v>-0.84</v>
      </c>
      <c r="E501" s="14" t="n">
        <v>-0.07</v>
      </c>
      <c r="F501" s="14" t="n">
        <v>0.25</v>
      </c>
      <c r="G501" s="14" t="n">
        <v>17.01</v>
      </c>
      <c r="H501" s="14" t="n">
        <v>-5.56</v>
      </c>
      <c r="I501" s="14" t="n">
        <v>-21.41</v>
      </c>
      <c r="J501" s="14" t="n">
        <v>-3.22</v>
      </c>
      <c r="K501" s="14" t="n">
        <v>-6.25</v>
      </c>
      <c r="L501" s="14" t="n">
        <v>-4.01</v>
      </c>
      <c r="N501" s="14" t="n">
        <v>0.18</v>
      </c>
      <c r="O501" s="14" t="n">
        <v>-0.76</v>
      </c>
      <c r="P501" s="14" t="n">
        <v>-0.58</v>
      </c>
      <c r="Q501" s="14" t="n">
        <v>0.64</v>
      </c>
      <c r="R501" s="14" t="n">
        <v>-8.82</v>
      </c>
      <c r="S501" s="14" t="n">
        <v>-29.49</v>
      </c>
      <c r="T501" s="14" t="n">
        <v>2.54</v>
      </c>
      <c r="U501" s="14" t="n">
        <v>-3.34</v>
      </c>
      <c r="V501" s="14" t="n">
        <v>4.38</v>
      </c>
      <c r="W501" s="14" t="n">
        <v>1.38</v>
      </c>
      <c r="X501" s="14" t="n">
        <v>4.14</v>
      </c>
      <c r="Z501" s="16" t="n">
        <v>1033.67</v>
      </c>
      <c r="AA501" s="14" t="n">
        <v>-180.48</v>
      </c>
      <c r="AB501" s="14" t="n">
        <v>-15.92</v>
      </c>
      <c r="AC501" s="14" t="n">
        <v>0.03</v>
      </c>
      <c r="AD501" s="16" t="n">
        <v>71498055.2</v>
      </c>
    </row>
    <row r="502" customFormat="false" ht="15.75" hidden="false" customHeight="false" outlineLevel="0" collapsed="false">
      <c r="A502" s="14" t="s">
        <v>534</v>
      </c>
      <c r="B502" s="14" t="n">
        <v>14.84</v>
      </c>
      <c r="D502" s="16" t="n">
        <v>2441.52</v>
      </c>
      <c r="E502" s="14" t="n">
        <v>16.4</v>
      </c>
      <c r="F502" s="14" t="n">
        <v>3.88</v>
      </c>
      <c r="G502" s="14" t="n">
        <v>22.73</v>
      </c>
      <c r="H502" s="14" t="n">
        <v>13.26</v>
      </c>
      <c r="I502" s="14" t="n">
        <v>0.53</v>
      </c>
      <c r="J502" s="14" t="n">
        <v>96.9</v>
      </c>
      <c r="K502" s="14" t="n">
        <v>105.06</v>
      </c>
      <c r="L502" s="14" t="n">
        <v>8.22</v>
      </c>
      <c r="M502" s="14" t="n">
        <v>1.39</v>
      </c>
      <c r="N502" s="14" t="n">
        <v>12.85</v>
      </c>
      <c r="O502" s="14" t="n">
        <v>30.79</v>
      </c>
      <c r="P502" s="14" t="n">
        <v>-16.39</v>
      </c>
      <c r="Q502" s="14" t="n">
        <v>1.2</v>
      </c>
      <c r="R502" s="14" t="n">
        <v>0.67</v>
      </c>
      <c r="S502" s="14" t="n">
        <v>0.16</v>
      </c>
      <c r="T502" s="14" t="n">
        <v>5.62</v>
      </c>
      <c r="U502" s="14" t="n">
        <v>0.24</v>
      </c>
      <c r="V502" s="14" t="n">
        <v>0.76</v>
      </c>
      <c r="W502" s="14" t="n">
        <v>0.3</v>
      </c>
      <c r="Z502" s="16" t="n">
        <v>11931661.29</v>
      </c>
      <c r="AA502" s="14" t="n">
        <v>0.9</v>
      </c>
      <c r="AB502" s="14" t="n">
        <v>0.01</v>
      </c>
      <c r="AD502" s="16" t="n">
        <v>1737191034.58</v>
      </c>
    </row>
    <row r="503" customFormat="false" ht="15.75" hidden="false" customHeight="false" outlineLevel="0" collapsed="false">
      <c r="A503" s="14" t="s">
        <v>535</v>
      </c>
      <c r="B503" s="14" t="n">
        <v>15.92</v>
      </c>
      <c r="D503" s="14" t="n">
        <v>-679.27</v>
      </c>
      <c r="E503" s="14" t="n">
        <v>4.55</v>
      </c>
      <c r="F503" s="14" t="n">
        <v>3.05</v>
      </c>
      <c r="G503" s="14" t="n">
        <v>62.29</v>
      </c>
      <c r="H503" s="14" t="n">
        <v>-2.87</v>
      </c>
      <c r="I503" s="14" t="n">
        <v>-0.87</v>
      </c>
      <c r="J503" s="14" t="n">
        <v>-206.88</v>
      </c>
      <c r="K503" s="14" t="n">
        <v>-202.67</v>
      </c>
      <c r="L503" s="14" t="n">
        <v>4.48</v>
      </c>
      <c r="M503" s="14" t="n">
        <v>-0.1</v>
      </c>
      <c r="N503" s="14" t="n">
        <v>5.93</v>
      </c>
      <c r="O503" s="14" t="n">
        <v>8.48</v>
      </c>
      <c r="P503" s="14" t="n">
        <v>-6.71</v>
      </c>
      <c r="Q503" s="14" t="n">
        <v>2.92</v>
      </c>
      <c r="R503" s="14" t="n">
        <v>-0.67</v>
      </c>
      <c r="S503" s="14" t="n">
        <v>-0.45</v>
      </c>
      <c r="T503" s="14" t="n">
        <v>-7.79</v>
      </c>
      <c r="U503" s="14" t="n">
        <v>0.67</v>
      </c>
      <c r="V503" s="14" t="n">
        <v>0.33</v>
      </c>
      <c r="W503" s="14" t="n">
        <v>0.51</v>
      </c>
      <c r="Z503" s="16" t="n">
        <v>38234961.71</v>
      </c>
      <c r="AA503" s="14" t="n">
        <v>3.5</v>
      </c>
      <c r="AB503" s="14" t="n">
        <v>-0.02</v>
      </c>
      <c r="AC503" s="14" t="n">
        <v>5.66</v>
      </c>
      <c r="AD503" s="16" t="n">
        <v>7740512808.28</v>
      </c>
    </row>
    <row r="504" customFormat="false" ht="15.75" hidden="false" customHeight="false" outlineLevel="0" collapsed="false">
      <c r="A504" s="14" t="s">
        <v>536</v>
      </c>
      <c r="B504" s="14" t="n">
        <v>40.2</v>
      </c>
      <c r="C504" s="14" t="n">
        <v>19.26</v>
      </c>
      <c r="D504" s="14" t="n">
        <v>4.75</v>
      </c>
      <c r="E504" s="14" t="n">
        <v>1.36</v>
      </c>
      <c r="F504" s="14" t="n">
        <v>0.99</v>
      </c>
      <c r="G504" s="14" t="n">
        <v>27.64</v>
      </c>
      <c r="H504" s="14" t="n">
        <v>29.16</v>
      </c>
      <c r="I504" s="14" t="n">
        <v>32.18</v>
      </c>
      <c r="J504" s="14" t="n">
        <v>5.24</v>
      </c>
      <c r="K504" s="14" t="n">
        <v>3.58</v>
      </c>
      <c r="L504" s="14" t="n">
        <v>-2.11</v>
      </c>
      <c r="M504" s="14" t="n">
        <v>-0.55</v>
      </c>
      <c r="N504" s="14" t="n">
        <v>1.53</v>
      </c>
      <c r="O504" s="14" t="n">
        <v>2.57</v>
      </c>
      <c r="P504" s="14" t="n">
        <v>-2.21</v>
      </c>
      <c r="Q504" s="14" t="n">
        <v>3.28</v>
      </c>
      <c r="R504" s="14" t="n">
        <v>28.74</v>
      </c>
      <c r="S504" s="14" t="n">
        <v>20.82</v>
      </c>
      <c r="T504" s="14" t="n">
        <v>24.71</v>
      </c>
      <c r="U504" s="14" t="n">
        <v>0.72</v>
      </c>
      <c r="V504" s="14" t="n">
        <v>0.28</v>
      </c>
      <c r="W504" s="14" t="n">
        <v>0.65</v>
      </c>
      <c r="X504" s="14" t="n">
        <v>-10.4</v>
      </c>
      <c r="Z504" s="16" t="n">
        <v>4020</v>
      </c>
      <c r="AA504" s="14" t="n">
        <v>29.46</v>
      </c>
      <c r="AB504" s="14" t="n">
        <v>8.47</v>
      </c>
      <c r="AC504" s="14" t="n">
        <v>0.02</v>
      </c>
      <c r="AD504" s="16" t="n">
        <v>107297650</v>
      </c>
    </row>
    <row r="505" customFormat="false" ht="15.75" hidden="false" customHeight="false" outlineLevel="0" collapsed="false">
      <c r="A505" s="14" t="s">
        <v>537</v>
      </c>
      <c r="B505" s="14" t="n">
        <v>52.49</v>
      </c>
      <c r="C505" s="14" t="n">
        <v>16.23</v>
      </c>
      <c r="D505" s="14" t="n">
        <v>6.2</v>
      </c>
      <c r="E505" s="14" t="n">
        <v>1.78</v>
      </c>
      <c r="F505" s="14" t="n">
        <v>1.29</v>
      </c>
      <c r="G505" s="14" t="n">
        <v>27.64</v>
      </c>
      <c r="H505" s="14" t="n">
        <v>29.16</v>
      </c>
      <c r="I505" s="14" t="n">
        <v>32.18</v>
      </c>
      <c r="J505" s="14" t="n">
        <v>6.84</v>
      </c>
      <c r="K505" s="14" t="n">
        <v>3.58</v>
      </c>
      <c r="L505" s="14" t="n">
        <v>-2.11</v>
      </c>
      <c r="M505" s="14" t="n">
        <v>-0.55</v>
      </c>
      <c r="N505" s="14" t="n">
        <v>1.99</v>
      </c>
      <c r="O505" s="14" t="n">
        <v>3.35</v>
      </c>
      <c r="P505" s="14" t="n">
        <v>-2.89</v>
      </c>
      <c r="Q505" s="14" t="n">
        <v>3.28</v>
      </c>
      <c r="R505" s="14" t="n">
        <v>28.74</v>
      </c>
      <c r="S505" s="14" t="n">
        <v>20.82</v>
      </c>
      <c r="T505" s="14" t="n">
        <v>24.71</v>
      </c>
      <c r="U505" s="14" t="n">
        <v>0.72</v>
      </c>
      <c r="V505" s="14" t="n">
        <v>0.28</v>
      </c>
      <c r="W505" s="14" t="n">
        <v>0.65</v>
      </c>
      <c r="X505" s="14" t="n">
        <v>-10.4</v>
      </c>
      <c r="Z505" s="16" t="n">
        <v>9581.14</v>
      </c>
      <c r="AA505" s="14" t="n">
        <v>29.46</v>
      </c>
      <c r="AB505" s="14" t="n">
        <v>8.47</v>
      </c>
      <c r="AC505" s="14" t="n">
        <v>0.03</v>
      </c>
      <c r="AD505" s="16" t="n">
        <v>107297650</v>
      </c>
    </row>
    <row r="506" customFormat="false" ht="15.75" hidden="false" customHeight="false" outlineLevel="0" collapsed="false">
      <c r="A506" s="14" t="s">
        <v>538</v>
      </c>
      <c r="B506" s="14" t="n">
        <v>45.5</v>
      </c>
      <c r="C506" s="14" t="n">
        <v>18.72</v>
      </c>
      <c r="D506" s="14" t="n">
        <v>5.37</v>
      </c>
      <c r="E506" s="14" t="n">
        <v>1.54</v>
      </c>
      <c r="F506" s="14" t="n">
        <v>1.12</v>
      </c>
      <c r="G506" s="14" t="n">
        <v>27.64</v>
      </c>
      <c r="H506" s="14" t="n">
        <v>29.16</v>
      </c>
      <c r="I506" s="14" t="n">
        <v>32.18</v>
      </c>
      <c r="J506" s="14" t="n">
        <v>5.93</v>
      </c>
      <c r="K506" s="14" t="n">
        <v>3.58</v>
      </c>
      <c r="L506" s="14" t="n">
        <v>-2.11</v>
      </c>
      <c r="M506" s="14" t="n">
        <v>-0.55</v>
      </c>
      <c r="N506" s="14" t="n">
        <v>1.73</v>
      </c>
      <c r="O506" s="14" t="n">
        <v>2.91</v>
      </c>
      <c r="P506" s="14" t="n">
        <v>-2.5</v>
      </c>
      <c r="Q506" s="14" t="n">
        <v>3.28</v>
      </c>
      <c r="R506" s="14" t="n">
        <v>28.74</v>
      </c>
      <c r="S506" s="14" t="n">
        <v>20.82</v>
      </c>
      <c r="T506" s="14" t="n">
        <v>24.71</v>
      </c>
      <c r="U506" s="14" t="n">
        <v>0.72</v>
      </c>
      <c r="V506" s="14" t="n">
        <v>0.28</v>
      </c>
      <c r="W506" s="14" t="n">
        <v>0.65</v>
      </c>
      <c r="X506" s="14" t="n">
        <v>-10.4</v>
      </c>
      <c r="Z506" s="16" t="n">
        <v>16065</v>
      </c>
      <c r="AA506" s="14" t="n">
        <v>29.46</v>
      </c>
      <c r="AB506" s="14" t="n">
        <v>8.47</v>
      </c>
      <c r="AC506" s="14" t="n">
        <v>0.02</v>
      </c>
      <c r="AD506" s="16" t="n">
        <v>107297650</v>
      </c>
    </row>
    <row r="507" customFormat="false" ht="15.75" hidden="false" customHeight="false" outlineLevel="0" collapsed="false">
      <c r="A507" s="14" t="s">
        <v>539</v>
      </c>
      <c r="B507" s="14" t="n">
        <v>76.4</v>
      </c>
      <c r="D507" s="16" t="n">
        <v>-2717.5</v>
      </c>
      <c r="E507" s="16" t="n">
        <v>-2795.73</v>
      </c>
      <c r="F507" s="16" t="n">
        <v>34713.49</v>
      </c>
      <c r="J507" s="16" t="n">
        <v>-2958.01</v>
      </c>
      <c r="K507" s="16" t="n">
        <v>-2958.01</v>
      </c>
      <c r="L507" s="14" t="n">
        <v>0</v>
      </c>
      <c r="O507" s="16" t="n">
        <v>-2588.38</v>
      </c>
      <c r="P507" s="16" t="n">
        <v>-34899.85</v>
      </c>
      <c r="Q507" s="14" t="n">
        <v>0</v>
      </c>
      <c r="R507" s="14" t="n">
        <v>-102.88</v>
      </c>
      <c r="S507" s="16" t="n">
        <v>-1277.4</v>
      </c>
      <c r="T507" s="14" t="n">
        <v>94.51</v>
      </c>
      <c r="U507" s="14" t="n">
        <v>-12.42</v>
      </c>
      <c r="V507" s="14" t="n">
        <v>13.42</v>
      </c>
      <c r="W507" s="14" t="n">
        <v>0</v>
      </c>
      <c r="AA507" s="14" t="n">
        <v>-0.03</v>
      </c>
      <c r="AB507" s="14" t="n">
        <v>-0.03</v>
      </c>
      <c r="AC507" s="14" t="n">
        <v>63.96</v>
      </c>
      <c r="AD507" s="16" t="n">
        <v>370531748.8</v>
      </c>
    </row>
    <row r="508" customFormat="false" ht="15.75" hidden="false" customHeight="false" outlineLevel="0" collapsed="false">
      <c r="A508" s="14" t="s">
        <v>540</v>
      </c>
      <c r="B508" s="14" t="n">
        <v>24.16</v>
      </c>
      <c r="C508" s="14" t="n">
        <v>0.08</v>
      </c>
      <c r="D508" s="14" t="n">
        <v>321.29</v>
      </c>
      <c r="E508" s="14" t="n">
        <v>4.26</v>
      </c>
      <c r="F508" s="14" t="n">
        <v>2.59</v>
      </c>
      <c r="G508" s="14" t="n">
        <v>35.3</v>
      </c>
      <c r="H508" s="14" t="n">
        <v>5.62</v>
      </c>
      <c r="I508" s="14" t="n">
        <v>2.31</v>
      </c>
      <c r="J508" s="14" t="n">
        <v>132.1</v>
      </c>
      <c r="K508" s="14" t="n">
        <v>128.05</v>
      </c>
      <c r="L508" s="14" t="n">
        <v>-4.98</v>
      </c>
      <c r="M508" s="14" t="n">
        <v>-0.16</v>
      </c>
      <c r="N508" s="14" t="n">
        <v>7.42</v>
      </c>
      <c r="O508" s="14" t="n">
        <v>9.68</v>
      </c>
      <c r="P508" s="14" t="n">
        <v>-4.32</v>
      </c>
      <c r="Q508" s="14" t="n">
        <v>3</v>
      </c>
      <c r="R508" s="14" t="n">
        <v>1.32</v>
      </c>
      <c r="S508" s="14" t="n">
        <v>0.81</v>
      </c>
      <c r="T508" s="14" t="n">
        <v>1.53</v>
      </c>
      <c r="U508" s="14" t="n">
        <v>0.61</v>
      </c>
      <c r="V508" s="14" t="n">
        <v>0.39</v>
      </c>
      <c r="W508" s="14" t="n">
        <v>0.35</v>
      </c>
      <c r="X508" s="14" t="n">
        <v>22.77</v>
      </c>
      <c r="Y508" s="14" t="n">
        <v>-12.74</v>
      </c>
      <c r="Z508" s="16" t="n">
        <v>12686350.54</v>
      </c>
      <c r="AA508" s="14" t="n">
        <v>5.68</v>
      </c>
      <c r="AB508" s="14" t="n">
        <v>0.08</v>
      </c>
      <c r="AC508" s="14" t="n">
        <v>-0.82</v>
      </c>
      <c r="AD508" s="16" t="n">
        <v>1716452595.96</v>
      </c>
    </row>
    <row r="509" customFormat="false" ht="15.75" hidden="false" customHeight="false" outlineLevel="0" collapsed="false">
      <c r="A509" s="14" t="s">
        <v>541</v>
      </c>
      <c r="B509" s="14" t="n">
        <v>8.99</v>
      </c>
      <c r="D509" s="14" t="n">
        <v>255.17</v>
      </c>
      <c r="E509" s="14" t="n">
        <v>3.64</v>
      </c>
      <c r="F509" s="14" t="n">
        <v>1.8</v>
      </c>
      <c r="G509" s="14" t="n">
        <v>27.96</v>
      </c>
      <c r="H509" s="14" t="n">
        <v>11.7</v>
      </c>
      <c r="I509" s="14" t="n">
        <v>2.98</v>
      </c>
      <c r="J509" s="14" t="n">
        <v>64.96</v>
      </c>
      <c r="K509" s="14" t="n">
        <v>59.63</v>
      </c>
      <c r="L509" s="14" t="n">
        <v>-5.47</v>
      </c>
      <c r="M509" s="14" t="n">
        <v>-0.31</v>
      </c>
      <c r="N509" s="14" t="n">
        <v>7.6</v>
      </c>
      <c r="O509" s="14" t="n">
        <v>9.35</v>
      </c>
      <c r="P509" s="14" t="n">
        <v>-2.56</v>
      </c>
      <c r="Q509" s="14" t="n">
        <v>2.83</v>
      </c>
      <c r="R509" s="14" t="n">
        <v>1.43</v>
      </c>
      <c r="S509" s="14" t="n">
        <v>0.7</v>
      </c>
      <c r="T509" s="14" t="n">
        <v>3.89</v>
      </c>
      <c r="U509" s="14" t="n">
        <v>0.49</v>
      </c>
      <c r="V509" s="14" t="n">
        <v>0.51</v>
      </c>
      <c r="W509" s="14" t="n">
        <v>0.24</v>
      </c>
      <c r="X509" s="14" t="n">
        <v>-0.73</v>
      </c>
      <c r="Z509" s="16" t="n">
        <v>46215966.93</v>
      </c>
      <c r="AA509" s="14" t="n">
        <v>2.47</v>
      </c>
      <c r="AB509" s="14" t="n">
        <v>0.04</v>
      </c>
      <c r="AC509" s="14" t="n">
        <v>1.49</v>
      </c>
      <c r="AD509" s="16" t="n">
        <v>7770930185.78</v>
      </c>
    </row>
    <row r="510" customFormat="false" ht="15.75" hidden="false" customHeight="false" outlineLevel="0" collapsed="false">
      <c r="A510" s="14" t="s">
        <v>542</v>
      </c>
      <c r="B510" s="14" t="n">
        <v>0</v>
      </c>
      <c r="D510" s="14" t="n">
        <v>0</v>
      </c>
      <c r="E510" s="14" t="n">
        <v>0</v>
      </c>
      <c r="F510" s="14" t="n">
        <v>0</v>
      </c>
      <c r="G510" s="14" t="n">
        <v>50.17</v>
      </c>
      <c r="H510" s="14" t="n">
        <v>28.43</v>
      </c>
      <c r="I510" s="14" t="n">
        <v>13.6</v>
      </c>
      <c r="J510" s="14" t="n">
        <v>0</v>
      </c>
      <c r="K510" s="14" t="n">
        <v>2.01</v>
      </c>
      <c r="L510" s="14" t="n">
        <v>2.01</v>
      </c>
      <c r="M510" s="14" t="n">
        <v>0.18</v>
      </c>
      <c r="N510" s="14" t="n">
        <v>0</v>
      </c>
      <c r="O510" s="14" t="n">
        <v>0</v>
      </c>
      <c r="P510" s="14" t="n">
        <v>0</v>
      </c>
      <c r="Q510" s="14" t="n">
        <v>1.47</v>
      </c>
      <c r="R510" s="14" t="n">
        <v>4.19</v>
      </c>
      <c r="S510" s="14" t="n">
        <v>2.53</v>
      </c>
      <c r="T510" s="14" t="n">
        <v>5.39</v>
      </c>
      <c r="U510" s="14" t="n">
        <v>0.6</v>
      </c>
      <c r="V510" s="14" t="n">
        <v>0.4</v>
      </c>
      <c r="W510" s="14" t="n">
        <v>0.19</v>
      </c>
      <c r="X510" s="14" t="n">
        <v>14.5</v>
      </c>
      <c r="AA510" s="14" t="n">
        <v>5.09</v>
      </c>
      <c r="AB510" s="14" t="n">
        <v>0.21</v>
      </c>
      <c r="AC510" s="14" t="n">
        <v>0</v>
      </c>
      <c r="AD510" s="14" t="n">
        <v>0</v>
      </c>
    </row>
    <row r="511" customFormat="false" ht="15.75" hidden="false" customHeight="false" outlineLevel="0" collapsed="false">
      <c r="A511" s="14" t="s">
        <v>543</v>
      </c>
      <c r="B511" s="14" t="n">
        <v>0</v>
      </c>
      <c r="D511" s="14" t="n">
        <v>0</v>
      </c>
      <c r="E511" s="14" t="n">
        <v>0</v>
      </c>
      <c r="F511" s="14" t="n">
        <v>0</v>
      </c>
      <c r="G511" s="14" t="n">
        <v>30.07</v>
      </c>
      <c r="H511" s="14" t="n">
        <v>12.92</v>
      </c>
      <c r="I511" s="14" t="n">
        <v>11.1</v>
      </c>
      <c r="J511" s="14" t="n">
        <v>0</v>
      </c>
      <c r="K511" s="14" t="n">
        <v>-0.45</v>
      </c>
      <c r="L511" s="14" t="n">
        <v>-0.45</v>
      </c>
      <c r="M511" s="14" t="n">
        <v>-0.12</v>
      </c>
      <c r="N511" s="14" t="n">
        <v>0</v>
      </c>
      <c r="O511" s="14" t="n">
        <v>0</v>
      </c>
      <c r="P511" s="14" t="n">
        <v>0</v>
      </c>
      <c r="Q511" s="14" t="n">
        <v>2.81</v>
      </c>
      <c r="R511" s="14" t="n">
        <v>23.86</v>
      </c>
      <c r="S511" s="14" t="n">
        <v>13.03</v>
      </c>
      <c r="T511" s="14" t="n">
        <v>17.8</v>
      </c>
      <c r="U511" s="14" t="n">
        <v>0.55</v>
      </c>
      <c r="V511" s="14" t="n">
        <v>0.45</v>
      </c>
      <c r="W511" s="14" t="n">
        <v>1.17</v>
      </c>
      <c r="X511" s="14" t="n">
        <v>22.02</v>
      </c>
      <c r="AA511" s="14" t="n">
        <v>2.29</v>
      </c>
      <c r="AB511" s="14" t="n">
        <v>0.55</v>
      </c>
      <c r="AC511" s="14" t="n">
        <v>0</v>
      </c>
      <c r="AD511" s="14" t="n">
        <v>0</v>
      </c>
    </row>
    <row r="512" customFormat="false" ht="15.75" hidden="false" customHeight="false" outlineLevel="0" collapsed="false">
      <c r="A512" s="14" t="s">
        <v>544</v>
      </c>
      <c r="B512" s="14" t="n">
        <v>34.86</v>
      </c>
      <c r="C512" s="14" t="n">
        <v>4.59</v>
      </c>
      <c r="D512" s="14" t="n">
        <v>6.39</v>
      </c>
      <c r="E512" s="14" t="n">
        <v>1.85</v>
      </c>
      <c r="F512" s="14" t="n">
        <v>0.54</v>
      </c>
      <c r="G512" s="14" t="n">
        <v>13.88</v>
      </c>
      <c r="H512" s="14" t="n">
        <v>5.52</v>
      </c>
      <c r="I512" s="14" t="n">
        <v>12.46</v>
      </c>
      <c r="J512" s="14" t="n">
        <v>14.42</v>
      </c>
      <c r="K512" s="14" t="n">
        <v>-0.22</v>
      </c>
      <c r="L512" s="14" t="n">
        <v>-14.62</v>
      </c>
      <c r="M512" s="14" t="n">
        <v>-1.87</v>
      </c>
      <c r="N512" s="14" t="n">
        <v>0.8</v>
      </c>
      <c r="O512" s="14" t="n">
        <v>1.33</v>
      </c>
      <c r="P512" s="14" t="n">
        <v>-1.74</v>
      </c>
      <c r="Q512" s="14" t="n">
        <v>2.39</v>
      </c>
      <c r="R512" s="14" t="n">
        <v>28.87</v>
      </c>
      <c r="S512" s="14" t="n">
        <v>8.37</v>
      </c>
      <c r="T512" s="14" t="n">
        <v>6.59</v>
      </c>
      <c r="U512" s="14" t="n">
        <v>0.29</v>
      </c>
      <c r="V512" s="14" t="n">
        <v>0.71</v>
      </c>
      <c r="W512" s="14" t="n">
        <v>0.67</v>
      </c>
      <c r="X512" s="14" t="n">
        <v>4.99</v>
      </c>
      <c r="Y512" s="14" t="n">
        <v>26.05</v>
      </c>
      <c r="Z512" s="16" t="n">
        <v>171392204.71</v>
      </c>
      <c r="AA512" s="14" t="n">
        <v>18.89</v>
      </c>
      <c r="AB512" s="14" t="n">
        <v>5.45</v>
      </c>
      <c r="AC512" s="14" t="n">
        <v>0.05</v>
      </c>
      <c r="AD512" s="16" t="n">
        <v>14823650642.03</v>
      </c>
    </row>
    <row r="513" customFormat="false" ht="15.75" hidden="false" customHeight="false" outlineLevel="0" collapsed="false">
      <c r="A513" s="14" t="s">
        <v>545</v>
      </c>
      <c r="B513" s="14" t="n">
        <v>12.92</v>
      </c>
      <c r="C513" s="14" t="n">
        <v>4.13</v>
      </c>
      <c r="D513" s="14" t="n">
        <v>7.11</v>
      </c>
      <c r="E513" s="14" t="n">
        <v>2.05</v>
      </c>
      <c r="F513" s="14" t="n">
        <v>0.59</v>
      </c>
      <c r="G513" s="14" t="n">
        <v>13.88</v>
      </c>
      <c r="H513" s="14" t="n">
        <v>5.52</v>
      </c>
      <c r="I513" s="14" t="n">
        <v>12.46</v>
      </c>
      <c r="J513" s="14" t="n">
        <v>16.04</v>
      </c>
      <c r="K513" s="14" t="n">
        <v>-0.22</v>
      </c>
      <c r="L513" s="14" t="n">
        <v>-14.62</v>
      </c>
      <c r="M513" s="14" t="n">
        <v>-1.87</v>
      </c>
      <c r="N513" s="14" t="n">
        <v>0.89</v>
      </c>
      <c r="O513" s="14" t="n">
        <v>1.48</v>
      </c>
      <c r="P513" s="14" t="n">
        <v>-1.93</v>
      </c>
      <c r="Q513" s="14" t="n">
        <v>2.39</v>
      </c>
      <c r="R513" s="14" t="n">
        <v>28.87</v>
      </c>
      <c r="S513" s="14" t="n">
        <v>8.37</v>
      </c>
      <c r="T513" s="14" t="n">
        <v>6.59</v>
      </c>
      <c r="U513" s="14" t="n">
        <v>0.29</v>
      </c>
      <c r="V513" s="14" t="n">
        <v>0.71</v>
      </c>
      <c r="W513" s="14" t="n">
        <v>0.67</v>
      </c>
      <c r="X513" s="14" t="n">
        <v>4.99</v>
      </c>
      <c r="Y513" s="14" t="n">
        <v>26.05</v>
      </c>
      <c r="Z513" s="16" t="n">
        <v>375270.98</v>
      </c>
      <c r="AA513" s="14" t="n">
        <v>6.3</v>
      </c>
      <c r="AB513" s="14" t="n">
        <v>1.82</v>
      </c>
      <c r="AC513" s="14" t="n">
        <v>0.06</v>
      </c>
      <c r="AD513" s="16" t="n">
        <v>14823650642.03</v>
      </c>
    </row>
    <row r="514" customFormat="false" ht="15.75" hidden="false" customHeight="false" outlineLevel="0" collapsed="false">
      <c r="A514" s="14" t="s">
        <v>546</v>
      </c>
      <c r="B514" s="14" t="n">
        <v>10.99</v>
      </c>
      <c r="C514" s="14" t="n">
        <v>4.86</v>
      </c>
      <c r="D514" s="14" t="n">
        <v>6.05</v>
      </c>
      <c r="E514" s="14" t="n">
        <v>1.75</v>
      </c>
      <c r="F514" s="14" t="n">
        <v>0.51</v>
      </c>
      <c r="G514" s="14" t="n">
        <v>13.88</v>
      </c>
      <c r="H514" s="14" t="n">
        <v>5.52</v>
      </c>
      <c r="I514" s="14" t="n">
        <v>12.46</v>
      </c>
      <c r="J514" s="14" t="n">
        <v>13.64</v>
      </c>
      <c r="K514" s="14" t="n">
        <v>-0.22</v>
      </c>
      <c r="L514" s="14" t="n">
        <v>-14.62</v>
      </c>
      <c r="M514" s="14" t="n">
        <v>-1.87</v>
      </c>
      <c r="N514" s="14" t="n">
        <v>0.75</v>
      </c>
      <c r="O514" s="14" t="n">
        <v>1.26</v>
      </c>
      <c r="P514" s="14" t="n">
        <v>-1.64</v>
      </c>
      <c r="Q514" s="14" t="n">
        <v>2.39</v>
      </c>
      <c r="R514" s="14" t="n">
        <v>28.87</v>
      </c>
      <c r="S514" s="14" t="n">
        <v>8.37</v>
      </c>
      <c r="T514" s="14" t="n">
        <v>6.59</v>
      </c>
      <c r="U514" s="14" t="n">
        <v>0.29</v>
      </c>
      <c r="V514" s="14" t="n">
        <v>0.71</v>
      </c>
      <c r="W514" s="14" t="n">
        <v>0.67</v>
      </c>
      <c r="X514" s="14" t="n">
        <v>4.99</v>
      </c>
      <c r="Y514" s="14" t="n">
        <v>26.05</v>
      </c>
      <c r="Z514" s="16" t="n">
        <v>501190.98</v>
      </c>
      <c r="AA514" s="14" t="n">
        <v>6.3</v>
      </c>
      <c r="AB514" s="14" t="n">
        <v>1.82</v>
      </c>
      <c r="AC514" s="14" t="n">
        <v>0.05</v>
      </c>
      <c r="AD514" s="16" t="n">
        <v>14823650642.03</v>
      </c>
    </row>
    <row r="515" customFormat="false" ht="15.75" hidden="false" customHeight="false" outlineLevel="0" collapsed="false">
      <c r="A515" s="14" t="s">
        <v>547</v>
      </c>
      <c r="B515" s="14" t="n">
        <v>60.18</v>
      </c>
      <c r="D515" s="16" t="n">
        <v>-1375.85</v>
      </c>
      <c r="E515" s="14" t="n">
        <v>18.38</v>
      </c>
      <c r="F515" s="14" t="n">
        <v>0.78</v>
      </c>
      <c r="G515" s="14" t="n">
        <v>41.33</v>
      </c>
      <c r="H515" s="14" t="n">
        <v>33.06</v>
      </c>
      <c r="I515" s="14" t="n">
        <v>-0.18</v>
      </c>
      <c r="J515" s="14" t="n">
        <v>7.65</v>
      </c>
      <c r="K515" s="14" t="n">
        <v>13.91</v>
      </c>
      <c r="L515" s="14" t="n">
        <v>6.22</v>
      </c>
      <c r="M515" s="14" t="n">
        <v>14.93</v>
      </c>
      <c r="N515" s="14" t="n">
        <v>2.53</v>
      </c>
      <c r="O515" s="14" t="n">
        <v>8.46</v>
      </c>
      <c r="P515" s="14" t="n">
        <v>-0.95</v>
      </c>
      <c r="Q515" s="14" t="n">
        <v>2.08</v>
      </c>
      <c r="R515" s="14" t="n">
        <v>-1.34</v>
      </c>
      <c r="S515" s="14" t="n">
        <v>-0.06</v>
      </c>
      <c r="T515" s="14" t="n">
        <v>11.36</v>
      </c>
      <c r="U515" s="14" t="n">
        <v>0.04</v>
      </c>
      <c r="V515" s="14" t="n">
        <v>0.96</v>
      </c>
      <c r="W515" s="14" t="n">
        <v>0.31</v>
      </c>
      <c r="X515" s="14" t="n">
        <v>24.4</v>
      </c>
      <c r="Z515" s="16" t="n">
        <v>440676693.51</v>
      </c>
      <c r="AA515" s="14" t="n">
        <v>3.28</v>
      </c>
      <c r="AB515" s="14" t="n">
        <v>-0.04</v>
      </c>
      <c r="AC515" s="14" t="n">
        <v>13.81</v>
      </c>
      <c r="AD515" s="16" t="n">
        <v>82288383652.8</v>
      </c>
    </row>
    <row r="516" customFormat="false" ht="15.75" hidden="false" customHeight="false" outlineLevel="0" collapsed="false">
      <c r="A516" s="14" t="s">
        <v>548</v>
      </c>
      <c r="B516" s="14" t="n">
        <v>37.34</v>
      </c>
      <c r="C516" s="14" t="n">
        <v>14.24</v>
      </c>
      <c r="D516" s="14" t="n">
        <v>5.24</v>
      </c>
      <c r="E516" s="14" t="n">
        <v>1.95</v>
      </c>
      <c r="F516" s="14" t="n">
        <v>0.86</v>
      </c>
      <c r="G516" s="14" t="n">
        <v>72.86</v>
      </c>
      <c r="H516" s="14" t="n">
        <v>92.32</v>
      </c>
      <c r="I516" s="14" t="n">
        <v>64.95</v>
      </c>
      <c r="J516" s="14" t="n">
        <v>3.69</v>
      </c>
      <c r="K516" s="14" t="n">
        <v>5.24</v>
      </c>
      <c r="L516" s="14" t="n">
        <v>1.56</v>
      </c>
      <c r="M516" s="14" t="n">
        <v>0.82</v>
      </c>
      <c r="N516" s="14" t="n">
        <v>3.4</v>
      </c>
      <c r="O516" s="14" t="n">
        <v>7.46</v>
      </c>
      <c r="P516" s="14" t="n">
        <v>-1.04</v>
      </c>
      <c r="Q516" s="14" t="n">
        <v>2.93</v>
      </c>
      <c r="R516" s="14" t="n">
        <v>37.2</v>
      </c>
      <c r="S516" s="14" t="n">
        <v>16.34</v>
      </c>
      <c r="T516" s="14" t="n">
        <v>22.82</v>
      </c>
      <c r="U516" s="14" t="n">
        <v>0.44</v>
      </c>
      <c r="V516" s="14" t="n">
        <v>0.56</v>
      </c>
      <c r="W516" s="14" t="n">
        <v>0.25</v>
      </c>
      <c r="X516" s="14" t="n">
        <v>18.22</v>
      </c>
      <c r="Y516" s="14" t="n">
        <v>20</v>
      </c>
      <c r="Z516" s="16" t="n">
        <v>78177481.39</v>
      </c>
      <c r="AA516" s="14" t="n">
        <v>19.15</v>
      </c>
      <c r="AB516" s="14" t="n">
        <v>7.13</v>
      </c>
      <c r="AC516" s="14" t="n">
        <v>0.05</v>
      </c>
      <c r="AD516" s="16" t="n">
        <v>12846364242.03</v>
      </c>
    </row>
    <row r="517" customFormat="false" ht="15.75" hidden="false" customHeight="false" outlineLevel="0" collapsed="false">
      <c r="A517" s="14" t="s">
        <v>549</v>
      </c>
      <c r="B517" s="14" t="n">
        <v>12.46</v>
      </c>
      <c r="C517" s="14" t="n">
        <v>14.22</v>
      </c>
      <c r="D517" s="14" t="n">
        <v>5.25</v>
      </c>
      <c r="E517" s="14" t="n">
        <v>1.95</v>
      </c>
      <c r="F517" s="14" t="n">
        <v>0.86</v>
      </c>
      <c r="G517" s="14" t="n">
        <v>72.86</v>
      </c>
      <c r="H517" s="14" t="n">
        <v>92.32</v>
      </c>
      <c r="I517" s="14" t="n">
        <v>64.95</v>
      </c>
      <c r="J517" s="14" t="n">
        <v>3.69</v>
      </c>
      <c r="K517" s="14" t="n">
        <v>5.24</v>
      </c>
      <c r="L517" s="14" t="n">
        <v>1.56</v>
      </c>
      <c r="M517" s="14" t="n">
        <v>0.82</v>
      </c>
      <c r="N517" s="14" t="n">
        <v>3.41</v>
      </c>
      <c r="O517" s="14" t="n">
        <v>7.47</v>
      </c>
      <c r="P517" s="14" t="n">
        <v>-1.04</v>
      </c>
      <c r="Q517" s="14" t="n">
        <v>2.93</v>
      </c>
      <c r="R517" s="14" t="n">
        <v>37.2</v>
      </c>
      <c r="S517" s="14" t="n">
        <v>16.34</v>
      </c>
      <c r="T517" s="14" t="n">
        <v>22.82</v>
      </c>
      <c r="U517" s="14" t="n">
        <v>0.44</v>
      </c>
      <c r="V517" s="14" t="n">
        <v>0.56</v>
      </c>
      <c r="W517" s="14" t="n">
        <v>0.25</v>
      </c>
      <c r="X517" s="14" t="n">
        <v>18.22</v>
      </c>
      <c r="Y517" s="14" t="n">
        <v>20</v>
      </c>
      <c r="Z517" s="16" t="n">
        <v>1743190.54</v>
      </c>
      <c r="AA517" s="14" t="n">
        <v>6.38</v>
      </c>
      <c r="AB517" s="14" t="n">
        <v>2.38</v>
      </c>
      <c r="AC517" s="14" t="n">
        <v>0.05</v>
      </c>
      <c r="AD517" s="16" t="n">
        <v>12846364242.03</v>
      </c>
    </row>
    <row r="518" customFormat="false" ht="15.75" hidden="false" customHeight="false" outlineLevel="0" collapsed="false">
      <c r="A518" s="14" t="s">
        <v>550</v>
      </c>
      <c r="B518" s="14" t="n">
        <v>12.51</v>
      </c>
      <c r="C518" s="14" t="n">
        <v>14.16</v>
      </c>
      <c r="D518" s="14" t="n">
        <v>5.27</v>
      </c>
      <c r="E518" s="14" t="n">
        <v>1.96</v>
      </c>
      <c r="F518" s="14" t="n">
        <v>0.86</v>
      </c>
      <c r="G518" s="14" t="n">
        <v>72.86</v>
      </c>
      <c r="H518" s="14" t="n">
        <v>92.32</v>
      </c>
      <c r="I518" s="14" t="n">
        <v>64.95</v>
      </c>
      <c r="J518" s="14" t="n">
        <v>3.71</v>
      </c>
      <c r="K518" s="14" t="n">
        <v>5.24</v>
      </c>
      <c r="L518" s="14" t="n">
        <v>1.56</v>
      </c>
      <c r="M518" s="14" t="n">
        <v>0.82</v>
      </c>
      <c r="N518" s="14" t="n">
        <v>3.42</v>
      </c>
      <c r="O518" s="14" t="n">
        <v>7.5</v>
      </c>
      <c r="P518" s="14" t="n">
        <v>-1.04</v>
      </c>
      <c r="Q518" s="14" t="n">
        <v>2.93</v>
      </c>
      <c r="R518" s="14" t="n">
        <v>37.2</v>
      </c>
      <c r="S518" s="14" t="n">
        <v>16.34</v>
      </c>
      <c r="T518" s="14" t="n">
        <v>22.82</v>
      </c>
      <c r="U518" s="14" t="n">
        <v>0.44</v>
      </c>
      <c r="V518" s="14" t="n">
        <v>0.56</v>
      </c>
      <c r="W518" s="14" t="n">
        <v>0.25</v>
      </c>
      <c r="X518" s="14" t="n">
        <v>18.22</v>
      </c>
      <c r="Y518" s="14" t="n">
        <v>20</v>
      </c>
      <c r="Z518" s="16" t="n">
        <v>4094092.66</v>
      </c>
      <c r="AA518" s="14" t="n">
        <v>6.38</v>
      </c>
      <c r="AB518" s="14" t="n">
        <v>2.38</v>
      </c>
      <c r="AC518" s="14" t="n">
        <v>0.05</v>
      </c>
      <c r="AD518" s="16" t="n">
        <v>12846364242.03</v>
      </c>
    </row>
    <row r="519" customFormat="false" ht="15.75" hidden="false" customHeight="false" outlineLevel="0" collapsed="false">
      <c r="A519" s="14" t="s">
        <v>551</v>
      </c>
      <c r="B519" s="14" t="n">
        <v>22.7</v>
      </c>
      <c r="D519" s="14" t="n">
        <v>4.65</v>
      </c>
      <c r="E519" s="14" t="n">
        <v>14.83</v>
      </c>
      <c r="F519" s="14" t="n">
        <v>1.34</v>
      </c>
      <c r="G519" s="14" t="n">
        <v>44.74</v>
      </c>
      <c r="H519" s="14" t="n">
        <v>27.8</v>
      </c>
      <c r="I519" s="14" t="n">
        <v>24.13</v>
      </c>
      <c r="J519" s="14" t="n">
        <v>4.04</v>
      </c>
      <c r="K519" s="14" t="n">
        <v>5.04</v>
      </c>
      <c r="L519" s="14" t="n">
        <v>0.99</v>
      </c>
      <c r="M519" s="14" t="n">
        <v>3.63</v>
      </c>
      <c r="N519" s="14" t="n">
        <v>1.12</v>
      </c>
      <c r="O519" s="14" t="n">
        <v>5.51</v>
      </c>
      <c r="P519" s="14" t="n">
        <v>-3.88</v>
      </c>
      <c r="Q519" s="14" t="n">
        <v>1.59</v>
      </c>
      <c r="R519" s="14" t="n">
        <v>318.75</v>
      </c>
      <c r="S519" s="14" t="n">
        <v>28.79</v>
      </c>
      <c r="T519" s="14" t="n">
        <v>52.86</v>
      </c>
      <c r="U519" s="14" t="n">
        <v>0.09</v>
      </c>
      <c r="V519" s="14" t="n">
        <v>0.91</v>
      </c>
      <c r="W519" s="14" t="n">
        <v>1.19</v>
      </c>
      <c r="X519" s="14" t="n">
        <v>16.57</v>
      </c>
      <c r="Z519" s="16" t="n">
        <v>2008079</v>
      </c>
      <c r="AA519" s="14" t="n">
        <v>1.53</v>
      </c>
      <c r="AB519" s="14" t="n">
        <v>4.88</v>
      </c>
      <c r="AC519" s="14" t="n">
        <v>-0.01</v>
      </c>
      <c r="AD519" s="16" t="n">
        <v>2280544107.21</v>
      </c>
    </row>
    <row r="520" customFormat="false" ht="15.75" hidden="false" customHeight="false" outlineLevel="0" collapsed="false">
      <c r="A520" s="14" t="s">
        <v>552</v>
      </c>
      <c r="B520" s="14" t="n">
        <v>22.58</v>
      </c>
      <c r="D520" s="14" t="n">
        <v>4.63</v>
      </c>
      <c r="E520" s="14" t="n">
        <v>14.75</v>
      </c>
      <c r="F520" s="14" t="n">
        <v>1.33</v>
      </c>
      <c r="G520" s="14" t="n">
        <v>44.74</v>
      </c>
      <c r="H520" s="14" t="n">
        <v>27.8</v>
      </c>
      <c r="I520" s="14" t="n">
        <v>24.13</v>
      </c>
      <c r="J520" s="14" t="n">
        <v>4.02</v>
      </c>
      <c r="K520" s="14" t="n">
        <v>5.04</v>
      </c>
      <c r="L520" s="14" t="n">
        <v>0.99</v>
      </c>
      <c r="M520" s="14" t="n">
        <v>3.63</v>
      </c>
      <c r="N520" s="14" t="n">
        <v>1.12</v>
      </c>
      <c r="O520" s="14" t="n">
        <v>5.48</v>
      </c>
      <c r="P520" s="14" t="n">
        <v>-3.86</v>
      </c>
      <c r="Q520" s="14" t="n">
        <v>1.59</v>
      </c>
      <c r="R520" s="14" t="n">
        <v>318.75</v>
      </c>
      <c r="S520" s="14" t="n">
        <v>28.79</v>
      </c>
      <c r="T520" s="14" t="n">
        <v>52.86</v>
      </c>
      <c r="U520" s="14" t="n">
        <v>0.09</v>
      </c>
      <c r="V520" s="14" t="n">
        <v>0.91</v>
      </c>
      <c r="W520" s="14" t="n">
        <v>1.19</v>
      </c>
      <c r="X520" s="14" t="n">
        <v>16.57</v>
      </c>
      <c r="Z520" s="16" t="n">
        <v>49151047.61</v>
      </c>
      <c r="AA520" s="14" t="n">
        <v>1.53</v>
      </c>
      <c r="AB520" s="14" t="n">
        <v>4.88</v>
      </c>
      <c r="AC520" s="14" t="n">
        <v>-0.01</v>
      </c>
      <c r="AD520" s="16" t="n">
        <v>2280544107.21</v>
      </c>
    </row>
    <row r="521" customFormat="false" ht="15.75" hidden="false" customHeight="false" outlineLevel="0" collapsed="false">
      <c r="A521" s="14" t="s">
        <v>553</v>
      </c>
      <c r="B521" s="14" t="n">
        <v>5.51</v>
      </c>
      <c r="D521" s="14" t="n">
        <v>-239.99</v>
      </c>
      <c r="E521" s="14" t="n">
        <v>331.62</v>
      </c>
      <c r="F521" s="14" t="n">
        <v>0.16</v>
      </c>
      <c r="J521" s="14" t="n">
        <v>-239.99</v>
      </c>
      <c r="K521" s="14" t="n">
        <v>-438.26</v>
      </c>
      <c r="L521" s="14" t="n">
        <v>-220.64</v>
      </c>
      <c r="M521" s="14" t="n">
        <v>304.89</v>
      </c>
      <c r="O521" s="14" t="n">
        <v>-0.37</v>
      </c>
      <c r="P521" s="14" t="n">
        <v>-0.19</v>
      </c>
      <c r="Q521" s="14" t="n">
        <v>0.29</v>
      </c>
      <c r="R521" s="14" t="n">
        <v>-138.18</v>
      </c>
      <c r="S521" s="14" t="n">
        <v>-0.06</v>
      </c>
      <c r="T521" s="14" t="n">
        <v>-0.45</v>
      </c>
      <c r="U521" s="14" t="n">
        <v>0</v>
      </c>
      <c r="V521" s="14" t="n">
        <v>1</v>
      </c>
      <c r="W521" s="14" t="n">
        <v>0</v>
      </c>
      <c r="Z521" s="16" t="n">
        <v>1959230.59</v>
      </c>
      <c r="AA521" s="14" t="n">
        <v>0.02</v>
      </c>
      <c r="AB521" s="14" t="n">
        <v>-0.02</v>
      </c>
      <c r="AC521" s="14" t="n">
        <v>5.06</v>
      </c>
      <c r="AD521" s="16" t="n">
        <v>33077949.92</v>
      </c>
    </row>
    <row r="522" customFormat="false" ht="15.75" hidden="false" customHeight="false" outlineLevel="0" collapsed="false">
      <c r="A522" s="14" t="s">
        <v>554</v>
      </c>
      <c r="B522" s="14" t="n">
        <v>4.6</v>
      </c>
      <c r="D522" s="14" t="n">
        <v>-200.35</v>
      </c>
      <c r="E522" s="14" t="n">
        <v>276.85</v>
      </c>
      <c r="F522" s="14" t="n">
        <v>0.13</v>
      </c>
      <c r="J522" s="14" t="n">
        <v>-200.35</v>
      </c>
      <c r="K522" s="14" t="n">
        <v>-438.26</v>
      </c>
      <c r="L522" s="14" t="n">
        <v>-220.64</v>
      </c>
      <c r="M522" s="14" t="n">
        <v>304.89</v>
      </c>
      <c r="O522" s="14" t="n">
        <v>-0.31</v>
      </c>
      <c r="P522" s="14" t="n">
        <v>-0.16</v>
      </c>
      <c r="Q522" s="14" t="n">
        <v>0.29</v>
      </c>
      <c r="R522" s="14" t="n">
        <v>-138.18</v>
      </c>
      <c r="S522" s="14" t="n">
        <v>-0.06</v>
      </c>
      <c r="T522" s="14" t="n">
        <v>-0.45</v>
      </c>
      <c r="U522" s="14" t="n">
        <v>0</v>
      </c>
      <c r="V522" s="14" t="n">
        <v>1</v>
      </c>
      <c r="W522" s="14" t="n">
        <v>0</v>
      </c>
      <c r="Z522" s="16" t="n">
        <v>2691323.88</v>
      </c>
      <c r="AA522" s="14" t="n">
        <v>0.02</v>
      </c>
      <c r="AB522" s="14" t="n">
        <v>-0.02</v>
      </c>
      <c r="AC522" s="14" t="n">
        <v>4.23</v>
      </c>
      <c r="AD522" s="16" t="n">
        <v>33077949.92</v>
      </c>
    </row>
    <row r="523" customFormat="false" ht="15.75" hidden="false" customHeight="false" outlineLevel="0" collapsed="false">
      <c r="A523" s="14" t="s">
        <v>555</v>
      </c>
      <c r="B523" s="14" t="n">
        <v>8.43</v>
      </c>
      <c r="D523" s="14" t="n">
        <v>-4.67</v>
      </c>
      <c r="E523" s="14" t="n">
        <v>0.83</v>
      </c>
      <c r="F523" s="14" t="n">
        <v>0.35</v>
      </c>
      <c r="G523" s="14" t="n">
        <v>-2.11</v>
      </c>
      <c r="H523" s="14" t="n">
        <v>-61.48</v>
      </c>
      <c r="I523" s="14" t="n">
        <v>-78.46</v>
      </c>
      <c r="J523" s="14" t="n">
        <v>-5.96</v>
      </c>
      <c r="K523" s="14" t="n">
        <v>-8.69</v>
      </c>
      <c r="L523" s="14" t="n">
        <v>-2.75</v>
      </c>
      <c r="M523" s="14" t="n">
        <v>0.38</v>
      </c>
      <c r="N523" s="14" t="n">
        <v>3.67</v>
      </c>
      <c r="O523" s="14" t="n">
        <v>1.71</v>
      </c>
      <c r="P523" s="14" t="n">
        <v>-0.57</v>
      </c>
      <c r="Q523" s="14" t="n">
        <v>2.14</v>
      </c>
      <c r="R523" s="14" t="n">
        <v>-17.72</v>
      </c>
      <c r="S523" s="14" t="n">
        <v>-7.52</v>
      </c>
      <c r="T523" s="14" t="n">
        <v>-8.2</v>
      </c>
      <c r="U523" s="14" t="n">
        <v>0.42</v>
      </c>
      <c r="V523" s="14" t="n">
        <v>0.56</v>
      </c>
      <c r="W523" s="14" t="n">
        <v>0.1</v>
      </c>
      <c r="X523" s="14" t="n">
        <v>-32.32</v>
      </c>
      <c r="Z523" s="16" t="n">
        <v>10534695.73</v>
      </c>
      <c r="AA523" s="14" t="n">
        <v>10.18</v>
      </c>
      <c r="AB523" s="14" t="n">
        <v>-1.8</v>
      </c>
      <c r="AC523" s="14" t="n">
        <v>0.08</v>
      </c>
      <c r="AD523" s="16" t="n">
        <v>618401532</v>
      </c>
    </row>
    <row r="524" customFormat="false" ht="15.75" hidden="false" customHeight="false" outlineLevel="0" collapsed="false">
      <c r="A524" s="14" t="s">
        <v>556</v>
      </c>
      <c r="B524" s="14" t="n">
        <v>3.32</v>
      </c>
      <c r="D524" s="14" t="n">
        <v>-17.68</v>
      </c>
      <c r="E524" s="14" t="n">
        <v>0.83</v>
      </c>
      <c r="F524" s="14" t="n">
        <v>0.43</v>
      </c>
      <c r="G524" s="14" t="n">
        <v>47.32</v>
      </c>
      <c r="H524" s="14" t="n">
        <v>1.32</v>
      </c>
      <c r="I524" s="14" t="n">
        <v>-5.99</v>
      </c>
      <c r="J524" s="14" t="n">
        <v>80.52</v>
      </c>
      <c r="K524" s="14" t="n">
        <v>89.85</v>
      </c>
      <c r="L524" s="14" t="n">
        <v>9.82</v>
      </c>
      <c r="M524" s="14" t="n">
        <v>0.1</v>
      </c>
      <c r="N524" s="14" t="n">
        <v>1.06</v>
      </c>
      <c r="O524" s="14" t="n">
        <v>0.96</v>
      </c>
      <c r="P524" s="14" t="n">
        <v>-1.04</v>
      </c>
      <c r="Q524" s="14" t="n">
        <v>4.36</v>
      </c>
      <c r="R524" s="14" t="n">
        <v>-4.71</v>
      </c>
      <c r="S524" s="14" t="n">
        <v>-2.44</v>
      </c>
      <c r="T524" s="14" t="n">
        <v>0.42</v>
      </c>
      <c r="U524" s="14" t="n">
        <v>0.52</v>
      </c>
      <c r="V524" s="14" t="n">
        <v>0.48</v>
      </c>
      <c r="W524" s="14" t="n">
        <v>0.41</v>
      </c>
      <c r="X524" s="14" t="n">
        <v>-9.24</v>
      </c>
      <c r="Z524" s="16" t="n">
        <v>10102035.15</v>
      </c>
      <c r="AA524" s="14" t="n">
        <v>3.98</v>
      </c>
      <c r="AB524" s="14" t="n">
        <v>-0.19</v>
      </c>
      <c r="AC524" s="14" t="n">
        <v>0.2</v>
      </c>
      <c r="AD524" s="16" t="n">
        <v>259070509.5</v>
      </c>
    </row>
    <row r="525" customFormat="false" ht="15.75" hidden="false" customHeight="false" outlineLevel="0" collapsed="false">
      <c r="A525" s="14" t="s">
        <v>557</v>
      </c>
      <c r="B525" s="14" t="n">
        <v>38</v>
      </c>
      <c r="D525" s="14" t="n">
        <v>-0.17</v>
      </c>
      <c r="E525" s="14" t="n">
        <v>-0.01</v>
      </c>
      <c r="F525" s="14" t="n">
        <v>0.02</v>
      </c>
      <c r="G525" s="14" t="n">
        <v>17.69</v>
      </c>
      <c r="H525" s="14" t="n">
        <v>2.48</v>
      </c>
      <c r="I525" s="14" t="n">
        <v>-77.74</v>
      </c>
      <c r="J525" s="14" t="n">
        <v>5.22</v>
      </c>
      <c r="K525" s="14" t="n">
        <v>149.18</v>
      </c>
      <c r="L525" s="14" t="n">
        <v>145.59</v>
      </c>
      <c r="N525" s="14" t="n">
        <v>0.13</v>
      </c>
      <c r="O525" s="14" t="n">
        <v>-0.01</v>
      </c>
      <c r="P525" s="14" t="n">
        <v>-0.02</v>
      </c>
      <c r="Q525" s="14" t="n">
        <v>0.03</v>
      </c>
      <c r="R525" s="14" t="n">
        <v>-6.71</v>
      </c>
      <c r="S525" s="14" t="n">
        <v>-11.32</v>
      </c>
      <c r="T525" s="14" t="n">
        <v>0.19</v>
      </c>
      <c r="U525" s="14" t="n">
        <v>-1.69</v>
      </c>
      <c r="V525" s="14" t="n">
        <v>2.69</v>
      </c>
      <c r="W525" s="14" t="n">
        <v>0.15</v>
      </c>
      <c r="X525" s="14" t="n">
        <v>-1.38</v>
      </c>
      <c r="Z525" s="16" t="n">
        <v>17725.46</v>
      </c>
      <c r="AA525" s="16" t="n">
        <v>-3400.32</v>
      </c>
      <c r="AB525" s="14" t="n">
        <v>-228.23</v>
      </c>
      <c r="AC525" s="14" t="n">
        <v>0.02</v>
      </c>
      <c r="AD525" s="16" t="n">
        <v>13132503.6</v>
      </c>
    </row>
    <row r="526" customFormat="false" ht="15.75" hidden="false" customHeight="false" outlineLevel="0" collapsed="false">
      <c r="A526" s="14" t="s">
        <v>558</v>
      </c>
      <c r="B526" s="14" t="n">
        <v>20.2</v>
      </c>
      <c r="D526" s="14" t="n">
        <v>-0.09</v>
      </c>
      <c r="E526" s="14" t="n">
        <v>-0.01</v>
      </c>
      <c r="F526" s="14" t="n">
        <v>0.01</v>
      </c>
      <c r="G526" s="14" t="n">
        <v>17.69</v>
      </c>
      <c r="H526" s="14" t="n">
        <v>2.48</v>
      </c>
      <c r="I526" s="14" t="n">
        <v>-77.74</v>
      </c>
      <c r="J526" s="14" t="n">
        <v>2.77</v>
      </c>
      <c r="K526" s="14" t="n">
        <v>149.18</v>
      </c>
      <c r="L526" s="14" t="n">
        <v>145.59</v>
      </c>
      <c r="N526" s="14" t="n">
        <v>0.07</v>
      </c>
      <c r="O526" s="14" t="n">
        <v>0</v>
      </c>
      <c r="P526" s="14" t="n">
        <v>-0.01</v>
      </c>
      <c r="Q526" s="14" t="n">
        <v>0.03</v>
      </c>
      <c r="R526" s="14" t="n">
        <v>-6.71</v>
      </c>
      <c r="S526" s="14" t="n">
        <v>-11.32</v>
      </c>
      <c r="T526" s="14" t="n">
        <v>0.19</v>
      </c>
      <c r="U526" s="14" t="n">
        <v>-1.69</v>
      </c>
      <c r="V526" s="14" t="n">
        <v>2.69</v>
      </c>
      <c r="W526" s="14" t="n">
        <v>0.15</v>
      </c>
      <c r="X526" s="14" t="n">
        <v>-1.38</v>
      </c>
      <c r="Z526" s="16" t="n">
        <v>97532.9</v>
      </c>
      <c r="AA526" s="16" t="n">
        <v>-3400.32</v>
      </c>
      <c r="AB526" s="14" t="n">
        <v>-228.23</v>
      </c>
      <c r="AC526" s="14" t="n">
        <v>0.01</v>
      </c>
      <c r="AD526" s="16" t="n">
        <v>13132503.6</v>
      </c>
    </row>
    <row r="527" customFormat="false" ht="15.75" hidden="false" customHeight="false" outlineLevel="0" collapsed="false">
      <c r="A527" s="14" t="s">
        <v>559</v>
      </c>
      <c r="B527" s="14" t="n">
        <v>72.01</v>
      </c>
      <c r="D527" s="14" t="n">
        <v>-35.93</v>
      </c>
      <c r="E527" s="14" t="n">
        <v>3.26</v>
      </c>
      <c r="F527" s="14" t="n">
        <v>1.17</v>
      </c>
      <c r="G527" s="14" t="n">
        <v>-76.28</v>
      </c>
      <c r="H527" s="14" t="n">
        <v>-36.52</v>
      </c>
      <c r="I527" s="14" t="n">
        <v>-50.18</v>
      </c>
      <c r="J527" s="14" t="n">
        <v>-49.38</v>
      </c>
      <c r="K527" s="14" t="n">
        <v>-35.11</v>
      </c>
      <c r="L527" s="14" t="n">
        <v>6.89</v>
      </c>
      <c r="M527" s="14" t="n">
        <v>-0.45</v>
      </c>
      <c r="N527" s="14" t="n">
        <v>18.03</v>
      </c>
      <c r="O527" s="14" t="n">
        <v>4.83</v>
      </c>
      <c r="P527" s="14" t="n">
        <v>-1.7</v>
      </c>
      <c r="Q527" s="14" t="n">
        <v>4.42</v>
      </c>
      <c r="R527" s="14" t="n">
        <v>-9.06</v>
      </c>
      <c r="S527" s="14" t="n">
        <v>-3.26</v>
      </c>
      <c r="T527" s="14" t="n">
        <v>-5.64</v>
      </c>
      <c r="U527" s="14" t="n">
        <v>0.36</v>
      </c>
      <c r="V527" s="14" t="n">
        <v>0.64</v>
      </c>
      <c r="W527" s="14" t="n">
        <v>0.06</v>
      </c>
      <c r="X527" s="14" t="n">
        <v>42.7</v>
      </c>
      <c r="Z527" s="16" t="n">
        <v>81814.33</v>
      </c>
      <c r="AA527" s="14" t="n">
        <v>22.12</v>
      </c>
      <c r="AB527" s="14" t="n">
        <v>-2</v>
      </c>
      <c r="AC527" s="14" t="n">
        <v>4.27</v>
      </c>
      <c r="AD527" s="16" t="n">
        <v>4156900418.56</v>
      </c>
    </row>
    <row r="528" customFormat="false" ht="15.75" hidden="false" customHeight="false" outlineLevel="0" collapsed="false">
      <c r="A528" s="14" t="s">
        <v>560</v>
      </c>
      <c r="B528" s="14" t="n">
        <v>32.34</v>
      </c>
      <c r="D528" s="14" t="n">
        <v>-16.14</v>
      </c>
      <c r="E528" s="14" t="n">
        <v>1.46</v>
      </c>
      <c r="F528" s="14" t="n">
        <v>0.53</v>
      </c>
      <c r="G528" s="14" t="n">
        <v>-76.28</v>
      </c>
      <c r="H528" s="14" t="n">
        <v>-36.52</v>
      </c>
      <c r="I528" s="14" t="n">
        <v>-50.18</v>
      </c>
      <c r="J528" s="14" t="n">
        <v>-22.18</v>
      </c>
      <c r="K528" s="14" t="n">
        <v>-35.11</v>
      </c>
      <c r="L528" s="14" t="n">
        <v>6.89</v>
      </c>
      <c r="M528" s="14" t="n">
        <v>-0.45</v>
      </c>
      <c r="N528" s="14" t="n">
        <v>8.1</v>
      </c>
      <c r="O528" s="14" t="n">
        <v>2.17</v>
      </c>
      <c r="P528" s="14" t="n">
        <v>-0.77</v>
      </c>
      <c r="Q528" s="14" t="n">
        <v>4.42</v>
      </c>
      <c r="R528" s="14" t="n">
        <v>-9.06</v>
      </c>
      <c r="S528" s="14" t="n">
        <v>-3.26</v>
      </c>
      <c r="T528" s="14" t="n">
        <v>-5.64</v>
      </c>
      <c r="U528" s="14" t="n">
        <v>0.36</v>
      </c>
      <c r="V528" s="14" t="n">
        <v>0.64</v>
      </c>
      <c r="W528" s="14" t="n">
        <v>0.06</v>
      </c>
      <c r="X528" s="14" t="n">
        <v>42.7</v>
      </c>
      <c r="Z528" s="16" t="n">
        <v>437077.8</v>
      </c>
      <c r="AA528" s="14" t="n">
        <v>22.12</v>
      </c>
      <c r="AB528" s="14" t="n">
        <v>-2</v>
      </c>
      <c r="AC528" s="14" t="n">
        <v>1.92</v>
      </c>
      <c r="AD528" s="16" t="n">
        <v>4156900418.56</v>
      </c>
    </row>
    <row r="529" customFormat="false" ht="15.75" hidden="false" customHeight="false" outlineLevel="0" collapsed="false">
      <c r="A529" s="14" t="s">
        <v>561</v>
      </c>
      <c r="B529" s="14" t="n">
        <v>25.12</v>
      </c>
      <c r="C529" s="14" t="n">
        <v>2.67</v>
      </c>
      <c r="D529" s="14" t="n">
        <v>11.94</v>
      </c>
      <c r="E529" s="14" t="n">
        <v>1.78</v>
      </c>
      <c r="F529" s="14" t="n">
        <v>0.63</v>
      </c>
      <c r="G529" s="14" t="n">
        <v>30.83</v>
      </c>
      <c r="H529" s="14" t="n">
        <v>11.89</v>
      </c>
      <c r="I529" s="14" t="n">
        <v>8.89</v>
      </c>
      <c r="J529" s="14" t="n">
        <v>8.92</v>
      </c>
      <c r="K529" s="14" t="n">
        <v>9.06</v>
      </c>
      <c r="L529" s="14" t="n">
        <v>0.13</v>
      </c>
      <c r="M529" s="14" t="n">
        <v>0.03</v>
      </c>
      <c r="N529" s="14" t="n">
        <v>1.06</v>
      </c>
      <c r="O529" s="14" t="n">
        <v>1.44</v>
      </c>
      <c r="P529" s="14" t="n">
        <v>-1.89</v>
      </c>
      <c r="Q529" s="14" t="n">
        <v>2.88</v>
      </c>
      <c r="R529" s="14" t="n">
        <v>14.95</v>
      </c>
      <c r="S529" s="14" t="n">
        <v>5.27</v>
      </c>
      <c r="T529" s="14" t="n">
        <v>9.86</v>
      </c>
      <c r="U529" s="14" t="n">
        <v>0.35</v>
      </c>
      <c r="V529" s="14" t="n">
        <v>0.65</v>
      </c>
      <c r="W529" s="14" t="n">
        <v>0.59</v>
      </c>
      <c r="X529" s="14" t="n">
        <v>21.81</v>
      </c>
      <c r="Y529" s="14" t="n">
        <v>46.4</v>
      </c>
      <c r="Z529" s="16" t="n">
        <v>25364631.46</v>
      </c>
      <c r="AA529" s="14" t="n">
        <v>14.08</v>
      </c>
      <c r="AB529" s="14" t="n">
        <v>2.1</v>
      </c>
      <c r="AC529" s="14" t="n">
        <v>-2.34</v>
      </c>
      <c r="AD529" s="16" t="n">
        <v>2624257786.9</v>
      </c>
    </row>
    <row r="530" customFormat="false" ht="15.75" hidden="false" customHeight="false" outlineLevel="0" collapsed="false">
      <c r="A530" s="14" t="s">
        <v>562</v>
      </c>
      <c r="B530" s="14" t="n">
        <v>46.46</v>
      </c>
      <c r="D530" s="14" t="n">
        <v>-12.58</v>
      </c>
      <c r="E530" s="14" t="n">
        <v>1.95</v>
      </c>
      <c r="F530" s="14" t="n">
        <v>0.49</v>
      </c>
      <c r="G530" s="14" t="n">
        <v>19.09</v>
      </c>
      <c r="H530" s="14" t="n">
        <v>16.93</v>
      </c>
      <c r="I530" s="14" t="n">
        <v>-7.93</v>
      </c>
      <c r="J530" s="14" t="n">
        <v>5.89</v>
      </c>
      <c r="K530" s="14" t="n">
        <v>10.58</v>
      </c>
      <c r="L530" s="14" t="n">
        <v>4.69</v>
      </c>
      <c r="M530" s="14" t="n">
        <v>1.56</v>
      </c>
      <c r="N530" s="14" t="n">
        <v>1</v>
      </c>
      <c r="O530" s="14" t="n">
        <v>-1.63</v>
      </c>
      <c r="P530" s="14" t="n">
        <v>-0.7</v>
      </c>
      <c r="Q530" s="14" t="n">
        <v>0.5</v>
      </c>
      <c r="R530" s="14" t="n">
        <v>-15.52</v>
      </c>
      <c r="S530" s="14" t="n">
        <v>-3.91</v>
      </c>
      <c r="T530" s="14" t="n">
        <v>12.05</v>
      </c>
      <c r="U530" s="14" t="n">
        <v>0.25</v>
      </c>
      <c r="V530" s="14" t="n">
        <v>0.75</v>
      </c>
      <c r="W530" s="14" t="n">
        <v>0.49</v>
      </c>
      <c r="X530" s="14" t="n">
        <v>7.32</v>
      </c>
      <c r="Z530" s="16" t="n">
        <v>3922410.17</v>
      </c>
      <c r="AA530" s="14" t="n">
        <v>23.8</v>
      </c>
      <c r="AB530" s="14" t="n">
        <v>-3.69</v>
      </c>
      <c r="AC530" s="14" t="n">
        <v>1.38</v>
      </c>
      <c r="AD530" s="16" t="n">
        <v>1343083929.46</v>
      </c>
    </row>
    <row r="531" customFormat="false" ht="15.75" hidden="false" customHeight="false" outlineLevel="0" collapsed="false">
      <c r="A531" s="14" t="s">
        <v>563</v>
      </c>
      <c r="B531" s="14" t="n">
        <v>15.59</v>
      </c>
      <c r="C531" s="14" t="n">
        <v>0.25</v>
      </c>
      <c r="D531" s="14" t="n">
        <v>440.12</v>
      </c>
      <c r="E531" s="14" t="n">
        <v>70.85</v>
      </c>
      <c r="F531" s="14" t="n">
        <v>40.08</v>
      </c>
      <c r="G531" s="14" t="n">
        <v>60.82</v>
      </c>
      <c r="H531" s="14" t="n">
        <v>17.33</v>
      </c>
      <c r="I531" s="14" t="n">
        <v>12.23</v>
      </c>
      <c r="J531" s="14" t="n">
        <v>310.64</v>
      </c>
      <c r="K531" s="14" t="n">
        <v>303.77</v>
      </c>
      <c r="L531" s="14" t="n">
        <v>-0.29</v>
      </c>
      <c r="M531" s="14" t="n">
        <v>-0.07</v>
      </c>
      <c r="N531" s="14" t="n">
        <v>53.83</v>
      </c>
      <c r="O531" s="14" t="n">
        <v>77.26</v>
      </c>
      <c r="P531" s="14" t="n">
        <v>-161.42</v>
      </c>
      <c r="Q531" s="14" t="n">
        <v>3.23</v>
      </c>
      <c r="R531" s="14" t="n">
        <v>16.1</v>
      </c>
      <c r="S531" s="14" t="n">
        <v>9.11</v>
      </c>
      <c r="T531" s="14" t="n">
        <v>13.37</v>
      </c>
      <c r="U531" s="14" t="n">
        <v>0.57</v>
      </c>
      <c r="V531" s="14" t="n">
        <v>0.43</v>
      </c>
      <c r="W531" s="14" t="n">
        <v>0.74</v>
      </c>
      <c r="Z531" s="16" t="n">
        <v>1722647.78</v>
      </c>
      <c r="AA531" s="14" t="n">
        <v>0.22</v>
      </c>
      <c r="AB531" s="14" t="n">
        <v>0.04</v>
      </c>
      <c r="AC531" s="14" t="n">
        <v>8.51</v>
      </c>
      <c r="AD531" s="16" t="n">
        <v>14485467087.14</v>
      </c>
    </row>
    <row r="532" customFormat="false" ht="15.75" hidden="false" customHeight="false" outlineLevel="0" collapsed="false">
      <c r="A532" s="14" t="s">
        <v>564</v>
      </c>
      <c r="B532" s="14" t="n">
        <v>24.16</v>
      </c>
      <c r="C532" s="14" t="n">
        <v>2.2</v>
      </c>
      <c r="D532" s="14" t="n">
        <v>21.38</v>
      </c>
      <c r="E532" s="14" t="n">
        <v>2.47</v>
      </c>
      <c r="F532" s="14" t="n">
        <v>1.51</v>
      </c>
      <c r="G532" s="14" t="n">
        <v>19.03</v>
      </c>
      <c r="H532" s="14" t="n">
        <v>11.29</v>
      </c>
      <c r="I532" s="14" t="n">
        <v>7.72</v>
      </c>
      <c r="J532" s="14" t="n">
        <v>14.62</v>
      </c>
      <c r="K532" s="14" t="n">
        <v>14.38</v>
      </c>
      <c r="L532" s="14" t="n">
        <v>-0.19</v>
      </c>
      <c r="M532" s="14" t="n">
        <v>-0.03</v>
      </c>
      <c r="N532" s="14" t="n">
        <v>1.65</v>
      </c>
      <c r="O532" s="14" t="n">
        <v>5.01</v>
      </c>
      <c r="P532" s="14" t="n">
        <v>-2.96</v>
      </c>
      <c r="Q532" s="14" t="n">
        <v>2.58</v>
      </c>
      <c r="R532" s="14" t="n">
        <v>11.57</v>
      </c>
      <c r="S532" s="14" t="n">
        <v>7.04</v>
      </c>
      <c r="T532" s="14" t="n">
        <v>9.08</v>
      </c>
      <c r="U532" s="14" t="n">
        <v>0.61</v>
      </c>
      <c r="V532" s="14" t="n">
        <v>0.39</v>
      </c>
      <c r="W532" s="14" t="n">
        <v>0.91</v>
      </c>
      <c r="X532" s="14" t="n">
        <v>-2.05</v>
      </c>
      <c r="Y532" s="14" t="n">
        <v>49.24</v>
      </c>
      <c r="Z532" s="16" t="n">
        <v>9047369.78</v>
      </c>
      <c r="AA532" s="14" t="n">
        <v>9.77</v>
      </c>
      <c r="AB532" s="14" t="n">
        <v>1.13</v>
      </c>
      <c r="AC532" s="14" t="n">
        <v>-0.36</v>
      </c>
      <c r="AD532" s="16" t="n">
        <v>1590010222.35</v>
      </c>
    </row>
    <row r="533" customFormat="false" ht="15.75" hidden="false" customHeight="false" outlineLevel="0" collapsed="false">
      <c r="A533" s="14" t="s">
        <v>565</v>
      </c>
      <c r="B533" s="14" t="n">
        <v>12.54</v>
      </c>
      <c r="C533" s="14" t="n">
        <v>6.78</v>
      </c>
      <c r="D533" s="14" t="n">
        <v>5.78</v>
      </c>
      <c r="E533" s="14" t="n">
        <v>2.67</v>
      </c>
      <c r="F533" s="14" t="n">
        <v>0.52</v>
      </c>
      <c r="G533" s="14" t="n">
        <v>93.99</v>
      </c>
      <c r="H533" s="14" t="n">
        <v>84.49</v>
      </c>
      <c r="I533" s="14" t="n">
        <v>41.75</v>
      </c>
      <c r="J533" s="14" t="n">
        <v>2.86</v>
      </c>
      <c r="K533" s="14" t="n">
        <v>5.44</v>
      </c>
      <c r="L533" s="14" t="n">
        <v>2.59</v>
      </c>
      <c r="M533" s="14" t="n">
        <v>2.42</v>
      </c>
      <c r="N533" s="14" t="n">
        <v>2.41</v>
      </c>
      <c r="O533" s="14" t="n">
        <v>9.09</v>
      </c>
      <c r="P533" s="14" t="n">
        <v>-0.67</v>
      </c>
      <c r="Q533" s="14" t="n">
        <v>1.34</v>
      </c>
      <c r="R533" s="14" t="n">
        <v>46.22</v>
      </c>
      <c r="S533" s="14" t="n">
        <v>9</v>
      </c>
      <c r="T533" s="14" t="n">
        <v>17.17</v>
      </c>
      <c r="U533" s="14" t="n">
        <v>0.19</v>
      </c>
      <c r="V533" s="14" t="n">
        <v>0.81</v>
      </c>
      <c r="W533" s="14" t="n">
        <v>0.22</v>
      </c>
      <c r="X533" s="14" t="n">
        <v>-5.19</v>
      </c>
      <c r="Y533" s="14" t="n">
        <v>1.09</v>
      </c>
      <c r="Z533" s="16" t="n">
        <v>31123800.68</v>
      </c>
      <c r="AA533" s="14" t="n">
        <v>4.69</v>
      </c>
      <c r="AB533" s="14" t="n">
        <v>2.17</v>
      </c>
      <c r="AC533" s="14" t="n">
        <v>0.03</v>
      </c>
      <c r="AD533" s="16" t="n">
        <v>5004795800.93</v>
      </c>
    </row>
    <row r="534" customFormat="false" ht="15.75" hidden="false" customHeight="false" outlineLevel="0" collapsed="false">
      <c r="A534" s="14" t="s">
        <v>566</v>
      </c>
      <c r="B534" s="14" t="n">
        <v>3.49</v>
      </c>
      <c r="C534" s="14" t="n">
        <v>4.87</v>
      </c>
      <c r="D534" s="14" t="n">
        <v>8.05</v>
      </c>
      <c r="E534" s="14" t="n">
        <v>3.72</v>
      </c>
      <c r="F534" s="14" t="n">
        <v>0.72</v>
      </c>
      <c r="G534" s="14" t="n">
        <v>93.99</v>
      </c>
      <c r="H534" s="14" t="n">
        <v>84.49</v>
      </c>
      <c r="I534" s="14" t="n">
        <v>41.75</v>
      </c>
      <c r="J534" s="14" t="n">
        <v>3.98</v>
      </c>
      <c r="K534" s="14" t="n">
        <v>5.44</v>
      </c>
      <c r="L534" s="14" t="n">
        <v>2.59</v>
      </c>
      <c r="M534" s="14" t="n">
        <v>2.42</v>
      </c>
      <c r="N534" s="14" t="n">
        <v>3.36</v>
      </c>
      <c r="O534" s="14" t="n">
        <v>12.64</v>
      </c>
      <c r="P534" s="14" t="n">
        <v>-0.94</v>
      </c>
      <c r="Q534" s="14" t="n">
        <v>1.34</v>
      </c>
      <c r="R534" s="14" t="n">
        <v>46.22</v>
      </c>
      <c r="S534" s="14" t="n">
        <v>9</v>
      </c>
      <c r="T534" s="14" t="n">
        <v>17.17</v>
      </c>
      <c r="U534" s="14" t="n">
        <v>0.19</v>
      </c>
      <c r="V534" s="14" t="n">
        <v>0.81</v>
      </c>
      <c r="W534" s="14" t="n">
        <v>0.22</v>
      </c>
      <c r="X534" s="14" t="n">
        <v>-5.19</v>
      </c>
      <c r="Y534" s="14" t="n">
        <v>1.09</v>
      </c>
      <c r="Z534" s="16" t="n">
        <v>558793.42</v>
      </c>
      <c r="AA534" s="14" t="n">
        <v>0.94</v>
      </c>
      <c r="AB534" s="14" t="n">
        <v>0.43</v>
      </c>
      <c r="AC534" s="14" t="n">
        <v>0.05</v>
      </c>
      <c r="AD534" s="16" t="n">
        <v>5004795800.93</v>
      </c>
    </row>
    <row r="535" customFormat="false" ht="15.75" hidden="false" customHeight="false" outlineLevel="0" collapsed="false">
      <c r="A535" s="14" t="s">
        <v>567</v>
      </c>
      <c r="B535" s="14" t="n">
        <v>3.51</v>
      </c>
      <c r="C535" s="14" t="n">
        <v>4.84</v>
      </c>
      <c r="D535" s="14" t="n">
        <v>8.09</v>
      </c>
      <c r="E535" s="14" t="n">
        <v>3.74</v>
      </c>
      <c r="F535" s="14" t="n">
        <v>0.73</v>
      </c>
      <c r="G535" s="14" t="n">
        <v>93.99</v>
      </c>
      <c r="H535" s="14" t="n">
        <v>84.49</v>
      </c>
      <c r="I535" s="14" t="n">
        <v>41.75</v>
      </c>
      <c r="J535" s="14" t="n">
        <v>4</v>
      </c>
      <c r="K535" s="14" t="n">
        <v>5.44</v>
      </c>
      <c r="L535" s="14" t="n">
        <v>2.59</v>
      </c>
      <c r="M535" s="14" t="n">
        <v>2.42</v>
      </c>
      <c r="N535" s="14" t="n">
        <v>3.38</v>
      </c>
      <c r="O535" s="14" t="n">
        <v>12.71</v>
      </c>
      <c r="P535" s="14" t="n">
        <v>-0.94</v>
      </c>
      <c r="Q535" s="14" t="n">
        <v>1.34</v>
      </c>
      <c r="R535" s="14" t="n">
        <v>46.22</v>
      </c>
      <c r="S535" s="14" t="n">
        <v>9</v>
      </c>
      <c r="T535" s="14" t="n">
        <v>17.17</v>
      </c>
      <c r="U535" s="14" t="n">
        <v>0.19</v>
      </c>
      <c r="V535" s="14" t="n">
        <v>0.81</v>
      </c>
      <c r="W535" s="14" t="n">
        <v>0.22</v>
      </c>
      <c r="X535" s="14" t="n">
        <v>-5.19</v>
      </c>
      <c r="Y535" s="14" t="n">
        <v>1.09</v>
      </c>
      <c r="Z535" s="16" t="n">
        <v>1764454.32</v>
      </c>
      <c r="AA535" s="14" t="n">
        <v>0.94</v>
      </c>
      <c r="AB535" s="14" t="n">
        <v>0.43</v>
      </c>
      <c r="AC535" s="14" t="n">
        <v>0.05</v>
      </c>
      <c r="AD535" s="16" t="n">
        <v>5004795800.93</v>
      </c>
    </row>
    <row r="536" customFormat="false" ht="15.75" hidden="false" customHeight="false" outlineLevel="0" collapsed="false">
      <c r="A536" s="14" t="s">
        <v>568</v>
      </c>
      <c r="B536" s="14" t="n">
        <v>11.57</v>
      </c>
      <c r="C536" s="14" t="n">
        <v>5.12</v>
      </c>
      <c r="D536" s="14" t="n">
        <v>14.3</v>
      </c>
      <c r="E536" s="14" t="n">
        <v>1.19</v>
      </c>
      <c r="F536" s="14" t="n">
        <v>0.68</v>
      </c>
      <c r="G536" s="14" t="n">
        <v>53.27</v>
      </c>
      <c r="H536" s="14" t="n">
        <v>16.63</v>
      </c>
      <c r="I536" s="14" t="n">
        <v>11.26</v>
      </c>
      <c r="J536" s="14" t="n">
        <v>9.68</v>
      </c>
      <c r="K536" s="14" t="n">
        <v>11.67</v>
      </c>
      <c r="L536" s="14" t="n">
        <v>1.99</v>
      </c>
      <c r="M536" s="14" t="n">
        <v>0.25</v>
      </c>
      <c r="N536" s="14" t="n">
        <v>1.61</v>
      </c>
      <c r="O536" s="14" t="n">
        <v>13.06</v>
      </c>
      <c r="P536" s="14" t="n">
        <v>-0.9</v>
      </c>
      <c r="Q536" s="14" t="n">
        <v>1.27</v>
      </c>
      <c r="R536" s="14" t="n">
        <v>8.35</v>
      </c>
      <c r="S536" s="14" t="n">
        <v>4.76</v>
      </c>
      <c r="T536" s="14" t="n">
        <v>8.16</v>
      </c>
      <c r="U536" s="14" t="n">
        <v>0.57</v>
      </c>
      <c r="V536" s="14" t="n">
        <v>0.43</v>
      </c>
      <c r="W536" s="14" t="n">
        <v>0.42</v>
      </c>
      <c r="X536" s="14" t="n">
        <v>0.15</v>
      </c>
      <c r="Y536" s="14" t="n">
        <v>-2.43</v>
      </c>
      <c r="Z536" s="16" t="n">
        <v>65893898.41</v>
      </c>
      <c r="AA536" s="14" t="n">
        <v>9.69</v>
      </c>
      <c r="AB536" s="14" t="n">
        <v>0.81</v>
      </c>
      <c r="AC536" s="14" t="n">
        <v>-0.31</v>
      </c>
      <c r="AD536" s="16" t="n">
        <v>28008706884.86</v>
      </c>
    </row>
    <row r="537" customFormat="false" ht="15.75" hidden="false" customHeight="false" outlineLevel="0" collapsed="false">
      <c r="A537" s="14" t="s">
        <v>569</v>
      </c>
      <c r="B537" s="14" t="n">
        <v>69.63</v>
      </c>
      <c r="C537" s="14" t="n">
        <v>3.18</v>
      </c>
      <c r="D537" s="14" t="n">
        <v>9.41</v>
      </c>
      <c r="E537" s="14" t="n">
        <v>1.03</v>
      </c>
      <c r="F537" s="14" t="n">
        <v>0.76</v>
      </c>
      <c r="G537" s="14" t="n">
        <v>26.33</v>
      </c>
      <c r="H537" s="14" t="n">
        <v>15.14</v>
      </c>
      <c r="I537" s="14" t="n">
        <v>10.97</v>
      </c>
      <c r="J537" s="14" t="n">
        <v>6.82</v>
      </c>
      <c r="K537" s="14" t="n">
        <v>5.31</v>
      </c>
      <c r="L537" s="14" t="n">
        <v>-0.82</v>
      </c>
      <c r="M537" s="14" t="n">
        <v>-0.12</v>
      </c>
      <c r="N537" s="14" t="n">
        <v>1.03</v>
      </c>
      <c r="O537" s="14" t="n">
        <v>1.96</v>
      </c>
      <c r="P537" s="14" t="n">
        <v>-1.93</v>
      </c>
      <c r="Q537" s="14" t="n">
        <v>2.74</v>
      </c>
      <c r="R537" s="14" t="n">
        <v>10.94</v>
      </c>
      <c r="S537" s="14" t="n">
        <v>8.03</v>
      </c>
      <c r="T537" s="14" t="n">
        <v>10.39</v>
      </c>
      <c r="U537" s="14" t="n">
        <v>0.73</v>
      </c>
      <c r="V537" s="14" t="n">
        <v>0.27</v>
      </c>
      <c r="W537" s="14" t="n">
        <v>0.73</v>
      </c>
      <c r="X537" s="14" t="n">
        <v>8.49</v>
      </c>
      <c r="AA537" s="14" t="n">
        <v>67.66</v>
      </c>
      <c r="AB537" s="14" t="n">
        <v>7.4</v>
      </c>
      <c r="AC537" s="14" t="n">
        <v>0.09</v>
      </c>
      <c r="AD537" s="16" t="n">
        <v>184695697.31</v>
      </c>
    </row>
    <row r="538" customFormat="false" ht="15.75" hidden="false" customHeight="false" outlineLevel="0" collapsed="false">
      <c r="A538" s="14" t="s">
        <v>570</v>
      </c>
      <c r="B538" s="14" t="n">
        <v>54.52</v>
      </c>
      <c r="C538" s="14" t="n">
        <v>4.48</v>
      </c>
      <c r="D538" s="14" t="n">
        <v>7.37</v>
      </c>
      <c r="E538" s="14" t="n">
        <v>0.81</v>
      </c>
      <c r="F538" s="14" t="n">
        <v>0.59</v>
      </c>
      <c r="G538" s="14" t="n">
        <v>26.33</v>
      </c>
      <c r="H538" s="14" t="n">
        <v>15.14</v>
      </c>
      <c r="I538" s="14" t="n">
        <v>10.97</v>
      </c>
      <c r="J538" s="14" t="n">
        <v>5.34</v>
      </c>
      <c r="K538" s="14" t="n">
        <v>5.31</v>
      </c>
      <c r="L538" s="14" t="n">
        <v>-0.82</v>
      </c>
      <c r="M538" s="14" t="n">
        <v>-0.12</v>
      </c>
      <c r="N538" s="14" t="n">
        <v>0.81</v>
      </c>
      <c r="O538" s="14" t="n">
        <v>1.53</v>
      </c>
      <c r="P538" s="14" t="n">
        <v>-1.51</v>
      </c>
      <c r="Q538" s="14" t="n">
        <v>2.74</v>
      </c>
      <c r="R538" s="14" t="n">
        <v>10.94</v>
      </c>
      <c r="S538" s="14" t="n">
        <v>8.03</v>
      </c>
      <c r="T538" s="14" t="n">
        <v>10.39</v>
      </c>
      <c r="U538" s="14" t="n">
        <v>0.73</v>
      </c>
      <c r="V538" s="14" t="n">
        <v>0.27</v>
      </c>
      <c r="W538" s="14" t="n">
        <v>0.73</v>
      </c>
      <c r="X538" s="14" t="n">
        <v>8.49</v>
      </c>
      <c r="Z538" s="16" t="n">
        <v>8835.4</v>
      </c>
      <c r="AA538" s="14" t="n">
        <v>67.66</v>
      </c>
      <c r="AB538" s="14" t="n">
        <v>7.4</v>
      </c>
      <c r="AC538" s="14" t="n">
        <v>0.07</v>
      </c>
      <c r="AD538" s="16" t="n">
        <v>184695697.31</v>
      </c>
    </row>
    <row r="539" customFormat="false" ht="15.75" hidden="false" customHeight="false" outlineLevel="0" collapsed="false">
      <c r="A539" s="14" t="s">
        <v>571</v>
      </c>
      <c r="B539" s="14" t="n">
        <v>37.48</v>
      </c>
      <c r="C539" s="14" t="n">
        <v>0.69</v>
      </c>
      <c r="D539" s="14" t="n">
        <v>68.96</v>
      </c>
      <c r="E539" s="14" t="n">
        <v>8.01</v>
      </c>
      <c r="F539" s="14" t="n">
        <v>3.99</v>
      </c>
      <c r="G539" s="14" t="n">
        <v>70.54</v>
      </c>
      <c r="H539" s="14" t="n">
        <v>15.98</v>
      </c>
      <c r="I539" s="14" t="n">
        <v>11.57</v>
      </c>
      <c r="J539" s="14" t="n">
        <v>49.93</v>
      </c>
      <c r="K539" s="14" t="n">
        <v>47.43</v>
      </c>
      <c r="L539" s="14" t="n">
        <v>-1.91</v>
      </c>
      <c r="M539" s="14" t="n">
        <v>-0.31</v>
      </c>
      <c r="N539" s="14" t="n">
        <v>7.98</v>
      </c>
      <c r="O539" s="14" t="n">
        <v>24.26</v>
      </c>
      <c r="P539" s="14" t="n">
        <v>-9.24</v>
      </c>
      <c r="Q539" s="14" t="n">
        <v>1.41</v>
      </c>
      <c r="R539" s="14" t="n">
        <v>11.62</v>
      </c>
      <c r="S539" s="14" t="n">
        <v>5.78</v>
      </c>
      <c r="T539" s="14" t="n">
        <v>11.08</v>
      </c>
      <c r="U539" s="14" t="n">
        <v>0.5</v>
      </c>
      <c r="V539" s="14" t="n">
        <v>0.5</v>
      </c>
      <c r="W539" s="14" t="n">
        <v>0.5</v>
      </c>
      <c r="X539" s="14" t="n">
        <v>6.34</v>
      </c>
      <c r="Y539" s="14" t="n">
        <v>8.63</v>
      </c>
      <c r="Z539" s="16" t="n">
        <v>134877564.17</v>
      </c>
      <c r="AA539" s="14" t="n">
        <v>4.68</v>
      </c>
      <c r="AB539" s="14" t="n">
        <v>0.54</v>
      </c>
      <c r="AC539" s="14" t="n">
        <v>3.26</v>
      </c>
      <c r="AD539" s="16" t="n">
        <v>21405904224.24</v>
      </c>
    </row>
    <row r="540" customFormat="false" ht="15.75" hidden="false" customHeight="false" outlineLevel="0" collapsed="false">
      <c r="A540" s="14" t="s">
        <v>572</v>
      </c>
      <c r="B540" s="14" t="n">
        <v>2.29</v>
      </c>
      <c r="D540" s="14" t="n">
        <v>-43.94</v>
      </c>
      <c r="E540" s="14" t="n">
        <v>-4.97</v>
      </c>
      <c r="F540" s="14" t="n">
        <v>4.03</v>
      </c>
      <c r="G540" s="14" t="n">
        <v>24.06</v>
      </c>
      <c r="H540" s="14" t="n">
        <v>-10.7</v>
      </c>
      <c r="I540" s="14" t="n">
        <v>-10.96</v>
      </c>
      <c r="J540" s="14" t="n">
        <v>-45</v>
      </c>
      <c r="K540" s="14" t="n">
        <v>-47.62</v>
      </c>
      <c r="L540" s="14" t="n">
        <v>-0.63</v>
      </c>
      <c r="N540" s="14" t="n">
        <v>4.81</v>
      </c>
      <c r="O540" s="14" t="n">
        <v>-5.93</v>
      </c>
      <c r="P540" s="14" t="n">
        <v>-11.89</v>
      </c>
      <c r="Q540" s="14" t="n">
        <v>0.49</v>
      </c>
      <c r="R540" s="14" t="n">
        <v>-11.31</v>
      </c>
      <c r="S540" s="14" t="n">
        <v>-9.18</v>
      </c>
      <c r="T540" s="14" t="n">
        <v>11.93</v>
      </c>
      <c r="U540" s="14" t="n">
        <v>-0.81</v>
      </c>
      <c r="V540" s="14" t="n">
        <v>1.81</v>
      </c>
      <c r="W540" s="14" t="n">
        <v>0.84</v>
      </c>
      <c r="X540" s="14" t="n">
        <v>-33.11</v>
      </c>
      <c r="AA540" s="14" t="n">
        <v>-0.46</v>
      </c>
      <c r="AB540" s="14" t="n">
        <v>-0.05</v>
      </c>
      <c r="AC540" s="14" t="n">
        <v>0.47</v>
      </c>
      <c r="AD540" s="16" t="n">
        <v>71890222.22</v>
      </c>
    </row>
    <row r="541" customFormat="false" ht="15.75" hidden="false" customHeight="false" outlineLevel="0" collapsed="false">
      <c r="A541" s="14" t="s">
        <v>573</v>
      </c>
      <c r="B541" s="14" t="n">
        <v>2.5</v>
      </c>
      <c r="D541" s="14" t="n">
        <v>-47.96</v>
      </c>
      <c r="E541" s="14" t="n">
        <v>-5.43</v>
      </c>
      <c r="F541" s="14" t="n">
        <v>4.4</v>
      </c>
      <c r="G541" s="14" t="n">
        <v>24.06</v>
      </c>
      <c r="H541" s="14" t="n">
        <v>-10.7</v>
      </c>
      <c r="I541" s="14" t="n">
        <v>-10.96</v>
      </c>
      <c r="J541" s="14" t="n">
        <v>-49.12</v>
      </c>
      <c r="K541" s="14" t="n">
        <v>-47.62</v>
      </c>
      <c r="L541" s="14" t="n">
        <v>-0.63</v>
      </c>
      <c r="N541" s="14" t="n">
        <v>5.26</v>
      </c>
      <c r="O541" s="14" t="n">
        <v>-6.47</v>
      </c>
      <c r="P541" s="14" t="n">
        <v>-12.98</v>
      </c>
      <c r="Q541" s="14" t="n">
        <v>0.49</v>
      </c>
      <c r="R541" s="14" t="n">
        <v>-11.31</v>
      </c>
      <c r="S541" s="14" t="n">
        <v>-9.18</v>
      </c>
      <c r="T541" s="14" t="n">
        <v>11.93</v>
      </c>
      <c r="U541" s="14" t="n">
        <v>-0.81</v>
      </c>
      <c r="V541" s="14" t="n">
        <v>1.81</v>
      </c>
      <c r="W541" s="14" t="n">
        <v>0.84</v>
      </c>
      <c r="X541" s="14" t="n">
        <v>-33.11</v>
      </c>
      <c r="AA541" s="14" t="n">
        <v>-0.46</v>
      </c>
      <c r="AB541" s="14" t="n">
        <v>-0.05</v>
      </c>
      <c r="AC541" s="14" t="n">
        <v>0.52</v>
      </c>
      <c r="AD541" s="16" t="n">
        <v>71890222.22</v>
      </c>
    </row>
    <row r="542" customFormat="false" ht="15.75" hidden="false" customHeight="false" outlineLevel="0" collapsed="false">
      <c r="A542" s="14" t="s">
        <v>574</v>
      </c>
      <c r="B542" s="14" t="n">
        <v>3.35</v>
      </c>
      <c r="C542" s="14" t="n">
        <v>1.23</v>
      </c>
      <c r="D542" s="14" t="n">
        <v>3.8</v>
      </c>
      <c r="E542" s="14" t="n">
        <v>0.69</v>
      </c>
      <c r="F542" s="14" t="n">
        <v>0.18</v>
      </c>
      <c r="G542" s="14" t="n">
        <v>4.88</v>
      </c>
      <c r="H542" s="14" t="n">
        <v>20.06</v>
      </c>
      <c r="I542" s="14" t="n">
        <v>16.19</v>
      </c>
      <c r="J542" s="14" t="n">
        <v>3.07</v>
      </c>
      <c r="K542" s="14" t="n">
        <v>12.04</v>
      </c>
      <c r="L542" s="14" t="n">
        <v>8.95</v>
      </c>
      <c r="M542" s="14" t="n">
        <v>2.03</v>
      </c>
      <c r="N542" s="14" t="n">
        <v>0.61</v>
      </c>
      <c r="O542" s="14" t="n">
        <v>-0.89</v>
      </c>
      <c r="P542" s="14" t="n">
        <v>-0.19</v>
      </c>
      <c r="Q542" s="14" t="n">
        <v>0.23</v>
      </c>
      <c r="R542" s="14" t="n">
        <v>18.3</v>
      </c>
      <c r="S542" s="14" t="n">
        <v>4.72</v>
      </c>
      <c r="T542" s="14" t="n">
        <v>6.17</v>
      </c>
      <c r="U542" s="14" t="n">
        <v>0.26</v>
      </c>
      <c r="V542" s="14" t="n">
        <v>0.74</v>
      </c>
      <c r="W542" s="14" t="n">
        <v>0.29</v>
      </c>
      <c r="X542" s="14" t="n">
        <v>-16.95</v>
      </c>
      <c r="Y542" s="14" t="n">
        <v>6.45</v>
      </c>
      <c r="Z542" s="16" t="n">
        <v>17915382.07</v>
      </c>
      <c r="AA542" s="14" t="n">
        <v>4.82</v>
      </c>
      <c r="AB542" s="14" t="n">
        <v>0.88</v>
      </c>
      <c r="AC542" s="14" t="n">
        <v>-0.02</v>
      </c>
      <c r="AD542" s="16" t="n">
        <v>594880000</v>
      </c>
    </row>
    <row r="543" customFormat="false" ht="15.75" hidden="false" customHeight="false" outlineLevel="0" collapsed="false">
      <c r="A543" s="14" t="s">
        <v>575</v>
      </c>
      <c r="B543" s="14" t="n">
        <v>9.85</v>
      </c>
      <c r="C543" s="14" t="n">
        <v>2.46</v>
      </c>
      <c r="D543" s="14" t="n">
        <v>10.56</v>
      </c>
      <c r="E543" s="14" t="n">
        <v>1.54</v>
      </c>
      <c r="F543" s="14" t="n">
        <v>0.85</v>
      </c>
      <c r="G543" s="14" t="n">
        <v>35.69</v>
      </c>
      <c r="H543" s="14" t="n">
        <v>23.01</v>
      </c>
      <c r="I543" s="14" t="n">
        <v>19.14</v>
      </c>
      <c r="J543" s="14" t="n">
        <v>8.78</v>
      </c>
      <c r="K543" s="14" t="n">
        <v>9.17</v>
      </c>
      <c r="L543" s="14" t="n">
        <v>0.4</v>
      </c>
      <c r="M543" s="14" t="n">
        <v>0.07</v>
      </c>
      <c r="N543" s="14" t="n">
        <v>2.02</v>
      </c>
      <c r="O543" s="14" t="n">
        <v>1.6</v>
      </c>
      <c r="P543" s="14" t="n">
        <v>-3.31</v>
      </c>
      <c r="Q543" s="14" t="n">
        <v>3.5</v>
      </c>
      <c r="R543" s="14" t="n">
        <v>14.56</v>
      </c>
      <c r="S543" s="14" t="n">
        <v>8.03</v>
      </c>
      <c r="T543" s="14" t="n">
        <v>11.03</v>
      </c>
      <c r="U543" s="14" t="n">
        <v>0.55</v>
      </c>
      <c r="V543" s="14" t="n">
        <v>0.42</v>
      </c>
      <c r="W543" s="14" t="n">
        <v>0.42</v>
      </c>
      <c r="X543" s="14" t="n">
        <v>18.29</v>
      </c>
      <c r="Y543" s="14" t="n">
        <v>49.27</v>
      </c>
      <c r="Z543" s="16" t="n">
        <v>10908965.93</v>
      </c>
      <c r="AA543" s="14" t="n">
        <v>6.41</v>
      </c>
      <c r="AB543" s="14" t="n">
        <v>0.93</v>
      </c>
      <c r="AC543" s="14" t="n">
        <v>0.52</v>
      </c>
      <c r="AD543" s="16" t="n">
        <v>1836316573.92</v>
      </c>
    </row>
    <row r="544" customFormat="false" ht="15.75" hidden="false" customHeight="false" outlineLevel="0" collapsed="false">
      <c r="A544" s="14" t="s">
        <v>576</v>
      </c>
      <c r="B544" s="14" t="n">
        <v>30.68</v>
      </c>
      <c r="C544" s="14" t="n">
        <v>10.15</v>
      </c>
      <c r="D544" s="14" t="n">
        <v>5.69</v>
      </c>
      <c r="E544" s="14" t="n">
        <v>1.52</v>
      </c>
      <c r="F544" s="14" t="n">
        <v>0.76</v>
      </c>
      <c r="G544" s="14" t="n">
        <v>70.21</v>
      </c>
      <c r="H544" s="14" t="n">
        <v>118.1</v>
      </c>
      <c r="I544" s="14" t="n">
        <v>89.26</v>
      </c>
      <c r="J544" s="14" t="n">
        <v>4.3</v>
      </c>
      <c r="K544" s="14" t="n">
        <v>4.75</v>
      </c>
      <c r="L544" s="14" t="n">
        <v>0.91</v>
      </c>
      <c r="M544" s="14" t="n">
        <v>0.32</v>
      </c>
      <c r="N544" s="14" t="n">
        <v>5.08</v>
      </c>
      <c r="O544" s="14" t="n">
        <v>8.65</v>
      </c>
      <c r="P544" s="14" t="n">
        <v>-0.92</v>
      </c>
      <c r="Q544" s="14" t="n">
        <v>2.02</v>
      </c>
      <c r="R544" s="14" t="n">
        <v>26.69</v>
      </c>
      <c r="S544" s="14" t="n">
        <v>13.4</v>
      </c>
      <c r="T544" s="14" t="n">
        <v>19.9</v>
      </c>
      <c r="U544" s="14" t="n">
        <v>0.5</v>
      </c>
      <c r="V544" s="14" t="n">
        <v>0.48</v>
      </c>
      <c r="W544" s="14" t="n">
        <v>0.15</v>
      </c>
      <c r="X544" s="14" t="n">
        <v>23.49</v>
      </c>
      <c r="Y544" s="14" t="n">
        <v>45.59</v>
      </c>
      <c r="Z544" s="16" t="n">
        <v>109879.63</v>
      </c>
      <c r="AA544" s="14" t="n">
        <v>20.2</v>
      </c>
      <c r="AB544" s="14" t="n">
        <v>5.39</v>
      </c>
      <c r="AC544" s="14" t="n">
        <v>0.06</v>
      </c>
      <c r="AD544" s="16" t="n">
        <v>18035387492.4</v>
      </c>
    </row>
    <row r="545" customFormat="false" ht="15.75" hidden="false" customHeight="false" outlineLevel="0" collapsed="false">
      <c r="A545" s="14" t="s">
        <v>577</v>
      </c>
      <c r="B545" s="14" t="n">
        <v>25.27</v>
      </c>
      <c r="C545" s="14" t="n">
        <v>12.32</v>
      </c>
      <c r="D545" s="14" t="n">
        <v>4.69</v>
      </c>
      <c r="E545" s="14" t="n">
        <v>1.25</v>
      </c>
      <c r="F545" s="14" t="n">
        <v>0.63</v>
      </c>
      <c r="G545" s="14" t="n">
        <v>70.21</v>
      </c>
      <c r="H545" s="14" t="n">
        <v>118.1</v>
      </c>
      <c r="I545" s="14" t="n">
        <v>89.26</v>
      </c>
      <c r="J545" s="14" t="n">
        <v>3.54</v>
      </c>
      <c r="K545" s="14" t="n">
        <v>4.75</v>
      </c>
      <c r="L545" s="14" t="n">
        <v>0.91</v>
      </c>
      <c r="M545" s="14" t="n">
        <v>0.32</v>
      </c>
      <c r="N545" s="14" t="n">
        <v>4.18</v>
      </c>
      <c r="O545" s="14" t="n">
        <v>7.12</v>
      </c>
      <c r="P545" s="14" t="n">
        <v>-0.76</v>
      </c>
      <c r="Q545" s="14" t="n">
        <v>2.02</v>
      </c>
      <c r="R545" s="14" t="n">
        <v>26.69</v>
      </c>
      <c r="S545" s="14" t="n">
        <v>13.4</v>
      </c>
      <c r="T545" s="14" t="n">
        <v>19.9</v>
      </c>
      <c r="U545" s="14" t="n">
        <v>0.5</v>
      </c>
      <c r="V545" s="14" t="n">
        <v>0.48</v>
      </c>
      <c r="W545" s="14" t="n">
        <v>0.15</v>
      </c>
      <c r="X545" s="14" t="n">
        <v>23.49</v>
      </c>
      <c r="Y545" s="14" t="n">
        <v>45.59</v>
      </c>
      <c r="Z545" s="16" t="n">
        <v>30405120.85</v>
      </c>
      <c r="AA545" s="14" t="n">
        <v>20.2</v>
      </c>
      <c r="AB545" s="14" t="n">
        <v>5.39</v>
      </c>
      <c r="AC545" s="14" t="n">
        <v>0.05</v>
      </c>
      <c r="AD545" s="16" t="n">
        <v>18035387492.4</v>
      </c>
    </row>
    <row r="546" customFormat="false" ht="15.75" hidden="false" customHeight="false" outlineLevel="0" collapsed="false">
      <c r="A546" s="14" t="s">
        <v>578</v>
      </c>
      <c r="B546" s="14" t="n">
        <v>23.88</v>
      </c>
      <c r="D546" s="14" t="n">
        <v>29.58</v>
      </c>
      <c r="E546" s="14" t="n">
        <v>1.31</v>
      </c>
      <c r="F546" s="14" t="n">
        <v>0.53</v>
      </c>
      <c r="G546" s="14" t="n">
        <v>15.55</v>
      </c>
      <c r="H546" s="14" t="n">
        <v>5.65</v>
      </c>
      <c r="I546" s="14" t="n">
        <v>2.47</v>
      </c>
      <c r="J546" s="14" t="n">
        <v>12.94</v>
      </c>
      <c r="K546" s="14" t="n">
        <v>16.35</v>
      </c>
      <c r="L546" s="14" t="n">
        <v>3.39</v>
      </c>
      <c r="M546" s="14" t="n">
        <v>0.34</v>
      </c>
      <c r="N546" s="14" t="n">
        <v>0.73</v>
      </c>
      <c r="O546" s="14" t="n">
        <v>1.64</v>
      </c>
      <c r="P546" s="14" t="n">
        <v>-1.2</v>
      </c>
      <c r="Q546" s="14" t="n">
        <v>2.4</v>
      </c>
      <c r="R546" s="14" t="n">
        <v>4.44</v>
      </c>
      <c r="S546" s="14" t="n">
        <v>1.8</v>
      </c>
      <c r="T546" s="14" t="n">
        <v>4.78</v>
      </c>
      <c r="U546" s="14" t="n">
        <v>0.4</v>
      </c>
      <c r="V546" s="14" t="n">
        <v>0.6</v>
      </c>
      <c r="W546" s="14" t="n">
        <v>0.73</v>
      </c>
      <c r="X546" s="14" t="n">
        <v>4.44</v>
      </c>
      <c r="Z546" s="16" t="n">
        <v>32849530.46</v>
      </c>
      <c r="AA546" s="14" t="n">
        <v>18.18</v>
      </c>
      <c r="AB546" s="14" t="n">
        <v>0.81</v>
      </c>
      <c r="AC546" s="14" t="n">
        <v>-0.02</v>
      </c>
      <c r="AD546" s="16" t="n">
        <v>3448725800</v>
      </c>
    </row>
    <row r="547" customFormat="false" ht="15.75" hidden="false" customHeight="false" outlineLevel="0" collapsed="false">
      <c r="A547" s="14" t="s">
        <v>579</v>
      </c>
      <c r="B547" s="14" t="n">
        <v>33.99</v>
      </c>
      <c r="D547" s="14" t="n">
        <v>-10.69</v>
      </c>
      <c r="E547" s="14" t="n">
        <v>-0.46</v>
      </c>
      <c r="F547" s="14" t="n">
        <v>0.73</v>
      </c>
      <c r="G547" s="14" t="n">
        <v>34.03</v>
      </c>
      <c r="H547" s="14" t="n">
        <v>14.19</v>
      </c>
      <c r="I547" s="14" t="n">
        <v>-13.83</v>
      </c>
      <c r="J547" s="14" t="n">
        <v>10.43</v>
      </c>
      <c r="K547" s="14" t="n">
        <v>22.86</v>
      </c>
      <c r="L547" s="14" t="n">
        <v>17.32</v>
      </c>
      <c r="N547" s="14" t="n">
        <v>1.48</v>
      </c>
      <c r="O547" s="14" t="n">
        <v>-0.53</v>
      </c>
      <c r="P547" s="14" t="n">
        <v>-1.21</v>
      </c>
      <c r="Q547" s="14" t="n">
        <v>0.23</v>
      </c>
      <c r="R547" s="14" t="n">
        <v>-4.34</v>
      </c>
      <c r="S547" s="14" t="n">
        <v>-6.81</v>
      </c>
      <c r="T547" s="14" t="n">
        <v>-19.4</v>
      </c>
      <c r="U547" s="14" t="n">
        <v>-1.57</v>
      </c>
      <c r="V547" s="14" t="n">
        <v>2.57</v>
      </c>
      <c r="W547" s="14" t="n">
        <v>0.49</v>
      </c>
      <c r="X547" s="14" t="n">
        <v>1.83</v>
      </c>
      <c r="Z547" s="16" t="n">
        <v>19342.71</v>
      </c>
      <c r="AA547" s="14" t="n">
        <v>-73.23</v>
      </c>
      <c r="AB547" s="14" t="n">
        <v>-3.18</v>
      </c>
      <c r="AC547" s="14" t="n">
        <v>0.03</v>
      </c>
      <c r="AD547" s="16" t="n">
        <v>76976180.37</v>
      </c>
    </row>
    <row r="548" customFormat="false" ht="15.75" hidden="false" customHeight="false" outlineLevel="0" collapsed="false">
      <c r="A548" s="14" t="s">
        <v>580</v>
      </c>
      <c r="B548" s="14" t="n">
        <v>9.8</v>
      </c>
      <c r="D548" s="14" t="n">
        <v>-3.08</v>
      </c>
      <c r="E548" s="14" t="n">
        <v>-0.13</v>
      </c>
      <c r="F548" s="14" t="n">
        <v>0.21</v>
      </c>
      <c r="G548" s="14" t="n">
        <v>34.03</v>
      </c>
      <c r="H548" s="14" t="n">
        <v>14.19</v>
      </c>
      <c r="I548" s="14" t="n">
        <v>-13.83</v>
      </c>
      <c r="J548" s="14" t="n">
        <v>3.01</v>
      </c>
      <c r="K548" s="14" t="n">
        <v>22.86</v>
      </c>
      <c r="L548" s="14" t="n">
        <v>17.32</v>
      </c>
      <c r="N548" s="14" t="n">
        <v>0.43</v>
      </c>
      <c r="O548" s="14" t="n">
        <v>-0.15</v>
      </c>
      <c r="P548" s="14" t="n">
        <v>-0.35</v>
      </c>
      <c r="Q548" s="14" t="n">
        <v>0.23</v>
      </c>
      <c r="R548" s="14" t="n">
        <v>-4.34</v>
      </c>
      <c r="S548" s="14" t="n">
        <v>-6.81</v>
      </c>
      <c r="T548" s="14" t="n">
        <v>-19.4</v>
      </c>
      <c r="U548" s="14" t="n">
        <v>-1.57</v>
      </c>
      <c r="V548" s="14" t="n">
        <v>2.57</v>
      </c>
      <c r="W548" s="14" t="n">
        <v>0.49</v>
      </c>
      <c r="X548" s="14" t="n">
        <v>1.83</v>
      </c>
      <c r="Z548" s="16" t="n">
        <v>85793.93</v>
      </c>
      <c r="AA548" s="14" t="n">
        <v>-73.23</v>
      </c>
      <c r="AB548" s="14" t="n">
        <v>-3.18</v>
      </c>
      <c r="AC548" s="14" t="n">
        <v>0.01</v>
      </c>
      <c r="AD548" s="16" t="n">
        <v>76976180.37</v>
      </c>
    </row>
    <row r="549" customFormat="false" ht="15.75" hidden="false" customHeight="false" outlineLevel="0" collapsed="false">
      <c r="A549" s="14" t="s">
        <v>581</v>
      </c>
      <c r="B549" s="14" t="n">
        <v>5.08</v>
      </c>
      <c r="C549" s="14" t="n">
        <v>7.8</v>
      </c>
      <c r="D549" s="14" t="n">
        <v>17.97</v>
      </c>
      <c r="E549" s="14" t="n">
        <v>2.1</v>
      </c>
      <c r="F549" s="14" t="n">
        <v>1.31</v>
      </c>
      <c r="G549" s="14" t="n">
        <v>38.71</v>
      </c>
      <c r="H549" s="14" t="n">
        <v>14.51</v>
      </c>
      <c r="I549" s="14" t="n">
        <v>11.29</v>
      </c>
      <c r="J549" s="14" t="n">
        <v>13.98</v>
      </c>
      <c r="K549" s="14" t="n">
        <v>11.29</v>
      </c>
      <c r="L549" s="14" t="n">
        <v>-2.7</v>
      </c>
      <c r="M549" s="14" t="n">
        <v>-0.41</v>
      </c>
      <c r="N549" s="14" t="n">
        <v>2.03</v>
      </c>
      <c r="O549" s="14" t="n">
        <v>4.72</v>
      </c>
      <c r="P549" s="14" t="n">
        <v>-3.03</v>
      </c>
      <c r="Q549" s="14" t="n">
        <v>1.96</v>
      </c>
      <c r="R549" s="14" t="n">
        <v>11.69</v>
      </c>
      <c r="S549" s="14" t="n">
        <v>7.31</v>
      </c>
      <c r="T549" s="14" t="n">
        <v>9.3</v>
      </c>
      <c r="U549" s="14" t="n">
        <v>0.62</v>
      </c>
      <c r="V549" s="14" t="n">
        <v>0.38</v>
      </c>
      <c r="W549" s="14" t="n">
        <v>0.65</v>
      </c>
      <c r="X549" s="14" t="n">
        <v>-7.54</v>
      </c>
      <c r="Y549" s="14" t="n">
        <v>2.51</v>
      </c>
      <c r="Z549" s="16" t="n">
        <v>727020.63</v>
      </c>
      <c r="AA549" s="14" t="n">
        <v>2.42</v>
      </c>
      <c r="AB549" s="14" t="n">
        <v>0.28</v>
      </c>
      <c r="AC549" s="14" t="n">
        <v>0.71</v>
      </c>
      <c r="AD549" s="16" t="n">
        <v>335718729.12</v>
      </c>
    </row>
    <row r="550" customFormat="false" ht="15.75" hidden="false" customHeight="false" outlineLevel="0" collapsed="false">
      <c r="A550" s="14" t="s">
        <v>582</v>
      </c>
      <c r="B550" s="14" t="n">
        <v>18.66</v>
      </c>
      <c r="C550" s="14" t="n">
        <v>2.36</v>
      </c>
      <c r="D550" s="14" t="n">
        <v>24.06</v>
      </c>
      <c r="E550" s="14" t="n">
        <v>2.17</v>
      </c>
      <c r="F550" s="14" t="n">
        <v>0.56</v>
      </c>
      <c r="G550" s="14" t="n">
        <v>7.06</v>
      </c>
      <c r="H550" s="14" t="n">
        <v>2.23</v>
      </c>
      <c r="I550" s="14" t="n">
        <v>1.03</v>
      </c>
      <c r="J550" s="14" t="n">
        <v>11.15</v>
      </c>
      <c r="K550" s="14" t="n">
        <v>18.07</v>
      </c>
      <c r="L550" s="14" t="n">
        <v>6.92</v>
      </c>
      <c r="M550" s="14" t="n">
        <v>1.35</v>
      </c>
      <c r="N550" s="14" t="n">
        <v>0.25</v>
      </c>
      <c r="O550" s="14" t="n">
        <v>2.26</v>
      </c>
      <c r="P550" s="14" t="n">
        <v>-1.09</v>
      </c>
      <c r="Q550" s="14" t="n">
        <v>2</v>
      </c>
      <c r="R550" s="14" t="n">
        <v>9.02</v>
      </c>
      <c r="S550" s="14" t="n">
        <v>2.31</v>
      </c>
      <c r="T550" s="14" t="n">
        <v>4.39</v>
      </c>
      <c r="U550" s="14" t="n">
        <v>0.26</v>
      </c>
      <c r="V550" s="14" t="n">
        <v>0.73</v>
      </c>
      <c r="W550" s="14" t="n">
        <v>2.24</v>
      </c>
      <c r="X550" s="14" t="n">
        <v>1.43</v>
      </c>
      <c r="Y550" s="14" t="n">
        <v>-9.32</v>
      </c>
      <c r="Z550" s="16" t="n">
        <v>128965450.44</v>
      </c>
      <c r="AA550" s="14" t="n">
        <v>8.59</v>
      </c>
      <c r="AB550" s="14" t="n">
        <v>0.78</v>
      </c>
      <c r="AC550" s="14" t="n">
        <v>0.13</v>
      </c>
      <c r="AD550" s="16" t="n">
        <v>20818481074.17</v>
      </c>
    </row>
    <row r="551" customFormat="false" ht="15.75" hidden="false" customHeight="false" outlineLevel="0" collapsed="false">
      <c r="A551" s="14" t="s">
        <v>583</v>
      </c>
      <c r="B551" s="14" t="n">
        <v>101.6</v>
      </c>
      <c r="C551" s="14" t="n">
        <v>4.25</v>
      </c>
      <c r="D551" s="14" t="n">
        <v>13.01</v>
      </c>
      <c r="E551" s="14" t="n">
        <v>4.63</v>
      </c>
      <c r="F551" s="14" t="n">
        <v>1.98</v>
      </c>
      <c r="G551" s="14" t="n">
        <v>40.21</v>
      </c>
      <c r="H551" s="14" t="n">
        <v>27.88</v>
      </c>
      <c r="I551" s="14" t="n">
        <v>16.82</v>
      </c>
      <c r="J551" s="14" t="n">
        <v>7.85</v>
      </c>
      <c r="K551" s="14" t="n">
        <v>7.16</v>
      </c>
      <c r="L551" s="14" t="n">
        <v>-0.4</v>
      </c>
      <c r="M551" s="14" t="n">
        <v>-0.24</v>
      </c>
      <c r="N551" s="14" t="n">
        <v>2.19</v>
      </c>
      <c r="O551" s="14" t="n">
        <v>9.34</v>
      </c>
      <c r="P551" s="14" t="n">
        <v>-3.61</v>
      </c>
      <c r="Q551" s="14" t="n">
        <v>1.89</v>
      </c>
      <c r="R551" s="14" t="n">
        <v>35.55</v>
      </c>
      <c r="S551" s="14" t="n">
        <v>15.23</v>
      </c>
      <c r="T551" s="14" t="n">
        <v>33.1</v>
      </c>
      <c r="U551" s="14" t="n">
        <v>0.43</v>
      </c>
      <c r="V551" s="14" t="n">
        <v>0.57</v>
      </c>
      <c r="W551" s="14" t="n">
        <v>0.91</v>
      </c>
      <c r="X551" s="14" t="n">
        <v>35.12</v>
      </c>
      <c r="Y551" s="14" t="n">
        <v>33.34</v>
      </c>
      <c r="Z551" s="16" t="n">
        <v>7757049.68</v>
      </c>
      <c r="AA551" s="14" t="n">
        <v>21.96</v>
      </c>
      <c r="AB551" s="14" t="n">
        <v>7.81</v>
      </c>
      <c r="AC551" s="14" t="n">
        <v>0</v>
      </c>
      <c r="AD551" s="16" t="n">
        <v>9236427761.76</v>
      </c>
    </row>
    <row r="552" customFormat="false" ht="15.75" hidden="false" customHeight="false" outlineLevel="0" collapsed="false">
      <c r="A552" s="14" t="s">
        <v>584</v>
      </c>
      <c r="B552" s="14" t="n">
        <v>94</v>
      </c>
      <c r="C552" s="14" t="n">
        <v>5.05</v>
      </c>
      <c r="D552" s="14" t="n">
        <v>12.04</v>
      </c>
      <c r="E552" s="14" t="n">
        <v>4.28</v>
      </c>
      <c r="F552" s="14" t="n">
        <v>1.83</v>
      </c>
      <c r="G552" s="14" t="n">
        <v>40.21</v>
      </c>
      <c r="H552" s="14" t="n">
        <v>27.88</v>
      </c>
      <c r="I552" s="14" t="n">
        <v>16.82</v>
      </c>
      <c r="J552" s="14" t="n">
        <v>7.26</v>
      </c>
      <c r="K552" s="14" t="n">
        <v>7.16</v>
      </c>
      <c r="L552" s="14" t="n">
        <v>-0.4</v>
      </c>
      <c r="M552" s="14" t="n">
        <v>-0.24</v>
      </c>
      <c r="N552" s="14" t="n">
        <v>2.03</v>
      </c>
      <c r="O552" s="14" t="n">
        <v>8.64</v>
      </c>
      <c r="P552" s="14" t="n">
        <v>-3.34</v>
      </c>
      <c r="Q552" s="14" t="n">
        <v>1.89</v>
      </c>
      <c r="R552" s="14" t="n">
        <v>35.55</v>
      </c>
      <c r="S552" s="14" t="n">
        <v>15.23</v>
      </c>
      <c r="T552" s="14" t="n">
        <v>33.1</v>
      </c>
      <c r="U552" s="14" t="n">
        <v>0.43</v>
      </c>
      <c r="V552" s="14" t="n">
        <v>0.57</v>
      </c>
      <c r="W552" s="14" t="n">
        <v>0.91</v>
      </c>
      <c r="X552" s="14" t="n">
        <v>35.12</v>
      </c>
      <c r="Y552" s="14" t="n">
        <v>33.34</v>
      </c>
      <c r="Z552" s="16" t="n">
        <v>162903.97</v>
      </c>
      <c r="AA552" s="14" t="n">
        <v>21.96</v>
      </c>
      <c r="AB552" s="14" t="n">
        <v>7.81</v>
      </c>
      <c r="AC552" s="14" t="n">
        <v>0</v>
      </c>
      <c r="AD552" s="16" t="n">
        <v>9236427761.76</v>
      </c>
    </row>
    <row r="553" customFormat="false" ht="15.75" hidden="false" customHeight="false" outlineLevel="0" collapsed="false">
      <c r="A553" s="14" t="s">
        <v>585</v>
      </c>
      <c r="B553" s="14" t="n">
        <v>95.98</v>
      </c>
      <c r="C553" s="14" t="n">
        <v>4.94</v>
      </c>
      <c r="D553" s="14" t="n">
        <v>12.29</v>
      </c>
      <c r="E553" s="14" t="n">
        <v>4.37</v>
      </c>
      <c r="F553" s="14" t="n">
        <v>1.87</v>
      </c>
      <c r="G553" s="14" t="n">
        <v>40.21</v>
      </c>
      <c r="H553" s="14" t="n">
        <v>27.88</v>
      </c>
      <c r="I553" s="14" t="n">
        <v>16.82</v>
      </c>
      <c r="J553" s="14" t="n">
        <v>7.42</v>
      </c>
      <c r="K553" s="14" t="n">
        <v>7.16</v>
      </c>
      <c r="L553" s="14" t="n">
        <v>-0.4</v>
      </c>
      <c r="M553" s="14" t="n">
        <v>-0.24</v>
      </c>
      <c r="N553" s="14" t="n">
        <v>2.07</v>
      </c>
      <c r="O553" s="14" t="n">
        <v>8.82</v>
      </c>
      <c r="P553" s="14" t="n">
        <v>-3.41</v>
      </c>
      <c r="Q553" s="14" t="n">
        <v>1.89</v>
      </c>
      <c r="R553" s="14" t="n">
        <v>35.55</v>
      </c>
      <c r="S553" s="14" t="n">
        <v>15.23</v>
      </c>
      <c r="T553" s="14" t="n">
        <v>33.1</v>
      </c>
      <c r="U553" s="14" t="n">
        <v>0.43</v>
      </c>
      <c r="V553" s="14" t="n">
        <v>0.57</v>
      </c>
      <c r="W553" s="14" t="n">
        <v>0.91</v>
      </c>
      <c r="X553" s="14" t="n">
        <v>35.12</v>
      </c>
      <c r="Y553" s="14" t="n">
        <v>33.34</v>
      </c>
      <c r="Z553" s="16" t="n">
        <v>47207689.34</v>
      </c>
      <c r="AA553" s="14" t="n">
        <v>21.96</v>
      </c>
      <c r="AB553" s="14" t="n">
        <v>7.81</v>
      </c>
      <c r="AC553" s="14" t="n">
        <v>0</v>
      </c>
      <c r="AD553" s="16" t="n">
        <v>9236427761.76</v>
      </c>
    </row>
    <row r="554" customFormat="false" ht="15.75" hidden="false" customHeight="false" outlineLevel="0" collapsed="false">
      <c r="A554" s="14" t="s">
        <v>586</v>
      </c>
      <c r="B554" s="14" t="n">
        <v>19.64</v>
      </c>
      <c r="C554" s="14" t="n">
        <v>0.63</v>
      </c>
      <c r="D554" s="14" t="n">
        <v>11.83</v>
      </c>
      <c r="E554" s="14" t="n">
        <v>1.56</v>
      </c>
      <c r="F554" s="14" t="n">
        <v>0.77</v>
      </c>
      <c r="G554" s="14" t="n">
        <v>26.92</v>
      </c>
      <c r="H554" s="14" t="n">
        <v>24.81</v>
      </c>
      <c r="I554" s="14" t="n">
        <v>10.76</v>
      </c>
      <c r="J554" s="14" t="n">
        <v>5.13</v>
      </c>
      <c r="K554" s="14" t="n">
        <v>5.46</v>
      </c>
      <c r="L554" s="14" t="n">
        <v>0.35</v>
      </c>
      <c r="M554" s="14" t="n">
        <v>0.11</v>
      </c>
      <c r="N554" s="14" t="n">
        <v>1.27</v>
      </c>
      <c r="O554" s="14" t="n">
        <v>2.68</v>
      </c>
      <c r="P554" s="14" t="n">
        <v>-1.35</v>
      </c>
      <c r="Q554" s="14" t="n">
        <v>3.03</v>
      </c>
      <c r="R554" s="14" t="n">
        <v>13.2</v>
      </c>
      <c r="S554" s="14" t="n">
        <v>6.53</v>
      </c>
      <c r="T554" s="14" t="n">
        <v>14.5</v>
      </c>
      <c r="U554" s="14" t="n">
        <v>0.49</v>
      </c>
      <c r="V554" s="14" t="n">
        <v>0.43</v>
      </c>
      <c r="W554" s="14" t="n">
        <v>0.61</v>
      </c>
      <c r="X554" s="14" t="n">
        <v>9.57</v>
      </c>
      <c r="Z554" s="16" t="n">
        <v>9478220.85</v>
      </c>
      <c r="AA554" s="14" t="n">
        <v>12.58</v>
      </c>
      <c r="AB554" s="14" t="n">
        <v>1.66</v>
      </c>
      <c r="AC554" s="14" t="n">
        <v>-0.02</v>
      </c>
      <c r="AD554" s="16" t="n">
        <v>24535482703.8</v>
      </c>
    </row>
    <row r="555" customFormat="false" ht="15.75" hidden="false" customHeight="false" outlineLevel="0" collapsed="false">
      <c r="A555" s="14" t="s">
        <v>587</v>
      </c>
      <c r="B555" s="14" t="n">
        <v>19.28</v>
      </c>
      <c r="C555" s="14" t="n">
        <v>0.71</v>
      </c>
      <c r="D555" s="14" t="n">
        <v>11.61</v>
      </c>
      <c r="E555" s="14" t="n">
        <v>1.53</v>
      </c>
      <c r="F555" s="14" t="n">
        <v>0.76</v>
      </c>
      <c r="G555" s="14" t="n">
        <v>26.92</v>
      </c>
      <c r="H555" s="14" t="n">
        <v>24.81</v>
      </c>
      <c r="I555" s="14" t="n">
        <v>10.76</v>
      </c>
      <c r="J555" s="14" t="n">
        <v>5.03</v>
      </c>
      <c r="K555" s="14" t="n">
        <v>5.46</v>
      </c>
      <c r="L555" s="14" t="n">
        <v>0.35</v>
      </c>
      <c r="M555" s="14" t="n">
        <v>0.11</v>
      </c>
      <c r="N555" s="14" t="n">
        <v>1.25</v>
      </c>
      <c r="O555" s="14" t="n">
        <v>2.64</v>
      </c>
      <c r="P555" s="14" t="n">
        <v>-1.33</v>
      </c>
      <c r="Q555" s="14" t="n">
        <v>3.03</v>
      </c>
      <c r="R555" s="14" t="n">
        <v>13.2</v>
      </c>
      <c r="S555" s="14" t="n">
        <v>6.53</v>
      </c>
      <c r="T555" s="14" t="n">
        <v>14.5</v>
      </c>
      <c r="U555" s="14" t="n">
        <v>0.49</v>
      </c>
      <c r="V555" s="14" t="n">
        <v>0.43</v>
      </c>
      <c r="W555" s="14" t="n">
        <v>0.61</v>
      </c>
      <c r="X555" s="14" t="n">
        <v>9.57</v>
      </c>
      <c r="Z555" s="16" t="n">
        <v>407047274.15</v>
      </c>
      <c r="AA555" s="14" t="n">
        <v>12.58</v>
      </c>
      <c r="AB555" s="14" t="n">
        <v>1.66</v>
      </c>
      <c r="AC555" s="14" t="n">
        <v>-0.02</v>
      </c>
      <c r="AD555" s="16" t="n">
        <v>24535482703.8</v>
      </c>
    </row>
    <row r="556" customFormat="false" ht="15.75" hidden="false" customHeight="false" outlineLevel="0" collapsed="false">
      <c r="A556" s="14" t="s">
        <v>588</v>
      </c>
      <c r="B556" s="14" t="n">
        <v>21.3</v>
      </c>
      <c r="C556" s="14" t="n">
        <v>0.64</v>
      </c>
      <c r="D556" s="14" t="n">
        <v>12.82</v>
      </c>
      <c r="E556" s="14" t="n">
        <v>1.69</v>
      </c>
      <c r="F556" s="14" t="n">
        <v>0.84</v>
      </c>
      <c r="G556" s="14" t="n">
        <v>26.92</v>
      </c>
      <c r="H556" s="14" t="n">
        <v>24.81</v>
      </c>
      <c r="I556" s="14" t="n">
        <v>10.76</v>
      </c>
      <c r="J556" s="14" t="n">
        <v>5.56</v>
      </c>
      <c r="K556" s="14" t="n">
        <v>5.46</v>
      </c>
      <c r="L556" s="14" t="n">
        <v>0.35</v>
      </c>
      <c r="M556" s="14" t="n">
        <v>0.11</v>
      </c>
      <c r="N556" s="14" t="n">
        <v>1.38</v>
      </c>
      <c r="O556" s="14" t="n">
        <v>2.91</v>
      </c>
      <c r="P556" s="14" t="n">
        <v>-1.47</v>
      </c>
      <c r="Q556" s="14" t="n">
        <v>3.03</v>
      </c>
      <c r="R556" s="14" t="n">
        <v>13.2</v>
      </c>
      <c r="S556" s="14" t="n">
        <v>6.53</v>
      </c>
      <c r="T556" s="14" t="n">
        <v>14.5</v>
      </c>
      <c r="U556" s="14" t="n">
        <v>0.49</v>
      </c>
      <c r="V556" s="14" t="n">
        <v>0.43</v>
      </c>
      <c r="W556" s="14" t="n">
        <v>0.61</v>
      </c>
      <c r="X556" s="14" t="n">
        <v>9.57</v>
      </c>
      <c r="Z556" s="16" t="n">
        <v>11973.93</v>
      </c>
      <c r="AA556" s="14" t="n">
        <v>12.58</v>
      </c>
      <c r="AB556" s="14" t="n">
        <v>1.66</v>
      </c>
      <c r="AC556" s="14" t="n">
        <v>-0.02</v>
      </c>
      <c r="AD556" s="16" t="n">
        <v>24535482703.8</v>
      </c>
    </row>
    <row r="557" customFormat="false" ht="15.75" hidden="false" customHeight="false" outlineLevel="0" collapsed="false">
      <c r="A557" s="14" t="s">
        <v>589</v>
      </c>
      <c r="B557" s="14" t="n">
        <v>112.47</v>
      </c>
      <c r="C557" s="14" t="n">
        <v>7.88</v>
      </c>
      <c r="D557" s="14" t="n">
        <v>10.56</v>
      </c>
      <c r="E557" s="14" t="n">
        <v>2.86</v>
      </c>
      <c r="F557" s="14" t="n">
        <v>1.2</v>
      </c>
      <c r="G557" s="14" t="n">
        <v>57.52</v>
      </c>
      <c r="H557" s="14" t="n">
        <v>34.21</v>
      </c>
      <c r="I557" s="14" t="n">
        <v>22.83</v>
      </c>
      <c r="J557" s="14" t="n">
        <v>7.05</v>
      </c>
      <c r="K557" s="14" t="n">
        <v>7.11</v>
      </c>
      <c r="L557" s="14" t="n">
        <v>0.06</v>
      </c>
      <c r="M557" s="14" t="n">
        <v>0.03</v>
      </c>
      <c r="N557" s="14" t="n">
        <v>2.41</v>
      </c>
      <c r="O557" s="14" t="n">
        <v>9.19</v>
      </c>
      <c r="P557" s="14" t="n">
        <v>-1.63</v>
      </c>
      <c r="Q557" s="14" t="n">
        <v>1.96</v>
      </c>
      <c r="R557" s="14" t="n">
        <v>27.13</v>
      </c>
      <c r="S557" s="14" t="n">
        <v>11.36</v>
      </c>
      <c r="T557" s="14" t="n">
        <v>24.34</v>
      </c>
      <c r="U557" s="14" t="n">
        <v>0.42</v>
      </c>
      <c r="V557" s="14" t="n">
        <v>0.59</v>
      </c>
      <c r="W557" s="14" t="n">
        <v>0.5</v>
      </c>
      <c r="X557" s="14" t="n">
        <v>21.72</v>
      </c>
      <c r="Z557" s="16" t="n">
        <v>2986274223</v>
      </c>
      <c r="AA557" s="14" t="n">
        <v>39.26</v>
      </c>
      <c r="AB557" s="14" t="n">
        <v>10.65</v>
      </c>
      <c r="AC557" s="14" t="n">
        <v>0</v>
      </c>
      <c r="AD557" s="16" t="n">
        <v>594767636714.1</v>
      </c>
    </row>
    <row r="558" customFormat="false" ht="15.75" hidden="false" customHeight="false" outlineLevel="0" collapsed="false">
      <c r="A558" s="14" t="s">
        <v>590</v>
      </c>
      <c r="B558" s="14" t="n">
        <v>56.07</v>
      </c>
      <c r="D558" s="14" t="n">
        <v>59.18</v>
      </c>
      <c r="E558" s="14" t="n">
        <v>8.94</v>
      </c>
      <c r="F558" s="14" t="n">
        <v>2.71</v>
      </c>
      <c r="G558" s="14" t="n">
        <v>33.99</v>
      </c>
      <c r="H558" s="14" t="n">
        <v>24.23</v>
      </c>
      <c r="I558" s="14" t="n">
        <v>12.42</v>
      </c>
      <c r="J558" s="14" t="n">
        <v>30.34</v>
      </c>
      <c r="K558" s="14" t="n">
        <v>34.09</v>
      </c>
      <c r="L558" s="14" t="n">
        <v>3.89</v>
      </c>
      <c r="M558" s="14" t="n">
        <v>1.15</v>
      </c>
      <c r="N558" s="14" t="n">
        <v>7.35</v>
      </c>
      <c r="O558" s="14" t="n">
        <v>17.72</v>
      </c>
      <c r="P558" s="14" t="n">
        <v>-3.94</v>
      </c>
      <c r="Q558" s="14" t="n">
        <v>1.95</v>
      </c>
      <c r="R558" s="14" t="n">
        <v>15.11</v>
      </c>
      <c r="S558" s="14" t="n">
        <v>4.58</v>
      </c>
      <c r="T558" s="14" t="n">
        <v>8.38</v>
      </c>
      <c r="U558" s="14" t="n">
        <v>0.3</v>
      </c>
      <c r="V558" s="14" t="n">
        <v>0.7</v>
      </c>
      <c r="W558" s="14" t="n">
        <v>0.37</v>
      </c>
      <c r="Z558" s="16" t="n">
        <v>31494378.27</v>
      </c>
      <c r="AA558" s="14" t="n">
        <v>6.27</v>
      </c>
      <c r="AB558" s="14" t="n">
        <v>0.95</v>
      </c>
      <c r="AC558" s="14" t="n">
        <v>1.26</v>
      </c>
      <c r="AD558" s="16" t="n">
        <v>12714085242</v>
      </c>
    </row>
    <row r="559" customFormat="false" ht="15.75" hidden="false" customHeight="false" outlineLevel="0" collapsed="false">
      <c r="A559" s="14" t="s">
        <v>591</v>
      </c>
      <c r="B559" s="14" t="n">
        <v>32.58</v>
      </c>
      <c r="C559" s="14" t="n">
        <v>0.49</v>
      </c>
      <c r="D559" s="14" t="n">
        <v>58.49</v>
      </c>
      <c r="E559" s="14" t="n">
        <v>6.55</v>
      </c>
      <c r="F559" s="14" t="n">
        <v>3.87</v>
      </c>
      <c r="G559" s="14" t="n">
        <v>68.28</v>
      </c>
      <c r="H559" s="14" t="n">
        <v>17.58</v>
      </c>
      <c r="I559" s="14" t="n">
        <v>12.42</v>
      </c>
      <c r="J559" s="14" t="n">
        <v>41.34</v>
      </c>
      <c r="K559" s="14" t="n">
        <v>40.49</v>
      </c>
      <c r="L559" s="14" t="n">
        <v>-0.64</v>
      </c>
      <c r="M559" s="14" t="n">
        <v>-0.1</v>
      </c>
      <c r="N559" s="14" t="n">
        <v>7.27</v>
      </c>
      <c r="O559" s="14" t="n">
        <v>8.52</v>
      </c>
      <c r="P559" s="14" t="n">
        <v>-9.85</v>
      </c>
      <c r="Q559" s="14" t="n">
        <v>3.99</v>
      </c>
      <c r="R559" s="14" t="n">
        <v>11.19</v>
      </c>
      <c r="S559" s="14" t="n">
        <v>6.62</v>
      </c>
      <c r="T559" s="14" t="n">
        <v>11.43</v>
      </c>
      <c r="U559" s="14" t="n">
        <v>0.59</v>
      </c>
      <c r="V559" s="14" t="n">
        <v>0.41</v>
      </c>
      <c r="W559" s="14" t="n">
        <v>0.53</v>
      </c>
      <c r="Z559" s="16" t="n">
        <v>36480422.24</v>
      </c>
      <c r="AA559" s="14" t="n">
        <v>4.98</v>
      </c>
      <c r="AB559" s="14" t="n">
        <v>0.56</v>
      </c>
      <c r="AC559" s="14" t="n">
        <v>-1.11</v>
      </c>
      <c r="AD559" s="16" t="n">
        <v>7657531670.98</v>
      </c>
    </row>
    <row r="560" customFormat="false" ht="15.75" hidden="false" customHeight="false" outlineLevel="0" collapsed="false">
      <c r="A560" s="14" t="s">
        <v>592</v>
      </c>
      <c r="B560" s="14" t="n">
        <v>5.18</v>
      </c>
      <c r="D560" s="14" t="n">
        <v>-3.24</v>
      </c>
      <c r="E560" s="14" t="n">
        <v>-2.43</v>
      </c>
      <c r="F560" s="14" t="n">
        <v>1.8</v>
      </c>
      <c r="G560" s="14" t="n">
        <v>-13.43</v>
      </c>
      <c r="H560" s="14" t="n">
        <v>-234.87</v>
      </c>
      <c r="I560" s="14" t="n">
        <v>-292.48</v>
      </c>
      <c r="J560" s="14" t="n">
        <v>-4.03</v>
      </c>
      <c r="K560" s="14" t="n">
        <v>-5.3</v>
      </c>
      <c r="L560" s="14" t="n">
        <v>-1.36</v>
      </c>
      <c r="N560" s="14" t="n">
        <v>9.47</v>
      </c>
      <c r="O560" s="14" t="n">
        <v>-2.26</v>
      </c>
      <c r="P560" s="14" t="n">
        <v>-2.75</v>
      </c>
      <c r="Q560" s="14" t="n">
        <v>0.3</v>
      </c>
      <c r="R560" s="14" t="n">
        <v>-75.04</v>
      </c>
      <c r="S560" s="14" t="n">
        <v>-55.53</v>
      </c>
      <c r="T560" s="16" t="n">
        <v>1154.35</v>
      </c>
      <c r="U560" s="14" t="n">
        <v>-0.74</v>
      </c>
      <c r="V560" s="14" t="n">
        <v>1.74</v>
      </c>
      <c r="W560" s="14" t="n">
        <v>0.19</v>
      </c>
      <c r="X560" s="14" t="n">
        <v>-17.04</v>
      </c>
      <c r="Z560" s="16" t="n">
        <v>71985157.54</v>
      </c>
      <c r="AA560" s="14" t="n">
        <v>-2.13</v>
      </c>
      <c r="AB560" s="14" t="n">
        <v>-1.6</v>
      </c>
      <c r="AC560" s="14" t="n">
        <v>0.15</v>
      </c>
      <c r="AD560" s="16" t="n">
        <v>538927024.02</v>
      </c>
    </row>
    <row r="561" customFormat="false" ht="15.75" hidden="false" customHeight="false" outlineLevel="0" collapsed="false">
      <c r="A561" s="14" t="s">
        <v>593</v>
      </c>
      <c r="B561" s="14" t="n">
        <v>42.24</v>
      </c>
      <c r="C561" s="14" t="n">
        <v>7.86</v>
      </c>
      <c r="D561" s="14" t="n">
        <v>15.67</v>
      </c>
      <c r="E561" s="14" t="n">
        <v>1.02</v>
      </c>
      <c r="F561" s="14" t="n">
        <v>0.64</v>
      </c>
      <c r="G561" s="14" t="n">
        <v>46.41</v>
      </c>
      <c r="H561" s="14" t="n">
        <v>14.76</v>
      </c>
      <c r="I561" s="14" t="n">
        <v>10.57</v>
      </c>
      <c r="J561" s="14" t="n">
        <v>11.21</v>
      </c>
      <c r="K561" s="14" t="n">
        <v>12.1</v>
      </c>
      <c r="L561" s="14" t="n">
        <v>0.93</v>
      </c>
      <c r="M561" s="14" t="n">
        <v>0.08</v>
      </c>
      <c r="N561" s="14" t="n">
        <v>1.66</v>
      </c>
      <c r="O561" s="14" t="n">
        <v>52.36</v>
      </c>
      <c r="P561" s="14" t="n">
        <v>-0.8</v>
      </c>
      <c r="Q561" s="14" t="n">
        <v>1.07</v>
      </c>
      <c r="R561" s="14" t="n">
        <v>6.51</v>
      </c>
      <c r="S561" s="14" t="n">
        <v>4.1</v>
      </c>
      <c r="T561" s="14" t="n">
        <v>6.34</v>
      </c>
      <c r="U561" s="14" t="n">
        <v>0.63</v>
      </c>
      <c r="V561" s="14" t="n">
        <v>0.37</v>
      </c>
      <c r="W561" s="14" t="n">
        <v>0.39</v>
      </c>
      <c r="X561" s="14" t="n">
        <v>1.37</v>
      </c>
      <c r="Y561" s="14" t="n">
        <v>6.88</v>
      </c>
      <c r="Z561" s="16" t="n">
        <v>92718925.56</v>
      </c>
      <c r="AA561" s="14" t="n">
        <v>41.41</v>
      </c>
      <c r="AB561" s="14" t="n">
        <v>2.7</v>
      </c>
      <c r="AC561" s="14" t="n">
        <v>-2.98</v>
      </c>
      <c r="AD561" s="16" t="n">
        <v>71139735710.61</v>
      </c>
    </row>
    <row r="562" customFormat="false" ht="15.75" hidden="false" customHeight="false" outlineLevel="0" collapsed="false">
      <c r="A562" s="14" t="s">
        <v>594</v>
      </c>
      <c r="B562" s="14" t="n">
        <v>45.34</v>
      </c>
      <c r="C562" s="14" t="n">
        <v>2.09</v>
      </c>
      <c r="D562" s="14" t="n">
        <v>16.82</v>
      </c>
      <c r="E562" s="14" t="n">
        <v>1.1</v>
      </c>
      <c r="F562" s="14" t="n">
        <v>0.69</v>
      </c>
      <c r="G562" s="14" t="n">
        <v>46.41</v>
      </c>
      <c r="H562" s="14" t="n">
        <v>14.76</v>
      </c>
      <c r="I562" s="14" t="n">
        <v>10.57</v>
      </c>
      <c r="J562" s="14" t="n">
        <v>12.03</v>
      </c>
      <c r="K562" s="14" t="n">
        <v>12.1</v>
      </c>
      <c r="L562" s="14" t="n">
        <v>0.93</v>
      </c>
      <c r="M562" s="14" t="n">
        <v>0.08</v>
      </c>
      <c r="N562" s="14" t="n">
        <v>1.78</v>
      </c>
      <c r="O562" s="14" t="n">
        <v>56.2</v>
      </c>
      <c r="P562" s="14" t="n">
        <v>-0.86</v>
      </c>
      <c r="Q562" s="14" t="n">
        <v>1.07</v>
      </c>
      <c r="R562" s="14" t="n">
        <v>6.51</v>
      </c>
      <c r="S562" s="14" t="n">
        <v>4.1</v>
      </c>
      <c r="T562" s="14" t="n">
        <v>6.34</v>
      </c>
      <c r="U562" s="14" t="n">
        <v>0.63</v>
      </c>
      <c r="V562" s="14" t="n">
        <v>0.37</v>
      </c>
      <c r="W562" s="14" t="n">
        <v>0.39</v>
      </c>
      <c r="X562" s="14" t="n">
        <v>1.37</v>
      </c>
      <c r="Y562" s="14" t="n">
        <v>6.88</v>
      </c>
      <c r="Z562" s="16" t="n">
        <v>111231163.93</v>
      </c>
      <c r="AA562" s="14" t="n">
        <v>41.41</v>
      </c>
      <c r="AB562" s="14" t="n">
        <v>2.7</v>
      </c>
      <c r="AC562" s="14" t="n">
        <v>-3.2</v>
      </c>
      <c r="AD562" s="16" t="n">
        <v>71139735710.61</v>
      </c>
    </row>
    <row r="563" customFormat="false" ht="15.75" hidden="false" customHeight="false" outlineLevel="0" collapsed="false">
      <c r="A563" s="14" t="s">
        <v>595</v>
      </c>
      <c r="B563" s="14" t="n">
        <v>10.97</v>
      </c>
      <c r="D563" s="14" t="n">
        <v>-4.3</v>
      </c>
      <c r="E563" s="14" t="n">
        <v>0.75</v>
      </c>
      <c r="F563" s="14" t="n">
        <v>0.28</v>
      </c>
      <c r="G563" s="14" t="n">
        <v>18</v>
      </c>
      <c r="H563" s="14" t="n">
        <v>-6.19</v>
      </c>
      <c r="I563" s="14" t="n">
        <v>-10.66</v>
      </c>
      <c r="J563" s="14" t="n">
        <v>-7.4</v>
      </c>
      <c r="K563" s="14" t="n">
        <v>-14.3</v>
      </c>
      <c r="L563" s="14" t="n">
        <v>-6.93</v>
      </c>
      <c r="M563" s="14" t="n">
        <v>0.7</v>
      </c>
      <c r="N563" s="14" t="n">
        <v>0.46</v>
      </c>
      <c r="O563" s="14" t="n">
        <v>2.54</v>
      </c>
      <c r="P563" s="14" t="n">
        <v>-0.55</v>
      </c>
      <c r="Q563" s="14" t="n">
        <v>1.31</v>
      </c>
      <c r="R563" s="14" t="n">
        <v>-17.34</v>
      </c>
      <c r="S563" s="14" t="n">
        <v>-6.61</v>
      </c>
      <c r="T563" s="14" t="n">
        <v>-4.63</v>
      </c>
      <c r="U563" s="14" t="n">
        <v>0.38</v>
      </c>
      <c r="V563" s="14" t="n">
        <v>0.6</v>
      </c>
      <c r="W563" s="14" t="n">
        <v>0.62</v>
      </c>
      <c r="X563" s="14" t="n">
        <v>3.44</v>
      </c>
      <c r="Z563" s="16" t="n">
        <v>7363416.41</v>
      </c>
      <c r="AA563" s="14" t="n">
        <v>14.72</v>
      </c>
      <c r="AB563" s="14" t="n">
        <v>-2.55</v>
      </c>
      <c r="AC563" s="14" t="n">
        <v>0.01</v>
      </c>
      <c r="AD563" s="16" t="n">
        <v>897029329.91</v>
      </c>
    </row>
    <row r="564" customFormat="false" ht="15.75" hidden="false" customHeight="false" outlineLevel="0" collapsed="false">
      <c r="A564" s="14" t="s">
        <v>596</v>
      </c>
      <c r="B564" s="14" t="n">
        <v>4.99</v>
      </c>
      <c r="D564" s="14" t="n">
        <v>-3.46</v>
      </c>
      <c r="E564" s="14" t="n">
        <v>0.14</v>
      </c>
      <c r="F564" s="14" t="n">
        <v>0.08</v>
      </c>
      <c r="G564" s="14" t="n">
        <v>11.72</v>
      </c>
      <c r="H564" s="14" t="n">
        <v>2.1</v>
      </c>
      <c r="I564" s="14" t="n">
        <v>-7.12</v>
      </c>
      <c r="J564" s="14" t="n">
        <v>11.76</v>
      </c>
      <c r="K564" s="14" t="n">
        <v>7.63</v>
      </c>
      <c r="L564" s="14" t="n">
        <v>-4.14</v>
      </c>
      <c r="M564" s="14" t="n">
        <v>-0.05</v>
      </c>
      <c r="N564" s="14" t="n">
        <v>0.25</v>
      </c>
      <c r="O564" s="14" t="n">
        <v>-1.29</v>
      </c>
      <c r="P564" s="14" t="n">
        <v>-0.09</v>
      </c>
      <c r="Q564" s="14" t="n">
        <v>0.57</v>
      </c>
      <c r="R564" s="14" t="n">
        <v>-3.96</v>
      </c>
      <c r="S564" s="14" t="n">
        <v>-2.28</v>
      </c>
      <c r="T564" s="14" t="n">
        <v>0.86</v>
      </c>
      <c r="U564" s="14" t="n">
        <v>0.58</v>
      </c>
      <c r="V564" s="14" t="n">
        <v>0.42</v>
      </c>
      <c r="W564" s="14" t="n">
        <v>0.32</v>
      </c>
      <c r="X564" s="14" t="n">
        <v>10.22</v>
      </c>
      <c r="AA564" s="14" t="n">
        <v>36.41</v>
      </c>
      <c r="AB564" s="14" t="n">
        <v>-1.44</v>
      </c>
      <c r="AC564" s="14" t="n">
        <v>-0.05</v>
      </c>
      <c r="AD564" s="16" t="n">
        <v>679850653.84</v>
      </c>
    </row>
    <row r="565" customFormat="false" ht="15.75" hidden="false" customHeight="false" outlineLevel="0" collapsed="false">
      <c r="A565" s="14" t="s">
        <v>597</v>
      </c>
      <c r="B565" s="14" t="n">
        <v>0</v>
      </c>
      <c r="D565" s="14" t="n">
        <v>0</v>
      </c>
      <c r="E565" s="14" t="n">
        <v>0</v>
      </c>
      <c r="F565" s="14" t="n">
        <v>0</v>
      </c>
      <c r="G565" s="14" t="n">
        <v>11.72</v>
      </c>
      <c r="H565" s="14" t="n">
        <v>2.1</v>
      </c>
      <c r="I565" s="14" t="n">
        <v>-7.12</v>
      </c>
      <c r="J565" s="14" t="n">
        <v>0</v>
      </c>
      <c r="K565" s="14" t="n">
        <v>7.63</v>
      </c>
      <c r="L565" s="14" t="n">
        <v>-4.14</v>
      </c>
      <c r="M565" s="14" t="n">
        <v>-0.05</v>
      </c>
      <c r="N565" s="14" t="n">
        <v>0</v>
      </c>
      <c r="O565" s="14" t="n">
        <v>0</v>
      </c>
      <c r="P565" s="14" t="n">
        <v>0</v>
      </c>
      <c r="Q565" s="14" t="n">
        <v>0.57</v>
      </c>
      <c r="R565" s="14" t="n">
        <v>-3.96</v>
      </c>
      <c r="S565" s="14" t="n">
        <v>-2.28</v>
      </c>
      <c r="T565" s="14" t="n">
        <v>0.86</v>
      </c>
      <c r="U565" s="14" t="n">
        <v>0.58</v>
      </c>
      <c r="V565" s="14" t="n">
        <v>0.42</v>
      </c>
      <c r="W565" s="14" t="n">
        <v>0.32</v>
      </c>
      <c r="X565" s="14" t="n">
        <v>10.22</v>
      </c>
      <c r="AA565" s="14" t="n">
        <v>36.41</v>
      </c>
      <c r="AB565" s="14" t="n">
        <v>-1.44</v>
      </c>
      <c r="AC565" s="14" t="n">
        <v>0</v>
      </c>
      <c r="AD565" s="16" t="n">
        <v>679850653.84</v>
      </c>
    </row>
    <row r="566" customFormat="false" ht="15.75" hidden="false" customHeight="false" outlineLevel="0" collapsed="false">
      <c r="A566" s="14" t="s">
        <v>598</v>
      </c>
      <c r="B566" s="14" t="n">
        <v>9.7</v>
      </c>
      <c r="D566" s="14" t="n">
        <v>63.96</v>
      </c>
      <c r="E566" s="14" t="n">
        <v>2.09</v>
      </c>
      <c r="F566" s="14" t="n">
        <v>1.4</v>
      </c>
      <c r="G566" s="14" t="n">
        <v>30.12</v>
      </c>
      <c r="H566" s="14" t="n">
        <v>4.18</v>
      </c>
      <c r="I566" s="14" t="n">
        <v>2.98</v>
      </c>
      <c r="J566" s="14" t="n">
        <v>45.54</v>
      </c>
      <c r="K566" s="14" t="n">
        <v>48.58</v>
      </c>
      <c r="L566" s="14" t="n">
        <v>2.81</v>
      </c>
      <c r="M566" s="14" t="n">
        <v>0.13</v>
      </c>
      <c r="N566" s="14" t="n">
        <v>1.9</v>
      </c>
      <c r="O566" s="14" t="n">
        <v>3.09</v>
      </c>
      <c r="P566" s="14" t="n">
        <v>-3.97</v>
      </c>
      <c r="Q566" s="14" t="n">
        <v>3.31</v>
      </c>
      <c r="R566" s="14" t="n">
        <v>3.26</v>
      </c>
      <c r="S566" s="14" t="n">
        <v>2.19</v>
      </c>
      <c r="T566" s="14" t="n">
        <v>3.33</v>
      </c>
      <c r="U566" s="14" t="n">
        <v>0.67</v>
      </c>
      <c r="V566" s="14" t="n">
        <v>0.33</v>
      </c>
      <c r="W566" s="14" t="n">
        <v>0.73</v>
      </c>
      <c r="X566" s="14" t="n">
        <v>4.07</v>
      </c>
      <c r="Z566" s="16" t="n">
        <v>6787984.56</v>
      </c>
      <c r="AA566" s="14" t="n">
        <v>4.65</v>
      </c>
      <c r="AB566" s="14" t="n">
        <v>0.15</v>
      </c>
      <c r="AC566" s="14" t="n">
        <v>-0.91</v>
      </c>
      <c r="AD566" s="16" t="n">
        <v>2396124373.5</v>
      </c>
    </row>
    <row r="567" customFormat="false" ht="15.75" hidden="false" customHeight="false" outlineLevel="0" collapsed="false">
      <c r="A567" s="14" t="s">
        <v>599</v>
      </c>
      <c r="B567" s="14" t="n">
        <v>15.8</v>
      </c>
      <c r="D567" s="14" t="n">
        <v>21.55</v>
      </c>
      <c r="E567" s="14" t="n">
        <v>4.1</v>
      </c>
      <c r="F567" s="14" t="n">
        <v>0.76</v>
      </c>
      <c r="G567" s="14" t="n">
        <v>32.84</v>
      </c>
      <c r="H567" s="14" t="n">
        <v>5.38</v>
      </c>
      <c r="I567" s="14" t="n">
        <v>3.89</v>
      </c>
      <c r="J567" s="14" t="n">
        <v>15.57</v>
      </c>
      <c r="K567" s="14" t="n">
        <v>20.31</v>
      </c>
      <c r="L567" s="14" t="n">
        <v>4.77</v>
      </c>
      <c r="M567" s="14" t="n">
        <v>1.26</v>
      </c>
      <c r="N567" s="14" t="n">
        <v>0.84</v>
      </c>
      <c r="O567" s="14" t="n">
        <v>124.94</v>
      </c>
      <c r="P567" s="14" t="n">
        <v>-1.81</v>
      </c>
      <c r="Q567" s="14" t="n">
        <v>1.01</v>
      </c>
      <c r="R567" s="14" t="n">
        <v>19</v>
      </c>
      <c r="S567" s="14" t="n">
        <v>3.51</v>
      </c>
      <c r="T567" s="14" t="n">
        <v>9.22</v>
      </c>
      <c r="U567" s="14" t="n">
        <v>0.18</v>
      </c>
      <c r="V567" s="14" t="n">
        <v>0.82</v>
      </c>
      <c r="W567" s="14" t="n">
        <v>0.9</v>
      </c>
      <c r="X567" s="14" t="n">
        <v>8.45</v>
      </c>
      <c r="Y567" s="14" t="n">
        <v>135.03</v>
      </c>
      <c r="Z567" s="16" t="n">
        <v>528468466</v>
      </c>
      <c r="AA567" s="14" t="n">
        <v>3.86</v>
      </c>
      <c r="AB567" s="14" t="n">
        <v>0.73</v>
      </c>
      <c r="AC567" s="14" t="n">
        <v>-0.12</v>
      </c>
      <c r="AD567" s="16" t="n">
        <v>25190274172.77</v>
      </c>
    </row>
    <row r="568" customFormat="false" ht="15.75" hidden="false" customHeight="false" outlineLevel="0" collapsed="false">
      <c r="A568" s="14" t="s">
        <v>600</v>
      </c>
      <c r="B568" s="14" t="n">
        <v>34.05</v>
      </c>
      <c r="C568" s="14" t="n">
        <v>0.91</v>
      </c>
      <c r="D568" s="14" t="n">
        <v>53.63</v>
      </c>
      <c r="E568" s="14" t="n">
        <v>11.93</v>
      </c>
      <c r="F568" s="14" t="n">
        <v>6.75</v>
      </c>
      <c r="G568" s="14" t="n">
        <v>31.65</v>
      </c>
      <c r="H568" s="14" t="n">
        <v>16.94</v>
      </c>
      <c r="I568" s="14" t="n">
        <v>14.15</v>
      </c>
      <c r="J568" s="14" t="n">
        <v>44.79</v>
      </c>
      <c r="K568" s="14" t="n">
        <v>43.98</v>
      </c>
      <c r="L568" s="14" t="n">
        <v>-0.67</v>
      </c>
      <c r="M568" s="14" t="n">
        <v>-0.18</v>
      </c>
      <c r="N568" s="14" t="n">
        <v>7.59</v>
      </c>
      <c r="O568" s="14" t="n">
        <v>20.8</v>
      </c>
      <c r="P568" s="14" t="n">
        <v>-18.32</v>
      </c>
      <c r="Q568" s="14" t="n">
        <v>2.06</v>
      </c>
      <c r="R568" s="14" t="n">
        <v>22.25</v>
      </c>
      <c r="S568" s="14" t="n">
        <v>12.59</v>
      </c>
      <c r="T568" s="14" t="n">
        <v>19.68</v>
      </c>
      <c r="U568" s="14" t="n">
        <v>0.57</v>
      </c>
      <c r="V568" s="14" t="n">
        <v>0.42</v>
      </c>
      <c r="W568" s="14" t="n">
        <v>0.89</v>
      </c>
      <c r="X568" s="14" t="n">
        <v>12.35</v>
      </c>
      <c r="Y568" s="14" t="n">
        <v>15.5</v>
      </c>
      <c r="Z568" s="16" t="n">
        <v>270525556.27</v>
      </c>
      <c r="AA568" s="14" t="n">
        <v>2.85</v>
      </c>
      <c r="AB568" s="14" t="n">
        <v>0.64</v>
      </c>
      <c r="AC568" s="14" t="n">
        <v>1.02</v>
      </c>
      <c r="AD568" s="16" t="n">
        <v>142456972852.12</v>
      </c>
    </row>
    <row r="569" customFormat="false" ht="15.75" hidden="false" customHeight="false" outlineLevel="0" collapsed="false">
      <c r="A569" s="14" t="s">
        <v>601</v>
      </c>
      <c r="B569" s="14" t="n">
        <v>8.98</v>
      </c>
      <c r="D569" s="14" t="n">
        <v>-407.07</v>
      </c>
      <c r="E569" s="14" t="n">
        <v>2.45</v>
      </c>
      <c r="F569" s="14" t="n">
        <v>1.86</v>
      </c>
      <c r="G569" s="14" t="n">
        <v>45.06</v>
      </c>
      <c r="H569" s="14" t="n">
        <v>-8.73</v>
      </c>
      <c r="I569" s="14" t="n">
        <v>-0.89</v>
      </c>
      <c r="J569" s="14" t="n">
        <v>-41.42</v>
      </c>
      <c r="K569" s="14" t="n">
        <v>-25.92</v>
      </c>
      <c r="L569" s="14" t="n">
        <v>15.26</v>
      </c>
      <c r="M569" s="14" t="n">
        <v>-0.9</v>
      </c>
      <c r="N569" s="14" t="n">
        <v>3.62</v>
      </c>
      <c r="O569" s="14" t="n">
        <v>2.8</v>
      </c>
      <c r="P569" s="14" t="n">
        <v>-12.05</v>
      </c>
      <c r="Q569" s="14" t="n">
        <v>4.62</v>
      </c>
      <c r="R569" s="14" t="n">
        <v>-0.6</v>
      </c>
      <c r="S569" s="14" t="n">
        <v>-0.46</v>
      </c>
      <c r="T569" s="14" t="n">
        <v>-11.61</v>
      </c>
      <c r="U569" s="14" t="n">
        <v>0.76</v>
      </c>
      <c r="V569" s="14" t="n">
        <v>0.24</v>
      </c>
      <c r="W569" s="14" t="n">
        <v>0.51</v>
      </c>
      <c r="Z569" s="16" t="n">
        <v>5165028.41</v>
      </c>
      <c r="AA569" s="14" t="n">
        <v>3.67</v>
      </c>
      <c r="AB569" s="14" t="n">
        <v>-0.02</v>
      </c>
      <c r="AC569" s="14" t="n">
        <v>220.97</v>
      </c>
      <c r="AD569" s="16" t="n">
        <v>980830631.01</v>
      </c>
    </row>
    <row r="570" customFormat="false" ht="15.75" hidden="false" customHeight="false" outlineLevel="0" collapsed="false">
      <c r="A570" s="14" t="s">
        <v>602</v>
      </c>
      <c r="B570" s="14" t="n">
        <v>6.9</v>
      </c>
      <c r="C570" s="14" t="n">
        <v>6.36</v>
      </c>
      <c r="D570" s="14" t="n">
        <v>12.87</v>
      </c>
      <c r="E570" s="14" t="n">
        <v>4.72</v>
      </c>
      <c r="F570" s="14" t="n">
        <v>1.34</v>
      </c>
      <c r="G570" s="14" t="n">
        <v>19.75</v>
      </c>
      <c r="H570" s="14" t="n">
        <v>10.9</v>
      </c>
      <c r="I570" s="14" t="n">
        <v>8.11</v>
      </c>
      <c r="J570" s="14" t="n">
        <v>9.58</v>
      </c>
      <c r="K570" s="14" t="n">
        <v>8.28</v>
      </c>
      <c r="L570" s="14" t="n">
        <v>-1.81</v>
      </c>
      <c r="M570" s="14" t="n">
        <v>-0.89</v>
      </c>
      <c r="N570" s="14" t="n">
        <v>1.04</v>
      </c>
      <c r="O570" s="14" t="n">
        <v>9.78</v>
      </c>
      <c r="P570" s="14" t="n">
        <v>-6.41</v>
      </c>
      <c r="Q570" s="14" t="n">
        <v>1.21</v>
      </c>
      <c r="R570" s="14" t="n">
        <v>36.65</v>
      </c>
      <c r="S570" s="14" t="n">
        <v>10.45</v>
      </c>
      <c r="T570" s="14" t="n">
        <v>30.04</v>
      </c>
      <c r="U570" s="14" t="n">
        <v>0.29</v>
      </c>
      <c r="V570" s="14" t="n">
        <v>0.71</v>
      </c>
      <c r="W570" s="14" t="n">
        <v>1.29</v>
      </c>
      <c r="X570" s="14" t="n">
        <v>-0.28</v>
      </c>
      <c r="Y570" s="14" t="n">
        <v>19.66</v>
      </c>
      <c r="Z570" s="16" t="n">
        <v>86802.29</v>
      </c>
      <c r="AA570" s="14" t="n">
        <v>1.46</v>
      </c>
      <c r="AB570" s="14" t="n">
        <v>0.54</v>
      </c>
      <c r="AC570" s="14" t="n">
        <v>-0.27</v>
      </c>
      <c r="AD570" s="16" t="n">
        <v>10923903024.78</v>
      </c>
    </row>
    <row r="571" customFormat="false" ht="15.75" hidden="false" customHeight="false" outlineLevel="0" collapsed="false">
      <c r="A571" s="14" t="s">
        <v>603</v>
      </c>
      <c r="B571" s="14" t="n">
        <v>8.08</v>
      </c>
      <c r="C571" s="14" t="n">
        <v>5.97</v>
      </c>
      <c r="D571" s="14" t="n">
        <v>15.07</v>
      </c>
      <c r="E571" s="14" t="n">
        <v>5.52</v>
      </c>
      <c r="F571" s="14" t="n">
        <v>1.57</v>
      </c>
      <c r="G571" s="14" t="n">
        <v>19.75</v>
      </c>
      <c r="H571" s="14" t="n">
        <v>10.9</v>
      </c>
      <c r="I571" s="14" t="n">
        <v>8.11</v>
      </c>
      <c r="J571" s="14" t="n">
        <v>11.21</v>
      </c>
      <c r="K571" s="14" t="n">
        <v>8.28</v>
      </c>
      <c r="L571" s="14" t="n">
        <v>-1.81</v>
      </c>
      <c r="M571" s="14" t="n">
        <v>-0.89</v>
      </c>
      <c r="N571" s="14" t="n">
        <v>1.22</v>
      </c>
      <c r="O571" s="14" t="n">
        <v>11.46</v>
      </c>
      <c r="P571" s="14" t="n">
        <v>-7.51</v>
      </c>
      <c r="Q571" s="14" t="n">
        <v>1.21</v>
      </c>
      <c r="R571" s="14" t="n">
        <v>36.65</v>
      </c>
      <c r="S571" s="14" t="n">
        <v>10.45</v>
      </c>
      <c r="T571" s="14" t="n">
        <v>30.04</v>
      </c>
      <c r="U571" s="14" t="n">
        <v>0.29</v>
      </c>
      <c r="V571" s="14" t="n">
        <v>0.71</v>
      </c>
      <c r="W571" s="14" t="n">
        <v>1.29</v>
      </c>
      <c r="X571" s="14" t="n">
        <v>-0.28</v>
      </c>
      <c r="Y571" s="14" t="n">
        <v>19.66</v>
      </c>
      <c r="Z571" s="16" t="n">
        <v>191399.61</v>
      </c>
      <c r="AA571" s="14" t="n">
        <v>1.46</v>
      </c>
      <c r="AB571" s="14" t="n">
        <v>0.54</v>
      </c>
      <c r="AC571" s="14" t="n">
        <v>-0.32</v>
      </c>
      <c r="AD571" s="16" t="n">
        <v>10923903024.78</v>
      </c>
    </row>
    <row r="572" customFormat="false" ht="15.75" hidden="false" customHeight="false" outlineLevel="0" collapsed="false">
      <c r="A572" s="14" t="s">
        <v>604</v>
      </c>
      <c r="B572" s="14" t="n">
        <v>17.6</v>
      </c>
      <c r="C572" s="14" t="n">
        <v>3.46</v>
      </c>
      <c r="D572" s="14" t="n">
        <v>13.6</v>
      </c>
      <c r="E572" s="14" t="n">
        <v>8.13</v>
      </c>
      <c r="F572" s="14" t="n">
        <v>2.94</v>
      </c>
      <c r="G572" s="14" t="n">
        <v>74.26</v>
      </c>
      <c r="H572" s="14" t="n">
        <v>40.75</v>
      </c>
      <c r="I572" s="14" t="n">
        <v>24.12</v>
      </c>
      <c r="J572" s="14" t="n">
        <v>8.05</v>
      </c>
      <c r="K572" s="14" t="n">
        <v>7.08</v>
      </c>
      <c r="L572" s="14" t="n">
        <v>-0.75</v>
      </c>
      <c r="M572" s="14" t="n">
        <v>-0.76</v>
      </c>
      <c r="N572" s="14" t="n">
        <v>3.28</v>
      </c>
      <c r="O572" s="14" t="n">
        <v>66.79</v>
      </c>
      <c r="P572" s="14" t="n">
        <v>-4.84</v>
      </c>
      <c r="Q572" s="14" t="n">
        <v>1.13</v>
      </c>
      <c r="R572" s="14" t="n">
        <v>59.77</v>
      </c>
      <c r="S572" s="14" t="n">
        <v>21.62</v>
      </c>
      <c r="T572" s="14" t="n">
        <v>64.53</v>
      </c>
      <c r="U572" s="14" t="n">
        <v>0.36</v>
      </c>
      <c r="V572" s="14" t="n">
        <v>0.62</v>
      </c>
      <c r="W572" s="14" t="n">
        <v>0.9</v>
      </c>
      <c r="X572" s="14" t="n">
        <v>17.16</v>
      </c>
      <c r="Y572" s="14" t="n">
        <v>14.87</v>
      </c>
      <c r="Z572" s="16" t="n">
        <v>55766347.63</v>
      </c>
      <c r="AA572" s="14" t="n">
        <v>2.16</v>
      </c>
      <c r="AB572" s="14" t="n">
        <v>1.29</v>
      </c>
      <c r="AC572" s="14" t="n">
        <v>-8.2</v>
      </c>
      <c r="AD572" s="16" t="n">
        <v>2739211740.66</v>
      </c>
    </row>
    <row r="573" customFormat="false" ht="15.75" hidden="false" customHeight="false" outlineLevel="0" collapsed="false">
      <c r="A573" s="14" t="s">
        <v>605</v>
      </c>
      <c r="B573" s="14" t="n">
        <v>35.9</v>
      </c>
      <c r="C573" s="14" t="n">
        <v>1.17</v>
      </c>
      <c r="D573" s="14" t="n">
        <v>18.77</v>
      </c>
      <c r="E573" s="14" t="n">
        <v>2.7</v>
      </c>
      <c r="F573" s="14" t="n">
        <v>2.08</v>
      </c>
      <c r="G573" s="14" t="n">
        <v>14.43</v>
      </c>
      <c r="H573" s="14" t="n">
        <v>8.02</v>
      </c>
      <c r="I573" s="14" t="n">
        <v>5.66</v>
      </c>
      <c r="J573" s="14" t="n">
        <v>13.24</v>
      </c>
      <c r="K573" s="14" t="n">
        <v>12.95</v>
      </c>
      <c r="L573" s="14" t="n">
        <v>-1.11</v>
      </c>
      <c r="M573" s="14" t="n">
        <v>-0.23</v>
      </c>
      <c r="N573" s="14" t="n">
        <v>1.06</v>
      </c>
      <c r="O573" s="14" t="n">
        <v>6.19</v>
      </c>
      <c r="P573" s="14" t="n">
        <v>-3.99</v>
      </c>
      <c r="Q573" s="14" t="n">
        <v>3.34</v>
      </c>
      <c r="R573" s="14" t="n">
        <v>14.4</v>
      </c>
      <c r="S573" s="14" t="n">
        <v>11.07</v>
      </c>
      <c r="T573" s="14" t="n">
        <v>13.76</v>
      </c>
      <c r="U573" s="14" t="n">
        <v>0.77</v>
      </c>
      <c r="V573" s="14" t="n">
        <v>0.23</v>
      </c>
      <c r="W573" s="14" t="n">
        <v>1.96</v>
      </c>
      <c r="X573" s="14" t="n">
        <v>14.81</v>
      </c>
      <c r="Y573" s="14" t="n">
        <v>69.04</v>
      </c>
      <c r="Z573" s="16" t="n">
        <v>26326.26</v>
      </c>
      <c r="AA573" s="14" t="n">
        <v>13.28</v>
      </c>
      <c r="AB573" s="14" t="n">
        <v>1.91</v>
      </c>
      <c r="AC573" s="14" t="n">
        <v>0.58</v>
      </c>
      <c r="AD573" s="16" t="n">
        <v>1388247929</v>
      </c>
    </row>
    <row r="574" customFormat="false" ht="15.75" hidden="false" customHeight="false" outlineLevel="0" collapsed="false">
      <c r="A574" s="14" t="s">
        <v>606</v>
      </c>
      <c r="B574" s="14" t="n">
        <v>39.98</v>
      </c>
      <c r="C574" s="14" t="n">
        <v>1.15</v>
      </c>
      <c r="D574" s="14" t="n">
        <v>20.9</v>
      </c>
      <c r="E574" s="14" t="n">
        <v>3.01</v>
      </c>
      <c r="F574" s="14" t="n">
        <v>2.31</v>
      </c>
      <c r="G574" s="14" t="n">
        <v>14.43</v>
      </c>
      <c r="H574" s="14" t="n">
        <v>8.02</v>
      </c>
      <c r="I574" s="14" t="n">
        <v>5.66</v>
      </c>
      <c r="J574" s="14" t="n">
        <v>14.75</v>
      </c>
      <c r="K574" s="14" t="n">
        <v>12.95</v>
      </c>
      <c r="L574" s="14" t="n">
        <v>-1.11</v>
      </c>
      <c r="M574" s="14" t="n">
        <v>-0.23</v>
      </c>
      <c r="N574" s="14" t="n">
        <v>1.18</v>
      </c>
      <c r="O574" s="14" t="n">
        <v>6.89</v>
      </c>
      <c r="P574" s="14" t="n">
        <v>-4.44</v>
      </c>
      <c r="Q574" s="14" t="n">
        <v>3.34</v>
      </c>
      <c r="R574" s="14" t="n">
        <v>14.4</v>
      </c>
      <c r="S574" s="14" t="n">
        <v>11.07</v>
      </c>
      <c r="T574" s="14" t="n">
        <v>13.76</v>
      </c>
      <c r="U574" s="14" t="n">
        <v>0.77</v>
      </c>
      <c r="V574" s="14" t="n">
        <v>0.23</v>
      </c>
      <c r="W574" s="14" t="n">
        <v>1.96</v>
      </c>
      <c r="X574" s="14" t="n">
        <v>14.81</v>
      </c>
      <c r="Y574" s="14" t="n">
        <v>69.04</v>
      </c>
      <c r="Z574" s="16" t="n">
        <v>63292.1</v>
      </c>
      <c r="AA574" s="14" t="n">
        <v>13.28</v>
      </c>
      <c r="AB574" s="14" t="n">
        <v>1.91</v>
      </c>
      <c r="AC574" s="14" t="n">
        <v>0.65</v>
      </c>
      <c r="AD574" s="16" t="n">
        <v>1388247929</v>
      </c>
    </row>
    <row r="575" customFormat="false" ht="15.75" hidden="false" customHeight="false" outlineLevel="0" collapsed="false">
      <c r="A575" s="14" t="s">
        <v>607</v>
      </c>
      <c r="B575" s="14" t="n">
        <v>65</v>
      </c>
      <c r="C575" s="14" t="n">
        <v>7.32</v>
      </c>
      <c r="D575" s="14" t="n">
        <v>27.5</v>
      </c>
      <c r="E575" s="14" t="n">
        <v>1.95</v>
      </c>
      <c r="F575" s="14" t="n">
        <v>0.84</v>
      </c>
      <c r="G575" s="14" t="n">
        <v>52.66</v>
      </c>
      <c r="H575" s="14" t="n">
        <v>24.63</v>
      </c>
      <c r="I575" s="14" t="n">
        <v>8.99</v>
      </c>
      <c r="J575" s="14" t="n">
        <v>10.03</v>
      </c>
      <c r="K575" s="14" t="n">
        <v>14.62</v>
      </c>
      <c r="L575" s="14" t="n">
        <v>4.58</v>
      </c>
      <c r="M575" s="14" t="n">
        <v>0.89</v>
      </c>
      <c r="N575" s="14" t="n">
        <v>2.47</v>
      </c>
      <c r="O575" s="14" t="n">
        <v>11.8</v>
      </c>
      <c r="P575" s="14" t="n">
        <v>-1.02</v>
      </c>
      <c r="Q575" s="14" t="n">
        <v>1.67</v>
      </c>
      <c r="R575" s="14" t="n">
        <v>7.09</v>
      </c>
      <c r="S575" s="14" t="n">
        <v>3.05</v>
      </c>
      <c r="T575" s="14" t="n">
        <v>6.48</v>
      </c>
      <c r="U575" s="14" t="n">
        <v>0.43</v>
      </c>
      <c r="V575" s="14" t="n">
        <v>0.57</v>
      </c>
      <c r="W575" s="14" t="n">
        <v>0.34</v>
      </c>
      <c r="X575" s="14" t="n">
        <v>1.54</v>
      </c>
      <c r="Y575" s="14" t="n">
        <v>1.6</v>
      </c>
      <c r="Z575" s="16" t="n">
        <v>2885509.27</v>
      </c>
      <c r="AA575" s="14" t="n">
        <v>33.35</v>
      </c>
      <c r="AB575" s="14" t="n">
        <v>2.36</v>
      </c>
      <c r="AC575" s="14" t="n">
        <v>0.14</v>
      </c>
      <c r="AD575" s="16" t="n">
        <v>4735897400</v>
      </c>
    </row>
    <row r="576" customFormat="false" ht="15.75" hidden="false" customHeight="false" outlineLevel="0" collapsed="false">
      <c r="A576" s="14" t="s">
        <v>608</v>
      </c>
      <c r="B576" s="14" t="n">
        <v>33.12</v>
      </c>
      <c r="C576" s="14" t="n">
        <v>1.42</v>
      </c>
      <c r="D576" s="14" t="n">
        <v>-386.92</v>
      </c>
      <c r="E576" s="14" t="n">
        <v>3.15</v>
      </c>
      <c r="F576" s="14" t="n">
        <v>1.06</v>
      </c>
      <c r="G576" s="14" t="n">
        <v>53.83</v>
      </c>
      <c r="H576" s="14" t="n">
        <v>6.74</v>
      </c>
      <c r="I576" s="14" t="n">
        <v>-0.66</v>
      </c>
      <c r="J576" s="14" t="n">
        <v>37.88</v>
      </c>
      <c r="K576" s="14" t="n">
        <v>49.46</v>
      </c>
      <c r="L576" s="14" t="n">
        <v>11.67</v>
      </c>
      <c r="M576" s="14" t="n">
        <v>0.97</v>
      </c>
      <c r="N576" s="14" t="n">
        <v>2.55</v>
      </c>
      <c r="O576" s="14" t="n">
        <v>5.53</v>
      </c>
      <c r="P576" s="14" t="n">
        <v>-1.56</v>
      </c>
      <c r="Q576" s="14" t="n">
        <v>2.52</v>
      </c>
      <c r="R576" s="14" t="n">
        <v>-0.81</v>
      </c>
      <c r="S576" s="14" t="n">
        <v>-0.27</v>
      </c>
      <c r="T576" s="14" t="n">
        <v>2.14</v>
      </c>
      <c r="U576" s="14" t="n">
        <v>0.34</v>
      </c>
      <c r="V576" s="14" t="n">
        <v>0.66</v>
      </c>
      <c r="W576" s="14" t="n">
        <v>0.42</v>
      </c>
      <c r="X576" s="14" t="n">
        <v>5.62</v>
      </c>
      <c r="Y576" s="14" t="n">
        <v>-25.93</v>
      </c>
      <c r="Z576" s="16" t="n">
        <v>80896301.49</v>
      </c>
      <c r="AA576" s="14" t="n">
        <v>10.54</v>
      </c>
      <c r="AB576" s="14" t="n">
        <v>-0.09</v>
      </c>
      <c r="AC576" s="14" t="n">
        <v>3.7</v>
      </c>
      <c r="AD576" s="16" t="n">
        <v>10224659191.08</v>
      </c>
    </row>
  </sheetData>
  <hyperlinks>
    <hyperlink ref="A1" r:id="rId1" display="link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20.88"/>
    <col collapsed="false" customWidth="true" hidden="false" outlineLevel="0" max="3" min="3" style="0" width="16.38"/>
  </cols>
  <sheetData>
    <row r="1" customFormat="false" ht="15.75" hidden="false" customHeight="false" outlineLevel="0" collapsed="false">
      <c r="A1" s="17" t="s">
        <v>626</v>
      </c>
      <c r="B1" s="15"/>
      <c r="C1" s="15"/>
      <c r="D1" s="15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customFormat="false" ht="15.75" hidden="false" customHeight="false" outlineLevel="0" collapsed="false">
      <c r="A2" s="15" t="s">
        <v>627</v>
      </c>
      <c r="B2" s="15" t="s">
        <v>628</v>
      </c>
      <c r="C2" s="15" t="s">
        <v>629</v>
      </c>
      <c r="D2" s="15" t="s">
        <v>630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customFormat="false" ht="15.75" hidden="false" customHeight="false" outlineLevel="0" collapsed="false">
      <c r="A3" s="15" t="s">
        <v>631</v>
      </c>
      <c r="B3" s="15" t="s">
        <v>437</v>
      </c>
      <c r="C3" s="15" t="s">
        <v>437</v>
      </c>
      <c r="D3" s="15" t="s">
        <v>632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customFormat="false" ht="15.75" hidden="false" customHeight="false" outlineLevel="0" collapsed="false">
      <c r="A4" s="15" t="s">
        <v>633</v>
      </c>
      <c r="B4" s="15" t="s">
        <v>437</v>
      </c>
      <c r="C4" s="15" t="s">
        <v>437</v>
      </c>
      <c r="D4" s="15" t="s">
        <v>632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customFormat="false" ht="15.75" hidden="false" customHeight="false" outlineLevel="0" collapsed="false">
      <c r="A5" s="15" t="s">
        <v>634</v>
      </c>
      <c r="B5" s="15" t="s">
        <v>437</v>
      </c>
      <c r="C5" s="15" t="s">
        <v>437</v>
      </c>
      <c r="D5" s="15" t="s">
        <v>632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customFormat="false" ht="15.75" hidden="false" customHeight="false" outlineLevel="0" collapsed="false">
      <c r="A6" s="15" t="s">
        <v>635</v>
      </c>
      <c r="B6" s="15" t="s">
        <v>437</v>
      </c>
      <c r="C6" s="15" t="s">
        <v>437</v>
      </c>
      <c r="D6" s="15" t="s">
        <v>632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customFormat="false" ht="15.75" hidden="false" customHeight="false" outlineLevel="0" collapsed="false">
      <c r="A7" s="15" t="s">
        <v>636</v>
      </c>
      <c r="B7" s="15" t="s">
        <v>437</v>
      </c>
      <c r="C7" s="15" t="s">
        <v>437</v>
      </c>
      <c r="D7" s="15" t="s">
        <v>632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customFormat="false" ht="15.75" hidden="false" customHeight="false" outlineLevel="0" collapsed="false">
      <c r="A8" s="15" t="s">
        <v>637</v>
      </c>
      <c r="B8" s="15" t="s">
        <v>437</v>
      </c>
      <c r="C8" s="15" t="s">
        <v>437</v>
      </c>
      <c r="D8" s="15" t="s">
        <v>632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customFormat="false" ht="15.75" hidden="false" customHeight="false" outlineLevel="0" collapsed="false">
      <c r="A9" s="15" t="s">
        <v>638</v>
      </c>
      <c r="B9" s="15" t="s">
        <v>437</v>
      </c>
      <c r="C9" s="15" t="s">
        <v>437</v>
      </c>
      <c r="D9" s="15" t="s">
        <v>632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customFormat="false" ht="15.75" hidden="false" customHeight="false" outlineLevel="0" collapsed="false">
      <c r="A10" s="15" t="s">
        <v>639</v>
      </c>
      <c r="B10" s="15" t="s">
        <v>437</v>
      </c>
      <c r="C10" s="15" t="s">
        <v>437</v>
      </c>
      <c r="D10" s="15" t="s">
        <v>632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customFormat="false" ht="15.75" hidden="false" customHeight="false" outlineLevel="0" collapsed="false">
      <c r="A11" s="15" t="s">
        <v>640</v>
      </c>
      <c r="B11" s="15" t="s">
        <v>437</v>
      </c>
      <c r="C11" s="15" t="s">
        <v>437</v>
      </c>
      <c r="D11" s="15" t="s">
        <v>641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customFormat="false" ht="15.75" hidden="false" customHeight="false" outlineLevel="0" collapsed="false">
      <c r="A12" s="15" t="s">
        <v>642</v>
      </c>
      <c r="B12" s="15" t="s">
        <v>437</v>
      </c>
      <c r="C12" s="15" t="s">
        <v>437</v>
      </c>
      <c r="D12" s="15" t="s">
        <v>641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customFormat="false" ht="15.75" hidden="false" customHeight="false" outlineLevel="0" collapsed="false">
      <c r="A13" s="15" t="s">
        <v>643</v>
      </c>
      <c r="B13" s="15" t="s">
        <v>58</v>
      </c>
      <c r="C13" s="15" t="s">
        <v>644</v>
      </c>
      <c r="D13" s="15" t="s">
        <v>645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customFormat="false" ht="15.75" hidden="false" customHeight="false" outlineLevel="0" collapsed="false">
      <c r="A14" s="15" t="s">
        <v>646</v>
      </c>
      <c r="B14" s="15" t="s">
        <v>58</v>
      </c>
      <c r="C14" s="15" t="s">
        <v>644</v>
      </c>
      <c r="D14" s="15" t="s">
        <v>645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customFormat="false" ht="15.75" hidden="false" customHeight="false" outlineLevel="0" collapsed="false">
      <c r="A15" s="15" t="s">
        <v>647</v>
      </c>
      <c r="B15" s="15" t="s">
        <v>58</v>
      </c>
      <c r="C15" s="15" t="s">
        <v>644</v>
      </c>
      <c r="D15" s="15" t="s">
        <v>645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customFormat="false" ht="15.75" hidden="false" customHeight="false" outlineLevel="0" collapsed="false">
      <c r="A16" s="15" t="s">
        <v>648</v>
      </c>
      <c r="B16" s="15" t="s">
        <v>58</v>
      </c>
      <c r="C16" s="15" t="s">
        <v>644</v>
      </c>
      <c r="D16" s="15" t="s">
        <v>645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customFormat="false" ht="15.75" hidden="false" customHeight="false" outlineLevel="0" collapsed="false">
      <c r="A17" s="15" t="s">
        <v>649</v>
      </c>
      <c r="B17" s="15" t="s">
        <v>58</v>
      </c>
      <c r="C17" s="15" t="s">
        <v>644</v>
      </c>
      <c r="D17" s="15" t="s">
        <v>645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customFormat="false" ht="15.75" hidden="false" customHeight="false" outlineLevel="0" collapsed="false">
      <c r="A18" s="15" t="s">
        <v>650</v>
      </c>
      <c r="B18" s="15" t="s">
        <v>58</v>
      </c>
      <c r="C18" s="15" t="s">
        <v>651</v>
      </c>
      <c r="D18" s="15" t="s">
        <v>652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customFormat="false" ht="15.75" hidden="false" customHeight="false" outlineLevel="0" collapsed="false">
      <c r="A19" s="15" t="s">
        <v>653</v>
      </c>
      <c r="B19" s="15" t="s">
        <v>58</v>
      </c>
      <c r="C19" s="15" t="s">
        <v>651</v>
      </c>
      <c r="D19" s="15" t="s">
        <v>652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customFormat="false" ht="15.75" hidden="false" customHeight="false" outlineLevel="0" collapsed="false">
      <c r="A20" s="15" t="s">
        <v>654</v>
      </c>
      <c r="B20" s="15" t="s">
        <v>58</v>
      </c>
      <c r="C20" s="15" t="s">
        <v>651</v>
      </c>
      <c r="D20" s="15" t="s">
        <v>652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customFormat="false" ht="15.75" hidden="false" customHeight="false" outlineLevel="0" collapsed="false">
      <c r="A21" s="15" t="s">
        <v>655</v>
      </c>
      <c r="B21" s="15" t="s">
        <v>58</v>
      </c>
      <c r="C21" s="15" t="s">
        <v>651</v>
      </c>
      <c r="D21" s="15" t="s">
        <v>652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customFormat="false" ht="15.75" hidden="false" customHeight="false" outlineLevel="0" collapsed="false">
      <c r="A22" s="15" t="s">
        <v>656</v>
      </c>
      <c r="B22" s="15" t="s">
        <v>58</v>
      </c>
      <c r="C22" s="15" t="s">
        <v>651</v>
      </c>
      <c r="D22" s="15" t="s">
        <v>652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customFormat="false" ht="15.75" hidden="false" customHeight="false" outlineLevel="0" collapsed="false">
      <c r="A23" s="15" t="s">
        <v>657</v>
      </c>
      <c r="B23" s="15" t="s">
        <v>58</v>
      </c>
      <c r="C23" s="15" t="s">
        <v>651</v>
      </c>
      <c r="D23" s="15" t="s">
        <v>658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customFormat="false" ht="15.75" hidden="false" customHeight="false" outlineLevel="0" collapsed="false">
      <c r="A24" s="15" t="s">
        <v>659</v>
      </c>
      <c r="B24" s="15" t="s">
        <v>58</v>
      </c>
      <c r="C24" s="15" t="s">
        <v>651</v>
      </c>
      <c r="D24" s="15" t="s">
        <v>658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customFormat="false" ht="15.75" hidden="false" customHeight="false" outlineLevel="0" collapsed="false">
      <c r="A25" s="15" t="s">
        <v>660</v>
      </c>
      <c r="B25" s="15" t="s">
        <v>58</v>
      </c>
      <c r="C25" s="15" t="s">
        <v>651</v>
      </c>
      <c r="D25" s="15" t="s">
        <v>658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customFormat="false" ht="15.75" hidden="false" customHeight="false" outlineLevel="0" collapsed="false">
      <c r="A26" s="15" t="s">
        <v>661</v>
      </c>
      <c r="B26" s="15" t="s">
        <v>58</v>
      </c>
      <c r="C26" s="15" t="s">
        <v>651</v>
      </c>
      <c r="D26" s="15" t="s">
        <v>662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customFormat="false" ht="15.75" hidden="false" customHeight="false" outlineLevel="0" collapsed="false">
      <c r="A27" s="15" t="s">
        <v>663</v>
      </c>
      <c r="B27" s="15" t="s">
        <v>58</v>
      </c>
      <c r="C27" s="15" t="s">
        <v>664</v>
      </c>
      <c r="D27" s="15" t="s">
        <v>665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customFormat="false" ht="15.75" hidden="false" customHeight="false" outlineLevel="0" collapsed="false">
      <c r="A28" s="15" t="s">
        <v>666</v>
      </c>
      <c r="B28" s="15" t="s">
        <v>58</v>
      </c>
      <c r="C28" s="15" t="s">
        <v>664</v>
      </c>
      <c r="D28" s="15" t="s">
        <v>665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customFormat="false" ht="15.75" hidden="false" customHeight="false" outlineLevel="0" collapsed="false">
      <c r="A29" s="15" t="s">
        <v>667</v>
      </c>
      <c r="B29" s="15" t="s">
        <v>58</v>
      </c>
      <c r="C29" s="15" t="s">
        <v>664</v>
      </c>
      <c r="D29" s="15" t="s">
        <v>665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customFormat="false" ht="15.75" hidden="false" customHeight="false" outlineLevel="0" collapsed="false">
      <c r="A30" s="15" t="s">
        <v>668</v>
      </c>
      <c r="B30" s="15" t="s">
        <v>58</v>
      </c>
      <c r="C30" s="15" t="s">
        <v>664</v>
      </c>
      <c r="D30" s="15" t="s">
        <v>669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customFormat="false" ht="15.75" hidden="false" customHeight="false" outlineLevel="0" collapsed="false">
      <c r="A31" s="15" t="s">
        <v>670</v>
      </c>
      <c r="B31" s="15" t="s">
        <v>58</v>
      </c>
      <c r="C31" s="15" t="s">
        <v>664</v>
      </c>
      <c r="D31" s="15" t="s">
        <v>669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customFormat="false" ht="15.75" hidden="false" customHeight="false" outlineLevel="0" collapsed="false">
      <c r="A32" s="15" t="s">
        <v>671</v>
      </c>
      <c r="B32" s="15" t="s">
        <v>58</v>
      </c>
      <c r="C32" s="15" t="s">
        <v>664</v>
      </c>
      <c r="D32" s="15" t="s">
        <v>672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customFormat="false" ht="15.75" hidden="false" customHeight="false" outlineLevel="0" collapsed="false">
      <c r="A33" s="15" t="s">
        <v>673</v>
      </c>
      <c r="B33" s="15" t="s">
        <v>58</v>
      </c>
      <c r="C33" s="15" t="s">
        <v>664</v>
      </c>
      <c r="D33" s="15" t="s">
        <v>672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customFormat="false" ht="15.75" hidden="false" customHeight="false" outlineLevel="0" collapsed="false">
      <c r="A34" s="15" t="s">
        <v>674</v>
      </c>
      <c r="B34" s="15" t="s">
        <v>58</v>
      </c>
      <c r="C34" s="15" t="s">
        <v>675</v>
      </c>
      <c r="D34" s="15" t="s">
        <v>676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customFormat="false" ht="15.75" hidden="false" customHeight="false" outlineLevel="0" collapsed="false">
      <c r="A35" s="15" t="s">
        <v>677</v>
      </c>
      <c r="B35" s="15" t="s">
        <v>58</v>
      </c>
      <c r="C35" s="15" t="s">
        <v>675</v>
      </c>
      <c r="D35" s="15" t="s">
        <v>676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customFormat="false" ht="15.75" hidden="false" customHeight="false" outlineLevel="0" collapsed="false">
      <c r="A36" s="15" t="s">
        <v>678</v>
      </c>
      <c r="B36" s="15" t="s">
        <v>58</v>
      </c>
      <c r="C36" s="15" t="s">
        <v>675</v>
      </c>
      <c r="D36" s="15" t="s">
        <v>679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customFormat="false" ht="15.75" hidden="false" customHeight="false" outlineLevel="0" collapsed="false">
      <c r="A37" s="15" t="s">
        <v>680</v>
      </c>
      <c r="B37" s="15" t="s">
        <v>58</v>
      </c>
      <c r="C37" s="15" t="s">
        <v>675</v>
      </c>
      <c r="D37" s="15" t="s">
        <v>679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customFormat="false" ht="15.75" hidden="false" customHeight="false" outlineLevel="0" collapsed="false">
      <c r="A38" s="15" t="s">
        <v>681</v>
      </c>
      <c r="B38" s="15" t="s">
        <v>58</v>
      </c>
      <c r="C38" s="15" t="s">
        <v>675</v>
      </c>
      <c r="D38" s="15" t="s">
        <v>679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customFormat="false" ht="15.75" hidden="false" customHeight="false" outlineLevel="0" collapsed="false">
      <c r="A39" s="15" t="s">
        <v>682</v>
      </c>
      <c r="B39" s="15" t="s">
        <v>58</v>
      </c>
      <c r="C39" s="15" t="s">
        <v>675</v>
      </c>
      <c r="D39" s="15" t="s">
        <v>679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customFormat="false" ht="15.75" hidden="false" customHeight="false" outlineLevel="0" collapsed="false">
      <c r="A40" s="15" t="s">
        <v>683</v>
      </c>
      <c r="B40" s="15" t="s">
        <v>58</v>
      </c>
      <c r="C40" s="15" t="s">
        <v>675</v>
      </c>
      <c r="D40" s="15" t="s">
        <v>679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customFormat="false" ht="15.75" hidden="false" customHeight="false" outlineLevel="0" collapsed="false">
      <c r="A41" s="15" t="s">
        <v>684</v>
      </c>
      <c r="B41" s="15" t="s">
        <v>58</v>
      </c>
      <c r="C41" s="15" t="s">
        <v>675</v>
      </c>
      <c r="D41" s="15" t="s">
        <v>679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customFormat="false" ht="15.75" hidden="false" customHeight="false" outlineLevel="0" collapsed="false">
      <c r="A42" s="15" t="s">
        <v>685</v>
      </c>
      <c r="B42" s="15" t="s">
        <v>58</v>
      </c>
      <c r="C42" s="15" t="s">
        <v>686</v>
      </c>
      <c r="D42" s="15" t="s">
        <v>686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customFormat="false" ht="15.75" hidden="false" customHeight="false" outlineLevel="0" collapsed="false">
      <c r="A43" s="15" t="s">
        <v>687</v>
      </c>
      <c r="B43" s="15" t="s">
        <v>58</v>
      </c>
      <c r="C43" s="15" t="s">
        <v>688</v>
      </c>
      <c r="D43" s="15" t="s">
        <v>688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customFormat="false" ht="15.75" hidden="false" customHeight="false" outlineLevel="0" collapsed="false">
      <c r="A44" s="15" t="s">
        <v>689</v>
      </c>
      <c r="B44" s="15" t="s">
        <v>29</v>
      </c>
      <c r="C44" s="15" t="s">
        <v>690</v>
      </c>
      <c r="D44" s="15" t="s">
        <v>691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customFormat="false" ht="15.75" hidden="false" customHeight="false" outlineLevel="0" collapsed="false">
      <c r="A45" s="15" t="s">
        <v>692</v>
      </c>
      <c r="B45" s="15" t="s">
        <v>29</v>
      </c>
      <c r="C45" s="15" t="s">
        <v>690</v>
      </c>
      <c r="D45" s="15" t="s">
        <v>691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customFormat="false" ht="15.75" hidden="false" customHeight="false" outlineLevel="0" collapsed="false">
      <c r="A46" s="15" t="s">
        <v>693</v>
      </c>
      <c r="B46" s="15" t="s">
        <v>29</v>
      </c>
      <c r="C46" s="15" t="s">
        <v>690</v>
      </c>
      <c r="D46" s="15" t="s">
        <v>691</v>
      </c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customFormat="false" ht="15.75" hidden="false" customHeight="false" outlineLevel="0" collapsed="false">
      <c r="A47" s="15" t="s">
        <v>694</v>
      </c>
      <c r="B47" s="15" t="s">
        <v>29</v>
      </c>
      <c r="C47" s="15" t="s">
        <v>690</v>
      </c>
      <c r="D47" s="15" t="s">
        <v>695</v>
      </c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customFormat="false" ht="15.75" hidden="false" customHeight="false" outlineLevel="0" collapsed="false">
      <c r="A48" s="15" t="s">
        <v>696</v>
      </c>
      <c r="B48" s="15" t="s">
        <v>29</v>
      </c>
      <c r="C48" s="15" t="s">
        <v>690</v>
      </c>
      <c r="D48" s="15" t="s">
        <v>697</v>
      </c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customFormat="false" ht="15.75" hidden="false" customHeight="false" outlineLevel="0" collapsed="false">
      <c r="A49" s="15" t="s">
        <v>698</v>
      </c>
      <c r="B49" s="15" t="s">
        <v>29</v>
      </c>
      <c r="C49" s="15" t="s">
        <v>690</v>
      </c>
      <c r="D49" s="15" t="s">
        <v>697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customFormat="false" ht="15.75" hidden="false" customHeight="false" outlineLevel="0" collapsed="false">
      <c r="A50" s="15" t="s">
        <v>699</v>
      </c>
      <c r="B50" s="15" t="s">
        <v>29</v>
      </c>
      <c r="C50" s="15" t="s">
        <v>690</v>
      </c>
      <c r="D50" s="15" t="s">
        <v>700</v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customFormat="false" ht="15.75" hidden="false" customHeight="false" outlineLevel="0" collapsed="false">
      <c r="A51" s="15" t="s">
        <v>701</v>
      </c>
      <c r="B51" s="15" t="s">
        <v>29</v>
      </c>
      <c r="C51" s="15" t="s">
        <v>702</v>
      </c>
      <c r="D51" s="15" t="s">
        <v>703</v>
      </c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customFormat="false" ht="15.75" hidden="false" customHeight="false" outlineLevel="0" collapsed="false">
      <c r="A52" s="15" t="s">
        <v>704</v>
      </c>
      <c r="B52" s="15" t="s">
        <v>29</v>
      </c>
      <c r="C52" s="15" t="s">
        <v>702</v>
      </c>
      <c r="D52" s="15" t="s">
        <v>705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customFormat="false" ht="15.75" hidden="false" customHeight="false" outlineLevel="0" collapsed="false">
      <c r="A53" s="15" t="s">
        <v>706</v>
      </c>
      <c r="B53" s="15" t="s">
        <v>29</v>
      </c>
      <c r="C53" s="15" t="s">
        <v>702</v>
      </c>
      <c r="D53" s="15" t="s">
        <v>705</v>
      </c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customFormat="false" ht="15.75" hidden="false" customHeight="false" outlineLevel="0" collapsed="false">
      <c r="A54" s="15" t="s">
        <v>707</v>
      </c>
      <c r="B54" s="15" t="s">
        <v>29</v>
      </c>
      <c r="C54" s="15" t="s">
        <v>702</v>
      </c>
      <c r="D54" s="15" t="s">
        <v>705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customFormat="false" ht="15.75" hidden="false" customHeight="false" outlineLevel="0" collapsed="false">
      <c r="A55" s="15" t="s">
        <v>708</v>
      </c>
      <c r="B55" s="15" t="s">
        <v>29</v>
      </c>
      <c r="C55" s="15" t="s">
        <v>702</v>
      </c>
      <c r="D55" s="15" t="s">
        <v>705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customFormat="false" ht="15.75" hidden="false" customHeight="false" outlineLevel="0" collapsed="false">
      <c r="A56" s="15" t="s">
        <v>709</v>
      </c>
      <c r="B56" s="15" t="s">
        <v>29</v>
      </c>
      <c r="C56" s="15" t="s">
        <v>702</v>
      </c>
      <c r="D56" s="15" t="s">
        <v>705</v>
      </c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customFormat="false" ht="15.75" hidden="false" customHeight="false" outlineLevel="0" collapsed="false">
      <c r="A57" s="15" t="s">
        <v>710</v>
      </c>
      <c r="B57" s="15" t="s">
        <v>29</v>
      </c>
      <c r="C57" s="15" t="s">
        <v>702</v>
      </c>
      <c r="D57" s="15" t="s">
        <v>705</v>
      </c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 customFormat="false" ht="15.75" hidden="false" customHeight="false" outlineLevel="0" collapsed="false">
      <c r="A58" s="15" t="s">
        <v>711</v>
      </c>
      <c r="B58" s="15" t="s">
        <v>29</v>
      </c>
      <c r="C58" s="15" t="s">
        <v>702</v>
      </c>
      <c r="D58" s="15" t="s">
        <v>705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customFormat="false" ht="15.75" hidden="false" customHeight="false" outlineLevel="0" collapsed="false">
      <c r="A59" s="15" t="s">
        <v>712</v>
      </c>
      <c r="B59" s="15" t="s">
        <v>29</v>
      </c>
      <c r="C59" s="15" t="s">
        <v>713</v>
      </c>
      <c r="D59" s="15" t="s">
        <v>714</v>
      </c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customFormat="false" ht="15.75" hidden="false" customHeight="false" outlineLevel="0" collapsed="false">
      <c r="A60" s="15" t="s">
        <v>715</v>
      </c>
      <c r="B60" s="15" t="s">
        <v>29</v>
      </c>
      <c r="C60" s="15" t="s">
        <v>713</v>
      </c>
      <c r="D60" s="15" t="s">
        <v>714</v>
      </c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customFormat="false" ht="15.75" hidden="false" customHeight="false" outlineLevel="0" collapsed="false">
      <c r="A61" s="15" t="s">
        <v>716</v>
      </c>
      <c r="B61" s="15" t="s">
        <v>29</v>
      </c>
      <c r="C61" s="15" t="s">
        <v>713</v>
      </c>
      <c r="D61" s="15" t="s">
        <v>717</v>
      </c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customFormat="false" ht="15.75" hidden="false" customHeight="false" outlineLevel="0" collapsed="false">
      <c r="A62" s="15" t="s">
        <v>718</v>
      </c>
      <c r="B62" s="15" t="s">
        <v>29</v>
      </c>
      <c r="C62" s="15" t="s">
        <v>713</v>
      </c>
      <c r="D62" s="15" t="s">
        <v>717</v>
      </c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customFormat="false" ht="15.75" hidden="false" customHeight="false" outlineLevel="0" collapsed="false">
      <c r="A63" s="15" t="s">
        <v>719</v>
      </c>
      <c r="B63" s="15" t="s">
        <v>29</v>
      </c>
      <c r="C63" s="15" t="s">
        <v>713</v>
      </c>
      <c r="D63" s="15" t="s">
        <v>717</v>
      </c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customFormat="false" ht="15.75" hidden="false" customHeight="false" outlineLevel="0" collapsed="false">
      <c r="A64" s="15" t="s">
        <v>720</v>
      </c>
      <c r="B64" s="15" t="s">
        <v>29</v>
      </c>
      <c r="C64" s="15" t="s">
        <v>713</v>
      </c>
      <c r="D64" s="15" t="s">
        <v>717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customFormat="false" ht="15.75" hidden="false" customHeight="false" outlineLevel="0" collapsed="false">
      <c r="A65" s="15" t="s">
        <v>721</v>
      </c>
      <c r="B65" s="15" t="s">
        <v>29</v>
      </c>
      <c r="C65" s="15" t="s">
        <v>713</v>
      </c>
      <c r="D65" s="15" t="s">
        <v>717</v>
      </c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customFormat="false" ht="15.75" hidden="false" customHeight="false" outlineLevel="0" collapsed="false">
      <c r="A66" s="15" t="s">
        <v>722</v>
      </c>
      <c r="B66" s="15" t="s">
        <v>29</v>
      </c>
      <c r="C66" s="15" t="s">
        <v>713</v>
      </c>
      <c r="D66" s="15" t="s">
        <v>717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customFormat="false" ht="15.75" hidden="false" customHeight="false" outlineLevel="0" collapsed="false">
      <c r="A67" s="15" t="s">
        <v>723</v>
      </c>
      <c r="B67" s="15" t="s">
        <v>29</v>
      </c>
      <c r="C67" s="15" t="s">
        <v>713</v>
      </c>
      <c r="D67" s="15" t="s">
        <v>717</v>
      </c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customFormat="false" ht="15.75" hidden="false" customHeight="false" outlineLevel="0" collapsed="false">
      <c r="A68" s="15" t="s">
        <v>724</v>
      </c>
      <c r="B68" s="15" t="s">
        <v>29</v>
      </c>
      <c r="C68" s="15" t="s">
        <v>713</v>
      </c>
      <c r="D68" s="15" t="s">
        <v>717</v>
      </c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customFormat="false" ht="15.75" hidden="false" customHeight="false" outlineLevel="0" collapsed="false">
      <c r="A69" s="15" t="s">
        <v>725</v>
      </c>
      <c r="B69" s="15" t="s">
        <v>29</v>
      </c>
      <c r="C69" s="15" t="s">
        <v>713</v>
      </c>
      <c r="D69" s="15" t="s">
        <v>726</v>
      </c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customFormat="false" ht="15.75" hidden="false" customHeight="false" outlineLevel="0" collapsed="false">
      <c r="A70" s="15" t="s">
        <v>727</v>
      </c>
      <c r="B70" s="15" t="s">
        <v>29</v>
      </c>
      <c r="C70" s="15" t="s">
        <v>713</v>
      </c>
      <c r="D70" s="15" t="s">
        <v>726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customFormat="false" ht="15.75" hidden="false" customHeight="false" outlineLevel="0" collapsed="false">
      <c r="A71" s="15" t="s">
        <v>728</v>
      </c>
      <c r="B71" s="15" t="s">
        <v>29</v>
      </c>
      <c r="C71" s="15" t="s">
        <v>713</v>
      </c>
      <c r="D71" s="15" t="s">
        <v>729</v>
      </c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customFormat="false" ht="15.75" hidden="false" customHeight="false" outlineLevel="0" collapsed="false">
      <c r="A72" s="15" t="s">
        <v>730</v>
      </c>
      <c r="B72" s="15" t="s">
        <v>29</v>
      </c>
      <c r="C72" s="15" t="s">
        <v>731</v>
      </c>
      <c r="D72" s="15" t="s">
        <v>732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customFormat="false" ht="15.75" hidden="false" customHeight="false" outlineLevel="0" collapsed="false">
      <c r="A73" s="15" t="s">
        <v>733</v>
      </c>
      <c r="B73" s="15" t="s">
        <v>29</v>
      </c>
      <c r="C73" s="15" t="s">
        <v>731</v>
      </c>
      <c r="D73" s="15" t="s">
        <v>732</v>
      </c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customFormat="false" ht="15.75" hidden="false" customHeight="false" outlineLevel="0" collapsed="false">
      <c r="A74" s="15" t="s">
        <v>734</v>
      </c>
      <c r="B74" s="15" t="s">
        <v>29</v>
      </c>
      <c r="C74" s="15" t="s">
        <v>731</v>
      </c>
      <c r="D74" s="15" t="s">
        <v>735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customFormat="false" ht="15.75" hidden="false" customHeight="false" outlineLevel="0" collapsed="false">
      <c r="A75" s="15" t="s">
        <v>736</v>
      </c>
      <c r="B75" s="15" t="s">
        <v>29</v>
      </c>
      <c r="C75" s="15" t="s">
        <v>731</v>
      </c>
      <c r="D75" s="15" t="s">
        <v>735</v>
      </c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customFormat="false" ht="15.75" hidden="false" customHeight="false" outlineLevel="0" collapsed="false">
      <c r="A76" s="15" t="s">
        <v>737</v>
      </c>
      <c r="B76" s="15" t="s">
        <v>29</v>
      </c>
      <c r="C76" s="15" t="s">
        <v>731</v>
      </c>
      <c r="D76" s="15" t="s">
        <v>735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customFormat="false" ht="15.75" hidden="false" customHeight="false" outlineLevel="0" collapsed="false">
      <c r="A77" s="15" t="s">
        <v>738</v>
      </c>
      <c r="B77" s="15" t="s">
        <v>29</v>
      </c>
      <c r="C77" s="15" t="s">
        <v>731</v>
      </c>
      <c r="D77" s="15" t="s">
        <v>735</v>
      </c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customFormat="false" ht="15.75" hidden="false" customHeight="false" outlineLevel="0" collapsed="false">
      <c r="A78" s="15" t="s">
        <v>739</v>
      </c>
      <c r="B78" s="15" t="s">
        <v>29</v>
      </c>
      <c r="C78" s="15" t="s">
        <v>731</v>
      </c>
      <c r="D78" s="15" t="s">
        <v>735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customFormat="false" ht="15.75" hidden="false" customHeight="false" outlineLevel="0" collapsed="false">
      <c r="A79" s="15" t="s">
        <v>740</v>
      </c>
      <c r="B79" s="15" t="s">
        <v>29</v>
      </c>
      <c r="C79" s="15" t="s">
        <v>731</v>
      </c>
      <c r="D79" s="15" t="s">
        <v>735</v>
      </c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customFormat="false" ht="15.75" hidden="false" customHeight="false" outlineLevel="0" collapsed="false">
      <c r="A80" s="15" t="s">
        <v>741</v>
      </c>
      <c r="B80" s="15" t="s">
        <v>29</v>
      </c>
      <c r="C80" s="15" t="s">
        <v>731</v>
      </c>
      <c r="D80" s="15" t="s">
        <v>742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customFormat="false" ht="15.75" hidden="false" customHeight="false" outlineLevel="0" collapsed="false">
      <c r="A81" s="15" t="s">
        <v>743</v>
      </c>
      <c r="B81" s="15" t="s">
        <v>29</v>
      </c>
      <c r="C81" s="15" t="s">
        <v>731</v>
      </c>
      <c r="D81" s="15" t="s">
        <v>742</v>
      </c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customFormat="false" ht="15.75" hidden="false" customHeight="false" outlineLevel="0" collapsed="false">
      <c r="A82" s="15" t="s">
        <v>524</v>
      </c>
      <c r="B82" s="15" t="s">
        <v>29</v>
      </c>
      <c r="C82" s="15" t="s">
        <v>731</v>
      </c>
      <c r="D82" s="15" t="s">
        <v>744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customFormat="false" ht="15.75" hidden="false" customHeight="false" outlineLevel="0" collapsed="false">
      <c r="A83" s="15" t="s">
        <v>745</v>
      </c>
      <c r="B83" s="15" t="s">
        <v>29</v>
      </c>
      <c r="C83" s="15" t="s">
        <v>731</v>
      </c>
      <c r="D83" s="15" t="s">
        <v>744</v>
      </c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customFormat="false" ht="15.75" hidden="false" customHeight="false" outlineLevel="0" collapsed="false">
      <c r="A84" s="15" t="s">
        <v>746</v>
      </c>
      <c r="B84" s="15" t="s">
        <v>29</v>
      </c>
      <c r="C84" s="15" t="s">
        <v>731</v>
      </c>
      <c r="D84" s="15" t="s">
        <v>747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customFormat="false" ht="15.75" hidden="false" customHeight="false" outlineLevel="0" collapsed="false">
      <c r="A85" s="15" t="s">
        <v>748</v>
      </c>
      <c r="B85" s="15" t="s">
        <v>29</v>
      </c>
      <c r="C85" s="15" t="s">
        <v>731</v>
      </c>
      <c r="D85" s="15" t="s">
        <v>747</v>
      </c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customFormat="false" ht="15.75" hidden="false" customHeight="false" outlineLevel="0" collapsed="false">
      <c r="A86" s="15" t="s">
        <v>749</v>
      </c>
      <c r="B86" s="15" t="s">
        <v>29</v>
      </c>
      <c r="C86" s="15" t="s">
        <v>731</v>
      </c>
      <c r="D86" s="15" t="s">
        <v>747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customFormat="false" ht="15.75" hidden="false" customHeight="false" outlineLevel="0" collapsed="false">
      <c r="A87" s="15" t="s">
        <v>750</v>
      </c>
      <c r="B87" s="15" t="s">
        <v>29</v>
      </c>
      <c r="C87" s="15" t="s">
        <v>731</v>
      </c>
      <c r="D87" s="15" t="s">
        <v>747</v>
      </c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customFormat="false" ht="15.75" hidden="false" customHeight="false" outlineLevel="0" collapsed="false">
      <c r="A88" s="15" t="s">
        <v>751</v>
      </c>
      <c r="B88" s="15" t="s">
        <v>29</v>
      </c>
      <c r="C88" s="15" t="s">
        <v>731</v>
      </c>
      <c r="D88" s="15" t="s">
        <v>747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customFormat="false" ht="15.75" hidden="false" customHeight="false" outlineLevel="0" collapsed="false">
      <c r="A89" s="15" t="s">
        <v>752</v>
      </c>
      <c r="B89" s="15" t="s">
        <v>29</v>
      </c>
      <c r="C89" s="15" t="s">
        <v>731</v>
      </c>
      <c r="D89" s="15" t="s">
        <v>747</v>
      </c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customFormat="false" ht="15.75" hidden="false" customHeight="false" outlineLevel="0" collapsed="false">
      <c r="A90" s="15" t="s">
        <v>753</v>
      </c>
      <c r="B90" s="15" t="s">
        <v>29</v>
      </c>
      <c r="C90" s="15" t="s">
        <v>731</v>
      </c>
      <c r="D90" s="15" t="s">
        <v>747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customFormat="false" ht="15.75" hidden="false" customHeight="false" outlineLevel="0" collapsed="false">
      <c r="A91" s="15" t="s">
        <v>754</v>
      </c>
      <c r="B91" s="15" t="s">
        <v>29</v>
      </c>
      <c r="C91" s="15" t="s">
        <v>731</v>
      </c>
      <c r="D91" s="15" t="s">
        <v>747</v>
      </c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customFormat="false" ht="15.75" hidden="false" customHeight="false" outlineLevel="0" collapsed="false">
      <c r="A92" s="15" t="s">
        <v>755</v>
      </c>
      <c r="B92" s="15" t="s">
        <v>29</v>
      </c>
      <c r="C92" s="15" t="s">
        <v>731</v>
      </c>
      <c r="D92" s="15" t="s">
        <v>747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customFormat="false" ht="15.75" hidden="false" customHeight="false" outlineLevel="0" collapsed="false">
      <c r="A93" s="15" t="s">
        <v>756</v>
      </c>
      <c r="B93" s="15" t="s">
        <v>29</v>
      </c>
      <c r="C93" s="15" t="s">
        <v>731</v>
      </c>
      <c r="D93" s="15" t="s">
        <v>747</v>
      </c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customFormat="false" ht="15.75" hidden="false" customHeight="false" outlineLevel="0" collapsed="false">
      <c r="A94" s="15" t="s">
        <v>757</v>
      </c>
      <c r="B94" s="15" t="s">
        <v>29</v>
      </c>
      <c r="C94" s="15" t="s">
        <v>731</v>
      </c>
      <c r="D94" s="15" t="s">
        <v>747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customFormat="false" ht="15.75" hidden="false" customHeight="false" outlineLevel="0" collapsed="false">
      <c r="A95" s="15" t="s">
        <v>758</v>
      </c>
      <c r="B95" s="15" t="s">
        <v>29</v>
      </c>
      <c r="C95" s="15" t="s">
        <v>731</v>
      </c>
      <c r="D95" s="15" t="s">
        <v>747</v>
      </c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customFormat="false" ht="15.75" hidden="false" customHeight="false" outlineLevel="0" collapsed="false">
      <c r="A96" s="15" t="s">
        <v>759</v>
      </c>
      <c r="B96" s="15" t="s">
        <v>29</v>
      </c>
      <c r="C96" s="15" t="s">
        <v>731</v>
      </c>
      <c r="D96" s="15" t="s">
        <v>747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customFormat="false" ht="15.75" hidden="false" customHeight="false" outlineLevel="0" collapsed="false">
      <c r="A97" s="15" t="s">
        <v>760</v>
      </c>
      <c r="B97" s="15" t="s">
        <v>29</v>
      </c>
      <c r="C97" s="15" t="s">
        <v>731</v>
      </c>
      <c r="D97" s="15" t="s">
        <v>747</v>
      </c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customFormat="false" ht="15.75" hidden="false" customHeight="false" outlineLevel="0" collapsed="false">
      <c r="A98" s="15" t="s">
        <v>761</v>
      </c>
      <c r="B98" s="15" t="s">
        <v>29</v>
      </c>
      <c r="C98" s="15" t="s">
        <v>731</v>
      </c>
      <c r="D98" s="15" t="s">
        <v>747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customFormat="false" ht="15.75" hidden="false" customHeight="false" outlineLevel="0" collapsed="false">
      <c r="A99" s="15" t="s">
        <v>762</v>
      </c>
      <c r="B99" s="15" t="s">
        <v>29</v>
      </c>
      <c r="C99" s="15" t="s">
        <v>731</v>
      </c>
      <c r="D99" s="15" t="s">
        <v>763</v>
      </c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customFormat="false" ht="15.75" hidden="false" customHeight="false" outlineLevel="0" collapsed="false">
      <c r="A100" s="15" t="s">
        <v>764</v>
      </c>
      <c r="B100" s="15" t="s">
        <v>29</v>
      </c>
      <c r="C100" s="15" t="s">
        <v>731</v>
      </c>
      <c r="D100" s="15" t="s">
        <v>763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customFormat="false" ht="15.75" hidden="false" customHeight="false" outlineLevel="0" collapsed="false">
      <c r="A101" s="15" t="s">
        <v>765</v>
      </c>
      <c r="B101" s="15" t="s">
        <v>29</v>
      </c>
      <c r="C101" s="15" t="s">
        <v>731</v>
      </c>
      <c r="D101" s="15" t="s">
        <v>763</v>
      </c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customFormat="false" ht="15.75" hidden="false" customHeight="false" outlineLevel="0" collapsed="false">
      <c r="A102" s="15" t="s">
        <v>766</v>
      </c>
      <c r="B102" s="15" t="s">
        <v>29</v>
      </c>
      <c r="C102" s="15" t="s">
        <v>731</v>
      </c>
      <c r="D102" s="15" t="s">
        <v>763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customFormat="false" ht="15.75" hidden="false" customHeight="false" outlineLevel="0" collapsed="false">
      <c r="A103" s="15" t="s">
        <v>767</v>
      </c>
      <c r="B103" s="15" t="s">
        <v>29</v>
      </c>
      <c r="C103" s="15" t="s">
        <v>731</v>
      </c>
      <c r="D103" s="15" t="s">
        <v>763</v>
      </c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customFormat="false" ht="15.75" hidden="false" customHeight="false" outlineLevel="0" collapsed="false">
      <c r="A104" s="15" t="s">
        <v>768</v>
      </c>
      <c r="B104" s="15" t="s">
        <v>29</v>
      </c>
      <c r="C104" s="15" t="s">
        <v>731</v>
      </c>
      <c r="D104" s="15" t="s">
        <v>763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customFormat="false" ht="15.75" hidden="false" customHeight="false" outlineLevel="0" collapsed="false">
      <c r="A105" s="15" t="s">
        <v>769</v>
      </c>
      <c r="B105" s="15" t="s">
        <v>29</v>
      </c>
      <c r="C105" s="15" t="s">
        <v>700</v>
      </c>
      <c r="D105" s="15" t="s">
        <v>700</v>
      </c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customFormat="false" ht="15.75" hidden="false" customHeight="false" outlineLevel="0" collapsed="false">
      <c r="A106" s="15" t="s">
        <v>770</v>
      </c>
      <c r="B106" s="15" t="s">
        <v>29</v>
      </c>
      <c r="C106" s="15" t="s">
        <v>700</v>
      </c>
      <c r="D106" s="15" t="s">
        <v>700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customFormat="false" ht="15.75" hidden="false" customHeight="false" outlineLevel="0" collapsed="false">
      <c r="A107" s="15" t="s">
        <v>771</v>
      </c>
      <c r="B107" s="15" t="s">
        <v>29</v>
      </c>
      <c r="C107" s="15" t="s">
        <v>700</v>
      </c>
      <c r="D107" s="15" t="s">
        <v>700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customFormat="false" ht="15.75" hidden="false" customHeight="false" outlineLevel="0" collapsed="false">
      <c r="A108" s="15" t="s">
        <v>772</v>
      </c>
      <c r="B108" s="15" t="s">
        <v>29</v>
      </c>
      <c r="C108" s="15" t="s">
        <v>700</v>
      </c>
      <c r="D108" s="15" t="s">
        <v>700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customFormat="false" ht="15.75" hidden="false" customHeight="false" outlineLevel="0" collapsed="false">
      <c r="A109" s="15" t="s">
        <v>773</v>
      </c>
      <c r="B109" s="15" t="s">
        <v>29</v>
      </c>
      <c r="C109" s="15" t="s">
        <v>700</v>
      </c>
      <c r="D109" s="15" t="s">
        <v>700</v>
      </c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customFormat="false" ht="15.75" hidden="false" customHeight="false" outlineLevel="0" collapsed="false">
      <c r="A110" s="15" t="s">
        <v>774</v>
      </c>
      <c r="B110" s="15" t="s">
        <v>29</v>
      </c>
      <c r="C110" s="15" t="s">
        <v>700</v>
      </c>
      <c r="D110" s="15" t="s">
        <v>700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customFormat="false" ht="15.75" hidden="false" customHeight="false" outlineLevel="0" collapsed="false">
      <c r="A111" s="15" t="s">
        <v>775</v>
      </c>
      <c r="B111" s="15" t="s">
        <v>29</v>
      </c>
      <c r="C111" s="15" t="s">
        <v>700</v>
      </c>
      <c r="D111" s="15" t="s">
        <v>700</v>
      </c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customFormat="false" ht="15.75" hidden="false" customHeight="false" outlineLevel="0" collapsed="false">
      <c r="A112" s="15" t="s">
        <v>776</v>
      </c>
      <c r="B112" s="15" t="s">
        <v>29</v>
      </c>
      <c r="C112" s="15" t="s">
        <v>777</v>
      </c>
      <c r="D112" s="15" t="s">
        <v>702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customFormat="false" ht="15.75" hidden="false" customHeight="false" outlineLevel="0" collapsed="false">
      <c r="A113" s="15" t="s">
        <v>778</v>
      </c>
      <c r="B113" s="15" t="s">
        <v>29</v>
      </c>
      <c r="C113" s="15" t="s">
        <v>777</v>
      </c>
      <c r="D113" s="15" t="s">
        <v>702</v>
      </c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customFormat="false" ht="15.75" hidden="false" customHeight="false" outlineLevel="0" collapsed="false">
      <c r="A114" s="15" t="s">
        <v>779</v>
      </c>
      <c r="B114" s="15" t="s">
        <v>29</v>
      </c>
      <c r="C114" s="15" t="s">
        <v>777</v>
      </c>
      <c r="D114" s="15" t="s">
        <v>702</v>
      </c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customFormat="false" ht="15.75" hidden="false" customHeight="false" outlineLevel="0" collapsed="false">
      <c r="A115" s="15" t="s">
        <v>780</v>
      </c>
      <c r="B115" s="15" t="s">
        <v>54</v>
      </c>
      <c r="C115" s="15" t="s">
        <v>781</v>
      </c>
      <c r="D115" s="15" t="s">
        <v>782</v>
      </c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customFormat="false" ht="15.75" hidden="false" customHeight="false" outlineLevel="0" collapsed="false">
      <c r="A116" s="15" t="s">
        <v>783</v>
      </c>
      <c r="B116" s="15" t="s">
        <v>54</v>
      </c>
      <c r="C116" s="15" t="s">
        <v>781</v>
      </c>
      <c r="D116" s="15" t="s">
        <v>782</v>
      </c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customFormat="false" ht="15.75" hidden="false" customHeight="false" outlineLevel="0" collapsed="false">
      <c r="A117" s="15" t="s">
        <v>784</v>
      </c>
      <c r="B117" s="15" t="s">
        <v>54</v>
      </c>
      <c r="C117" s="15" t="s">
        <v>781</v>
      </c>
      <c r="D117" s="15" t="s">
        <v>782</v>
      </c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 customFormat="false" ht="15.75" hidden="false" customHeight="false" outlineLevel="0" collapsed="false">
      <c r="A118" s="15" t="s">
        <v>785</v>
      </c>
      <c r="B118" s="15" t="s">
        <v>54</v>
      </c>
      <c r="C118" s="15" t="s">
        <v>781</v>
      </c>
      <c r="D118" s="15" t="s">
        <v>782</v>
      </c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customFormat="false" ht="15.75" hidden="false" customHeight="false" outlineLevel="0" collapsed="false">
      <c r="A119" s="15" t="s">
        <v>786</v>
      </c>
      <c r="B119" s="15" t="s">
        <v>54</v>
      </c>
      <c r="C119" s="15" t="s">
        <v>781</v>
      </c>
      <c r="D119" s="15" t="s">
        <v>782</v>
      </c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customFormat="false" ht="15.75" hidden="false" customHeight="false" outlineLevel="0" collapsed="false">
      <c r="A120" s="15" t="s">
        <v>787</v>
      </c>
      <c r="B120" s="15" t="s">
        <v>54</v>
      </c>
      <c r="C120" s="15" t="s">
        <v>788</v>
      </c>
      <c r="D120" s="15" t="s">
        <v>789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customFormat="false" ht="15.75" hidden="false" customHeight="false" outlineLevel="0" collapsed="false">
      <c r="A121" s="15" t="s">
        <v>790</v>
      </c>
      <c r="B121" s="15" t="s">
        <v>54</v>
      </c>
      <c r="C121" s="15" t="s">
        <v>788</v>
      </c>
      <c r="D121" s="15" t="s">
        <v>789</v>
      </c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customFormat="false" ht="15.75" hidden="false" customHeight="false" outlineLevel="0" collapsed="false">
      <c r="A122" s="15" t="s">
        <v>791</v>
      </c>
      <c r="B122" s="15" t="s">
        <v>54</v>
      </c>
      <c r="C122" s="15" t="s">
        <v>788</v>
      </c>
      <c r="D122" s="15" t="s">
        <v>789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customFormat="false" ht="15.75" hidden="false" customHeight="false" outlineLevel="0" collapsed="false">
      <c r="A123" s="15" t="s">
        <v>792</v>
      </c>
      <c r="B123" s="15" t="s">
        <v>54</v>
      </c>
      <c r="C123" s="15" t="s">
        <v>788</v>
      </c>
      <c r="D123" s="15" t="s">
        <v>793</v>
      </c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customFormat="false" ht="15.75" hidden="false" customHeight="false" outlineLevel="0" collapsed="false">
      <c r="A124" s="15" t="s">
        <v>794</v>
      </c>
      <c r="B124" s="15" t="s">
        <v>54</v>
      </c>
      <c r="C124" s="15" t="s">
        <v>788</v>
      </c>
      <c r="D124" s="15" t="s">
        <v>793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customFormat="false" ht="15.75" hidden="false" customHeight="false" outlineLevel="0" collapsed="false">
      <c r="A125" s="15" t="s">
        <v>795</v>
      </c>
      <c r="B125" s="15" t="s">
        <v>54</v>
      </c>
      <c r="C125" s="15" t="s">
        <v>788</v>
      </c>
      <c r="D125" s="15" t="s">
        <v>793</v>
      </c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 customFormat="false" ht="15.75" hidden="false" customHeight="false" outlineLevel="0" collapsed="false">
      <c r="A126" s="15" t="s">
        <v>796</v>
      </c>
      <c r="B126" s="15" t="s">
        <v>54</v>
      </c>
      <c r="C126" s="15" t="s">
        <v>788</v>
      </c>
      <c r="D126" s="15" t="s">
        <v>793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customFormat="false" ht="15.75" hidden="false" customHeight="false" outlineLevel="0" collapsed="false">
      <c r="A127" s="15" t="s">
        <v>797</v>
      </c>
      <c r="B127" s="15" t="s">
        <v>54</v>
      </c>
      <c r="C127" s="15" t="s">
        <v>788</v>
      </c>
      <c r="D127" s="15" t="s">
        <v>793</v>
      </c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customFormat="false" ht="15.75" hidden="false" customHeight="false" outlineLevel="0" collapsed="false">
      <c r="A128" s="15" t="s">
        <v>798</v>
      </c>
      <c r="B128" s="15" t="s">
        <v>54</v>
      </c>
      <c r="C128" s="15" t="s">
        <v>788</v>
      </c>
      <c r="D128" s="15" t="s">
        <v>793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customFormat="false" ht="15.75" hidden="false" customHeight="false" outlineLevel="0" collapsed="false">
      <c r="A129" s="15" t="s">
        <v>799</v>
      </c>
      <c r="B129" s="15" t="s">
        <v>54</v>
      </c>
      <c r="C129" s="15" t="s">
        <v>788</v>
      </c>
      <c r="D129" s="15" t="s">
        <v>800</v>
      </c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customFormat="false" ht="15.75" hidden="false" customHeight="false" outlineLevel="0" collapsed="false">
      <c r="A130" s="15" t="s">
        <v>801</v>
      </c>
      <c r="B130" s="15" t="s">
        <v>54</v>
      </c>
      <c r="C130" s="15" t="s">
        <v>788</v>
      </c>
      <c r="D130" s="15" t="s">
        <v>800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customFormat="false" ht="15.75" hidden="false" customHeight="false" outlineLevel="0" collapsed="false">
      <c r="A131" s="15" t="s">
        <v>802</v>
      </c>
      <c r="B131" s="15" t="s">
        <v>54</v>
      </c>
      <c r="C131" s="15" t="s">
        <v>788</v>
      </c>
      <c r="D131" s="15" t="s">
        <v>800</v>
      </c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customFormat="false" ht="15.75" hidden="false" customHeight="false" outlineLevel="0" collapsed="false">
      <c r="A132" s="15" t="s">
        <v>803</v>
      </c>
      <c r="B132" s="15" t="s">
        <v>54</v>
      </c>
      <c r="C132" s="15" t="s">
        <v>788</v>
      </c>
      <c r="D132" s="15" t="s">
        <v>800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customFormat="false" ht="15.75" hidden="false" customHeight="false" outlineLevel="0" collapsed="false">
      <c r="A133" s="15" t="s">
        <v>804</v>
      </c>
      <c r="B133" s="15" t="s">
        <v>54</v>
      </c>
      <c r="C133" s="15" t="s">
        <v>788</v>
      </c>
      <c r="D133" s="15" t="s">
        <v>800</v>
      </c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customFormat="false" ht="15.75" hidden="false" customHeight="false" outlineLevel="0" collapsed="false">
      <c r="A134" s="15" t="s">
        <v>805</v>
      </c>
      <c r="B134" s="15" t="s">
        <v>54</v>
      </c>
      <c r="C134" s="15" t="s">
        <v>806</v>
      </c>
      <c r="D134" s="15" t="s">
        <v>807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customFormat="false" ht="15.75" hidden="false" customHeight="false" outlineLevel="0" collapsed="false">
      <c r="A135" s="15" t="s">
        <v>808</v>
      </c>
      <c r="B135" s="15" t="s">
        <v>54</v>
      </c>
      <c r="C135" s="15" t="s">
        <v>809</v>
      </c>
      <c r="D135" s="15" t="s">
        <v>810</v>
      </c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customFormat="false" ht="15.75" hidden="false" customHeight="false" outlineLevel="0" collapsed="false">
      <c r="A136" s="15" t="s">
        <v>811</v>
      </c>
      <c r="B136" s="15" t="s">
        <v>54</v>
      </c>
      <c r="C136" s="15" t="s">
        <v>809</v>
      </c>
      <c r="D136" s="15" t="s">
        <v>812</v>
      </c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customFormat="false" ht="15.75" hidden="false" customHeight="false" outlineLevel="0" collapsed="false">
      <c r="A137" s="15" t="s">
        <v>813</v>
      </c>
      <c r="B137" s="15" t="s">
        <v>54</v>
      </c>
      <c r="C137" s="15" t="s">
        <v>814</v>
      </c>
      <c r="D137" s="15" t="s">
        <v>815</v>
      </c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customFormat="false" ht="15.75" hidden="false" customHeight="false" outlineLevel="0" collapsed="false">
      <c r="A138" s="15" t="s">
        <v>816</v>
      </c>
      <c r="B138" s="15" t="s">
        <v>54</v>
      </c>
      <c r="C138" s="15" t="s">
        <v>814</v>
      </c>
      <c r="D138" s="15" t="s">
        <v>815</v>
      </c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 customFormat="false" ht="15.75" hidden="false" customHeight="false" outlineLevel="0" collapsed="false">
      <c r="A139" s="15" t="s">
        <v>817</v>
      </c>
      <c r="B139" s="15" t="s">
        <v>38</v>
      </c>
      <c r="C139" s="15" t="s">
        <v>818</v>
      </c>
      <c r="D139" s="15" t="s">
        <v>819</v>
      </c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 customFormat="false" ht="15.75" hidden="false" customHeight="false" outlineLevel="0" collapsed="false">
      <c r="A140" s="15" t="s">
        <v>820</v>
      </c>
      <c r="B140" s="15" t="s">
        <v>38</v>
      </c>
      <c r="C140" s="15" t="s">
        <v>818</v>
      </c>
      <c r="D140" s="15" t="s">
        <v>819</v>
      </c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customFormat="false" ht="15.75" hidden="false" customHeight="false" outlineLevel="0" collapsed="false">
      <c r="A141" s="15" t="s">
        <v>821</v>
      </c>
      <c r="B141" s="15" t="s">
        <v>38</v>
      </c>
      <c r="C141" s="15" t="s">
        <v>818</v>
      </c>
      <c r="D141" s="15" t="s">
        <v>819</v>
      </c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customFormat="false" ht="15.75" hidden="false" customHeight="false" outlineLevel="0" collapsed="false">
      <c r="A142" s="15" t="s">
        <v>822</v>
      </c>
      <c r="B142" s="15" t="s">
        <v>38</v>
      </c>
      <c r="C142" s="15" t="s">
        <v>818</v>
      </c>
      <c r="D142" s="15" t="s">
        <v>819</v>
      </c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 customFormat="false" ht="15.75" hidden="false" customHeight="false" outlineLevel="0" collapsed="false">
      <c r="A143" s="15" t="s">
        <v>823</v>
      </c>
      <c r="B143" s="15" t="s">
        <v>38</v>
      </c>
      <c r="C143" s="15" t="s">
        <v>818</v>
      </c>
      <c r="D143" s="15" t="s">
        <v>819</v>
      </c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customFormat="false" ht="15.75" hidden="false" customHeight="false" outlineLevel="0" collapsed="false">
      <c r="A144" s="15" t="s">
        <v>824</v>
      </c>
      <c r="B144" s="15" t="s">
        <v>38</v>
      </c>
      <c r="C144" s="15" t="s">
        <v>818</v>
      </c>
      <c r="D144" s="15" t="s">
        <v>819</v>
      </c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 customFormat="false" ht="15.75" hidden="false" customHeight="false" outlineLevel="0" collapsed="false">
      <c r="A145" s="15" t="s">
        <v>825</v>
      </c>
      <c r="B145" s="15" t="s">
        <v>38</v>
      </c>
      <c r="C145" s="15" t="s">
        <v>818</v>
      </c>
      <c r="D145" s="15" t="s">
        <v>819</v>
      </c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 customFormat="false" ht="15.75" hidden="false" customHeight="false" outlineLevel="0" collapsed="false">
      <c r="A146" s="15" t="s">
        <v>826</v>
      </c>
      <c r="B146" s="15" t="s">
        <v>38</v>
      </c>
      <c r="C146" s="15" t="s">
        <v>818</v>
      </c>
      <c r="D146" s="15" t="s">
        <v>819</v>
      </c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 customFormat="false" ht="15.75" hidden="false" customHeight="false" outlineLevel="0" collapsed="false">
      <c r="A147" s="15" t="s">
        <v>827</v>
      </c>
      <c r="B147" s="15" t="s">
        <v>38</v>
      </c>
      <c r="C147" s="15" t="s">
        <v>818</v>
      </c>
      <c r="D147" s="15" t="s">
        <v>819</v>
      </c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 customFormat="false" ht="15.75" hidden="false" customHeight="false" outlineLevel="0" collapsed="false">
      <c r="A148" s="15" t="s">
        <v>828</v>
      </c>
      <c r="B148" s="15" t="s">
        <v>38</v>
      </c>
      <c r="C148" s="15" t="s">
        <v>818</v>
      </c>
      <c r="D148" s="15" t="s">
        <v>819</v>
      </c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 customFormat="false" ht="15.75" hidden="false" customHeight="false" outlineLevel="0" collapsed="false">
      <c r="A149" s="15" t="s">
        <v>829</v>
      </c>
      <c r="B149" s="15" t="s">
        <v>38</v>
      </c>
      <c r="C149" s="15" t="s">
        <v>818</v>
      </c>
      <c r="D149" s="15" t="s">
        <v>819</v>
      </c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customFormat="false" ht="15.75" hidden="false" customHeight="false" outlineLevel="0" collapsed="false">
      <c r="A150" s="15" t="s">
        <v>830</v>
      </c>
      <c r="B150" s="15" t="s">
        <v>38</v>
      </c>
      <c r="C150" s="15" t="s">
        <v>818</v>
      </c>
      <c r="D150" s="15" t="s">
        <v>819</v>
      </c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customFormat="false" ht="15.75" hidden="false" customHeight="false" outlineLevel="0" collapsed="false">
      <c r="A151" s="15" t="s">
        <v>831</v>
      </c>
      <c r="B151" s="15" t="s">
        <v>38</v>
      </c>
      <c r="C151" s="15" t="s">
        <v>818</v>
      </c>
      <c r="D151" s="15" t="s">
        <v>819</v>
      </c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customFormat="false" ht="15.75" hidden="false" customHeight="false" outlineLevel="0" collapsed="false">
      <c r="A152" s="15" t="s">
        <v>832</v>
      </c>
      <c r="B152" s="15" t="s">
        <v>38</v>
      </c>
      <c r="C152" s="15" t="s">
        <v>818</v>
      </c>
      <c r="D152" s="15" t="s">
        <v>819</v>
      </c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customFormat="false" ht="15.75" hidden="false" customHeight="false" outlineLevel="0" collapsed="false">
      <c r="A153" s="15" t="s">
        <v>833</v>
      </c>
      <c r="B153" s="15" t="s">
        <v>38</v>
      </c>
      <c r="C153" s="15" t="s">
        <v>818</v>
      </c>
      <c r="D153" s="15" t="s">
        <v>819</v>
      </c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 customFormat="false" ht="15.75" hidden="false" customHeight="false" outlineLevel="0" collapsed="false">
      <c r="A154" s="15" t="s">
        <v>834</v>
      </c>
      <c r="B154" s="15" t="s">
        <v>38</v>
      </c>
      <c r="C154" s="15" t="s">
        <v>818</v>
      </c>
      <c r="D154" s="15" t="s">
        <v>819</v>
      </c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 customFormat="false" ht="15.75" hidden="false" customHeight="false" outlineLevel="0" collapsed="false">
      <c r="A155" s="15" t="s">
        <v>835</v>
      </c>
      <c r="B155" s="15" t="s">
        <v>38</v>
      </c>
      <c r="C155" s="15" t="s">
        <v>818</v>
      </c>
      <c r="D155" s="15" t="s">
        <v>819</v>
      </c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 customFormat="false" ht="15.75" hidden="false" customHeight="false" outlineLevel="0" collapsed="false">
      <c r="A156" s="15" t="s">
        <v>836</v>
      </c>
      <c r="B156" s="15" t="s">
        <v>38</v>
      </c>
      <c r="C156" s="15" t="s">
        <v>818</v>
      </c>
      <c r="D156" s="15" t="s">
        <v>819</v>
      </c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 customFormat="false" ht="15.75" hidden="false" customHeight="false" outlineLevel="0" collapsed="false">
      <c r="A157" s="15" t="s">
        <v>837</v>
      </c>
      <c r="B157" s="15" t="s">
        <v>38</v>
      </c>
      <c r="C157" s="15" t="s">
        <v>818</v>
      </c>
      <c r="D157" s="15" t="s">
        <v>819</v>
      </c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 customFormat="false" ht="15.75" hidden="false" customHeight="false" outlineLevel="0" collapsed="false">
      <c r="A158" s="15" t="s">
        <v>838</v>
      </c>
      <c r="B158" s="15" t="s">
        <v>38</v>
      </c>
      <c r="C158" s="15" t="s">
        <v>818</v>
      </c>
      <c r="D158" s="15" t="s">
        <v>819</v>
      </c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 customFormat="false" ht="15.75" hidden="false" customHeight="false" outlineLevel="0" collapsed="false">
      <c r="A159" s="15" t="s">
        <v>839</v>
      </c>
      <c r="B159" s="15" t="s">
        <v>38</v>
      </c>
      <c r="C159" s="15" t="s">
        <v>818</v>
      </c>
      <c r="D159" s="15" t="s">
        <v>819</v>
      </c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 customFormat="false" ht="15.75" hidden="false" customHeight="false" outlineLevel="0" collapsed="false">
      <c r="A160" s="15" t="s">
        <v>840</v>
      </c>
      <c r="B160" s="15" t="s">
        <v>38</v>
      </c>
      <c r="C160" s="15" t="s">
        <v>841</v>
      </c>
      <c r="D160" s="15" t="s">
        <v>842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 customFormat="false" ht="15.75" hidden="false" customHeight="false" outlineLevel="0" collapsed="false">
      <c r="A161" s="15" t="s">
        <v>843</v>
      </c>
      <c r="B161" s="15" t="s">
        <v>38</v>
      </c>
      <c r="C161" s="15" t="s">
        <v>841</v>
      </c>
      <c r="D161" s="15" t="s">
        <v>842</v>
      </c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 customFormat="false" ht="15.75" hidden="false" customHeight="false" outlineLevel="0" collapsed="false">
      <c r="A162" s="15" t="s">
        <v>844</v>
      </c>
      <c r="B162" s="15" t="s">
        <v>38</v>
      </c>
      <c r="C162" s="15" t="s">
        <v>841</v>
      </c>
      <c r="D162" s="15" t="s">
        <v>842</v>
      </c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 customFormat="false" ht="15.75" hidden="false" customHeight="false" outlineLevel="0" collapsed="false">
      <c r="A163" s="15" t="s">
        <v>845</v>
      </c>
      <c r="B163" s="15" t="s">
        <v>38</v>
      </c>
      <c r="C163" s="15" t="s">
        <v>841</v>
      </c>
      <c r="D163" s="15" t="s">
        <v>842</v>
      </c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 customFormat="false" ht="15.75" hidden="false" customHeight="false" outlineLevel="0" collapsed="false">
      <c r="A164" s="15" t="s">
        <v>846</v>
      </c>
      <c r="B164" s="15" t="s">
        <v>38</v>
      </c>
      <c r="C164" s="15" t="s">
        <v>841</v>
      </c>
      <c r="D164" s="15" t="s">
        <v>842</v>
      </c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customFormat="false" ht="15.75" hidden="false" customHeight="false" outlineLevel="0" collapsed="false">
      <c r="A165" s="15" t="s">
        <v>847</v>
      </c>
      <c r="B165" s="15" t="s">
        <v>38</v>
      </c>
      <c r="C165" s="15" t="s">
        <v>841</v>
      </c>
      <c r="D165" s="15" t="s">
        <v>842</v>
      </c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customFormat="false" ht="15.75" hidden="false" customHeight="false" outlineLevel="0" collapsed="false">
      <c r="A166" s="15" t="s">
        <v>848</v>
      </c>
      <c r="B166" s="15" t="s">
        <v>38</v>
      </c>
      <c r="C166" s="15" t="s">
        <v>841</v>
      </c>
      <c r="D166" s="15" t="s">
        <v>842</v>
      </c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 customFormat="false" ht="15.75" hidden="false" customHeight="false" outlineLevel="0" collapsed="false">
      <c r="A167" s="15" t="s">
        <v>849</v>
      </c>
      <c r="B167" s="15" t="s">
        <v>38</v>
      </c>
      <c r="C167" s="15" t="s">
        <v>841</v>
      </c>
      <c r="D167" s="15" t="s">
        <v>842</v>
      </c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 customFormat="false" ht="15.75" hidden="false" customHeight="false" outlineLevel="0" collapsed="false">
      <c r="A168" s="15" t="s">
        <v>850</v>
      </c>
      <c r="B168" s="15" t="s">
        <v>38</v>
      </c>
      <c r="C168" s="15" t="s">
        <v>841</v>
      </c>
      <c r="D168" s="15" t="s">
        <v>842</v>
      </c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customFormat="false" ht="15.75" hidden="false" customHeight="false" outlineLevel="0" collapsed="false">
      <c r="A169" s="15" t="s">
        <v>851</v>
      </c>
      <c r="B169" s="15" t="s">
        <v>38</v>
      </c>
      <c r="C169" s="15" t="s">
        <v>841</v>
      </c>
      <c r="D169" s="15" t="s">
        <v>842</v>
      </c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 customFormat="false" ht="15.75" hidden="false" customHeight="false" outlineLevel="0" collapsed="false">
      <c r="A170" s="15" t="s">
        <v>852</v>
      </c>
      <c r="B170" s="15" t="s">
        <v>38</v>
      </c>
      <c r="C170" s="15" t="s">
        <v>841</v>
      </c>
      <c r="D170" s="15" t="s">
        <v>842</v>
      </c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 customFormat="false" ht="15.75" hidden="false" customHeight="false" outlineLevel="0" collapsed="false">
      <c r="A171" s="15" t="s">
        <v>853</v>
      </c>
      <c r="B171" s="15" t="s">
        <v>38</v>
      </c>
      <c r="C171" s="15" t="s">
        <v>841</v>
      </c>
      <c r="D171" s="15" t="s">
        <v>854</v>
      </c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 customFormat="false" ht="15.75" hidden="false" customHeight="false" outlineLevel="0" collapsed="false">
      <c r="A172" s="15" t="s">
        <v>855</v>
      </c>
      <c r="B172" s="15" t="s">
        <v>38</v>
      </c>
      <c r="C172" s="15" t="s">
        <v>841</v>
      </c>
      <c r="D172" s="15" t="s">
        <v>856</v>
      </c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 customFormat="false" ht="15.75" hidden="false" customHeight="false" outlineLevel="0" collapsed="false">
      <c r="A173" s="15" t="s">
        <v>857</v>
      </c>
      <c r="B173" s="15" t="s">
        <v>38</v>
      </c>
      <c r="C173" s="15" t="s">
        <v>841</v>
      </c>
      <c r="D173" s="15" t="s">
        <v>856</v>
      </c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 customFormat="false" ht="15.75" hidden="false" customHeight="false" outlineLevel="0" collapsed="false">
      <c r="A174" s="15" t="s">
        <v>858</v>
      </c>
      <c r="B174" s="15" t="s">
        <v>38</v>
      </c>
      <c r="C174" s="15" t="s">
        <v>841</v>
      </c>
      <c r="D174" s="15" t="s">
        <v>856</v>
      </c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 customFormat="false" ht="15.75" hidden="false" customHeight="false" outlineLevel="0" collapsed="false">
      <c r="A175" s="15" t="s">
        <v>859</v>
      </c>
      <c r="B175" s="15" t="s">
        <v>38</v>
      </c>
      <c r="C175" s="15" t="s">
        <v>841</v>
      </c>
      <c r="D175" s="15" t="s">
        <v>856</v>
      </c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 customFormat="false" ht="15.75" hidden="false" customHeight="false" outlineLevel="0" collapsed="false">
      <c r="A176" s="15" t="s">
        <v>860</v>
      </c>
      <c r="B176" s="15" t="s">
        <v>38</v>
      </c>
      <c r="C176" s="15" t="s">
        <v>841</v>
      </c>
      <c r="D176" s="15" t="s">
        <v>861</v>
      </c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 customFormat="false" ht="15.75" hidden="false" customHeight="false" outlineLevel="0" collapsed="false">
      <c r="A177" s="15" t="s">
        <v>862</v>
      </c>
      <c r="B177" s="15" t="s">
        <v>38</v>
      </c>
      <c r="C177" s="15" t="s">
        <v>841</v>
      </c>
      <c r="D177" s="15" t="s">
        <v>861</v>
      </c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 customFormat="false" ht="15.75" hidden="false" customHeight="false" outlineLevel="0" collapsed="false">
      <c r="A178" s="15" t="s">
        <v>863</v>
      </c>
      <c r="B178" s="15" t="s">
        <v>38</v>
      </c>
      <c r="C178" s="15" t="s">
        <v>841</v>
      </c>
      <c r="D178" s="15" t="s">
        <v>861</v>
      </c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customFormat="false" ht="15.75" hidden="false" customHeight="false" outlineLevel="0" collapsed="false">
      <c r="A179" s="15" t="s">
        <v>864</v>
      </c>
      <c r="B179" s="15" t="s">
        <v>38</v>
      </c>
      <c r="C179" s="15" t="s">
        <v>865</v>
      </c>
      <c r="D179" s="15" t="s">
        <v>866</v>
      </c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customFormat="false" ht="15.75" hidden="false" customHeight="false" outlineLevel="0" collapsed="false">
      <c r="A180" s="15" t="s">
        <v>867</v>
      </c>
      <c r="B180" s="15" t="s">
        <v>38</v>
      </c>
      <c r="C180" s="15" t="s">
        <v>865</v>
      </c>
      <c r="D180" s="15" t="s">
        <v>868</v>
      </c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 customFormat="false" ht="15.75" hidden="false" customHeight="false" outlineLevel="0" collapsed="false">
      <c r="A181" s="15" t="s">
        <v>869</v>
      </c>
      <c r="B181" s="15" t="s">
        <v>38</v>
      </c>
      <c r="C181" s="15" t="s">
        <v>865</v>
      </c>
      <c r="D181" s="15" t="s">
        <v>870</v>
      </c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 customFormat="false" ht="15.75" hidden="false" customHeight="false" outlineLevel="0" collapsed="false">
      <c r="A182" s="15" t="s">
        <v>871</v>
      </c>
      <c r="B182" s="15" t="s">
        <v>38</v>
      </c>
      <c r="C182" s="15" t="s">
        <v>865</v>
      </c>
      <c r="D182" s="15" t="s">
        <v>870</v>
      </c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 customFormat="false" ht="15.75" hidden="false" customHeight="false" outlineLevel="0" collapsed="false">
      <c r="A183" s="15" t="s">
        <v>872</v>
      </c>
      <c r="B183" s="15" t="s">
        <v>38</v>
      </c>
      <c r="C183" s="15" t="s">
        <v>873</v>
      </c>
      <c r="D183" s="15" t="s">
        <v>873</v>
      </c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 customFormat="false" ht="15.75" hidden="false" customHeight="false" outlineLevel="0" collapsed="false">
      <c r="A184" s="15" t="s">
        <v>874</v>
      </c>
      <c r="B184" s="15" t="s">
        <v>38</v>
      </c>
      <c r="C184" s="15" t="s">
        <v>873</v>
      </c>
      <c r="D184" s="15" t="s">
        <v>873</v>
      </c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 customFormat="false" ht="15.75" hidden="false" customHeight="false" outlineLevel="0" collapsed="false">
      <c r="A185" s="15" t="s">
        <v>875</v>
      </c>
      <c r="B185" s="15" t="s">
        <v>38</v>
      </c>
      <c r="C185" s="15" t="s">
        <v>873</v>
      </c>
      <c r="D185" s="15" t="s">
        <v>873</v>
      </c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customFormat="false" ht="15.75" hidden="false" customHeight="false" outlineLevel="0" collapsed="false">
      <c r="A186" s="15" t="s">
        <v>876</v>
      </c>
      <c r="B186" s="15" t="s">
        <v>38</v>
      </c>
      <c r="C186" s="15" t="s">
        <v>877</v>
      </c>
      <c r="D186" s="15" t="s">
        <v>878</v>
      </c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 customFormat="false" ht="15.75" hidden="false" customHeight="false" outlineLevel="0" collapsed="false">
      <c r="A187" s="15" t="s">
        <v>879</v>
      </c>
      <c r="B187" s="15" t="s">
        <v>38</v>
      </c>
      <c r="C187" s="15" t="s">
        <v>877</v>
      </c>
      <c r="D187" s="15" t="s">
        <v>880</v>
      </c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 customFormat="false" ht="15.75" hidden="false" customHeight="false" outlineLevel="0" collapsed="false">
      <c r="A188" s="15" t="s">
        <v>881</v>
      </c>
      <c r="B188" s="15" t="s">
        <v>38</v>
      </c>
      <c r="C188" s="15" t="s">
        <v>877</v>
      </c>
      <c r="D188" s="15" t="s">
        <v>880</v>
      </c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 customFormat="false" ht="15.75" hidden="false" customHeight="false" outlineLevel="0" collapsed="false">
      <c r="A189" s="15" t="s">
        <v>882</v>
      </c>
      <c r="B189" s="15" t="s">
        <v>38</v>
      </c>
      <c r="C189" s="15" t="s">
        <v>883</v>
      </c>
      <c r="D189" s="15" t="s">
        <v>884</v>
      </c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 customFormat="false" ht="15.75" hidden="false" customHeight="false" outlineLevel="0" collapsed="false">
      <c r="A190" s="15" t="s">
        <v>885</v>
      </c>
      <c r="B190" s="15" t="s">
        <v>38</v>
      </c>
      <c r="C190" s="15" t="s">
        <v>883</v>
      </c>
      <c r="D190" s="15" t="s">
        <v>886</v>
      </c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customFormat="false" ht="15.75" hidden="false" customHeight="false" outlineLevel="0" collapsed="false">
      <c r="A191" s="15" t="s">
        <v>887</v>
      </c>
      <c r="B191" s="15" t="s">
        <v>38</v>
      </c>
      <c r="C191" s="15" t="s">
        <v>883</v>
      </c>
      <c r="D191" s="15" t="s">
        <v>888</v>
      </c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 customFormat="false" ht="15.75" hidden="false" customHeight="false" outlineLevel="0" collapsed="false">
      <c r="A192" s="15" t="s">
        <v>889</v>
      </c>
      <c r="B192" s="15" t="s">
        <v>38</v>
      </c>
      <c r="C192" s="15" t="s">
        <v>883</v>
      </c>
      <c r="D192" s="15" t="s">
        <v>888</v>
      </c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customFormat="false" ht="15.75" hidden="false" customHeight="false" outlineLevel="0" collapsed="false">
      <c r="A193" s="15" t="s">
        <v>890</v>
      </c>
      <c r="B193" s="15" t="s">
        <v>38</v>
      </c>
      <c r="C193" s="15" t="s">
        <v>883</v>
      </c>
      <c r="D193" s="15" t="s">
        <v>891</v>
      </c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customFormat="false" ht="15.75" hidden="false" customHeight="false" outlineLevel="0" collapsed="false">
      <c r="A194" s="15" t="s">
        <v>892</v>
      </c>
      <c r="B194" s="15" t="s">
        <v>38</v>
      </c>
      <c r="C194" s="15" t="s">
        <v>883</v>
      </c>
      <c r="D194" s="15" t="s">
        <v>893</v>
      </c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 customFormat="false" ht="15.75" hidden="false" customHeight="false" outlineLevel="0" collapsed="false">
      <c r="A195" s="15" t="s">
        <v>894</v>
      </c>
      <c r="B195" s="15" t="s">
        <v>38</v>
      </c>
      <c r="C195" s="15" t="s">
        <v>895</v>
      </c>
      <c r="D195" s="15" t="s">
        <v>896</v>
      </c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 customFormat="false" ht="15.75" hidden="false" customHeight="false" outlineLevel="0" collapsed="false">
      <c r="A196" s="15" t="s">
        <v>897</v>
      </c>
      <c r="B196" s="15" t="s">
        <v>38</v>
      </c>
      <c r="C196" s="15" t="s">
        <v>895</v>
      </c>
      <c r="D196" s="15" t="s">
        <v>896</v>
      </c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 customFormat="false" ht="15.75" hidden="false" customHeight="false" outlineLevel="0" collapsed="false">
      <c r="A197" s="15" t="s">
        <v>898</v>
      </c>
      <c r="B197" s="15" t="s">
        <v>38</v>
      </c>
      <c r="C197" s="15" t="s">
        <v>895</v>
      </c>
      <c r="D197" s="15" t="s">
        <v>896</v>
      </c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customFormat="false" ht="15.75" hidden="false" customHeight="false" outlineLevel="0" collapsed="false">
      <c r="A198" s="15" t="s">
        <v>899</v>
      </c>
      <c r="B198" s="15" t="s">
        <v>38</v>
      </c>
      <c r="C198" s="15" t="s">
        <v>895</v>
      </c>
      <c r="D198" s="15" t="s">
        <v>896</v>
      </c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 customFormat="false" ht="15.75" hidden="false" customHeight="false" outlineLevel="0" collapsed="false">
      <c r="A199" s="15" t="s">
        <v>900</v>
      </c>
      <c r="B199" s="15" t="s">
        <v>38</v>
      </c>
      <c r="C199" s="15" t="s">
        <v>895</v>
      </c>
      <c r="D199" s="15" t="s">
        <v>896</v>
      </c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 customFormat="false" ht="15.75" hidden="false" customHeight="false" outlineLevel="0" collapsed="false">
      <c r="A200" s="15" t="s">
        <v>901</v>
      </c>
      <c r="B200" s="15" t="s">
        <v>38</v>
      </c>
      <c r="C200" s="15" t="s">
        <v>895</v>
      </c>
      <c r="D200" s="15" t="s">
        <v>902</v>
      </c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 customFormat="false" ht="15.75" hidden="false" customHeight="false" outlineLevel="0" collapsed="false">
      <c r="A201" s="15" t="s">
        <v>903</v>
      </c>
      <c r="B201" s="15" t="s">
        <v>38</v>
      </c>
      <c r="C201" s="15" t="s">
        <v>895</v>
      </c>
      <c r="D201" s="15" t="s">
        <v>902</v>
      </c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customFormat="false" ht="15.75" hidden="false" customHeight="false" outlineLevel="0" collapsed="false">
      <c r="A202" s="15" t="s">
        <v>904</v>
      </c>
      <c r="B202" s="15" t="s">
        <v>38</v>
      </c>
      <c r="C202" s="15" t="s">
        <v>895</v>
      </c>
      <c r="D202" s="15" t="s">
        <v>902</v>
      </c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customFormat="false" ht="15.75" hidden="false" customHeight="false" outlineLevel="0" collapsed="false">
      <c r="A203" s="15" t="s">
        <v>905</v>
      </c>
      <c r="B203" s="15" t="s">
        <v>38</v>
      </c>
      <c r="C203" s="15" t="s">
        <v>895</v>
      </c>
      <c r="D203" s="15" t="s">
        <v>902</v>
      </c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 customFormat="false" ht="15.75" hidden="false" customHeight="false" outlineLevel="0" collapsed="false">
      <c r="A204" s="15" t="s">
        <v>906</v>
      </c>
      <c r="B204" s="15" t="s">
        <v>38</v>
      </c>
      <c r="C204" s="15" t="s">
        <v>895</v>
      </c>
      <c r="D204" s="15" t="s">
        <v>902</v>
      </c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 customFormat="false" ht="15.75" hidden="false" customHeight="false" outlineLevel="0" collapsed="false">
      <c r="A205" s="15" t="s">
        <v>907</v>
      </c>
      <c r="B205" s="15" t="s">
        <v>38</v>
      </c>
      <c r="C205" s="15" t="s">
        <v>895</v>
      </c>
      <c r="D205" s="15" t="s">
        <v>908</v>
      </c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 customFormat="false" ht="15.75" hidden="false" customHeight="false" outlineLevel="0" collapsed="false">
      <c r="A206" s="15" t="s">
        <v>909</v>
      </c>
      <c r="B206" s="15" t="s">
        <v>38</v>
      </c>
      <c r="C206" s="15" t="s">
        <v>777</v>
      </c>
      <c r="D206" s="15" t="s">
        <v>841</v>
      </c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customFormat="false" ht="15.75" hidden="false" customHeight="false" outlineLevel="0" collapsed="false">
      <c r="A207" s="15" t="s">
        <v>910</v>
      </c>
      <c r="B207" s="15" t="s">
        <v>38</v>
      </c>
      <c r="C207" s="15" t="s">
        <v>777</v>
      </c>
      <c r="D207" s="15" t="s">
        <v>841</v>
      </c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 customFormat="false" ht="15.75" hidden="false" customHeight="false" outlineLevel="0" collapsed="false">
      <c r="A208" s="15" t="s">
        <v>911</v>
      </c>
      <c r="B208" s="15" t="s">
        <v>38</v>
      </c>
      <c r="C208" s="15" t="s">
        <v>777</v>
      </c>
      <c r="D208" s="15" t="s">
        <v>841</v>
      </c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 customFormat="false" ht="15.75" hidden="false" customHeight="false" outlineLevel="0" collapsed="false">
      <c r="A209" s="15" t="s">
        <v>912</v>
      </c>
      <c r="B209" s="15" t="s">
        <v>38</v>
      </c>
      <c r="C209" s="15" t="s">
        <v>777</v>
      </c>
      <c r="D209" s="15" t="s">
        <v>841</v>
      </c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 customFormat="false" ht="15.75" hidden="false" customHeight="false" outlineLevel="0" collapsed="false">
      <c r="A210" s="15" t="s">
        <v>913</v>
      </c>
      <c r="B210" s="15" t="s">
        <v>38</v>
      </c>
      <c r="C210" s="15" t="s">
        <v>777</v>
      </c>
      <c r="D210" s="15" t="s">
        <v>841</v>
      </c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 customFormat="false" ht="15.75" hidden="false" customHeight="false" outlineLevel="0" collapsed="false">
      <c r="A211" s="15" t="s">
        <v>914</v>
      </c>
      <c r="B211" s="15" t="s">
        <v>38</v>
      </c>
      <c r="C211" s="15" t="s">
        <v>777</v>
      </c>
      <c r="D211" s="15" t="s">
        <v>841</v>
      </c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 customFormat="false" ht="15.75" hidden="false" customHeight="false" outlineLevel="0" collapsed="false">
      <c r="A212" s="15" t="s">
        <v>915</v>
      </c>
      <c r="B212" s="15" t="s">
        <v>38</v>
      </c>
      <c r="C212" s="15" t="s">
        <v>777</v>
      </c>
      <c r="D212" s="15" t="s">
        <v>841</v>
      </c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 customFormat="false" ht="15.75" hidden="false" customHeight="false" outlineLevel="0" collapsed="false">
      <c r="A213" s="15" t="s">
        <v>916</v>
      </c>
      <c r="B213" s="15" t="s">
        <v>38</v>
      </c>
      <c r="C213" s="15" t="s">
        <v>777</v>
      </c>
      <c r="D213" s="15" t="s">
        <v>866</v>
      </c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 customFormat="false" ht="15.75" hidden="false" customHeight="false" outlineLevel="0" collapsed="false">
      <c r="A214" s="15" t="s">
        <v>917</v>
      </c>
      <c r="B214" s="15" t="s">
        <v>38</v>
      </c>
      <c r="C214" s="15" t="s">
        <v>777</v>
      </c>
      <c r="D214" s="15" t="s">
        <v>866</v>
      </c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 customFormat="false" ht="15.75" hidden="false" customHeight="false" outlineLevel="0" collapsed="false">
      <c r="A215" s="15" t="s">
        <v>918</v>
      </c>
      <c r="B215" s="15" t="s">
        <v>38</v>
      </c>
      <c r="C215" s="15" t="s">
        <v>777</v>
      </c>
      <c r="D215" s="15" t="s">
        <v>919</v>
      </c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 customFormat="false" ht="15.75" hidden="false" customHeight="false" outlineLevel="0" collapsed="false">
      <c r="A216" s="15" t="s">
        <v>920</v>
      </c>
      <c r="B216" s="15" t="s">
        <v>38</v>
      </c>
      <c r="C216" s="15" t="s">
        <v>777</v>
      </c>
      <c r="D216" s="15" t="s">
        <v>919</v>
      </c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 customFormat="false" ht="15.75" hidden="false" customHeight="false" outlineLevel="0" collapsed="false">
      <c r="A217" s="15" t="s">
        <v>921</v>
      </c>
      <c r="B217" s="15" t="s">
        <v>38</v>
      </c>
      <c r="C217" s="15" t="s">
        <v>777</v>
      </c>
      <c r="D217" s="15" t="s">
        <v>919</v>
      </c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customFormat="false" ht="15.75" hidden="false" customHeight="false" outlineLevel="0" collapsed="false">
      <c r="A218" s="15" t="s">
        <v>922</v>
      </c>
      <c r="B218" s="15" t="s">
        <v>38</v>
      </c>
      <c r="C218" s="15" t="s">
        <v>777</v>
      </c>
      <c r="D218" s="15" t="s">
        <v>919</v>
      </c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 customFormat="false" ht="15.75" hidden="false" customHeight="false" outlineLevel="0" collapsed="false">
      <c r="A219" s="15" t="s">
        <v>923</v>
      </c>
      <c r="B219" s="15" t="s">
        <v>90</v>
      </c>
      <c r="C219" s="15" t="s">
        <v>924</v>
      </c>
      <c r="D219" s="15" t="s">
        <v>924</v>
      </c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 customFormat="false" ht="15.75" hidden="false" customHeight="false" outlineLevel="0" collapsed="false">
      <c r="A220" s="15" t="s">
        <v>925</v>
      </c>
      <c r="B220" s="15" t="s">
        <v>90</v>
      </c>
      <c r="C220" s="15" t="s">
        <v>924</v>
      </c>
      <c r="D220" s="15" t="s">
        <v>924</v>
      </c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 customFormat="false" ht="15.75" hidden="false" customHeight="false" outlineLevel="0" collapsed="false">
      <c r="A221" s="15" t="s">
        <v>926</v>
      </c>
      <c r="B221" s="15" t="s">
        <v>90</v>
      </c>
      <c r="C221" s="15" t="s">
        <v>924</v>
      </c>
      <c r="D221" s="15" t="s">
        <v>924</v>
      </c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</row>
    <row r="222" customFormat="false" ht="15.75" hidden="false" customHeight="false" outlineLevel="0" collapsed="false">
      <c r="A222" s="15" t="s">
        <v>927</v>
      </c>
      <c r="B222" s="15" t="s">
        <v>90</v>
      </c>
      <c r="C222" s="15" t="s">
        <v>924</v>
      </c>
      <c r="D222" s="15" t="s">
        <v>924</v>
      </c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</row>
    <row r="223" customFormat="false" ht="15.75" hidden="false" customHeight="false" outlineLevel="0" collapsed="false">
      <c r="A223" s="15" t="s">
        <v>928</v>
      </c>
      <c r="B223" s="15" t="s">
        <v>90</v>
      </c>
      <c r="C223" s="15" t="s">
        <v>929</v>
      </c>
      <c r="D223" s="15" t="s">
        <v>929</v>
      </c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</row>
    <row r="224" customFormat="false" ht="15.75" hidden="false" customHeight="false" outlineLevel="0" collapsed="false">
      <c r="A224" s="15" t="s">
        <v>930</v>
      </c>
      <c r="B224" s="15" t="s">
        <v>90</v>
      </c>
      <c r="C224" s="15" t="s">
        <v>929</v>
      </c>
      <c r="D224" s="15" t="s">
        <v>929</v>
      </c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</row>
    <row r="225" customFormat="false" ht="15.75" hidden="false" customHeight="false" outlineLevel="0" collapsed="false">
      <c r="A225" s="15" t="s">
        <v>931</v>
      </c>
      <c r="B225" s="15" t="s">
        <v>90</v>
      </c>
      <c r="C225" s="15" t="s">
        <v>929</v>
      </c>
      <c r="D225" s="15" t="s">
        <v>929</v>
      </c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</row>
    <row r="226" customFormat="false" ht="15.75" hidden="false" customHeight="false" outlineLevel="0" collapsed="false">
      <c r="A226" s="15" t="s">
        <v>932</v>
      </c>
      <c r="B226" s="15" t="s">
        <v>90</v>
      </c>
      <c r="C226" s="15" t="s">
        <v>929</v>
      </c>
      <c r="D226" s="15" t="s">
        <v>929</v>
      </c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</row>
    <row r="227" customFormat="false" ht="15.75" hidden="false" customHeight="false" outlineLevel="0" collapsed="false">
      <c r="A227" s="15" t="s">
        <v>933</v>
      </c>
      <c r="B227" s="15" t="s">
        <v>90</v>
      </c>
      <c r="C227" s="15" t="s">
        <v>929</v>
      </c>
      <c r="D227" s="15" t="s">
        <v>929</v>
      </c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</row>
    <row r="228" customFormat="false" ht="15.75" hidden="false" customHeight="false" outlineLevel="0" collapsed="false">
      <c r="A228" s="15" t="s">
        <v>934</v>
      </c>
      <c r="B228" s="15" t="s">
        <v>90</v>
      </c>
      <c r="C228" s="15" t="s">
        <v>929</v>
      </c>
      <c r="D228" s="15" t="s">
        <v>929</v>
      </c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 customFormat="false" ht="15.75" hidden="false" customHeight="false" outlineLevel="0" collapsed="false">
      <c r="A229" s="15" t="s">
        <v>935</v>
      </c>
      <c r="B229" s="15" t="s">
        <v>90</v>
      </c>
      <c r="C229" s="15" t="s">
        <v>929</v>
      </c>
      <c r="D229" s="15" t="s">
        <v>929</v>
      </c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</row>
    <row r="230" customFormat="false" ht="15.75" hidden="false" customHeight="false" outlineLevel="0" collapsed="false">
      <c r="A230" s="15" t="s">
        <v>936</v>
      </c>
      <c r="B230" s="15" t="s">
        <v>90</v>
      </c>
      <c r="C230" s="15" t="s">
        <v>929</v>
      </c>
      <c r="D230" s="15" t="s">
        <v>929</v>
      </c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</row>
    <row r="231" customFormat="false" ht="15.75" hidden="false" customHeight="false" outlineLevel="0" collapsed="false">
      <c r="A231" s="15" t="s">
        <v>937</v>
      </c>
      <c r="B231" s="15" t="s">
        <v>90</v>
      </c>
      <c r="C231" s="15" t="s">
        <v>929</v>
      </c>
      <c r="D231" s="15" t="s">
        <v>929</v>
      </c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 customFormat="false" ht="15.75" hidden="false" customHeight="false" outlineLevel="0" collapsed="false">
      <c r="A232" s="15" t="s">
        <v>938</v>
      </c>
      <c r="B232" s="15" t="s">
        <v>90</v>
      </c>
      <c r="C232" s="15" t="s">
        <v>939</v>
      </c>
      <c r="D232" s="15" t="s">
        <v>939</v>
      </c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 customFormat="false" ht="15.75" hidden="false" customHeight="false" outlineLevel="0" collapsed="false">
      <c r="A233" s="15" t="s">
        <v>940</v>
      </c>
      <c r="B233" s="15" t="s">
        <v>90</v>
      </c>
      <c r="C233" s="15" t="s">
        <v>939</v>
      </c>
      <c r="D233" s="15" t="s">
        <v>939</v>
      </c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</row>
    <row r="234" customFormat="false" ht="15.75" hidden="false" customHeight="false" outlineLevel="0" collapsed="false">
      <c r="A234" s="15" t="s">
        <v>941</v>
      </c>
      <c r="B234" s="15" t="s">
        <v>90</v>
      </c>
      <c r="C234" s="15" t="s">
        <v>814</v>
      </c>
      <c r="D234" s="15" t="s">
        <v>924</v>
      </c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</row>
    <row r="235" customFormat="false" ht="15.75" hidden="false" customHeight="false" outlineLevel="0" collapsed="false">
      <c r="A235" s="15" t="s">
        <v>942</v>
      </c>
      <c r="B235" s="15" t="s">
        <v>90</v>
      </c>
      <c r="C235" s="15" t="s">
        <v>814</v>
      </c>
      <c r="D235" s="15" t="s">
        <v>924</v>
      </c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</row>
    <row r="236" customFormat="false" ht="15.75" hidden="false" customHeight="false" outlineLevel="0" collapsed="false">
      <c r="A236" s="15" t="s">
        <v>943</v>
      </c>
      <c r="B236" s="15" t="s">
        <v>90</v>
      </c>
      <c r="C236" s="15" t="s">
        <v>814</v>
      </c>
      <c r="D236" s="15" t="s">
        <v>924</v>
      </c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</row>
    <row r="237" customFormat="false" ht="15.75" hidden="false" customHeight="false" outlineLevel="0" collapsed="false">
      <c r="A237" s="15" t="s">
        <v>944</v>
      </c>
      <c r="B237" s="15" t="s">
        <v>90</v>
      </c>
      <c r="C237" s="15" t="s">
        <v>814</v>
      </c>
      <c r="D237" s="15" t="s">
        <v>924</v>
      </c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</row>
    <row r="238" customFormat="false" ht="15.75" hidden="false" customHeight="false" outlineLevel="0" collapsed="false">
      <c r="A238" s="15" t="s">
        <v>945</v>
      </c>
      <c r="B238" s="15" t="s">
        <v>98</v>
      </c>
      <c r="C238" s="15" t="s">
        <v>946</v>
      </c>
      <c r="D238" s="15" t="s">
        <v>946</v>
      </c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</row>
    <row r="239" customFormat="false" ht="15.75" hidden="false" customHeight="false" outlineLevel="0" collapsed="false">
      <c r="A239" s="15" t="s">
        <v>947</v>
      </c>
      <c r="B239" s="15" t="s">
        <v>98</v>
      </c>
      <c r="C239" s="15" t="s">
        <v>948</v>
      </c>
      <c r="D239" s="15" t="s">
        <v>948</v>
      </c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</row>
    <row r="240" customFormat="false" ht="15.75" hidden="false" customHeight="false" outlineLevel="0" collapsed="false">
      <c r="A240" s="15" t="s">
        <v>949</v>
      </c>
      <c r="B240" s="15" t="s">
        <v>98</v>
      </c>
      <c r="C240" s="15" t="s">
        <v>948</v>
      </c>
      <c r="D240" s="15" t="s">
        <v>948</v>
      </c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</row>
    <row r="241" customFormat="false" ht="15.75" hidden="false" customHeight="false" outlineLevel="0" collapsed="false">
      <c r="A241" s="15" t="s">
        <v>950</v>
      </c>
      <c r="B241" s="15" t="s">
        <v>98</v>
      </c>
      <c r="C241" s="15" t="s">
        <v>948</v>
      </c>
      <c r="D241" s="15" t="s">
        <v>948</v>
      </c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</row>
    <row r="242" customFormat="false" ht="15.75" hidden="false" customHeight="false" outlineLevel="0" collapsed="false">
      <c r="A242" s="15" t="s">
        <v>951</v>
      </c>
      <c r="B242" s="15" t="s">
        <v>98</v>
      </c>
      <c r="C242" s="15" t="s">
        <v>948</v>
      </c>
      <c r="D242" s="15" t="s">
        <v>948</v>
      </c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</row>
    <row r="243" customFormat="false" ht="15.75" hidden="false" customHeight="false" outlineLevel="0" collapsed="false">
      <c r="A243" s="15" t="s">
        <v>952</v>
      </c>
      <c r="B243" s="15" t="s">
        <v>98</v>
      </c>
      <c r="C243" s="15" t="s">
        <v>948</v>
      </c>
      <c r="D243" s="15" t="s">
        <v>948</v>
      </c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</row>
    <row r="244" customFormat="false" ht="15.75" hidden="false" customHeight="false" outlineLevel="0" collapsed="false">
      <c r="A244" s="15" t="s">
        <v>953</v>
      </c>
      <c r="B244" s="15" t="s">
        <v>98</v>
      </c>
      <c r="C244" s="15" t="s">
        <v>948</v>
      </c>
      <c r="D244" s="15" t="s">
        <v>948</v>
      </c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</row>
    <row r="245" customFormat="false" ht="15.75" hidden="false" customHeight="false" outlineLevel="0" collapsed="false">
      <c r="A245" s="15" t="s">
        <v>954</v>
      </c>
      <c r="B245" s="15" t="s">
        <v>255</v>
      </c>
      <c r="C245" s="15" t="s">
        <v>955</v>
      </c>
      <c r="D245" s="15" t="s">
        <v>955</v>
      </c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</row>
    <row r="246" customFormat="false" ht="15.75" hidden="false" customHeight="false" outlineLevel="0" collapsed="false">
      <c r="A246" s="15" t="s">
        <v>956</v>
      </c>
      <c r="B246" s="15" t="s">
        <v>255</v>
      </c>
      <c r="C246" s="15" t="s">
        <v>955</v>
      </c>
      <c r="D246" s="15" t="s">
        <v>955</v>
      </c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</row>
    <row r="247" customFormat="false" ht="15.75" hidden="false" customHeight="false" outlineLevel="0" collapsed="false">
      <c r="A247" s="15" t="s">
        <v>957</v>
      </c>
      <c r="B247" s="15" t="s">
        <v>255</v>
      </c>
      <c r="C247" s="15" t="s">
        <v>955</v>
      </c>
      <c r="D247" s="15" t="s">
        <v>955</v>
      </c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</row>
    <row r="248" customFormat="false" ht="15.75" hidden="false" customHeight="false" outlineLevel="0" collapsed="false">
      <c r="A248" s="15" t="s">
        <v>958</v>
      </c>
      <c r="B248" s="15" t="s">
        <v>255</v>
      </c>
      <c r="C248" s="15" t="s">
        <v>955</v>
      </c>
      <c r="D248" s="15" t="s">
        <v>955</v>
      </c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</row>
    <row r="249" customFormat="false" ht="15.75" hidden="false" customHeight="false" outlineLevel="0" collapsed="false">
      <c r="A249" s="15" t="s">
        <v>959</v>
      </c>
      <c r="B249" s="15" t="s">
        <v>255</v>
      </c>
      <c r="C249" s="15" t="s">
        <v>955</v>
      </c>
      <c r="D249" s="15" t="s">
        <v>955</v>
      </c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</row>
    <row r="250" customFormat="false" ht="15.75" hidden="false" customHeight="false" outlineLevel="0" collapsed="false">
      <c r="A250" s="15" t="s">
        <v>960</v>
      </c>
      <c r="B250" s="15" t="s">
        <v>255</v>
      </c>
      <c r="C250" s="15" t="s">
        <v>961</v>
      </c>
      <c r="D250" s="15" t="s">
        <v>962</v>
      </c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</row>
    <row r="251" customFormat="false" ht="15.75" hidden="false" customHeight="false" outlineLevel="0" collapsed="false">
      <c r="A251" s="15" t="s">
        <v>963</v>
      </c>
      <c r="B251" s="15" t="s">
        <v>31</v>
      </c>
      <c r="C251" s="15" t="s">
        <v>964</v>
      </c>
      <c r="D251" s="15" t="s">
        <v>964</v>
      </c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</row>
    <row r="252" customFormat="false" ht="15.75" hidden="false" customHeight="false" outlineLevel="0" collapsed="false">
      <c r="A252" s="15" t="s">
        <v>965</v>
      </c>
      <c r="B252" s="15" t="s">
        <v>31</v>
      </c>
      <c r="C252" s="15" t="s">
        <v>964</v>
      </c>
      <c r="D252" s="15" t="s">
        <v>964</v>
      </c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</row>
    <row r="253" customFormat="false" ht="15.75" hidden="false" customHeight="false" outlineLevel="0" collapsed="false">
      <c r="A253" s="15" t="s">
        <v>966</v>
      </c>
      <c r="B253" s="15" t="s">
        <v>31</v>
      </c>
      <c r="C253" s="15" t="s">
        <v>964</v>
      </c>
      <c r="D253" s="15" t="s">
        <v>964</v>
      </c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</row>
    <row r="254" customFormat="false" ht="15.75" hidden="false" customHeight="false" outlineLevel="0" collapsed="false">
      <c r="A254" s="15" t="s">
        <v>967</v>
      </c>
      <c r="B254" s="15" t="s">
        <v>31</v>
      </c>
      <c r="C254" s="15" t="s">
        <v>964</v>
      </c>
      <c r="D254" s="15" t="s">
        <v>964</v>
      </c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</row>
    <row r="255" customFormat="false" ht="15.75" hidden="false" customHeight="false" outlineLevel="0" collapsed="false">
      <c r="A255" s="15" t="s">
        <v>968</v>
      </c>
      <c r="B255" s="15" t="s">
        <v>31</v>
      </c>
      <c r="C255" s="15" t="s">
        <v>964</v>
      </c>
      <c r="D255" s="15" t="s">
        <v>964</v>
      </c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</row>
    <row r="256" customFormat="false" ht="15.75" hidden="false" customHeight="false" outlineLevel="0" collapsed="false">
      <c r="A256" s="15" t="s">
        <v>969</v>
      </c>
      <c r="B256" s="15" t="s">
        <v>31</v>
      </c>
      <c r="C256" s="15" t="s">
        <v>964</v>
      </c>
      <c r="D256" s="15" t="s">
        <v>964</v>
      </c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</row>
    <row r="257" customFormat="false" ht="15.75" hidden="false" customHeight="false" outlineLevel="0" collapsed="false">
      <c r="A257" s="15" t="s">
        <v>970</v>
      </c>
      <c r="B257" s="15" t="s">
        <v>31</v>
      </c>
      <c r="C257" s="15" t="s">
        <v>964</v>
      </c>
      <c r="D257" s="15" t="s">
        <v>964</v>
      </c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</row>
    <row r="258" customFormat="false" ht="15.75" hidden="false" customHeight="false" outlineLevel="0" collapsed="false">
      <c r="A258" s="15" t="s">
        <v>971</v>
      </c>
      <c r="B258" s="15" t="s">
        <v>31</v>
      </c>
      <c r="C258" s="15" t="s">
        <v>964</v>
      </c>
      <c r="D258" s="15" t="s">
        <v>964</v>
      </c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</row>
    <row r="259" customFormat="false" ht="15.75" hidden="false" customHeight="false" outlineLevel="0" collapsed="false">
      <c r="A259" s="15" t="s">
        <v>972</v>
      </c>
      <c r="B259" s="15" t="s">
        <v>31</v>
      </c>
      <c r="C259" s="15" t="s">
        <v>964</v>
      </c>
      <c r="D259" s="15" t="s">
        <v>964</v>
      </c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</row>
    <row r="260" customFormat="false" ht="15.75" hidden="false" customHeight="false" outlineLevel="0" collapsed="false">
      <c r="A260" s="15" t="s">
        <v>973</v>
      </c>
      <c r="B260" s="15" t="s">
        <v>31</v>
      </c>
      <c r="C260" s="15" t="s">
        <v>964</v>
      </c>
      <c r="D260" s="15" t="s">
        <v>964</v>
      </c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</row>
    <row r="261" customFormat="false" ht="15.75" hidden="false" customHeight="false" outlineLevel="0" collapsed="false">
      <c r="A261" s="15" t="s">
        <v>974</v>
      </c>
      <c r="B261" s="15" t="s">
        <v>31</v>
      </c>
      <c r="C261" s="15" t="s">
        <v>964</v>
      </c>
      <c r="D261" s="15" t="s">
        <v>964</v>
      </c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</row>
    <row r="262" customFormat="false" ht="15.75" hidden="false" customHeight="false" outlineLevel="0" collapsed="false">
      <c r="A262" s="15" t="s">
        <v>975</v>
      </c>
      <c r="B262" s="15" t="s">
        <v>31</v>
      </c>
      <c r="C262" s="15" t="s">
        <v>964</v>
      </c>
      <c r="D262" s="15" t="s">
        <v>964</v>
      </c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</row>
    <row r="263" customFormat="false" ht="15.75" hidden="false" customHeight="false" outlineLevel="0" collapsed="false">
      <c r="A263" s="15" t="s">
        <v>976</v>
      </c>
      <c r="B263" s="15" t="s">
        <v>31</v>
      </c>
      <c r="C263" s="15" t="s">
        <v>964</v>
      </c>
      <c r="D263" s="15" t="s">
        <v>964</v>
      </c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</row>
    <row r="264" customFormat="false" ht="15.75" hidden="false" customHeight="false" outlineLevel="0" collapsed="false">
      <c r="A264" s="15" t="s">
        <v>977</v>
      </c>
      <c r="B264" s="15" t="s">
        <v>31</v>
      </c>
      <c r="C264" s="15" t="s">
        <v>964</v>
      </c>
      <c r="D264" s="15" t="s">
        <v>964</v>
      </c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</row>
    <row r="265" customFormat="false" ht="15.75" hidden="false" customHeight="false" outlineLevel="0" collapsed="false">
      <c r="A265" s="15" t="s">
        <v>978</v>
      </c>
      <c r="B265" s="15" t="s">
        <v>31</v>
      </c>
      <c r="C265" s="15" t="s">
        <v>964</v>
      </c>
      <c r="D265" s="15" t="s">
        <v>964</v>
      </c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 customFormat="false" ht="15.75" hidden="false" customHeight="false" outlineLevel="0" collapsed="false">
      <c r="A266" s="15" t="s">
        <v>979</v>
      </c>
      <c r="B266" s="15" t="s">
        <v>31</v>
      </c>
      <c r="C266" s="15" t="s">
        <v>964</v>
      </c>
      <c r="D266" s="15" t="s">
        <v>964</v>
      </c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</row>
    <row r="267" customFormat="false" ht="15.75" hidden="false" customHeight="false" outlineLevel="0" collapsed="false">
      <c r="A267" s="15" t="s">
        <v>980</v>
      </c>
      <c r="B267" s="15" t="s">
        <v>31</v>
      </c>
      <c r="C267" s="15" t="s">
        <v>964</v>
      </c>
      <c r="D267" s="15" t="s">
        <v>964</v>
      </c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</row>
    <row r="268" customFormat="false" ht="15.75" hidden="false" customHeight="false" outlineLevel="0" collapsed="false">
      <c r="A268" s="15" t="s">
        <v>981</v>
      </c>
      <c r="B268" s="15" t="s">
        <v>31</v>
      </c>
      <c r="C268" s="15" t="s">
        <v>964</v>
      </c>
      <c r="D268" s="15" t="s">
        <v>964</v>
      </c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</row>
    <row r="269" customFormat="false" ht="15.75" hidden="false" customHeight="false" outlineLevel="0" collapsed="false">
      <c r="A269" s="15" t="s">
        <v>982</v>
      </c>
      <c r="B269" s="15" t="s">
        <v>31</v>
      </c>
      <c r="C269" s="15" t="s">
        <v>964</v>
      </c>
      <c r="D269" s="15" t="s">
        <v>964</v>
      </c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</row>
    <row r="270" customFormat="false" ht="15.75" hidden="false" customHeight="false" outlineLevel="0" collapsed="false">
      <c r="A270" s="15" t="s">
        <v>983</v>
      </c>
      <c r="B270" s="15" t="s">
        <v>31</v>
      </c>
      <c r="C270" s="15" t="s">
        <v>964</v>
      </c>
      <c r="D270" s="15" t="s">
        <v>964</v>
      </c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</row>
    <row r="271" customFormat="false" ht="15.75" hidden="false" customHeight="false" outlineLevel="0" collapsed="false">
      <c r="A271" s="15" t="s">
        <v>984</v>
      </c>
      <c r="B271" s="15" t="s">
        <v>31</v>
      </c>
      <c r="C271" s="15" t="s">
        <v>964</v>
      </c>
      <c r="D271" s="15" t="s">
        <v>964</v>
      </c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</row>
    <row r="272" customFormat="false" ht="15.75" hidden="false" customHeight="false" outlineLevel="0" collapsed="false">
      <c r="A272" s="15" t="s">
        <v>985</v>
      </c>
      <c r="B272" s="15" t="s">
        <v>31</v>
      </c>
      <c r="C272" s="15" t="s">
        <v>964</v>
      </c>
      <c r="D272" s="15" t="s">
        <v>964</v>
      </c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</row>
    <row r="273" customFormat="false" ht="15.75" hidden="false" customHeight="false" outlineLevel="0" collapsed="false">
      <c r="A273" s="15" t="s">
        <v>986</v>
      </c>
      <c r="B273" s="15" t="s">
        <v>31</v>
      </c>
      <c r="C273" s="15" t="s">
        <v>964</v>
      </c>
      <c r="D273" s="15" t="s">
        <v>964</v>
      </c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</row>
    <row r="274" customFormat="false" ht="15.75" hidden="false" customHeight="false" outlineLevel="0" collapsed="false">
      <c r="A274" s="15" t="s">
        <v>987</v>
      </c>
      <c r="B274" s="15" t="s">
        <v>31</v>
      </c>
      <c r="C274" s="15" t="s">
        <v>964</v>
      </c>
      <c r="D274" s="15" t="s">
        <v>964</v>
      </c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</row>
    <row r="275" customFormat="false" ht="15.75" hidden="false" customHeight="false" outlineLevel="0" collapsed="false">
      <c r="A275" s="15" t="s">
        <v>988</v>
      </c>
      <c r="B275" s="15" t="s">
        <v>31</v>
      </c>
      <c r="C275" s="15" t="s">
        <v>964</v>
      </c>
      <c r="D275" s="15" t="s">
        <v>964</v>
      </c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</row>
    <row r="276" customFormat="false" ht="15.75" hidden="false" customHeight="false" outlineLevel="0" collapsed="false">
      <c r="A276" s="15" t="s">
        <v>989</v>
      </c>
      <c r="B276" s="15" t="s">
        <v>31</v>
      </c>
      <c r="C276" s="15" t="s">
        <v>964</v>
      </c>
      <c r="D276" s="15" t="s">
        <v>964</v>
      </c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</row>
    <row r="277" customFormat="false" ht="15.75" hidden="false" customHeight="false" outlineLevel="0" collapsed="false">
      <c r="A277" s="15" t="s">
        <v>990</v>
      </c>
      <c r="B277" s="15" t="s">
        <v>31</v>
      </c>
      <c r="C277" s="15" t="s">
        <v>964</v>
      </c>
      <c r="D277" s="15" t="s">
        <v>964</v>
      </c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</row>
    <row r="278" customFormat="false" ht="15.75" hidden="false" customHeight="false" outlineLevel="0" collapsed="false">
      <c r="A278" s="15" t="s">
        <v>991</v>
      </c>
      <c r="B278" s="15" t="s">
        <v>31</v>
      </c>
      <c r="C278" s="15" t="s">
        <v>964</v>
      </c>
      <c r="D278" s="15" t="s">
        <v>964</v>
      </c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</row>
    <row r="279" customFormat="false" ht="15.75" hidden="false" customHeight="false" outlineLevel="0" collapsed="false">
      <c r="A279" s="15" t="s">
        <v>992</v>
      </c>
      <c r="B279" s="15" t="s">
        <v>31</v>
      </c>
      <c r="C279" s="15" t="s">
        <v>964</v>
      </c>
      <c r="D279" s="15" t="s">
        <v>964</v>
      </c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</row>
    <row r="280" customFormat="false" ht="15.75" hidden="false" customHeight="false" outlineLevel="0" collapsed="false">
      <c r="A280" s="15" t="s">
        <v>993</v>
      </c>
      <c r="B280" s="15" t="s">
        <v>31</v>
      </c>
      <c r="C280" s="15" t="s">
        <v>964</v>
      </c>
      <c r="D280" s="15" t="s">
        <v>964</v>
      </c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</row>
    <row r="281" customFormat="false" ht="15.75" hidden="false" customHeight="false" outlineLevel="0" collapsed="false">
      <c r="A281" s="15" t="s">
        <v>994</v>
      </c>
      <c r="B281" s="15" t="s">
        <v>31</v>
      </c>
      <c r="C281" s="15" t="s">
        <v>964</v>
      </c>
      <c r="D281" s="15" t="s">
        <v>964</v>
      </c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</row>
    <row r="282" customFormat="false" ht="15.75" hidden="false" customHeight="false" outlineLevel="0" collapsed="false">
      <c r="A282" s="15" t="s">
        <v>995</v>
      </c>
      <c r="B282" s="15" t="s">
        <v>31</v>
      </c>
      <c r="C282" s="15" t="s">
        <v>964</v>
      </c>
      <c r="D282" s="15" t="s">
        <v>964</v>
      </c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</row>
    <row r="283" customFormat="false" ht="15.75" hidden="false" customHeight="false" outlineLevel="0" collapsed="false">
      <c r="A283" s="15" t="s">
        <v>996</v>
      </c>
      <c r="B283" s="15" t="s">
        <v>31</v>
      </c>
      <c r="C283" s="15" t="s">
        <v>964</v>
      </c>
      <c r="D283" s="15" t="s">
        <v>964</v>
      </c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</row>
    <row r="284" customFormat="false" ht="15.75" hidden="false" customHeight="false" outlineLevel="0" collapsed="false">
      <c r="A284" s="15" t="s">
        <v>997</v>
      </c>
      <c r="B284" s="15" t="s">
        <v>31</v>
      </c>
      <c r="C284" s="15" t="s">
        <v>964</v>
      </c>
      <c r="D284" s="15" t="s">
        <v>964</v>
      </c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</row>
    <row r="285" customFormat="false" ht="15.75" hidden="false" customHeight="false" outlineLevel="0" collapsed="false">
      <c r="A285" s="15" t="s">
        <v>998</v>
      </c>
      <c r="B285" s="15" t="s">
        <v>31</v>
      </c>
      <c r="C285" s="15" t="s">
        <v>964</v>
      </c>
      <c r="D285" s="15" t="s">
        <v>964</v>
      </c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</row>
    <row r="286" customFormat="false" ht="15.75" hidden="false" customHeight="false" outlineLevel="0" collapsed="false">
      <c r="A286" s="15" t="s">
        <v>999</v>
      </c>
      <c r="B286" s="15" t="s">
        <v>31</v>
      </c>
      <c r="C286" s="15" t="s">
        <v>964</v>
      </c>
      <c r="D286" s="15" t="s">
        <v>964</v>
      </c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</row>
    <row r="287" customFormat="false" ht="15.75" hidden="false" customHeight="false" outlineLevel="0" collapsed="false">
      <c r="A287" s="15" t="s">
        <v>1000</v>
      </c>
      <c r="B287" s="15" t="s">
        <v>31</v>
      </c>
      <c r="C287" s="15" t="s">
        <v>964</v>
      </c>
      <c r="D287" s="15" t="s">
        <v>964</v>
      </c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</row>
    <row r="288" customFormat="false" ht="15.75" hidden="false" customHeight="false" outlineLevel="0" collapsed="false">
      <c r="A288" s="15" t="s">
        <v>1001</v>
      </c>
      <c r="B288" s="15" t="s">
        <v>31</v>
      </c>
      <c r="C288" s="15" t="s">
        <v>964</v>
      </c>
      <c r="D288" s="15" t="s">
        <v>964</v>
      </c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</row>
    <row r="289" customFormat="false" ht="15.75" hidden="false" customHeight="false" outlineLevel="0" collapsed="false">
      <c r="A289" s="15" t="s">
        <v>1002</v>
      </c>
      <c r="B289" s="15" t="s">
        <v>31</v>
      </c>
      <c r="C289" s="15" t="s">
        <v>964</v>
      </c>
      <c r="D289" s="15" t="s">
        <v>964</v>
      </c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</row>
    <row r="290" customFormat="false" ht="15.75" hidden="false" customHeight="false" outlineLevel="0" collapsed="false">
      <c r="A290" s="15" t="s">
        <v>1003</v>
      </c>
      <c r="B290" s="15" t="s">
        <v>31</v>
      </c>
      <c r="C290" s="15" t="s">
        <v>964</v>
      </c>
      <c r="D290" s="15" t="s">
        <v>964</v>
      </c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</row>
    <row r="291" customFormat="false" ht="15.75" hidden="false" customHeight="false" outlineLevel="0" collapsed="false">
      <c r="A291" s="15" t="s">
        <v>1004</v>
      </c>
      <c r="B291" s="15" t="s">
        <v>31</v>
      </c>
      <c r="C291" s="15" t="s">
        <v>964</v>
      </c>
      <c r="D291" s="15" t="s">
        <v>964</v>
      </c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</row>
    <row r="292" customFormat="false" ht="15.75" hidden="false" customHeight="false" outlineLevel="0" collapsed="false">
      <c r="A292" s="15" t="s">
        <v>1005</v>
      </c>
      <c r="B292" s="15" t="s">
        <v>31</v>
      </c>
      <c r="C292" s="15" t="s">
        <v>964</v>
      </c>
      <c r="D292" s="15" t="s">
        <v>964</v>
      </c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</row>
    <row r="293" customFormat="false" ht="15.75" hidden="false" customHeight="false" outlineLevel="0" collapsed="false">
      <c r="A293" s="15" t="s">
        <v>1006</v>
      </c>
      <c r="B293" s="15" t="s">
        <v>31</v>
      </c>
      <c r="C293" s="15" t="s">
        <v>964</v>
      </c>
      <c r="D293" s="15" t="s">
        <v>964</v>
      </c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</row>
    <row r="294" customFormat="false" ht="15.75" hidden="false" customHeight="false" outlineLevel="0" collapsed="false">
      <c r="A294" s="15" t="s">
        <v>1007</v>
      </c>
      <c r="B294" s="15" t="s">
        <v>31</v>
      </c>
      <c r="C294" s="15" t="s">
        <v>964</v>
      </c>
      <c r="D294" s="15" t="s">
        <v>964</v>
      </c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</row>
    <row r="295" customFormat="false" ht="15.75" hidden="false" customHeight="false" outlineLevel="0" collapsed="false">
      <c r="A295" s="15" t="s">
        <v>1008</v>
      </c>
      <c r="B295" s="15" t="s">
        <v>31</v>
      </c>
      <c r="C295" s="15" t="s">
        <v>964</v>
      </c>
      <c r="D295" s="15" t="s">
        <v>964</v>
      </c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</row>
    <row r="296" customFormat="false" ht="15.75" hidden="false" customHeight="false" outlineLevel="0" collapsed="false">
      <c r="A296" s="15" t="s">
        <v>1009</v>
      </c>
      <c r="B296" s="15" t="s">
        <v>31</v>
      </c>
      <c r="C296" s="15" t="s">
        <v>964</v>
      </c>
      <c r="D296" s="15" t="s">
        <v>964</v>
      </c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</row>
    <row r="297" customFormat="false" ht="15.75" hidden="false" customHeight="false" outlineLevel="0" collapsed="false">
      <c r="A297" s="15" t="s">
        <v>1010</v>
      </c>
      <c r="B297" s="15" t="s">
        <v>31</v>
      </c>
      <c r="C297" s="15" t="s">
        <v>964</v>
      </c>
      <c r="D297" s="15" t="s">
        <v>964</v>
      </c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</row>
    <row r="298" customFormat="false" ht="15.75" hidden="false" customHeight="false" outlineLevel="0" collapsed="false">
      <c r="A298" s="15" t="s">
        <v>1011</v>
      </c>
      <c r="B298" s="15" t="s">
        <v>31</v>
      </c>
      <c r="C298" s="15" t="s">
        <v>964</v>
      </c>
      <c r="D298" s="15" t="s">
        <v>964</v>
      </c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</row>
    <row r="299" customFormat="false" ht="15.75" hidden="false" customHeight="false" outlineLevel="0" collapsed="false">
      <c r="A299" s="15" t="s">
        <v>1012</v>
      </c>
      <c r="B299" s="15" t="s">
        <v>31</v>
      </c>
      <c r="C299" s="15" t="s">
        <v>964</v>
      </c>
      <c r="D299" s="15" t="s">
        <v>964</v>
      </c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</row>
    <row r="300" customFormat="false" ht="15.75" hidden="false" customHeight="false" outlineLevel="0" collapsed="false">
      <c r="A300" s="15" t="s">
        <v>1013</v>
      </c>
      <c r="B300" s="15" t="s">
        <v>31</v>
      </c>
      <c r="C300" s="15" t="s">
        <v>964</v>
      </c>
      <c r="D300" s="15" t="s">
        <v>964</v>
      </c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</row>
    <row r="301" customFormat="false" ht="15.75" hidden="false" customHeight="false" outlineLevel="0" collapsed="false">
      <c r="A301" s="15" t="s">
        <v>1014</v>
      </c>
      <c r="B301" s="15" t="s">
        <v>31</v>
      </c>
      <c r="C301" s="15" t="s">
        <v>964</v>
      </c>
      <c r="D301" s="15" t="s">
        <v>964</v>
      </c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</row>
    <row r="302" customFormat="false" ht="15.75" hidden="false" customHeight="false" outlineLevel="0" collapsed="false">
      <c r="A302" s="15" t="s">
        <v>1015</v>
      </c>
      <c r="B302" s="15" t="s">
        <v>31</v>
      </c>
      <c r="C302" s="15" t="s">
        <v>964</v>
      </c>
      <c r="D302" s="15" t="s">
        <v>964</v>
      </c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</row>
    <row r="303" customFormat="false" ht="15.75" hidden="false" customHeight="false" outlineLevel="0" collapsed="false">
      <c r="A303" s="15" t="s">
        <v>1016</v>
      </c>
      <c r="B303" s="15" t="s">
        <v>31</v>
      </c>
      <c r="C303" s="15" t="s">
        <v>964</v>
      </c>
      <c r="D303" s="15" t="s">
        <v>964</v>
      </c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</row>
    <row r="304" customFormat="false" ht="15.75" hidden="false" customHeight="false" outlineLevel="0" collapsed="false">
      <c r="A304" s="15" t="s">
        <v>1017</v>
      </c>
      <c r="B304" s="15" t="s">
        <v>31</v>
      </c>
      <c r="C304" s="15" t="s">
        <v>964</v>
      </c>
      <c r="D304" s="15" t="s">
        <v>964</v>
      </c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</row>
    <row r="305" customFormat="false" ht="15.75" hidden="false" customHeight="false" outlineLevel="0" collapsed="false">
      <c r="A305" s="15" t="s">
        <v>1018</v>
      </c>
      <c r="B305" s="15" t="s">
        <v>31</v>
      </c>
      <c r="C305" s="15" t="s">
        <v>964</v>
      </c>
      <c r="D305" s="15" t="s">
        <v>964</v>
      </c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</row>
    <row r="306" customFormat="false" ht="15.75" hidden="false" customHeight="false" outlineLevel="0" collapsed="false">
      <c r="A306" s="15" t="s">
        <v>1019</v>
      </c>
      <c r="B306" s="15" t="s">
        <v>31</v>
      </c>
      <c r="C306" s="15" t="s">
        <v>964</v>
      </c>
      <c r="D306" s="15" t="s">
        <v>964</v>
      </c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</row>
    <row r="307" customFormat="false" ht="15.75" hidden="false" customHeight="false" outlineLevel="0" collapsed="false">
      <c r="A307" s="15" t="s">
        <v>1020</v>
      </c>
      <c r="B307" s="15" t="s">
        <v>31</v>
      </c>
      <c r="C307" s="15" t="s">
        <v>964</v>
      </c>
      <c r="D307" s="15" t="s">
        <v>964</v>
      </c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</row>
    <row r="308" customFormat="false" ht="15.75" hidden="false" customHeight="false" outlineLevel="0" collapsed="false">
      <c r="A308" s="15" t="s">
        <v>1021</v>
      </c>
      <c r="B308" s="15" t="s">
        <v>31</v>
      </c>
      <c r="C308" s="15" t="s">
        <v>1022</v>
      </c>
      <c r="D308" s="15" t="s">
        <v>1022</v>
      </c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</row>
    <row r="309" customFormat="false" ht="15.75" hidden="false" customHeight="false" outlineLevel="0" collapsed="false">
      <c r="A309" s="15" t="s">
        <v>1023</v>
      </c>
      <c r="B309" s="15" t="s">
        <v>31</v>
      </c>
      <c r="C309" s="15" t="s">
        <v>1022</v>
      </c>
      <c r="D309" s="15" t="s">
        <v>1022</v>
      </c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</row>
    <row r="310" customFormat="false" ht="15.75" hidden="false" customHeight="false" outlineLevel="0" collapsed="false">
      <c r="A310" s="15" t="s">
        <v>1024</v>
      </c>
      <c r="B310" s="15" t="s">
        <v>31</v>
      </c>
      <c r="C310" s="15" t="s">
        <v>1022</v>
      </c>
      <c r="D310" s="15" t="s">
        <v>1022</v>
      </c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</row>
    <row r="311" customFormat="false" ht="15.75" hidden="false" customHeight="false" outlineLevel="0" collapsed="false">
      <c r="A311" s="15" t="s">
        <v>1025</v>
      </c>
      <c r="B311" s="15" t="s">
        <v>31</v>
      </c>
      <c r="C311" s="15" t="s">
        <v>1022</v>
      </c>
      <c r="D311" s="15" t="s">
        <v>1022</v>
      </c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</row>
    <row r="312" customFormat="false" ht="15.75" hidden="false" customHeight="false" outlineLevel="0" collapsed="false">
      <c r="A312" s="15" t="s">
        <v>1026</v>
      </c>
      <c r="B312" s="15" t="s">
        <v>31</v>
      </c>
      <c r="C312" s="15" t="s">
        <v>1022</v>
      </c>
      <c r="D312" s="15" t="s">
        <v>1022</v>
      </c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</row>
    <row r="313" customFormat="false" ht="15.75" hidden="false" customHeight="false" outlineLevel="0" collapsed="false">
      <c r="A313" s="15" t="s">
        <v>1027</v>
      </c>
      <c r="B313" s="15" t="s">
        <v>31</v>
      </c>
      <c r="C313" s="15" t="s">
        <v>1022</v>
      </c>
      <c r="D313" s="15" t="s">
        <v>1022</v>
      </c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</row>
    <row r="314" customFormat="false" ht="15.75" hidden="false" customHeight="false" outlineLevel="0" collapsed="false">
      <c r="A314" s="15" t="s">
        <v>1028</v>
      </c>
      <c r="B314" s="15" t="s">
        <v>31</v>
      </c>
      <c r="C314" s="15" t="s">
        <v>1029</v>
      </c>
      <c r="D314" s="15" t="s">
        <v>1029</v>
      </c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</row>
    <row r="315" customFormat="false" ht="15.75" hidden="false" customHeight="false" outlineLevel="0" collapsed="false">
      <c r="A315" s="15" t="s">
        <v>1030</v>
      </c>
      <c r="B315" s="15" t="s">
        <v>31</v>
      </c>
      <c r="C315" s="15" t="s">
        <v>1029</v>
      </c>
      <c r="D315" s="15" t="s">
        <v>1029</v>
      </c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</row>
    <row r="316" customFormat="false" ht="15.75" hidden="false" customHeight="false" outlineLevel="0" collapsed="false">
      <c r="A316" s="15" t="s">
        <v>1031</v>
      </c>
      <c r="B316" s="15" t="s">
        <v>109</v>
      </c>
      <c r="C316" s="15" t="s">
        <v>1032</v>
      </c>
      <c r="D316" s="15" t="s">
        <v>1033</v>
      </c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</row>
    <row r="317" customFormat="false" ht="15.75" hidden="false" customHeight="false" outlineLevel="0" collapsed="false">
      <c r="A317" s="15" t="s">
        <v>1034</v>
      </c>
      <c r="B317" s="15" t="s">
        <v>109</v>
      </c>
      <c r="C317" s="15" t="s">
        <v>1032</v>
      </c>
      <c r="D317" s="15" t="s">
        <v>1033</v>
      </c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</row>
    <row r="318" customFormat="false" ht="15.75" hidden="false" customHeight="false" outlineLevel="0" collapsed="false">
      <c r="A318" s="15" t="s">
        <v>1035</v>
      </c>
      <c r="B318" s="15" t="s">
        <v>109</v>
      </c>
      <c r="C318" s="15" t="s">
        <v>1032</v>
      </c>
      <c r="D318" s="15" t="s">
        <v>1033</v>
      </c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 customFormat="false" ht="15.75" hidden="false" customHeight="false" outlineLevel="0" collapsed="false">
      <c r="A319" s="15" t="s">
        <v>1036</v>
      </c>
      <c r="B319" s="15" t="s">
        <v>109</v>
      </c>
      <c r="C319" s="15" t="s">
        <v>1032</v>
      </c>
      <c r="D319" s="15" t="s">
        <v>1033</v>
      </c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</row>
    <row r="320" customFormat="false" ht="15.75" hidden="false" customHeight="false" outlineLevel="0" collapsed="false">
      <c r="A320" s="15" t="s">
        <v>1037</v>
      </c>
      <c r="B320" s="15" t="s">
        <v>109</v>
      </c>
      <c r="C320" s="15" t="s">
        <v>1032</v>
      </c>
      <c r="D320" s="15" t="s">
        <v>1033</v>
      </c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</row>
    <row r="321" customFormat="false" ht="15.75" hidden="false" customHeight="false" outlineLevel="0" collapsed="false">
      <c r="A321" s="15" t="s">
        <v>1038</v>
      </c>
      <c r="B321" s="15" t="s">
        <v>109</v>
      </c>
      <c r="C321" s="15" t="s">
        <v>1032</v>
      </c>
      <c r="D321" s="15" t="s">
        <v>1033</v>
      </c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</row>
    <row r="322" customFormat="false" ht="15.75" hidden="false" customHeight="false" outlineLevel="0" collapsed="false">
      <c r="A322" s="15" t="s">
        <v>1039</v>
      </c>
      <c r="B322" s="15" t="s">
        <v>109</v>
      </c>
      <c r="C322" s="15" t="s">
        <v>1032</v>
      </c>
      <c r="D322" s="15" t="s">
        <v>1033</v>
      </c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</row>
    <row r="323" customFormat="false" ht="15.75" hidden="false" customHeight="false" outlineLevel="0" collapsed="false">
      <c r="A323" s="15" t="s">
        <v>1040</v>
      </c>
      <c r="B323" s="15" t="s">
        <v>109</v>
      </c>
      <c r="C323" s="15" t="s">
        <v>1032</v>
      </c>
      <c r="D323" s="15" t="s">
        <v>1033</v>
      </c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</row>
    <row r="324" customFormat="false" ht="15.75" hidden="false" customHeight="false" outlineLevel="0" collapsed="false">
      <c r="A324" s="15" t="s">
        <v>1041</v>
      </c>
      <c r="B324" s="15" t="s">
        <v>109</v>
      </c>
      <c r="C324" s="15" t="s">
        <v>1032</v>
      </c>
      <c r="D324" s="15" t="s">
        <v>1033</v>
      </c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</row>
    <row r="325" customFormat="false" ht="15.75" hidden="false" customHeight="false" outlineLevel="0" collapsed="false">
      <c r="A325" s="15" t="s">
        <v>1042</v>
      </c>
      <c r="B325" s="15" t="s">
        <v>109</v>
      </c>
      <c r="C325" s="15" t="s">
        <v>1032</v>
      </c>
      <c r="D325" s="15" t="s">
        <v>1033</v>
      </c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 customFormat="false" ht="15.75" hidden="false" customHeight="false" outlineLevel="0" collapsed="false">
      <c r="A326" s="15" t="s">
        <v>1043</v>
      </c>
      <c r="B326" s="15" t="s">
        <v>109</v>
      </c>
      <c r="C326" s="15" t="s">
        <v>1032</v>
      </c>
      <c r="D326" s="15" t="s">
        <v>1033</v>
      </c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</row>
    <row r="327" customFormat="false" ht="15.75" hidden="false" customHeight="false" outlineLevel="0" collapsed="false">
      <c r="A327" s="15" t="s">
        <v>1044</v>
      </c>
      <c r="B327" s="15" t="s">
        <v>109</v>
      </c>
      <c r="C327" s="15" t="s">
        <v>1032</v>
      </c>
      <c r="D327" s="15" t="s">
        <v>1033</v>
      </c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</row>
    <row r="328" customFormat="false" ht="15.75" hidden="false" customHeight="false" outlineLevel="0" collapsed="false">
      <c r="A328" s="15" t="s">
        <v>1045</v>
      </c>
      <c r="B328" s="15" t="s">
        <v>109</v>
      </c>
      <c r="C328" s="15" t="s">
        <v>1032</v>
      </c>
      <c r="D328" s="15" t="s">
        <v>1033</v>
      </c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</row>
    <row r="329" customFormat="false" ht="15.75" hidden="false" customHeight="false" outlineLevel="0" collapsed="false">
      <c r="A329" s="15" t="s">
        <v>1046</v>
      </c>
      <c r="B329" s="15" t="s">
        <v>109</v>
      </c>
      <c r="C329" s="15" t="s">
        <v>1032</v>
      </c>
      <c r="D329" s="15" t="s">
        <v>1033</v>
      </c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</row>
    <row r="330" customFormat="false" ht="15.75" hidden="false" customHeight="false" outlineLevel="0" collapsed="false">
      <c r="A330" s="15" t="s">
        <v>1047</v>
      </c>
      <c r="B330" s="15" t="s">
        <v>109</v>
      </c>
      <c r="C330" s="15" t="s">
        <v>1032</v>
      </c>
      <c r="D330" s="15" t="s">
        <v>1033</v>
      </c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</row>
    <row r="331" customFormat="false" ht="15.75" hidden="false" customHeight="false" outlineLevel="0" collapsed="false">
      <c r="A331" s="15" t="s">
        <v>1048</v>
      </c>
      <c r="B331" s="15" t="s">
        <v>109</v>
      </c>
      <c r="C331" s="15" t="s">
        <v>1032</v>
      </c>
      <c r="D331" s="15" t="s">
        <v>1033</v>
      </c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</row>
    <row r="332" customFormat="false" ht="15.75" hidden="false" customHeight="false" outlineLevel="0" collapsed="false">
      <c r="A332" s="15" t="s">
        <v>1049</v>
      </c>
      <c r="B332" s="15" t="s">
        <v>109</v>
      </c>
      <c r="C332" s="15" t="s">
        <v>1032</v>
      </c>
      <c r="D332" s="15" t="s">
        <v>1033</v>
      </c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</row>
    <row r="333" customFormat="false" ht="15.75" hidden="false" customHeight="false" outlineLevel="0" collapsed="false">
      <c r="A333" s="15" t="s">
        <v>1050</v>
      </c>
      <c r="B333" s="15" t="s">
        <v>109</v>
      </c>
      <c r="C333" s="15" t="s">
        <v>1032</v>
      </c>
      <c r="D333" s="15" t="s">
        <v>1033</v>
      </c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</row>
    <row r="334" customFormat="false" ht="15.75" hidden="false" customHeight="false" outlineLevel="0" collapsed="false">
      <c r="A334" s="15" t="s">
        <v>1051</v>
      </c>
      <c r="B334" s="15" t="s">
        <v>109</v>
      </c>
      <c r="C334" s="15" t="s">
        <v>1032</v>
      </c>
      <c r="D334" s="15" t="s">
        <v>1033</v>
      </c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 customFormat="false" ht="15.75" hidden="false" customHeight="false" outlineLevel="0" collapsed="false">
      <c r="A335" s="15" t="s">
        <v>1052</v>
      </c>
      <c r="B335" s="15" t="s">
        <v>109</v>
      </c>
      <c r="C335" s="15" t="s">
        <v>1032</v>
      </c>
      <c r="D335" s="15" t="s">
        <v>1033</v>
      </c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</row>
    <row r="336" customFormat="false" ht="15.75" hidden="false" customHeight="false" outlineLevel="0" collapsed="false">
      <c r="A336" s="15" t="s">
        <v>1053</v>
      </c>
      <c r="B336" s="15" t="s">
        <v>109</v>
      </c>
      <c r="C336" s="15" t="s">
        <v>1032</v>
      </c>
      <c r="D336" s="15" t="s">
        <v>1033</v>
      </c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</row>
    <row r="337" customFormat="false" ht="15.75" hidden="false" customHeight="false" outlineLevel="0" collapsed="false">
      <c r="A337" s="15" t="s">
        <v>1054</v>
      </c>
      <c r="B337" s="15" t="s">
        <v>109</v>
      </c>
      <c r="C337" s="15" t="s">
        <v>1032</v>
      </c>
      <c r="D337" s="15" t="s">
        <v>1033</v>
      </c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</row>
    <row r="338" customFormat="false" ht="15.75" hidden="false" customHeight="false" outlineLevel="0" collapsed="false">
      <c r="A338" s="15" t="s">
        <v>1055</v>
      </c>
      <c r="B338" s="15" t="s">
        <v>109</v>
      </c>
      <c r="C338" s="15" t="s">
        <v>1032</v>
      </c>
      <c r="D338" s="15" t="s">
        <v>1033</v>
      </c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</row>
    <row r="339" customFormat="false" ht="15.75" hidden="false" customHeight="false" outlineLevel="0" collapsed="false">
      <c r="A339" s="15" t="s">
        <v>1056</v>
      </c>
      <c r="B339" s="15" t="s">
        <v>109</v>
      </c>
      <c r="C339" s="15" t="s">
        <v>1032</v>
      </c>
      <c r="D339" s="15" t="s">
        <v>1033</v>
      </c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</row>
    <row r="340" customFormat="false" ht="15.75" hidden="false" customHeight="false" outlineLevel="0" collapsed="false">
      <c r="A340" s="15" t="s">
        <v>1057</v>
      </c>
      <c r="B340" s="15" t="s">
        <v>109</v>
      </c>
      <c r="C340" s="15" t="s">
        <v>1032</v>
      </c>
      <c r="D340" s="15" t="s">
        <v>1058</v>
      </c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</row>
    <row r="341" customFormat="false" ht="15.75" hidden="false" customHeight="false" outlineLevel="0" collapsed="false">
      <c r="A341" s="15" t="s">
        <v>1059</v>
      </c>
      <c r="B341" s="15" t="s">
        <v>109</v>
      </c>
      <c r="C341" s="15" t="s">
        <v>1032</v>
      </c>
      <c r="D341" s="15" t="s">
        <v>1058</v>
      </c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 customFormat="false" ht="15.75" hidden="false" customHeight="false" outlineLevel="0" collapsed="false">
      <c r="A342" s="15" t="s">
        <v>1060</v>
      </c>
      <c r="B342" s="15" t="s">
        <v>109</v>
      </c>
      <c r="C342" s="15" t="s">
        <v>1032</v>
      </c>
      <c r="D342" s="15" t="s">
        <v>1058</v>
      </c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</row>
    <row r="343" customFormat="false" ht="15.75" hidden="false" customHeight="false" outlineLevel="0" collapsed="false">
      <c r="A343" s="15" t="s">
        <v>1061</v>
      </c>
      <c r="B343" s="15" t="s">
        <v>109</v>
      </c>
      <c r="C343" s="15" t="s">
        <v>1032</v>
      </c>
      <c r="D343" s="15" t="s">
        <v>1062</v>
      </c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</row>
    <row r="344" customFormat="false" ht="15.75" hidden="false" customHeight="false" outlineLevel="0" collapsed="false">
      <c r="A344" s="15" t="s">
        <v>1063</v>
      </c>
      <c r="B344" s="15" t="s">
        <v>109</v>
      </c>
      <c r="C344" s="15" t="s">
        <v>1032</v>
      </c>
      <c r="D344" s="15" t="s">
        <v>1062</v>
      </c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</row>
    <row r="345" customFormat="false" ht="15.75" hidden="false" customHeight="false" outlineLevel="0" collapsed="false">
      <c r="A345" s="15" t="s">
        <v>1064</v>
      </c>
      <c r="B345" s="15" t="s">
        <v>109</v>
      </c>
      <c r="C345" s="15" t="s">
        <v>1032</v>
      </c>
      <c r="D345" s="15" t="s">
        <v>1062</v>
      </c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</row>
    <row r="346" customFormat="false" ht="15.75" hidden="false" customHeight="false" outlineLevel="0" collapsed="false">
      <c r="A346" s="15" t="s">
        <v>1065</v>
      </c>
      <c r="B346" s="15" t="s">
        <v>109</v>
      </c>
      <c r="C346" s="15" t="s">
        <v>1066</v>
      </c>
      <c r="D346" s="15" t="s">
        <v>1066</v>
      </c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</row>
    <row r="347" customFormat="false" ht="15.75" hidden="false" customHeight="false" outlineLevel="0" collapsed="false">
      <c r="A347" s="15" t="s">
        <v>1067</v>
      </c>
      <c r="B347" s="15" t="s">
        <v>109</v>
      </c>
      <c r="C347" s="15" t="s">
        <v>1066</v>
      </c>
      <c r="D347" s="15" t="s">
        <v>1066</v>
      </c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</row>
    <row r="348" customFormat="false" ht="15.75" hidden="false" customHeight="false" outlineLevel="0" collapsed="false">
      <c r="A348" s="15" t="s">
        <v>1068</v>
      </c>
      <c r="B348" s="15" t="s">
        <v>109</v>
      </c>
      <c r="C348" s="15" t="s">
        <v>1066</v>
      </c>
      <c r="D348" s="15" t="s">
        <v>1066</v>
      </c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</row>
    <row r="349" customFormat="false" ht="15.75" hidden="false" customHeight="false" outlineLevel="0" collapsed="false">
      <c r="A349" s="15" t="s">
        <v>1069</v>
      </c>
      <c r="B349" s="15" t="s">
        <v>109</v>
      </c>
      <c r="C349" s="15" t="s">
        <v>1066</v>
      </c>
      <c r="D349" s="15" t="s">
        <v>1066</v>
      </c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</row>
    <row r="350" customFormat="false" ht="15.75" hidden="false" customHeight="false" outlineLevel="0" collapsed="false">
      <c r="A350" s="15" t="s">
        <v>1070</v>
      </c>
      <c r="B350" s="15" t="s">
        <v>109</v>
      </c>
      <c r="C350" s="15" t="s">
        <v>1066</v>
      </c>
      <c r="D350" s="15" t="s">
        <v>1066</v>
      </c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</row>
    <row r="351" customFormat="false" ht="15.75" hidden="false" customHeight="false" outlineLevel="0" collapsed="false">
      <c r="A351" s="15" t="s">
        <v>1071</v>
      </c>
      <c r="B351" s="15" t="s">
        <v>109</v>
      </c>
      <c r="C351" s="15" t="s">
        <v>1066</v>
      </c>
      <c r="D351" s="15" t="s">
        <v>1066</v>
      </c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</row>
    <row r="352" customFormat="false" ht="15.75" hidden="false" customHeight="false" outlineLevel="0" collapsed="false">
      <c r="A352" s="15" t="s">
        <v>1072</v>
      </c>
      <c r="B352" s="15" t="s">
        <v>109</v>
      </c>
      <c r="C352" s="15" t="s">
        <v>1066</v>
      </c>
      <c r="D352" s="15" t="s">
        <v>1066</v>
      </c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</row>
    <row r="353" customFormat="false" ht="15.75" hidden="false" customHeight="false" outlineLevel="0" collapsed="false">
      <c r="A353" s="15" t="s">
        <v>1073</v>
      </c>
      <c r="B353" s="15" t="s">
        <v>109</v>
      </c>
      <c r="C353" s="15" t="s">
        <v>1066</v>
      </c>
      <c r="D353" s="15" t="s">
        <v>1066</v>
      </c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</row>
    <row r="354" customFormat="false" ht="15.75" hidden="false" customHeight="false" outlineLevel="0" collapsed="false">
      <c r="A354" s="15" t="s">
        <v>1074</v>
      </c>
      <c r="B354" s="15" t="s">
        <v>109</v>
      </c>
      <c r="C354" s="15" t="s">
        <v>1066</v>
      </c>
      <c r="D354" s="15" t="s">
        <v>1066</v>
      </c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</row>
    <row r="355" customFormat="false" ht="15.75" hidden="false" customHeight="false" outlineLevel="0" collapsed="false">
      <c r="A355" s="15" t="s">
        <v>1075</v>
      </c>
      <c r="B355" s="15" t="s">
        <v>109</v>
      </c>
      <c r="C355" s="15" t="s">
        <v>1066</v>
      </c>
      <c r="D355" s="15" t="s">
        <v>1066</v>
      </c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</row>
    <row r="356" customFormat="false" ht="15.75" hidden="false" customHeight="false" outlineLevel="0" collapsed="false">
      <c r="A356" s="15" t="s">
        <v>1076</v>
      </c>
      <c r="B356" s="15" t="s">
        <v>109</v>
      </c>
      <c r="C356" s="15" t="s">
        <v>1066</v>
      </c>
      <c r="D356" s="15" t="s">
        <v>1066</v>
      </c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</row>
    <row r="357" customFormat="false" ht="15.75" hidden="false" customHeight="false" outlineLevel="0" collapsed="false">
      <c r="A357" s="15" t="s">
        <v>1077</v>
      </c>
      <c r="B357" s="15" t="s">
        <v>109</v>
      </c>
      <c r="C357" s="15" t="s">
        <v>1066</v>
      </c>
      <c r="D357" s="15" t="s">
        <v>1066</v>
      </c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</row>
    <row r="358" customFormat="false" ht="15.75" hidden="false" customHeight="false" outlineLevel="0" collapsed="false">
      <c r="A358" s="15" t="s">
        <v>1078</v>
      </c>
      <c r="B358" s="15" t="s">
        <v>109</v>
      </c>
      <c r="C358" s="15" t="s">
        <v>1066</v>
      </c>
      <c r="D358" s="15" t="s">
        <v>1066</v>
      </c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</row>
    <row r="359" customFormat="false" ht="15.75" hidden="false" customHeight="false" outlineLevel="0" collapsed="false">
      <c r="A359" s="15" t="s">
        <v>1079</v>
      </c>
      <c r="B359" s="15" t="s">
        <v>109</v>
      </c>
      <c r="C359" s="15" t="s">
        <v>1066</v>
      </c>
      <c r="D359" s="15" t="s">
        <v>1066</v>
      </c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</row>
    <row r="360" customFormat="false" ht="15.75" hidden="false" customHeight="false" outlineLevel="0" collapsed="false">
      <c r="A360" s="15" t="s">
        <v>1080</v>
      </c>
      <c r="B360" s="15" t="s">
        <v>109</v>
      </c>
      <c r="C360" s="15" t="s">
        <v>1066</v>
      </c>
      <c r="D360" s="15" t="s">
        <v>1066</v>
      </c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</row>
    <row r="361" customFormat="false" ht="15.75" hidden="false" customHeight="false" outlineLevel="0" collapsed="false">
      <c r="A361" s="15" t="s">
        <v>1081</v>
      </c>
      <c r="B361" s="15" t="s">
        <v>109</v>
      </c>
      <c r="C361" s="15" t="s">
        <v>1082</v>
      </c>
      <c r="D361" s="15" t="s">
        <v>1083</v>
      </c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</row>
    <row r="362" customFormat="false" ht="15.75" hidden="false" customHeight="false" outlineLevel="0" collapsed="false">
      <c r="A362" s="15" t="s">
        <v>1084</v>
      </c>
      <c r="B362" s="15" t="s">
        <v>109</v>
      </c>
      <c r="C362" s="15" t="s">
        <v>1082</v>
      </c>
      <c r="D362" s="15" t="s">
        <v>1083</v>
      </c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</row>
    <row r="363" customFormat="false" ht="15.75" hidden="false" customHeight="false" outlineLevel="0" collapsed="false">
      <c r="A363" s="15" t="s">
        <v>1085</v>
      </c>
      <c r="B363" s="15" t="s">
        <v>109</v>
      </c>
      <c r="C363" s="15" t="s">
        <v>1082</v>
      </c>
      <c r="D363" s="15" t="s">
        <v>1083</v>
      </c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</row>
    <row r="364" customFormat="false" ht="15.75" hidden="false" customHeight="false" outlineLevel="0" collapsed="false">
      <c r="A364" s="15" t="s">
        <v>1086</v>
      </c>
      <c r="B364" s="15" t="s">
        <v>109</v>
      </c>
      <c r="C364" s="15" t="s">
        <v>1082</v>
      </c>
      <c r="D364" s="15" t="s">
        <v>1083</v>
      </c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</row>
    <row r="365" customFormat="false" ht="15.75" hidden="false" customHeight="false" outlineLevel="0" collapsed="false">
      <c r="A365" s="15" t="s">
        <v>1087</v>
      </c>
      <c r="B365" s="15" t="s">
        <v>109</v>
      </c>
      <c r="C365" s="15" t="s">
        <v>1082</v>
      </c>
      <c r="D365" s="15" t="s">
        <v>1083</v>
      </c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</row>
    <row r="366" customFormat="false" ht="15.75" hidden="false" customHeight="false" outlineLevel="0" collapsed="false">
      <c r="A366" s="15" t="s">
        <v>1088</v>
      </c>
      <c r="B366" s="15" t="s">
        <v>109</v>
      </c>
      <c r="C366" s="15" t="s">
        <v>1082</v>
      </c>
      <c r="D366" s="15" t="s">
        <v>1082</v>
      </c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</row>
    <row r="367" customFormat="false" ht="15.75" hidden="false" customHeight="false" outlineLevel="0" collapsed="false">
      <c r="A367" s="15" t="s">
        <v>1089</v>
      </c>
      <c r="B367" s="15" t="s">
        <v>109</v>
      </c>
      <c r="C367" s="15" t="s">
        <v>1082</v>
      </c>
      <c r="D367" s="15" t="s">
        <v>1082</v>
      </c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 customFormat="false" ht="15.75" hidden="false" customHeight="false" outlineLevel="0" collapsed="false">
      <c r="A368" s="15" t="s">
        <v>1090</v>
      </c>
      <c r="B368" s="15" t="s">
        <v>109</v>
      </c>
      <c r="C368" s="15" t="s">
        <v>1091</v>
      </c>
      <c r="D368" s="15" t="s">
        <v>1092</v>
      </c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</row>
    <row r="369" customFormat="false" ht="15.75" hidden="false" customHeight="false" outlineLevel="0" collapsed="false">
      <c r="A369" s="15" t="s">
        <v>1093</v>
      </c>
      <c r="B369" s="15" t="s">
        <v>109</v>
      </c>
      <c r="C369" s="15" t="s">
        <v>1091</v>
      </c>
      <c r="D369" s="15" t="s">
        <v>1092</v>
      </c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</row>
    <row r="370" customFormat="false" ht="15.75" hidden="false" customHeight="false" outlineLevel="0" collapsed="false">
      <c r="A370" s="15" t="s">
        <v>1094</v>
      </c>
      <c r="B370" s="15" t="s">
        <v>109</v>
      </c>
      <c r="C370" s="15" t="s">
        <v>1091</v>
      </c>
      <c r="D370" s="15" t="s">
        <v>1092</v>
      </c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</row>
    <row r="371" customFormat="false" ht="15.75" hidden="false" customHeight="false" outlineLevel="0" collapsed="false">
      <c r="A371" s="15" t="s">
        <v>1095</v>
      </c>
      <c r="B371" s="15" t="s">
        <v>109</v>
      </c>
      <c r="C371" s="15" t="s">
        <v>1091</v>
      </c>
      <c r="D371" s="15" t="s">
        <v>1092</v>
      </c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</row>
    <row r="372" customFormat="false" ht="15.75" hidden="false" customHeight="false" outlineLevel="0" collapsed="false">
      <c r="A372" s="15" t="s">
        <v>1096</v>
      </c>
      <c r="B372" s="15" t="s">
        <v>109</v>
      </c>
      <c r="C372" s="15" t="s">
        <v>1091</v>
      </c>
      <c r="D372" s="15" t="s">
        <v>1092</v>
      </c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</row>
    <row r="373" customFormat="false" ht="15.75" hidden="false" customHeight="false" outlineLevel="0" collapsed="false">
      <c r="A373" s="15" t="s">
        <v>1097</v>
      </c>
      <c r="B373" s="15" t="s">
        <v>109</v>
      </c>
      <c r="C373" s="15" t="s">
        <v>1091</v>
      </c>
      <c r="D373" s="15" t="s">
        <v>1092</v>
      </c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</row>
    <row r="374" customFormat="false" ht="15.75" hidden="false" customHeight="false" outlineLevel="0" collapsed="false">
      <c r="A374" s="15" t="s">
        <v>1098</v>
      </c>
      <c r="B374" s="15" t="s">
        <v>109</v>
      </c>
      <c r="C374" s="15" t="s">
        <v>1091</v>
      </c>
      <c r="D374" s="15" t="s">
        <v>1099</v>
      </c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</row>
    <row r="375" customFormat="false" ht="15.75" hidden="false" customHeight="false" outlineLevel="0" collapsed="false">
      <c r="A375" s="15" t="s">
        <v>1100</v>
      </c>
      <c r="B375" s="15" t="s">
        <v>109</v>
      </c>
      <c r="C375" s="15" t="s">
        <v>1091</v>
      </c>
      <c r="D375" s="15" t="s">
        <v>1099</v>
      </c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 customFormat="false" ht="15.75" hidden="false" customHeight="false" outlineLevel="0" collapsed="false">
      <c r="A376" s="15" t="s">
        <v>1101</v>
      </c>
      <c r="B376" s="15" t="s">
        <v>109</v>
      </c>
      <c r="C376" s="15" t="s">
        <v>1102</v>
      </c>
      <c r="D376" s="15" t="s">
        <v>1102</v>
      </c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</row>
    <row r="377" customFormat="false" ht="15.75" hidden="false" customHeight="false" outlineLevel="0" collapsed="false">
      <c r="A377" s="15" t="s">
        <v>1103</v>
      </c>
      <c r="B377" s="15" t="s">
        <v>109</v>
      </c>
      <c r="C377" s="15" t="s">
        <v>1102</v>
      </c>
      <c r="D377" s="15" t="s">
        <v>1102</v>
      </c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</row>
    <row r="378" customFormat="false" ht="15.75" hidden="false" customHeight="false" outlineLevel="0" collapsed="false">
      <c r="A378" s="15" t="s">
        <v>1104</v>
      </c>
      <c r="B378" s="15" t="s">
        <v>109</v>
      </c>
      <c r="C378" s="15" t="s">
        <v>1102</v>
      </c>
      <c r="D378" s="15" t="s">
        <v>1102</v>
      </c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</row>
    <row r="379" customFormat="false" ht="15.75" hidden="false" customHeight="false" outlineLevel="0" collapsed="false">
      <c r="A379" s="15" t="s">
        <v>1105</v>
      </c>
      <c r="B379" s="15" t="s">
        <v>109</v>
      </c>
      <c r="C379" s="15" t="s">
        <v>1102</v>
      </c>
      <c r="D379" s="15" t="s">
        <v>1102</v>
      </c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</row>
    <row r="380" customFormat="false" ht="15.75" hidden="false" customHeight="false" outlineLevel="0" collapsed="false">
      <c r="A380" s="15" t="s">
        <v>1106</v>
      </c>
      <c r="B380" s="15" t="s">
        <v>109</v>
      </c>
      <c r="C380" s="15" t="s">
        <v>1102</v>
      </c>
      <c r="D380" s="15" t="s">
        <v>1102</v>
      </c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</row>
    <row r="381" customFormat="false" ht="15.75" hidden="false" customHeight="false" outlineLevel="0" collapsed="false">
      <c r="A381" s="15" t="s">
        <v>1107</v>
      </c>
      <c r="B381" s="15" t="s">
        <v>109</v>
      </c>
      <c r="C381" s="15" t="s">
        <v>1102</v>
      </c>
      <c r="D381" s="15" t="s">
        <v>1102</v>
      </c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</row>
    <row r="382" customFormat="false" ht="15.75" hidden="false" customHeight="false" outlineLevel="0" collapsed="false">
      <c r="A382" s="15" t="s">
        <v>1108</v>
      </c>
      <c r="B382" s="15" t="s">
        <v>109</v>
      </c>
      <c r="C382" s="15" t="s">
        <v>1102</v>
      </c>
      <c r="D382" s="15" t="s">
        <v>1102</v>
      </c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</row>
    <row r="383" customFormat="false" ht="15.75" hidden="false" customHeight="false" outlineLevel="0" collapsed="false">
      <c r="A383" s="15" t="s">
        <v>1109</v>
      </c>
      <c r="B383" s="15" t="s">
        <v>109</v>
      </c>
      <c r="C383" s="15" t="s">
        <v>1102</v>
      </c>
      <c r="D383" s="15" t="s">
        <v>1102</v>
      </c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</row>
    <row r="384" customFormat="false" ht="15.75" hidden="false" customHeight="false" outlineLevel="0" collapsed="false">
      <c r="A384" s="15" t="s">
        <v>1110</v>
      </c>
      <c r="B384" s="15" t="s">
        <v>109</v>
      </c>
      <c r="C384" s="15" t="s">
        <v>1102</v>
      </c>
      <c r="D384" s="15" t="s">
        <v>1102</v>
      </c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</row>
    <row r="385" customFormat="false" ht="15.75" hidden="false" customHeight="false" outlineLevel="0" collapsed="false">
      <c r="A385" s="15" t="s">
        <v>1111</v>
      </c>
      <c r="B385" s="15" t="s">
        <v>109</v>
      </c>
      <c r="C385" s="15" t="s">
        <v>1102</v>
      </c>
      <c r="D385" s="15" t="s">
        <v>1102</v>
      </c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</row>
    <row r="386" customFormat="false" ht="15.75" hidden="false" customHeight="false" outlineLevel="0" collapsed="false">
      <c r="A386" s="15" t="s">
        <v>1112</v>
      </c>
      <c r="B386" s="15" t="s">
        <v>109</v>
      </c>
      <c r="C386" s="15" t="s">
        <v>1102</v>
      </c>
      <c r="D386" s="15" t="s">
        <v>1102</v>
      </c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</row>
    <row r="387" customFormat="false" ht="15.75" hidden="false" customHeight="false" outlineLevel="0" collapsed="false">
      <c r="A387" s="15" t="s">
        <v>1113</v>
      </c>
      <c r="B387" s="15" t="s">
        <v>109</v>
      </c>
      <c r="C387" s="15" t="s">
        <v>1102</v>
      </c>
      <c r="D387" s="15" t="s">
        <v>1102</v>
      </c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</row>
    <row r="388" customFormat="false" ht="15.75" hidden="false" customHeight="false" outlineLevel="0" collapsed="false">
      <c r="A388" s="15" t="s">
        <v>1114</v>
      </c>
      <c r="B388" s="15" t="s">
        <v>109</v>
      </c>
      <c r="C388" s="15" t="s">
        <v>1102</v>
      </c>
      <c r="D388" s="15" t="s">
        <v>1102</v>
      </c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</row>
    <row r="389" customFormat="false" ht="15.75" hidden="false" customHeight="false" outlineLevel="0" collapsed="false">
      <c r="A389" s="15" t="s">
        <v>1115</v>
      </c>
      <c r="B389" s="15" t="s">
        <v>109</v>
      </c>
      <c r="C389" s="15" t="s">
        <v>1102</v>
      </c>
      <c r="D389" s="15" t="s">
        <v>1102</v>
      </c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</row>
    <row r="390" customFormat="false" ht="15.75" hidden="false" customHeight="false" outlineLevel="0" collapsed="false">
      <c r="A390" s="15" t="s">
        <v>1116</v>
      </c>
      <c r="B390" s="15" t="s">
        <v>109</v>
      </c>
      <c r="C390" s="15" t="s">
        <v>1102</v>
      </c>
      <c r="D390" s="15" t="s">
        <v>1117</v>
      </c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</row>
    <row r="391" customFormat="false" ht="15.75" hidden="false" customHeight="false" outlineLevel="0" collapsed="false">
      <c r="A391" s="15" t="s">
        <v>1118</v>
      </c>
      <c r="B391" s="15" t="s">
        <v>109</v>
      </c>
      <c r="C391" s="15" t="s">
        <v>1102</v>
      </c>
      <c r="D391" s="15" t="s">
        <v>1117</v>
      </c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</row>
    <row r="392" customFormat="false" ht="15.75" hidden="false" customHeight="false" outlineLevel="0" collapsed="false">
      <c r="A392" s="15" t="s">
        <v>1119</v>
      </c>
      <c r="B392" s="15" t="s">
        <v>109</v>
      </c>
      <c r="C392" s="15" t="s">
        <v>1120</v>
      </c>
      <c r="D392" s="15" t="s">
        <v>1120</v>
      </c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</row>
    <row r="393" customFormat="false" ht="15.75" hidden="false" customHeight="false" outlineLevel="0" collapsed="false">
      <c r="A393" s="15" t="s">
        <v>1121</v>
      </c>
      <c r="B393" s="15" t="s">
        <v>109</v>
      </c>
      <c r="C393" s="15" t="s">
        <v>1120</v>
      </c>
      <c r="D393" s="15" t="s">
        <v>1120</v>
      </c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</row>
    <row r="394" customFormat="false" ht="15.75" hidden="false" customHeight="false" outlineLevel="0" collapsed="false">
      <c r="A394" s="15" t="s">
        <v>1122</v>
      </c>
      <c r="B394" s="15" t="s">
        <v>109</v>
      </c>
      <c r="C394" s="15" t="s">
        <v>1120</v>
      </c>
      <c r="D394" s="15" t="s">
        <v>1120</v>
      </c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</row>
    <row r="395" customFormat="false" ht="15.75" hidden="false" customHeight="false" outlineLevel="0" collapsed="false">
      <c r="A395" s="15" t="s">
        <v>1123</v>
      </c>
      <c r="B395" s="15" t="s">
        <v>109</v>
      </c>
      <c r="C395" s="15" t="s">
        <v>1124</v>
      </c>
      <c r="D395" s="15" t="s">
        <v>1124</v>
      </c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</row>
    <row r="396" customFormat="false" ht="15.75" hidden="false" customHeight="false" outlineLevel="0" collapsed="false">
      <c r="A396" s="15" t="s">
        <v>1125</v>
      </c>
      <c r="B396" s="15" t="s">
        <v>109</v>
      </c>
      <c r="C396" s="15" t="s">
        <v>1124</v>
      </c>
      <c r="D396" s="15" t="s">
        <v>1124</v>
      </c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</row>
    <row r="397" customFormat="false" ht="15.75" hidden="false" customHeight="false" outlineLevel="0" collapsed="false">
      <c r="A397" s="15" t="s">
        <v>1126</v>
      </c>
      <c r="B397" s="15" t="s">
        <v>109</v>
      </c>
      <c r="C397" s="15" t="s">
        <v>1124</v>
      </c>
      <c r="D397" s="15" t="s">
        <v>1124</v>
      </c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</row>
    <row r="398" customFormat="false" ht="15.75" hidden="false" customHeight="false" outlineLevel="0" collapsed="false">
      <c r="A398" s="15" t="s">
        <v>1127</v>
      </c>
      <c r="B398" s="15" t="s">
        <v>154</v>
      </c>
      <c r="C398" s="15" t="s">
        <v>154</v>
      </c>
      <c r="D398" s="15" t="s">
        <v>154</v>
      </c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</row>
    <row r="399" customFormat="false" ht="15.75" hidden="false" customHeight="false" outlineLevel="0" collapsed="false">
      <c r="A399" s="15" t="s">
        <v>1128</v>
      </c>
      <c r="B399" s="15" t="s">
        <v>154</v>
      </c>
      <c r="C399" s="15" t="s">
        <v>154</v>
      </c>
      <c r="D399" s="15" t="s">
        <v>154</v>
      </c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 customFormat="false" ht="15.75" hidden="false" customHeight="false" outlineLevel="0" collapsed="false">
      <c r="A400" s="15" t="s">
        <v>1129</v>
      </c>
      <c r="B400" s="15" t="s">
        <v>154</v>
      </c>
      <c r="C400" s="15" t="s">
        <v>154</v>
      </c>
      <c r="D400" s="15" t="s">
        <v>154</v>
      </c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</row>
    <row r="401" customFormat="false" ht="15.75" hidden="false" customHeight="false" outlineLevel="0" collapsed="false">
      <c r="A401" s="15" t="s">
        <v>1130</v>
      </c>
      <c r="B401" s="15" t="s">
        <v>154</v>
      </c>
      <c r="C401" s="15" t="s">
        <v>154</v>
      </c>
      <c r="D401" s="15" t="s">
        <v>154</v>
      </c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</row>
    <row r="402" customFormat="false" ht="15.75" hidden="false" customHeight="false" outlineLevel="0" collapsed="false">
      <c r="A402" s="15" t="s">
        <v>1131</v>
      </c>
      <c r="B402" s="15" t="s">
        <v>154</v>
      </c>
      <c r="C402" s="15" t="s">
        <v>154</v>
      </c>
      <c r="D402" s="15" t="s">
        <v>154</v>
      </c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</row>
    <row r="403" customFormat="false" ht="15.75" hidden="false" customHeight="false" outlineLevel="0" collapsed="false">
      <c r="A403" s="15" t="s">
        <v>1132</v>
      </c>
      <c r="B403" s="15" t="s">
        <v>154</v>
      </c>
      <c r="C403" s="15" t="s">
        <v>154</v>
      </c>
      <c r="D403" s="15" t="s">
        <v>154</v>
      </c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</row>
    <row r="404" customFormat="false" ht="15.75" hidden="false" customHeight="false" outlineLevel="0" collapsed="false">
      <c r="A404" s="15" t="s">
        <v>1133</v>
      </c>
      <c r="B404" s="15" t="s">
        <v>154</v>
      </c>
      <c r="C404" s="15" t="s">
        <v>154</v>
      </c>
      <c r="D404" s="15" t="s">
        <v>154</v>
      </c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</row>
    <row r="405" customFormat="false" ht="15.75" hidden="false" customHeight="false" outlineLevel="0" collapsed="false">
      <c r="A405" s="15" t="s">
        <v>1134</v>
      </c>
      <c r="B405" s="15" t="s">
        <v>154</v>
      </c>
      <c r="C405" s="15" t="s">
        <v>154</v>
      </c>
      <c r="D405" s="15" t="s">
        <v>154</v>
      </c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</row>
    <row r="406" customFormat="false" ht="15.75" hidden="false" customHeight="false" outlineLevel="0" collapsed="false">
      <c r="A406" s="15" t="s">
        <v>1135</v>
      </c>
      <c r="B406" s="15" t="s">
        <v>154</v>
      </c>
      <c r="C406" s="15" t="s">
        <v>154</v>
      </c>
      <c r="D406" s="15" t="s">
        <v>154</v>
      </c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 customFormat="false" ht="15.75" hidden="false" customHeight="false" outlineLevel="0" collapsed="false">
      <c r="A407" s="15" t="s">
        <v>1136</v>
      </c>
      <c r="B407" s="15" t="s">
        <v>154</v>
      </c>
      <c r="C407" s="15" t="s">
        <v>154</v>
      </c>
      <c r="D407" s="15" t="s">
        <v>154</v>
      </c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</row>
    <row r="408" customFormat="false" ht="15.75" hidden="false" customHeight="false" outlineLevel="0" collapsed="false">
      <c r="A408" s="15" t="s">
        <v>1137</v>
      </c>
      <c r="B408" s="15" t="s">
        <v>154</v>
      </c>
      <c r="C408" s="15" t="s">
        <v>154</v>
      </c>
      <c r="D408" s="15" t="s">
        <v>154</v>
      </c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</row>
    <row r="409" customFormat="false" ht="15.75" hidden="false" customHeight="false" outlineLevel="0" collapsed="false">
      <c r="A409" s="15" t="s">
        <v>1138</v>
      </c>
      <c r="B409" s="15" t="s">
        <v>154</v>
      </c>
      <c r="C409" s="15" t="s">
        <v>154</v>
      </c>
      <c r="D409" s="15" t="s">
        <v>154</v>
      </c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</row>
    <row r="410" customFormat="false" ht="15.75" hidden="false" customHeight="false" outlineLevel="0" collapsed="false">
      <c r="A410" s="15" t="s">
        <v>1139</v>
      </c>
      <c r="B410" s="15" t="s">
        <v>154</v>
      </c>
      <c r="C410" s="15" t="s">
        <v>154</v>
      </c>
      <c r="D410" s="15" t="s">
        <v>154</v>
      </c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</row>
    <row r="411" customFormat="false" ht="15.75" hidden="false" customHeight="false" outlineLevel="0" collapsed="false">
      <c r="A411" s="15" t="s">
        <v>1140</v>
      </c>
      <c r="B411" s="15" t="s">
        <v>154</v>
      </c>
      <c r="C411" s="15" t="s">
        <v>154</v>
      </c>
      <c r="D411" s="15" t="s">
        <v>154</v>
      </c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 customFormat="false" ht="15.75" hidden="false" customHeight="false" outlineLevel="0" collapsed="false">
      <c r="A412" s="15" t="s">
        <v>1141</v>
      </c>
      <c r="B412" s="15" t="s">
        <v>154</v>
      </c>
      <c r="C412" s="15" t="s">
        <v>154</v>
      </c>
      <c r="D412" s="15" t="s">
        <v>154</v>
      </c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</row>
    <row r="413" customFormat="false" ht="15.75" hidden="false" customHeight="false" outlineLevel="0" collapsed="false">
      <c r="A413" s="15" t="s">
        <v>1142</v>
      </c>
      <c r="B413" s="15" t="s">
        <v>154</v>
      </c>
      <c r="C413" s="15" t="s">
        <v>154</v>
      </c>
      <c r="D413" s="15" t="s">
        <v>154</v>
      </c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</row>
    <row r="414" customFormat="false" ht="15.75" hidden="false" customHeight="false" outlineLevel="0" collapsed="false">
      <c r="A414" s="15" t="s">
        <v>1143</v>
      </c>
      <c r="B414" s="15" t="s">
        <v>154</v>
      </c>
      <c r="C414" s="15" t="s">
        <v>154</v>
      </c>
      <c r="D414" s="15" t="s">
        <v>154</v>
      </c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</row>
    <row r="415" customFormat="false" ht="15.75" hidden="false" customHeight="false" outlineLevel="0" collapsed="false">
      <c r="A415" s="15" t="s">
        <v>1144</v>
      </c>
      <c r="B415" s="15" t="s">
        <v>154</v>
      </c>
      <c r="C415" s="15" t="s">
        <v>154</v>
      </c>
      <c r="D415" s="15" t="s">
        <v>154</v>
      </c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 customFormat="false" ht="15.75" hidden="false" customHeight="false" outlineLevel="0" collapsed="false">
      <c r="A416" s="15" t="s">
        <v>1145</v>
      </c>
      <c r="B416" s="15" t="s">
        <v>154</v>
      </c>
      <c r="C416" s="15" t="s">
        <v>154</v>
      </c>
      <c r="D416" s="15" t="s">
        <v>154</v>
      </c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</row>
    <row r="417" customFormat="false" ht="15.75" hidden="false" customHeight="false" outlineLevel="0" collapsed="false">
      <c r="A417" s="15" t="s">
        <v>1146</v>
      </c>
      <c r="B417" s="15" t="s">
        <v>154</v>
      </c>
      <c r="C417" s="15" t="s">
        <v>154</v>
      </c>
      <c r="D417" s="15" t="s">
        <v>154</v>
      </c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</row>
    <row r="418" customFormat="false" ht="15.75" hidden="false" customHeight="false" outlineLevel="0" collapsed="false">
      <c r="A418" s="15" t="s">
        <v>1147</v>
      </c>
      <c r="B418" s="15" t="s">
        <v>54</v>
      </c>
      <c r="C418" s="15" t="s">
        <v>814</v>
      </c>
      <c r="D418" s="15" t="s">
        <v>815</v>
      </c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</row>
    <row r="419" customFormat="false" ht="15.75" hidden="false" customHeight="false" outlineLevel="0" collapsed="false">
      <c r="A419" s="15" t="s">
        <v>1148</v>
      </c>
      <c r="B419" s="15" t="s">
        <v>38</v>
      </c>
      <c r="C419" s="15" t="s">
        <v>777</v>
      </c>
      <c r="D419" s="15" t="s">
        <v>919</v>
      </c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</row>
    <row r="420" customFormat="false" ht="15.75" hidden="false" customHeight="false" outlineLevel="0" collapsed="false">
      <c r="A420" s="15" t="s">
        <v>1149</v>
      </c>
      <c r="B420" s="15" t="s">
        <v>98</v>
      </c>
      <c r="C420" s="15" t="s">
        <v>948</v>
      </c>
      <c r="D420" s="15" t="s">
        <v>948</v>
      </c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</row>
    <row r="421" customFormat="false" ht="15.75" hidden="false" customHeight="false" outlineLevel="0" collapsed="false">
      <c r="A421" s="15" t="s">
        <v>1150</v>
      </c>
      <c r="B421" s="15" t="s">
        <v>38</v>
      </c>
      <c r="C421" s="15" t="s">
        <v>777</v>
      </c>
      <c r="D421" s="15" t="s">
        <v>919</v>
      </c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</row>
    <row r="422" customFormat="false" ht="15.75" hidden="false" customHeight="false" outlineLevel="0" collapsed="false">
      <c r="A422" s="15" t="s">
        <v>1151</v>
      </c>
      <c r="B422" s="15" t="s">
        <v>38</v>
      </c>
      <c r="C422" s="15" t="s">
        <v>777</v>
      </c>
      <c r="D422" s="15" t="s">
        <v>841</v>
      </c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</row>
    <row r="423" customFormat="false" ht="15.75" hidden="false" customHeight="false" outlineLevel="0" collapsed="false">
      <c r="A423" s="15" t="s">
        <v>1152</v>
      </c>
      <c r="B423" s="15" t="s">
        <v>29</v>
      </c>
      <c r="C423" s="15" t="s">
        <v>731</v>
      </c>
      <c r="D423" s="15" t="s">
        <v>742</v>
      </c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</row>
    <row r="424" customFormat="false" ht="15.75" hidden="false" customHeight="false" outlineLevel="0" collapsed="false">
      <c r="A424" s="15" t="s">
        <v>1153</v>
      </c>
      <c r="B424" s="15" t="s">
        <v>98</v>
      </c>
      <c r="C424" s="15" t="s">
        <v>948</v>
      </c>
      <c r="D424" s="15" t="s">
        <v>948</v>
      </c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</row>
    <row r="425" customFormat="false" ht="15.75" hidden="false" customHeight="false" outlineLevel="0" collapsed="false">
      <c r="A425" s="15" t="s">
        <v>1154</v>
      </c>
      <c r="B425" s="15" t="s">
        <v>109</v>
      </c>
      <c r="C425" s="15" t="s">
        <v>1082</v>
      </c>
      <c r="D425" s="15" t="s">
        <v>1082</v>
      </c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</row>
    <row r="426" customFormat="false" ht="15.75" hidden="false" customHeight="false" outlineLevel="0" collapsed="false">
      <c r="A426" s="15" t="s">
        <v>1155</v>
      </c>
      <c r="B426" s="15" t="s">
        <v>29</v>
      </c>
      <c r="C426" s="15" t="s">
        <v>700</v>
      </c>
      <c r="D426" s="15" t="s">
        <v>700</v>
      </c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</row>
    <row r="427" customFormat="false" ht="15.75" hidden="false" customHeight="false" outlineLevel="0" collapsed="false">
      <c r="A427" s="15" t="s">
        <v>1156</v>
      </c>
      <c r="B427" s="15" t="s">
        <v>38</v>
      </c>
      <c r="C427" s="15" t="s">
        <v>818</v>
      </c>
      <c r="D427" s="15" t="s">
        <v>819</v>
      </c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</row>
    <row r="428" customFormat="false" ht="15.75" hidden="false" customHeight="false" outlineLevel="0" collapsed="false">
      <c r="A428" s="15" t="s">
        <v>1157</v>
      </c>
      <c r="B428" s="15" t="s">
        <v>109</v>
      </c>
      <c r="C428" s="15" t="s">
        <v>1120</v>
      </c>
      <c r="D428" s="15" t="s">
        <v>1120</v>
      </c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</row>
    <row r="429" customFormat="false" ht="15.75" hidden="false" customHeight="false" outlineLevel="0" collapsed="false">
      <c r="A429" s="15" t="s">
        <v>1158</v>
      </c>
      <c r="B429" s="15" t="s">
        <v>38</v>
      </c>
      <c r="C429" s="15" t="s">
        <v>818</v>
      </c>
      <c r="D429" s="15" t="s">
        <v>819</v>
      </c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</row>
    <row r="430" customFormat="false" ht="15.75" hidden="false" customHeight="false" outlineLevel="0" collapsed="false">
      <c r="A430" s="15" t="s">
        <v>1159</v>
      </c>
      <c r="B430" s="15" t="s">
        <v>90</v>
      </c>
      <c r="C430" s="15" t="s">
        <v>814</v>
      </c>
      <c r="D430" s="15" t="s">
        <v>924</v>
      </c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 customFormat="false" ht="15.75" hidden="false" customHeight="false" outlineLevel="0" collapsed="false">
      <c r="A431" s="15" t="s">
        <v>1160</v>
      </c>
      <c r="B431" s="15" t="s">
        <v>38</v>
      </c>
      <c r="C431" s="15" t="s">
        <v>818</v>
      </c>
      <c r="D431" s="15" t="s">
        <v>819</v>
      </c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</row>
    <row r="432" customFormat="false" ht="15.75" hidden="false" customHeight="false" outlineLevel="0" collapsed="false">
      <c r="A432" s="15" t="s">
        <v>1161</v>
      </c>
      <c r="B432" s="15" t="s">
        <v>90</v>
      </c>
      <c r="C432" s="15" t="s">
        <v>814</v>
      </c>
      <c r="D432" s="15" t="s">
        <v>924</v>
      </c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</row>
    <row r="433" customFormat="false" ht="15.75" hidden="false" customHeight="false" outlineLevel="0" collapsed="false">
      <c r="A433" s="15" t="s">
        <v>1162</v>
      </c>
      <c r="B433" s="15" t="s">
        <v>38</v>
      </c>
      <c r="C433" s="15" t="s">
        <v>818</v>
      </c>
      <c r="D433" s="15" t="s">
        <v>819</v>
      </c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</row>
    <row r="434" customFormat="false" ht="15.75" hidden="false" customHeight="false" outlineLevel="0" collapsed="false">
      <c r="A434" s="15" t="s">
        <v>1163</v>
      </c>
      <c r="B434" s="15" t="s">
        <v>29</v>
      </c>
      <c r="C434" s="15" t="s">
        <v>700</v>
      </c>
      <c r="D434" s="15" t="s">
        <v>700</v>
      </c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</row>
    <row r="435" customFormat="false" ht="15.75" hidden="false" customHeight="false" outlineLevel="0" collapsed="false">
      <c r="A435" s="15" t="s">
        <v>1164</v>
      </c>
      <c r="B435" s="15" t="s">
        <v>109</v>
      </c>
      <c r="C435" s="15" t="s">
        <v>1082</v>
      </c>
      <c r="D435" s="15" t="s">
        <v>1083</v>
      </c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</row>
    <row r="436" customFormat="false" ht="15.75" hidden="false" customHeight="false" outlineLevel="0" collapsed="false">
      <c r="A436" s="18" t="s">
        <v>28</v>
      </c>
      <c r="B436" s="15"/>
      <c r="C436" s="15"/>
      <c r="D436" s="15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</row>
    <row r="437" customFormat="false" ht="15.75" hidden="false" customHeight="false" outlineLevel="0" collapsed="false">
      <c r="A437" s="15"/>
      <c r="B437" s="15"/>
      <c r="C437" s="15"/>
      <c r="D437" s="15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 customFormat="false" ht="15.75" hidden="false" customHeight="false" outlineLevel="0" collapsed="false">
      <c r="A438" s="15"/>
      <c r="B438" s="15"/>
      <c r="C438" s="15"/>
      <c r="D438" s="15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</row>
    <row r="439" customFormat="false" ht="15.75" hidden="false" customHeight="false" outlineLevel="0" collapsed="false">
      <c r="A439" s="15"/>
      <c r="B439" s="15"/>
      <c r="C439" s="15"/>
      <c r="D439" s="15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</row>
    <row r="440" customFormat="false" ht="15.75" hidden="false" customHeight="false" outlineLevel="0" collapsed="false">
      <c r="A440" s="15"/>
      <c r="B440" s="15"/>
      <c r="C440" s="15"/>
      <c r="D440" s="15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</row>
    <row r="441" customFormat="false" ht="15.75" hidden="false" customHeight="false" outlineLevel="0" collapsed="false">
      <c r="A441" s="15"/>
      <c r="B441" s="15"/>
      <c r="C441" s="15"/>
      <c r="D441" s="15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</row>
    <row r="442" customFormat="false" ht="15.75" hidden="false" customHeight="false" outlineLevel="0" collapsed="false">
      <c r="A442" s="15"/>
      <c r="B442" s="15"/>
      <c r="C442" s="15"/>
      <c r="D442" s="15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</row>
    <row r="443" customFormat="false" ht="15.75" hidden="false" customHeight="false" outlineLevel="0" collapsed="false">
      <c r="A443" s="15"/>
      <c r="B443" s="15"/>
      <c r="C443" s="15"/>
      <c r="D443" s="15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</row>
    <row r="444" customFormat="false" ht="15.75" hidden="false" customHeight="false" outlineLevel="0" collapsed="false">
      <c r="A444" s="15"/>
      <c r="B444" s="15"/>
      <c r="C444" s="15"/>
      <c r="D444" s="15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</row>
    <row r="445" customFormat="false" ht="15.75" hidden="false" customHeight="false" outlineLevel="0" collapsed="false">
      <c r="A445" s="15"/>
      <c r="B445" s="15"/>
      <c r="C445" s="15"/>
      <c r="D445" s="15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</row>
    <row r="446" customFormat="false" ht="15.75" hidden="false" customHeight="false" outlineLevel="0" collapsed="false">
      <c r="A446" s="15"/>
      <c r="B446" s="15"/>
      <c r="C446" s="15"/>
      <c r="D446" s="15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</row>
    <row r="447" customFormat="false" ht="15.75" hidden="false" customHeight="false" outlineLevel="0" collapsed="false">
      <c r="A447" s="15"/>
      <c r="B447" s="15"/>
      <c r="C447" s="15"/>
      <c r="D447" s="15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</row>
    <row r="448" customFormat="false" ht="15.75" hidden="false" customHeight="false" outlineLevel="0" collapsed="false">
      <c r="A448" s="15"/>
      <c r="B448" s="15"/>
      <c r="C448" s="15"/>
      <c r="D448" s="15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</row>
    <row r="449" customFormat="false" ht="15.75" hidden="false" customHeight="false" outlineLevel="0" collapsed="false">
      <c r="A449" s="15"/>
      <c r="B449" s="15"/>
      <c r="C449" s="15"/>
      <c r="D449" s="15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</row>
    <row r="450" customFormat="false" ht="15.75" hidden="false" customHeight="false" outlineLevel="0" collapsed="false">
      <c r="A450" s="15"/>
      <c r="B450" s="15"/>
      <c r="C450" s="15"/>
      <c r="D450" s="15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</row>
    <row r="451" customFormat="false" ht="15.75" hidden="false" customHeight="false" outlineLevel="0" collapsed="false">
      <c r="A451" s="15"/>
      <c r="B451" s="15"/>
      <c r="C451" s="15"/>
      <c r="D451" s="15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</row>
    <row r="452" customFormat="false" ht="15.75" hidden="false" customHeight="false" outlineLevel="0" collapsed="false">
      <c r="A452" s="15"/>
      <c r="B452" s="15"/>
      <c r="C452" s="15"/>
      <c r="D452" s="15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</row>
    <row r="453" customFormat="false" ht="15.75" hidden="false" customHeight="false" outlineLevel="0" collapsed="false">
      <c r="A453" s="15"/>
      <c r="B453" s="15"/>
      <c r="C453" s="15"/>
      <c r="D453" s="15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</row>
    <row r="454" customFormat="false" ht="15.75" hidden="false" customHeight="false" outlineLevel="0" collapsed="false">
      <c r="A454" s="15"/>
      <c r="B454" s="15"/>
      <c r="C454" s="15"/>
      <c r="D454" s="15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</row>
    <row r="455" customFormat="false" ht="15.75" hidden="false" customHeight="false" outlineLevel="0" collapsed="false">
      <c r="A455" s="15"/>
      <c r="B455" s="15"/>
      <c r="C455" s="15"/>
      <c r="D455" s="15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</row>
    <row r="456" customFormat="false" ht="15.75" hidden="false" customHeight="false" outlineLevel="0" collapsed="false">
      <c r="A456" s="15"/>
      <c r="B456" s="15"/>
      <c r="C456" s="15"/>
      <c r="D456" s="15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</row>
    <row r="457" customFormat="false" ht="15.75" hidden="false" customHeight="false" outlineLevel="0" collapsed="false">
      <c r="A457" s="15"/>
      <c r="B457" s="15"/>
      <c r="C457" s="15"/>
      <c r="D457" s="15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 customFormat="false" ht="15.75" hidden="false" customHeight="false" outlineLevel="0" collapsed="false">
      <c r="A458" s="15"/>
      <c r="B458" s="15"/>
      <c r="C458" s="15"/>
      <c r="D458" s="15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</row>
    <row r="459" customFormat="false" ht="15.75" hidden="false" customHeight="false" outlineLevel="0" collapsed="false">
      <c r="A459" s="15"/>
      <c r="B459" s="15"/>
      <c r="C459" s="15"/>
      <c r="D459" s="15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</row>
    <row r="460" customFormat="false" ht="15.75" hidden="false" customHeight="false" outlineLevel="0" collapsed="false">
      <c r="A460" s="15"/>
      <c r="B460" s="15"/>
      <c r="C460" s="15"/>
      <c r="D460" s="15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</row>
    <row r="461" customFormat="false" ht="15.75" hidden="false" customHeight="false" outlineLevel="0" collapsed="false">
      <c r="A461" s="15"/>
      <c r="B461" s="15"/>
      <c r="C461" s="15"/>
      <c r="D461" s="15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</row>
    <row r="462" customFormat="false" ht="15.75" hidden="false" customHeight="false" outlineLevel="0" collapsed="false">
      <c r="A462" s="15"/>
      <c r="B462" s="15"/>
      <c r="C462" s="15"/>
      <c r="D462" s="15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 customFormat="false" ht="15.75" hidden="false" customHeight="false" outlineLevel="0" collapsed="false">
      <c r="A463" s="15"/>
      <c r="B463" s="15"/>
      <c r="C463" s="15"/>
      <c r="D463" s="15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</row>
    <row r="464" customFormat="false" ht="15.75" hidden="false" customHeight="false" outlineLevel="0" collapsed="false">
      <c r="A464" s="15"/>
      <c r="B464" s="15"/>
      <c r="C464" s="15"/>
      <c r="D464" s="15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</row>
    <row r="465" customFormat="false" ht="15.75" hidden="false" customHeight="false" outlineLevel="0" collapsed="false">
      <c r="A465" s="15"/>
      <c r="B465" s="15"/>
      <c r="C465" s="15"/>
      <c r="D465" s="15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</row>
    <row r="466" customFormat="false" ht="15.75" hidden="false" customHeight="false" outlineLevel="0" collapsed="false">
      <c r="A466" s="15"/>
      <c r="B466" s="15"/>
      <c r="C466" s="15"/>
      <c r="D466" s="15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</row>
    <row r="467" customFormat="false" ht="15.75" hidden="false" customHeight="false" outlineLevel="0" collapsed="false">
      <c r="A467" s="15"/>
      <c r="B467" s="15"/>
      <c r="C467" s="15"/>
      <c r="D467" s="15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</row>
    <row r="468" customFormat="false" ht="15.75" hidden="false" customHeight="false" outlineLevel="0" collapsed="false">
      <c r="A468" s="15"/>
      <c r="B468" s="15"/>
      <c r="C468" s="15"/>
      <c r="D468" s="15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</row>
    <row r="469" customFormat="false" ht="15.75" hidden="false" customHeight="false" outlineLevel="0" collapsed="false">
      <c r="A469" s="15"/>
      <c r="B469" s="15"/>
      <c r="C469" s="15"/>
      <c r="D469" s="15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</row>
    <row r="470" customFormat="false" ht="15.75" hidden="false" customHeight="false" outlineLevel="0" collapsed="false">
      <c r="A470" s="15"/>
      <c r="B470" s="15"/>
      <c r="C470" s="15"/>
      <c r="D470" s="15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</row>
    <row r="471" customFormat="false" ht="15.75" hidden="false" customHeight="false" outlineLevel="0" collapsed="false">
      <c r="A471" s="15"/>
      <c r="B471" s="15"/>
      <c r="C471" s="15"/>
      <c r="D471" s="15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</row>
    <row r="472" customFormat="false" ht="15.75" hidden="false" customHeight="false" outlineLevel="0" collapsed="false">
      <c r="A472" s="15"/>
      <c r="B472" s="15"/>
      <c r="C472" s="15"/>
      <c r="D472" s="15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</row>
    <row r="473" customFormat="false" ht="15.75" hidden="false" customHeight="false" outlineLevel="0" collapsed="false">
      <c r="A473" s="15"/>
      <c r="B473" s="15"/>
      <c r="C473" s="15"/>
      <c r="D473" s="15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</row>
    <row r="474" customFormat="false" ht="15.75" hidden="false" customHeight="false" outlineLevel="0" collapsed="false">
      <c r="A474" s="15"/>
      <c r="B474" s="15"/>
      <c r="C474" s="15"/>
      <c r="D474" s="15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</row>
    <row r="475" customFormat="false" ht="15.75" hidden="false" customHeight="false" outlineLevel="0" collapsed="false">
      <c r="A475" s="15"/>
      <c r="B475" s="15"/>
      <c r="C475" s="15"/>
      <c r="D475" s="15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</row>
    <row r="476" customFormat="false" ht="15.75" hidden="false" customHeight="false" outlineLevel="0" collapsed="false">
      <c r="A476" s="15"/>
      <c r="B476" s="15"/>
      <c r="C476" s="15"/>
      <c r="D476" s="15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</row>
    <row r="477" customFormat="false" ht="15.75" hidden="false" customHeight="false" outlineLevel="0" collapsed="false">
      <c r="A477" s="15"/>
      <c r="B477" s="15"/>
      <c r="C477" s="15"/>
      <c r="D477" s="15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</row>
    <row r="478" customFormat="false" ht="15.75" hidden="false" customHeight="false" outlineLevel="0" collapsed="false">
      <c r="A478" s="15"/>
      <c r="B478" s="15"/>
      <c r="C478" s="15"/>
      <c r="D478" s="15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</row>
    <row r="479" customFormat="false" ht="15.75" hidden="false" customHeight="false" outlineLevel="0" collapsed="false">
      <c r="A479" s="15"/>
      <c r="B479" s="15"/>
      <c r="C479" s="15"/>
      <c r="D479" s="15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</row>
    <row r="480" customFormat="false" ht="15.75" hidden="false" customHeight="false" outlineLevel="0" collapsed="false">
      <c r="A480" s="15"/>
      <c r="B480" s="15"/>
      <c r="C480" s="15"/>
      <c r="D480" s="15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</row>
    <row r="481" customFormat="false" ht="15.75" hidden="false" customHeight="false" outlineLevel="0" collapsed="false">
      <c r="A481" s="15"/>
      <c r="B481" s="15"/>
      <c r="C481" s="15"/>
      <c r="D481" s="15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</row>
    <row r="482" customFormat="false" ht="15.75" hidden="false" customHeight="false" outlineLevel="0" collapsed="false">
      <c r="A482" s="15"/>
      <c r="B482" s="15"/>
      <c r="C482" s="15"/>
      <c r="D482" s="15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</row>
    <row r="483" customFormat="false" ht="15.75" hidden="false" customHeight="false" outlineLevel="0" collapsed="false">
      <c r="A483" s="15"/>
      <c r="B483" s="15"/>
      <c r="C483" s="15"/>
      <c r="D483" s="15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</row>
    <row r="484" customFormat="false" ht="15.75" hidden="false" customHeight="false" outlineLevel="0" collapsed="false">
      <c r="A484" s="15"/>
      <c r="B484" s="15"/>
      <c r="C484" s="15"/>
      <c r="D484" s="15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</row>
    <row r="485" customFormat="false" ht="15.75" hidden="false" customHeight="false" outlineLevel="0" collapsed="false">
      <c r="A485" s="15"/>
      <c r="B485" s="15"/>
      <c r="C485" s="15"/>
      <c r="D485" s="15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</row>
    <row r="486" customFormat="false" ht="15.75" hidden="false" customHeight="false" outlineLevel="0" collapsed="false">
      <c r="A486" s="15"/>
      <c r="B486" s="15"/>
      <c r="C486" s="15"/>
      <c r="D486" s="15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</row>
    <row r="487" customFormat="false" ht="15.75" hidden="false" customHeight="false" outlineLevel="0" collapsed="false">
      <c r="A487" s="15"/>
      <c r="B487" s="15"/>
      <c r="C487" s="15"/>
      <c r="D487" s="15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</row>
    <row r="488" customFormat="false" ht="15.75" hidden="false" customHeight="false" outlineLevel="0" collapsed="false">
      <c r="A488" s="15"/>
      <c r="B488" s="15"/>
      <c r="C488" s="15"/>
      <c r="D488" s="15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</row>
    <row r="489" customFormat="false" ht="15.75" hidden="false" customHeight="false" outlineLevel="0" collapsed="false">
      <c r="A489" s="15"/>
      <c r="B489" s="15"/>
      <c r="C489" s="15"/>
      <c r="D489" s="15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</row>
    <row r="490" customFormat="false" ht="15.75" hidden="false" customHeight="false" outlineLevel="0" collapsed="false">
      <c r="A490" s="15"/>
      <c r="B490" s="15"/>
      <c r="C490" s="15"/>
      <c r="D490" s="15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</row>
    <row r="491" customFormat="false" ht="15.75" hidden="false" customHeight="false" outlineLevel="0" collapsed="false">
      <c r="A491" s="15"/>
      <c r="B491" s="15"/>
      <c r="C491" s="15"/>
      <c r="D491" s="15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</row>
    <row r="492" customFormat="false" ht="15.75" hidden="false" customHeight="false" outlineLevel="0" collapsed="false">
      <c r="A492" s="15"/>
      <c r="B492" s="15"/>
      <c r="C492" s="15"/>
      <c r="D492" s="15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</row>
    <row r="493" customFormat="false" ht="15.75" hidden="false" customHeight="false" outlineLevel="0" collapsed="false">
      <c r="A493" s="15"/>
      <c r="B493" s="15"/>
      <c r="C493" s="15"/>
      <c r="D493" s="15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</row>
    <row r="494" customFormat="false" ht="15.75" hidden="false" customHeight="false" outlineLevel="0" collapsed="false">
      <c r="A494" s="15"/>
      <c r="B494" s="15"/>
      <c r="C494" s="15"/>
      <c r="D494" s="15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 customFormat="false" ht="15.75" hidden="false" customHeight="false" outlineLevel="0" collapsed="false">
      <c r="A495" s="15"/>
      <c r="B495" s="15"/>
      <c r="C495" s="15"/>
      <c r="D495" s="15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</row>
    <row r="496" customFormat="false" ht="15.75" hidden="false" customHeight="false" outlineLevel="0" collapsed="false">
      <c r="A496" s="15"/>
      <c r="B496" s="15"/>
      <c r="C496" s="15"/>
      <c r="D496" s="15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</row>
    <row r="497" customFormat="false" ht="15.75" hidden="false" customHeight="false" outlineLevel="0" collapsed="false">
      <c r="A497" s="15"/>
      <c r="B497" s="15"/>
      <c r="C497" s="15"/>
      <c r="D497" s="15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</row>
    <row r="498" customFormat="false" ht="15.75" hidden="false" customHeight="false" outlineLevel="0" collapsed="false">
      <c r="A498" s="15"/>
      <c r="B498" s="15"/>
      <c r="C498" s="15"/>
      <c r="D498" s="15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</row>
    <row r="499" customFormat="false" ht="15.75" hidden="false" customHeight="false" outlineLevel="0" collapsed="false">
      <c r="A499" s="15"/>
      <c r="B499" s="15"/>
      <c r="C499" s="15"/>
      <c r="D499" s="15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</row>
    <row r="500" customFormat="false" ht="15.75" hidden="false" customHeight="false" outlineLevel="0" collapsed="false">
      <c r="A500" s="15"/>
      <c r="B500" s="15"/>
      <c r="C500" s="15"/>
      <c r="D500" s="15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</row>
    <row r="501" customFormat="false" ht="15.75" hidden="false" customHeight="false" outlineLevel="0" collapsed="false">
      <c r="A501" s="15"/>
      <c r="B501" s="15"/>
      <c r="C501" s="15"/>
      <c r="D501" s="15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</row>
    <row r="502" customFormat="false" ht="15.75" hidden="false" customHeight="false" outlineLevel="0" collapsed="false">
      <c r="A502" s="15"/>
      <c r="B502" s="15"/>
      <c r="C502" s="15"/>
      <c r="D502" s="15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</row>
    <row r="503" customFormat="false" ht="15.75" hidden="false" customHeight="false" outlineLevel="0" collapsed="false">
      <c r="A503" s="15"/>
      <c r="B503" s="15"/>
      <c r="C503" s="15"/>
      <c r="D503" s="15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</row>
    <row r="504" customFormat="false" ht="15.75" hidden="false" customHeight="false" outlineLevel="0" collapsed="false">
      <c r="A504" s="15"/>
      <c r="B504" s="15"/>
      <c r="C504" s="15"/>
      <c r="D504" s="15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</row>
    <row r="505" customFormat="false" ht="15.75" hidden="false" customHeight="false" outlineLevel="0" collapsed="false">
      <c r="A505" s="15"/>
      <c r="B505" s="15"/>
      <c r="C505" s="15"/>
      <c r="D505" s="15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</row>
    <row r="506" customFormat="false" ht="15.75" hidden="false" customHeight="false" outlineLevel="0" collapsed="false">
      <c r="A506" s="15"/>
      <c r="B506" s="15"/>
      <c r="C506" s="15"/>
      <c r="D506" s="15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</row>
    <row r="507" customFormat="false" ht="15.75" hidden="false" customHeight="false" outlineLevel="0" collapsed="false">
      <c r="A507" s="15"/>
      <c r="B507" s="15"/>
      <c r="C507" s="15"/>
      <c r="D507" s="15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</row>
    <row r="508" customFormat="false" ht="15.75" hidden="false" customHeight="false" outlineLevel="0" collapsed="false">
      <c r="A508" s="15"/>
      <c r="B508" s="15"/>
      <c r="C508" s="15"/>
      <c r="D508" s="15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</row>
    <row r="509" customFormat="false" ht="15.75" hidden="false" customHeight="false" outlineLevel="0" collapsed="false">
      <c r="A509" s="15"/>
      <c r="B509" s="15"/>
      <c r="C509" s="15"/>
      <c r="D509" s="15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</row>
    <row r="510" customFormat="false" ht="15.75" hidden="false" customHeight="false" outlineLevel="0" collapsed="false">
      <c r="A510" s="15"/>
      <c r="B510" s="15"/>
      <c r="C510" s="15"/>
      <c r="D510" s="15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</row>
    <row r="511" customFormat="false" ht="15.75" hidden="false" customHeight="false" outlineLevel="0" collapsed="false">
      <c r="A511" s="15"/>
      <c r="B511" s="15"/>
      <c r="C511" s="15"/>
      <c r="D511" s="15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</row>
    <row r="512" customFormat="false" ht="15.75" hidden="false" customHeight="false" outlineLevel="0" collapsed="false">
      <c r="A512" s="15"/>
      <c r="B512" s="15"/>
      <c r="C512" s="15"/>
      <c r="D512" s="15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</row>
    <row r="513" customFormat="false" ht="15.75" hidden="false" customHeight="false" outlineLevel="0" collapsed="false">
      <c r="A513" s="15"/>
      <c r="B513" s="15"/>
      <c r="C513" s="15"/>
      <c r="D513" s="15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</row>
    <row r="514" customFormat="false" ht="15.75" hidden="false" customHeight="false" outlineLevel="0" collapsed="false">
      <c r="A514" s="15"/>
      <c r="B514" s="15"/>
      <c r="C514" s="15"/>
      <c r="D514" s="15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</row>
    <row r="515" customFormat="false" ht="15.75" hidden="false" customHeight="false" outlineLevel="0" collapsed="false">
      <c r="A515" s="15"/>
      <c r="B515" s="15"/>
      <c r="C515" s="15"/>
      <c r="D515" s="15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</row>
    <row r="516" customFormat="false" ht="15.75" hidden="false" customHeight="false" outlineLevel="0" collapsed="false">
      <c r="A516" s="15"/>
      <c r="B516" s="15"/>
      <c r="C516" s="15"/>
      <c r="D516" s="15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</row>
    <row r="517" customFormat="false" ht="15.75" hidden="false" customHeight="false" outlineLevel="0" collapsed="false">
      <c r="A517" s="15"/>
      <c r="B517" s="15"/>
      <c r="C517" s="15"/>
      <c r="D517" s="15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</row>
    <row r="518" customFormat="false" ht="15.75" hidden="false" customHeight="false" outlineLevel="0" collapsed="false">
      <c r="A518" s="15"/>
      <c r="B518" s="15"/>
      <c r="C518" s="15"/>
      <c r="D518" s="15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 customFormat="false" ht="15.75" hidden="false" customHeight="false" outlineLevel="0" collapsed="false">
      <c r="A519" s="15"/>
      <c r="B519" s="15"/>
      <c r="C519" s="15"/>
      <c r="D519" s="15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 customFormat="false" ht="15.75" hidden="false" customHeight="false" outlineLevel="0" collapsed="false">
      <c r="A520" s="15"/>
      <c r="B520" s="15"/>
      <c r="C520" s="15"/>
      <c r="D520" s="15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</row>
    <row r="521" customFormat="false" ht="15.75" hidden="false" customHeight="false" outlineLevel="0" collapsed="false">
      <c r="A521" s="15"/>
      <c r="B521" s="15"/>
      <c r="C521" s="15"/>
      <c r="D521" s="15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</row>
    <row r="522" customFormat="false" ht="15.75" hidden="false" customHeight="false" outlineLevel="0" collapsed="false">
      <c r="A522" s="15"/>
      <c r="B522" s="15"/>
      <c r="C522" s="15"/>
      <c r="D522" s="15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</row>
    <row r="523" customFormat="false" ht="15.75" hidden="false" customHeight="false" outlineLevel="0" collapsed="false">
      <c r="A523" s="15"/>
      <c r="B523" s="15"/>
      <c r="C523" s="15"/>
      <c r="D523" s="15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</row>
    <row r="524" customFormat="false" ht="15.75" hidden="false" customHeight="false" outlineLevel="0" collapsed="false">
      <c r="A524" s="15"/>
      <c r="B524" s="15"/>
      <c r="C524" s="15"/>
      <c r="D524" s="15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</row>
    <row r="525" customFormat="false" ht="15.75" hidden="false" customHeight="false" outlineLevel="0" collapsed="false">
      <c r="A525" s="15"/>
      <c r="B525" s="15"/>
      <c r="C525" s="15"/>
      <c r="D525" s="15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</row>
    <row r="526" customFormat="false" ht="15.75" hidden="false" customHeight="false" outlineLevel="0" collapsed="false">
      <c r="A526" s="15"/>
      <c r="B526" s="15"/>
      <c r="C526" s="15"/>
      <c r="D526" s="15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</row>
    <row r="527" customFormat="false" ht="15.75" hidden="false" customHeight="false" outlineLevel="0" collapsed="false">
      <c r="A527" s="15"/>
      <c r="B527" s="15"/>
      <c r="C527" s="15"/>
      <c r="D527" s="15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</row>
    <row r="528" customFormat="false" ht="15.75" hidden="false" customHeight="false" outlineLevel="0" collapsed="false">
      <c r="A528" s="15"/>
      <c r="B528" s="15"/>
      <c r="C528" s="15"/>
      <c r="D528" s="15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</row>
    <row r="529" customFormat="false" ht="15.75" hidden="false" customHeight="false" outlineLevel="0" collapsed="false">
      <c r="A529" s="15"/>
      <c r="B529" s="15"/>
      <c r="C529" s="15"/>
      <c r="D529" s="15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</row>
    <row r="530" customFormat="false" ht="15.75" hidden="false" customHeight="false" outlineLevel="0" collapsed="false">
      <c r="A530" s="15"/>
      <c r="B530" s="15"/>
      <c r="C530" s="15"/>
      <c r="D530" s="15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</row>
    <row r="531" customFormat="false" ht="15.75" hidden="false" customHeight="false" outlineLevel="0" collapsed="false">
      <c r="A531" s="15"/>
      <c r="B531" s="15"/>
      <c r="C531" s="15"/>
      <c r="D531" s="15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</row>
    <row r="532" customFormat="false" ht="15.75" hidden="false" customHeight="false" outlineLevel="0" collapsed="false">
      <c r="A532" s="15"/>
      <c r="B532" s="15"/>
      <c r="C532" s="15"/>
      <c r="D532" s="15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</row>
    <row r="533" customFormat="false" ht="15.75" hidden="false" customHeight="false" outlineLevel="0" collapsed="false">
      <c r="A533" s="15"/>
      <c r="B533" s="15"/>
      <c r="C533" s="15"/>
      <c r="D533" s="15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</row>
    <row r="534" customFormat="false" ht="15.75" hidden="false" customHeight="false" outlineLevel="0" collapsed="false">
      <c r="A534" s="15"/>
      <c r="B534" s="15"/>
      <c r="C534" s="15"/>
      <c r="D534" s="15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</row>
    <row r="535" customFormat="false" ht="15.75" hidden="false" customHeight="false" outlineLevel="0" collapsed="false">
      <c r="A535" s="15"/>
      <c r="B535" s="15"/>
      <c r="C535" s="15"/>
      <c r="D535" s="15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</row>
    <row r="536" customFormat="false" ht="15.75" hidden="false" customHeight="false" outlineLevel="0" collapsed="false">
      <c r="A536" s="15"/>
      <c r="B536" s="15"/>
      <c r="C536" s="15"/>
      <c r="D536" s="15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</row>
    <row r="537" customFormat="false" ht="15.75" hidden="false" customHeight="false" outlineLevel="0" collapsed="false">
      <c r="A537" s="15"/>
      <c r="B537" s="15"/>
      <c r="C537" s="15"/>
      <c r="D537" s="15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</row>
    <row r="538" customFormat="false" ht="15.75" hidden="false" customHeight="false" outlineLevel="0" collapsed="false">
      <c r="A538" s="15"/>
      <c r="B538" s="15"/>
      <c r="C538" s="15"/>
      <c r="D538" s="15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</row>
    <row r="539" customFormat="false" ht="15.75" hidden="false" customHeight="false" outlineLevel="0" collapsed="false">
      <c r="A539" s="15"/>
      <c r="B539" s="15"/>
      <c r="C539" s="15"/>
      <c r="D539" s="15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</row>
    <row r="540" customFormat="false" ht="15.75" hidden="false" customHeight="false" outlineLevel="0" collapsed="false">
      <c r="A540" s="15"/>
      <c r="B540" s="15"/>
      <c r="C540" s="15"/>
      <c r="D540" s="15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</row>
    <row r="541" customFormat="false" ht="15.75" hidden="false" customHeight="false" outlineLevel="0" collapsed="false">
      <c r="A541" s="15"/>
      <c r="B541" s="15"/>
      <c r="C541" s="15"/>
      <c r="D541" s="15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</row>
    <row r="542" customFormat="false" ht="15.75" hidden="false" customHeight="false" outlineLevel="0" collapsed="false">
      <c r="A542" s="15"/>
      <c r="B542" s="15"/>
      <c r="C542" s="15"/>
      <c r="D542" s="15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</row>
    <row r="543" customFormat="false" ht="15.75" hidden="false" customHeight="false" outlineLevel="0" collapsed="false">
      <c r="A543" s="15"/>
      <c r="B543" s="15"/>
      <c r="C543" s="15"/>
      <c r="D543" s="15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</row>
    <row r="544" customFormat="false" ht="15.75" hidden="false" customHeight="false" outlineLevel="0" collapsed="false">
      <c r="A544" s="15"/>
      <c r="B544" s="15"/>
      <c r="C544" s="15"/>
      <c r="D544" s="15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</row>
    <row r="545" customFormat="false" ht="15.75" hidden="false" customHeight="false" outlineLevel="0" collapsed="false">
      <c r="A545" s="15"/>
      <c r="B545" s="15"/>
      <c r="C545" s="15"/>
      <c r="D545" s="15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</row>
    <row r="546" customFormat="false" ht="15.75" hidden="false" customHeight="false" outlineLevel="0" collapsed="false">
      <c r="A546" s="15"/>
      <c r="B546" s="15"/>
      <c r="C546" s="15"/>
      <c r="D546" s="15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 customFormat="false" ht="15.75" hidden="false" customHeight="false" outlineLevel="0" collapsed="false">
      <c r="A547" s="15"/>
      <c r="B547" s="15"/>
      <c r="C547" s="15"/>
      <c r="D547" s="15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</row>
    <row r="548" customFormat="false" ht="15.75" hidden="false" customHeight="false" outlineLevel="0" collapsed="false">
      <c r="A548" s="15"/>
      <c r="B548" s="15"/>
      <c r="C548" s="15"/>
      <c r="D548" s="15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</row>
    <row r="549" customFormat="false" ht="15.75" hidden="false" customHeight="false" outlineLevel="0" collapsed="false">
      <c r="A549" s="15"/>
      <c r="B549" s="15"/>
      <c r="C549" s="15"/>
      <c r="D549" s="15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</row>
    <row r="550" customFormat="false" ht="15.75" hidden="false" customHeight="false" outlineLevel="0" collapsed="false">
      <c r="A550" s="15"/>
      <c r="B550" s="15"/>
      <c r="C550" s="15"/>
      <c r="D550" s="15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</row>
    <row r="551" customFormat="false" ht="15.75" hidden="false" customHeight="false" outlineLevel="0" collapsed="false">
      <c r="A551" s="15"/>
      <c r="B551" s="15"/>
      <c r="C551" s="15"/>
      <c r="D551" s="15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</row>
    <row r="552" customFormat="false" ht="15.75" hidden="false" customHeight="false" outlineLevel="0" collapsed="false">
      <c r="A552" s="15"/>
      <c r="B552" s="15"/>
      <c r="C552" s="15"/>
      <c r="D552" s="15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 customFormat="false" ht="15.75" hidden="false" customHeight="false" outlineLevel="0" collapsed="false">
      <c r="A553" s="15"/>
      <c r="B553" s="15"/>
      <c r="C553" s="15"/>
      <c r="D553" s="15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</row>
    <row r="554" customFormat="false" ht="15.75" hidden="false" customHeight="false" outlineLevel="0" collapsed="false">
      <c r="A554" s="15"/>
      <c r="B554" s="15"/>
      <c r="C554" s="15"/>
      <c r="D554" s="15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</row>
    <row r="555" customFormat="false" ht="15.75" hidden="false" customHeight="false" outlineLevel="0" collapsed="false">
      <c r="A555" s="15"/>
      <c r="B555" s="15"/>
      <c r="C555" s="15"/>
      <c r="D555" s="15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</row>
    <row r="556" customFormat="false" ht="15.75" hidden="false" customHeight="false" outlineLevel="0" collapsed="false">
      <c r="A556" s="15"/>
      <c r="B556" s="15"/>
      <c r="C556" s="15"/>
      <c r="D556" s="15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</row>
    <row r="557" customFormat="false" ht="15.75" hidden="false" customHeight="false" outlineLevel="0" collapsed="false">
      <c r="A557" s="15"/>
      <c r="B557" s="15"/>
      <c r="C557" s="15"/>
      <c r="D557" s="15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 customFormat="false" ht="15.75" hidden="false" customHeight="false" outlineLevel="0" collapsed="false">
      <c r="A558" s="15"/>
      <c r="B558" s="15"/>
      <c r="C558" s="15"/>
      <c r="D558" s="15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</row>
    <row r="559" customFormat="false" ht="15.75" hidden="false" customHeight="false" outlineLevel="0" collapsed="false">
      <c r="A559" s="15"/>
      <c r="B559" s="15"/>
      <c r="C559" s="15"/>
      <c r="D559" s="15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</row>
    <row r="560" customFormat="false" ht="15.75" hidden="false" customHeight="false" outlineLevel="0" collapsed="false">
      <c r="A560" s="15"/>
      <c r="B560" s="15"/>
      <c r="C560" s="15"/>
      <c r="D560" s="15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</row>
    <row r="561" customFormat="false" ht="15.75" hidden="false" customHeight="false" outlineLevel="0" collapsed="false">
      <c r="A561" s="15"/>
      <c r="B561" s="15"/>
      <c r="C561" s="15"/>
      <c r="D561" s="15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</row>
    <row r="562" customFormat="false" ht="15.75" hidden="false" customHeight="false" outlineLevel="0" collapsed="false">
      <c r="A562" s="15"/>
      <c r="B562" s="15"/>
      <c r="C562" s="15"/>
      <c r="D562" s="15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</row>
    <row r="563" customFormat="false" ht="15.75" hidden="false" customHeight="false" outlineLevel="0" collapsed="false">
      <c r="A563" s="15"/>
      <c r="B563" s="15"/>
      <c r="C563" s="15"/>
      <c r="D563" s="15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</row>
    <row r="564" customFormat="false" ht="15.75" hidden="false" customHeight="false" outlineLevel="0" collapsed="false">
      <c r="A564" s="15"/>
      <c r="B564" s="15"/>
      <c r="C564" s="15"/>
      <c r="D564" s="15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 customFormat="false" ht="15.75" hidden="false" customHeight="false" outlineLevel="0" collapsed="false">
      <c r="A565" s="15"/>
      <c r="B565" s="15"/>
      <c r="C565" s="15"/>
      <c r="D565" s="15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</row>
    <row r="566" customFormat="false" ht="15.75" hidden="false" customHeight="false" outlineLevel="0" collapsed="false">
      <c r="A566" s="15"/>
      <c r="B566" s="15"/>
      <c r="C566" s="15"/>
      <c r="D566" s="15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</row>
    <row r="567" customFormat="false" ht="15.75" hidden="false" customHeight="false" outlineLevel="0" collapsed="false">
      <c r="A567" s="15"/>
      <c r="B567" s="15"/>
      <c r="C567" s="15"/>
      <c r="D567" s="15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 customFormat="false" ht="15.75" hidden="false" customHeight="false" outlineLevel="0" collapsed="false">
      <c r="A568" s="15"/>
      <c r="B568" s="15"/>
      <c r="C568" s="15"/>
      <c r="D568" s="15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 customFormat="false" ht="15.75" hidden="false" customHeight="false" outlineLevel="0" collapsed="false">
      <c r="A569" s="15"/>
      <c r="B569" s="15"/>
      <c r="C569" s="15"/>
      <c r="D569" s="15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 customFormat="false" ht="15.75" hidden="false" customHeight="false" outlineLevel="0" collapsed="false">
      <c r="A570" s="15"/>
      <c r="B570" s="15"/>
      <c r="C570" s="15"/>
      <c r="D570" s="15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 customFormat="false" ht="15.75" hidden="false" customHeight="false" outlineLevel="0" collapsed="false">
      <c r="A571" s="15"/>
      <c r="B571" s="15"/>
      <c r="C571" s="15"/>
      <c r="D571" s="15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</row>
    <row r="572" customFormat="false" ht="15.75" hidden="false" customHeight="false" outlineLevel="0" collapsed="false">
      <c r="A572" s="15"/>
      <c r="B572" s="15"/>
      <c r="C572" s="15"/>
      <c r="D572" s="15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</row>
    <row r="573" customFormat="false" ht="15.75" hidden="false" customHeight="false" outlineLevel="0" collapsed="false">
      <c r="A573" s="15"/>
      <c r="B573" s="15"/>
      <c r="C573" s="15"/>
      <c r="D573" s="15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</row>
    <row r="574" customFormat="false" ht="15.75" hidden="false" customHeight="false" outlineLevel="0" collapsed="false">
      <c r="A574" s="15"/>
      <c r="B574" s="15"/>
      <c r="C574" s="15"/>
      <c r="D574" s="15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</row>
    <row r="575" customFormat="false" ht="15.75" hidden="false" customHeight="false" outlineLevel="0" collapsed="false">
      <c r="A575" s="15"/>
      <c r="B575" s="15"/>
      <c r="C575" s="15"/>
      <c r="D575" s="15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</row>
    <row r="576" customFormat="false" ht="15.75" hidden="false" customHeight="false" outlineLevel="0" collapsed="false">
      <c r="A576" s="15"/>
      <c r="B576" s="15"/>
      <c r="C576" s="15"/>
      <c r="D576" s="15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</row>
    <row r="577" customFormat="false" ht="15.75" hidden="false" customHeight="false" outlineLevel="0" collapsed="false">
      <c r="A577" s="15"/>
      <c r="B577" s="15"/>
      <c r="C577" s="15"/>
      <c r="D577" s="15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</row>
    <row r="578" customFormat="false" ht="15.75" hidden="false" customHeight="false" outlineLevel="0" collapsed="false">
      <c r="A578" s="15"/>
      <c r="B578" s="15"/>
      <c r="C578" s="15"/>
      <c r="D578" s="15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</row>
    <row r="579" customFormat="false" ht="15.75" hidden="false" customHeight="false" outlineLevel="0" collapsed="false">
      <c r="A579" s="15"/>
      <c r="B579" s="15"/>
      <c r="C579" s="15"/>
      <c r="D579" s="15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</row>
    <row r="580" customFormat="false" ht="15.75" hidden="false" customHeight="false" outlineLevel="0" collapsed="false">
      <c r="A580" s="15"/>
      <c r="B580" s="15"/>
      <c r="C580" s="15"/>
      <c r="D580" s="15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</row>
    <row r="581" customFormat="false" ht="15.75" hidden="false" customHeight="false" outlineLevel="0" collapsed="false">
      <c r="A581" s="15"/>
      <c r="B581" s="15"/>
      <c r="C581" s="15"/>
      <c r="D581" s="15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</row>
    <row r="582" customFormat="false" ht="15.75" hidden="false" customHeight="false" outlineLevel="0" collapsed="false">
      <c r="A582" s="15"/>
      <c r="B582" s="15"/>
      <c r="C582" s="15"/>
      <c r="D582" s="15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</row>
    <row r="583" customFormat="false" ht="15.75" hidden="false" customHeight="false" outlineLevel="0" collapsed="false">
      <c r="A583" s="15"/>
      <c r="B583" s="15"/>
      <c r="C583" s="15"/>
      <c r="D583" s="15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</row>
    <row r="584" customFormat="false" ht="15.75" hidden="false" customHeight="false" outlineLevel="0" collapsed="false">
      <c r="A584" s="15"/>
      <c r="B584" s="15"/>
      <c r="C584" s="15"/>
      <c r="D584" s="15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</row>
    <row r="585" customFormat="false" ht="15.75" hidden="false" customHeight="false" outlineLevel="0" collapsed="false">
      <c r="A585" s="15"/>
      <c r="B585" s="15"/>
      <c r="C585" s="15"/>
      <c r="D585" s="15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 customFormat="false" ht="15.75" hidden="false" customHeight="false" outlineLevel="0" collapsed="false">
      <c r="A586" s="15"/>
      <c r="B586" s="15"/>
      <c r="C586" s="15"/>
      <c r="D586" s="15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</row>
    <row r="587" customFormat="false" ht="15.75" hidden="false" customHeight="false" outlineLevel="0" collapsed="false">
      <c r="A587" s="15"/>
      <c r="B587" s="15"/>
      <c r="C587" s="15"/>
      <c r="D587" s="15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</row>
    <row r="588" customFormat="false" ht="15.75" hidden="false" customHeight="false" outlineLevel="0" collapsed="false">
      <c r="A588" s="15"/>
      <c r="B588" s="15"/>
      <c r="C588" s="15"/>
      <c r="D588" s="15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</row>
    <row r="589" customFormat="false" ht="15.75" hidden="false" customHeight="false" outlineLevel="0" collapsed="false">
      <c r="A589" s="15"/>
      <c r="B589" s="15"/>
      <c r="C589" s="15"/>
      <c r="D589" s="15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 customFormat="false" ht="15.75" hidden="false" customHeight="false" outlineLevel="0" collapsed="false">
      <c r="A590" s="15"/>
      <c r="B590" s="15"/>
      <c r="C590" s="15"/>
      <c r="D590" s="15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</row>
    <row r="591" customFormat="false" ht="15.75" hidden="false" customHeight="false" outlineLevel="0" collapsed="false">
      <c r="A591" s="15"/>
      <c r="B591" s="15"/>
      <c r="C591" s="15"/>
      <c r="D591" s="15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</row>
    <row r="592" customFormat="false" ht="15.75" hidden="false" customHeight="false" outlineLevel="0" collapsed="false">
      <c r="A592" s="15"/>
      <c r="B592" s="15"/>
      <c r="C592" s="15"/>
      <c r="D592" s="15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</row>
    <row r="593" customFormat="false" ht="15.75" hidden="false" customHeight="false" outlineLevel="0" collapsed="false">
      <c r="A593" s="15"/>
      <c r="B593" s="15"/>
      <c r="C593" s="15"/>
      <c r="D593" s="15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</row>
    <row r="594" customFormat="false" ht="15.75" hidden="false" customHeight="false" outlineLevel="0" collapsed="false">
      <c r="A594" s="15"/>
      <c r="B594" s="15"/>
      <c r="C594" s="15"/>
      <c r="D594" s="15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</row>
    <row r="595" customFormat="false" ht="15.75" hidden="false" customHeight="false" outlineLevel="0" collapsed="false">
      <c r="A595" s="15"/>
      <c r="B595" s="15"/>
      <c r="C595" s="15"/>
      <c r="D595" s="15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</row>
    <row r="596" customFormat="false" ht="15.75" hidden="false" customHeight="false" outlineLevel="0" collapsed="false">
      <c r="A596" s="15"/>
      <c r="B596" s="15"/>
      <c r="C596" s="15"/>
      <c r="D596" s="15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</row>
    <row r="597" customFormat="false" ht="15.75" hidden="false" customHeight="false" outlineLevel="0" collapsed="false">
      <c r="A597" s="15"/>
      <c r="B597" s="15"/>
      <c r="C597" s="15"/>
      <c r="D597" s="15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</row>
    <row r="598" customFormat="false" ht="15.75" hidden="false" customHeight="false" outlineLevel="0" collapsed="false">
      <c r="A598" s="15"/>
      <c r="B598" s="15"/>
      <c r="C598" s="15"/>
      <c r="D598" s="15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</row>
    <row r="599" customFormat="false" ht="15.75" hidden="false" customHeight="false" outlineLevel="0" collapsed="false">
      <c r="A599" s="15"/>
      <c r="B599" s="15"/>
      <c r="C599" s="15"/>
      <c r="D599" s="15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 customFormat="false" ht="15.75" hidden="false" customHeight="false" outlineLevel="0" collapsed="false">
      <c r="A600" s="15"/>
      <c r="B600" s="15"/>
      <c r="C600" s="15"/>
      <c r="D600" s="15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</row>
    <row r="601" customFormat="false" ht="15.75" hidden="false" customHeight="false" outlineLevel="0" collapsed="false">
      <c r="A601" s="15"/>
      <c r="B601" s="15"/>
      <c r="C601" s="15"/>
      <c r="D601" s="15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</row>
    <row r="602" customFormat="false" ht="15.75" hidden="false" customHeight="false" outlineLevel="0" collapsed="false">
      <c r="A602" s="15"/>
      <c r="B602" s="15"/>
      <c r="C602" s="15"/>
      <c r="D602" s="15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</row>
    <row r="603" customFormat="false" ht="15.75" hidden="false" customHeight="false" outlineLevel="0" collapsed="false">
      <c r="A603" s="15"/>
      <c r="B603" s="15"/>
      <c r="C603" s="15"/>
      <c r="D603" s="15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</row>
    <row r="604" customFormat="false" ht="15.75" hidden="false" customHeight="false" outlineLevel="0" collapsed="false">
      <c r="A604" s="15"/>
      <c r="B604" s="15"/>
      <c r="C604" s="15"/>
      <c r="D604" s="15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</row>
    <row r="605" customFormat="false" ht="15.75" hidden="false" customHeight="false" outlineLevel="0" collapsed="false">
      <c r="A605" s="15"/>
      <c r="B605" s="15"/>
      <c r="C605" s="15"/>
      <c r="D605" s="15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</row>
    <row r="606" customFormat="false" ht="15.75" hidden="false" customHeight="false" outlineLevel="0" collapsed="false">
      <c r="A606" s="15"/>
      <c r="B606" s="15"/>
      <c r="C606" s="15"/>
      <c r="D606" s="15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 customFormat="false" ht="15.75" hidden="false" customHeight="false" outlineLevel="0" collapsed="false">
      <c r="A607" s="15"/>
      <c r="B607" s="15"/>
      <c r="C607" s="15"/>
      <c r="D607" s="15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</row>
    <row r="608" customFormat="false" ht="15.75" hidden="false" customHeight="false" outlineLevel="0" collapsed="false">
      <c r="A608" s="15"/>
      <c r="B608" s="15"/>
      <c r="C608" s="15"/>
      <c r="D608" s="15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</row>
    <row r="609" customFormat="false" ht="15.75" hidden="false" customHeight="false" outlineLevel="0" collapsed="false">
      <c r="A609" s="15"/>
      <c r="B609" s="15"/>
      <c r="C609" s="15"/>
      <c r="D609" s="15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</row>
    <row r="610" customFormat="false" ht="15.75" hidden="false" customHeight="false" outlineLevel="0" collapsed="false">
      <c r="A610" s="15"/>
      <c r="B610" s="15"/>
      <c r="C610" s="15"/>
      <c r="D610" s="15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</row>
    <row r="611" customFormat="false" ht="15.75" hidden="false" customHeight="false" outlineLevel="0" collapsed="false">
      <c r="A611" s="15"/>
      <c r="B611" s="15"/>
      <c r="C611" s="15"/>
      <c r="D611" s="15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</row>
    <row r="612" customFormat="false" ht="15.75" hidden="false" customHeight="false" outlineLevel="0" collapsed="false">
      <c r="A612" s="15"/>
      <c r="B612" s="15"/>
      <c r="C612" s="15"/>
      <c r="D612" s="15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</row>
    <row r="613" customFormat="false" ht="15.75" hidden="false" customHeight="false" outlineLevel="0" collapsed="false">
      <c r="A613" s="15"/>
      <c r="B613" s="15"/>
      <c r="C613" s="15"/>
      <c r="D613" s="15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</row>
    <row r="614" customFormat="false" ht="15.75" hidden="false" customHeight="false" outlineLevel="0" collapsed="false">
      <c r="A614" s="15"/>
      <c r="B614" s="15"/>
      <c r="C614" s="15"/>
      <c r="D614" s="15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</row>
    <row r="615" customFormat="false" ht="15.75" hidden="false" customHeight="false" outlineLevel="0" collapsed="false">
      <c r="A615" s="15"/>
      <c r="B615" s="15"/>
      <c r="C615" s="15"/>
      <c r="D615" s="15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</row>
    <row r="616" customFormat="false" ht="15.75" hidden="false" customHeight="false" outlineLevel="0" collapsed="false">
      <c r="A616" s="15"/>
      <c r="B616" s="15"/>
      <c r="C616" s="15"/>
      <c r="D616" s="15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</row>
    <row r="617" customFormat="false" ht="15.75" hidden="false" customHeight="false" outlineLevel="0" collapsed="false">
      <c r="A617" s="15"/>
      <c r="B617" s="15"/>
      <c r="C617" s="15"/>
      <c r="D617" s="15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</row>
    <row r="618" customFormat="false" ht="15.75" hidden="false" customHeight="false" outlineLevel="0" collapsed="false">
      <c r="A618" s="15"/>
      <c r="B618" s="15"/>
      <c r="C618" s="15"/>
      <c r="D618" s="15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</row>
    <row r="619" customFormat="false" ht="15.75" hidden="false" customHeight="false" outlineLevel="0" collapsed="false">
      <c r="A619" s="15"/>
      <c r="B619" s="15"/>
      <c r="C619" s="15"/>
      <c r="D619" s="15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</row>
    <row r="620" customFormat="false" ht="15.75" hidden="false" customHeight="false" outlineLevel="0" collapsed="false">
      <c r="A620" s="15"/>
      <c r="B620" s="15"/>
      <c r="C620" s="15"/>
      <c r="D620" s="15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</row>
    <row r="621" customFormat="false" ht="15.75" hidden="false" customHeight="false" outlineLevel="0" collapsed="false">
      <c r="A621" s="15"/>
      <c r="B621" s="15"/>
      <c r="C621" s="15"/>
      <c r="D621" s="15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</row>
    <row r="622" customFormat="false" ht="15.75" hidden="false" customHeight="false" outlineLevel="0" collapsed="false">
      <c r="A622" s="15"/>
      <c r="B622" s="15"/>
      <c r="C622" s="15"/>
      <c r="D622" s="15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</row>
    <row r="623" customFormat="false" ht="15.75" hidden="false" customHeight="false" outlineLevel="0" collapsed="false">
      <c r="A623" s="15"/>
      <c r="B623" s="15"/>
      <c r="C623" s="15"/>
      <c r="D623" s="15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</row>
    <row r="624" customFormat="false" ht="15.75" hidden="false" customHeight="false" outlineLevel="0" collapsed="false">
      <c r="A624" s="15"/>
      <c r="B624" s="15"/>
      <c r="C624" s="15"/>
      <c r="D624" s="15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</row>
    <row r="625" customFormat="false" ht="15.75" hidden="false" customHeight="false" outlineLevel="0" collapsed="false">
      <c r="A625" s="15"/>
      <c r="B625" s="15"/>
      <c r="C625" s="15"/>
      <c r="D625" s="15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</row>
    <row r="626" customFormat="false" ht="15.75" hidden="false" customHeight="false" outlineLevel="0" collapsed="false">
      <c r="A626" s="15"/>
      <c r="B626" s="15"/>
      <c r="C626" s="15"/>
      <c r="D626" s="15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</row>
    <row r="627" customFormat="false" ht="15.75" hidden="false" customHeight="false" outlineLevel="0" collapsed="false">
      <c r="A627" s="15"/>
      <c r="B627" s="15"/>
      <c r="C627" s="15"/>
      <c r="D627" s="15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</row>
    <row r="628" customFormat="false" ht="15.75" hidden="false" customHeight="false" outlineLevel="0" collapsed="false">
      <c r="A628" s="15"/>
      <c r="B628" s="15"/>
      <c r="C628" s="15"/>
      <c r="D628" s="15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</row>
    <row r="629" customFormat="false" ht="15.75" hidden="false" customHeight="false" outlineLevel="0" collapsed="false">
      <c r="A629" s="15"/>
      <c r="B629" s="15"/>
      <c r="C629" s="15"/>
      <c r="D629" s="15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</row>
    <row r="630" customFormat="false" ht="15.75" hidden="false" customHeight="false" outlineLevel="0" collapsed="false">
      <c r="A630" s="15"/>
      <c r="B630" s="15"/>
      <c r="C630" s="15"/>
      <c r="D630" s="15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</row>
    <row r="631" customFormat="false" ht="15.75" hidden="false" customHeight="false" outlineLevel="0" collapsed="false">
      <c r="A631" s="15"/>
      <c r="B631" s="15"/>
      <c r="C631" s="15"/>
      <c r="D631" s="15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</row>
    <row r="632" customFormat="false" ht="15.75" hidden="false" customHeight="false" outlineLevel="0" collapsed="false">
      <c r="A632" s="15"/>
      <c r="B632" s="15"/>
      <c r="C632" s="15"/>
      <c r="D632" s="15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</row>
    <row r="633" customFormat="false" ht="15.75" hidden="false" customHeight="false" outlineLevel="0" collapsed="false">
      <c r="A633" s="15"/>
      <c r="B633" s="15"/>
      <c r="C633" s="15"/>
      <c r="D633" s="15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</row>
    <row r="634" customFormat="false" ht="15.75" hidden="false" customHeight="false" outlineLevel="0" collapsed="false">
      <c r="A634" s="15"/>
      <c r="B634" s="15"/>
      <c r="C634" s="15"/>
      <c r="D634" s="15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</row>
    <row r="635" customFormat="false" ht="15.75" hidden="false" customHeight="false" outlineLevel="0" collapsed="false">
      <c r="A635" s="15"/>
      <c r="B635" s="15"/>
      <c r="C635" s="15"/>
      <c r="D635" s="15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</row>
    <row r="636" customFormat="false" ht="15.75" hidden="false" customHeight="false" outlineLevel="0" collapsed="false">
      <c r="A636" s="15"/>
      <c r="B636" s="15"/>
      <c r="C636" s="15"/>
      <c r="D636" s="15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</row>
    <row r="637" customFormat="false" ht="15.75" hidden="false" customHeight="false" outlineLevel="0" collapsed="false">
      <c r="A637" s="15"/>
      <c r="B637" s="15"/>
      <c r="C637" s="15"/>
      <c r="D637" s="15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</row>
    <row r="638" customFormat="false" ht="15.75" hidden="false" customHeight="false" outlineLevel="0" collapsed="false">
      <c r="A638" s="15"/>
      <c r="B638" s="15"/>
      <c r="C638" s="15"/>
      <c r="D638" s="15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</row>
    <row r="639" customFormat="false" ht="15.75" hidden="false" customHeight="false" outlineLevel="0" collapsed="false">
      <c r="A639" s="15"/>
      <c r="B639" s="15"/>
      <c r="C639" s="15"/>
      <c r="D639" s="15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</row>
    <row r="640" customFormat="false" ht="15.75" hidden="false" customHeight="false" outlineLevel="0" collapsed="false">
      <c r="A640" s="15"/>
      <c r="B640" s="15"/>
      <c r="C640" s="15"/>
      <c r="D640" s="15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</row>
    <row r="641" customFormat="false" ht="15.75" hidden="false" customHeight="false" outlineLevel="0" collapsed="false">
      <c r="A641" s="15"/>
      <c r="B641" s="15"/>
      <c r="C641" s="15"/>
      <c r="D641" s="15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</row>
    <row r="642" customFormat="false" ht="15.75" hidden="false" customHeight="false" outlineLevel="0" collapsed="false">
      <c r="A642" s="15"/>
      <c r="B642" s="15"/>
      <c r="C642" s="15"/>
      <c r="D642" s="15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</row>
    <row r="643" customFormat="false" ht="15.75" hidden="false" customHeight="false" outlineLevel="0" collapsed="false">
      <c r="A643" s="15"/>
      <c r="B643" s="15"/>
      <c r="C643" s="15"/>
      <c r="D643" s="15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</row>
    <row r="644" customFormat="false" ht="15.75" hidden="false" customHeight="false" outlineLevel="0" collapsed="false">
      <c r="A644" s="15"/>
      <c r="B644" s="15"/>
      <c r="C644" s="15"/>
      <c r="D644" s="15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</row>
    <row r="645" customFormat="false" ht="15.75" hidden="false" customHeight="false" outlineLevel="0" collapsed="false">
      <c r="A645" s="15"/>
      <c r="B645" s="15"/>
      <c r="C645" s="15"/>
      <c r="D645" s="15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</row>
    <row r="646" customFormat="false" ht="15.75" hidden="false" customHeight="false" outlineLevel="0" collapsed="false">
      <c r="A646" s="15"/>
      <c r="B646" s="15"/>
      <c r="C646" s="15"/>
      <c r="D646" s="15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</row>
    <row r="647" customFormat="false" ht="15.75" hidden="false" customHeight="false" outlineLevel="0" collapsed="false">
      <c r="A647" s="15"/>
      <c r="B647" s="15"/>
      <c r="C647" s="15"/>
      <c r="D647" s="15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</row>
    <row r="648" customFormat="false" ht="15.75" hidden="false" customHeight="false" outlineLevel="0" collapsed="false">
      <c r="A648" s="15"/>
      <c r="B648" s="15"/>
      <c r="C648" s="15"/>
      <c r="D648" s="15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</row>
    <row r="649" customFormat="false" ht="15.75" hidden="false" customHeight="false" outlineLevel="0" collapsed="false">
      <c r="A649" s="15"/>
      <c r="B649" s="15"/>
      <c r="C649" s="15"/>
      <c r="D649" s="15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</row>
    <row r="650" customFormat="false" ht="15.75" hidden="false" customHeight="false" outlineLevel="0" collapsed="false">
      <c r="A650" s="15"/>
      <c r="B650" s="15"/>
      <c r="C650" s="15"/>
      <c r="D650" s="15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</row>
    <row r="651" customFormat="false" ht="15.75" hidden="false" customHeight="false" outlineLevel="0" collapsed="false">
      <c r="A651" s="15"/>
      <c r="B651" s="15"/>
      <c r="C651" s="15"/>
      <c r="D651" s="15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</row>
    <row r="652" customFormat="false" ht="15.75" hidden="false" customHeight="false" outlineLevel="0" collapsed="false">
      <c r="A652" s="15"/>
      <c r="B652" s="15"/>
      <c r="C652" s="15"/>
      <c r="D652" s="15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</row>
    <row r="653" customFormat="false" ht="15.75" hidden="false" customHeight="false" outlineLevel="0" collapsed="false">
      <c r="A653" s="15"/>
      <c r="B653" s="15"/>
      <c r="C653" s="15"/>
      <c r="D653" s="15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</row>
    <row r="654" customFormat="false" ht="15.75" hidden="false" customHeight="false" outlineLevel="0" collapsed="false">
      <c r="A654" s="15"/>
      <c r="B654" s="15"/>
      <c r="C654" s="15"/>
      <c r="D654" s="15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</row>
    <row r="655" customFormat="false" ht="15.75" hidden="false" customHeight="false" outlineLevel="0" collapsed="false">
      <c r="A655" s="15"/>
      <c r="B655" s="15"/>
      <c r="C655" s="15"/>
      <c r="D655" s="15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</row>
    <row r="656" customFormat="false" ht="15.75" hidden="false" customHeight="false" outlineLevel="0" collapsed="false">
      <c r="A656" s="15"/>
      <c r="B656" s="15"/>
      <c r="C656" s="15"/>
      <c r="D656" s="15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</row>
    <row r="657" customFormat="false" ht="15.75" hidden="false" customHeight="false" outlineLevel="0" collapsed="false">
      <c r="A657" s="15"/>
      <c r="B657" s="15"/>
      <c r="C657" s="15"/>
      <c r="D657" s="15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</row>
    <row r="658" customFormat="false" ht="15.75" hidden="false" customHeight="false" outlineLevel="0" collapsed="false">
      <c r="A658" s="15"/>
      <c r="B658" s="15"/>
      <c r="C658" s="15"/>
      <c r="D658" s="15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</row>
    <row r="659" customFormat="false" ht="15.75" hidden="false" customHeight="false" outlineLevel="0" collapsed="false">
      <c r="A659" s="15"/>
      <c r="B659" s="15"/>
      <c r="C659" s="15"/>
      <c r="D659" s="15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</row>
    <row r="660" customFormat="false" ht="15.75" hidden="false" customHeight="false" outlineLevel="0" collapsed="false">
      <c r="A660" s="15"/>
      <c r="B660" s="15"/>
      <c r="C660" s="15"/>
      <c r="D660" s="15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</row>
    <row r="661" customFormat="false" ht="15.75" hidden="false" customHeight="false" outlineLevel="0" collapsed="false">
      <c r="A661" s="15"/>
      <c r="B661" s="15"/>
      <c r="C661" s="15"/>
      <c r="D661" s="15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</row>
    <row r="662" customFormat="false" ht="15.75" hidden="false" customHeight="false" outlineLevel="0" collapsed="false">
      <c r="A662" s="15"/>
      <c r="B662" s="15"/>
      <c r="C662" s="15"/>
      <c r="D662" s="15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</row>
    <row r="663" customFormat="false" ht="15.75" hidden="false" customHeight="false" outlineLevel="0" collapsed="false">
      <c r="A663" s="15"/>
      <c r="B663" s="15"/>
      <c r="C663" s="15"/>
      <c r="D663" s="15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</row>
    <row r="664" customFormat="false" ht="15.75" hidden="false" customHeight="false" outlineLevel="0" collapsed="false">
      <c r="A664" s="15"/>
      <c r="B664" s="15"/>
      <c r="C664" s="15"/>
      <c r="D664" s="15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</row>
    <row r="665" customFormat="false" ht="15.75" hidden="false" customHeight="false" outlineLevel="0" collapsed="false">
      <c r="A665" s="15"/>
      <c r="B665" s="15"/>
      <c r="C665" s="15"/>
      <c r="D665" s="15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</row>
    <row r="666" customFormat="false" ht="15.75" hidden="false" customHeight="false" outlineLevel="0" collapsed="false">
      <c r="A666" s="15"/>
      <c r="B666" s="15"/>
      <c r="C666" s="15"/>
      <c r="D666" s="15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</row>
    <row r="667" customFormat="false" ht="15.75" hidden="false" customHeight="false" outlineLevel="0" collapsed="false">
      <c r="A667" s="15"/>
      <c r="B667" s="15"/>
      <c r="C667" s="15"/>
      <c r="D667" s="15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</row>
    <row r="668" customFormat="false" ht="15.75" hidden="false" customHeight="false" outlineLevel="0" collapsed="false">
      <c r="A668" s="15"/>
      <c r="B668" s="15"/>
      <c r="C668" s="15"/>
      <c r="D668" s="15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</row>
    <row r="669" customFormat="false" ht="15.75" hidden="false" customHeight="false" outlineLevel="0" collapsed="false">
      <c r="A669" s="15"/>
      <c r="B669" s="15"/>
      <c r="C669" s="15"/>
      <c r="D669" s="15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</row>
    <row r="670" customFormat="false" ht="15.75" hidden="false" customHeight="false" outlineLevel="0" collapsed="false">
      <c r="A670" s="15"/>
      <c r="B670" s="15"/>
      <c r="C670" s="15"/>
      <c r="D670" s="15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</row>
    <row r="671" customFormat="false" ht="15.75" hidden="false" customHeight="false" outlineLevel="0" collapsed="false">
      <c r="A671" s="15"/>
      <c r="B671" s="15"/>
      <c r="C671" s="15"/>
      <c r="D671" s="15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</row>
    <row r="672" customFormat="false" ht="15.75" hidden="false" customHeight="false" outlineLevel="0" collapsed="false">
      <c r="A672" s="15"/>
      <c r="B672" s="15"/>
      <c r="C672" s="15"/>
      <c r="D672" s="15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</row>
    <row r="673" customFormat="false" ht="15.75" hidden="false" customHeight="false" outlineLevel="0" collapsed="false">
      <c r="A673" s="15"/>
      <c r="B673" s="15"/>
      <c r="C673" s="15"/>
      <c r="D673" s="15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</row>
    <row r="674" customFormat="false" ht="15.75" hidden="false" customHeight="false" outlineLevel="0" collapsed="false">
      <c r="A674" s="15"/>
      <c r="B674" s="15"/>
      <c r="C674" s="15"/>
      <c r="D674" s="15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</row>
    <row r="675" customFormat="false" ht="15.75" hidden="false" customHeight="false" outlineLevel="0" collapsed="false">
      <c r="A675" s="15"/>
      <c r="B675" s="15"/>
      <c r="C675" s="15"/>
      <c r="D675" s="15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</row>
    <row r="676" customFormat="false" ht="15.75" hidden="false" customHeight="false" outlineLevel="0" collapsed="false">
      <c r="A676" s="15"/>
      <c r="B676" s="15"/>
      <c r="C676" s="15"/>
      <c r="D676" s="15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</row>
    <row r="677" customFormat="false" ht="15.75" hidden="false" customHeight="false" outlineLevel="0" collapsed="false">
      <c r="A677" s="15"/>
      <c r="B677" s="15"/>
      <c r="C677" s="15"/>
      <c r="D677" s="15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</row>
    <row r="678" customFormat="false" ht="15.75" hidden="false" customHeight="false" outlineLevel="0" collapsed="false">
      <c r="A678" s="15"/>
      <c r="B678" s="15"/>
      <c r="C678" s="15"/>
      <c r="D678" s="15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</row>
    <row r="679" customFormat="false" ht="15.75" hidden="false" customHeight="false" outlineLevel="0" collapsed="false">
      <c r="A679" s="15"/>
      <c r="B679" s="15"/>
      <c r="C679" s="15"/>
      <c r="D679" s="15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</row>
    <row r="680" customFormat="false" ht="15.75" hidden="false" customHeight="false" outlineLevel="0" collapsed="false">
      <c r="A680" s="15"/>
      <c r="B680" s="15"/>
      <c r="C680" s="15"/>
      <c r="D680" s="15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</row>
    <row r="681" customFormat="false" ht="15.75" hidden="false" customHeight="false" outlineLevel="0" collapsed="false">
      <c r="A681" s="15"/>
      <c r="B681" s="15"/>
      <c r="C681" s="15"/>
      <c r="D681" s="15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</row>
    <row r="682" customFormat="false" ht="15.75" hidden="false" customHeight="false" outlineLevel="0" collapsed="false">
      <c r="A682" s="15"/>
      <c r="B682" s="15"/>
      <c r="C682" s="15"/>
      <c r="D682" s="15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</row>
    <row r="683" customFormat="false" ht="15.75" hidden="false" customHeight="false" outlineLevel="0" collapsed="false">
      <c r="A683" s="15"/>
      <c r="B683" s="15"/>
      <c r="C683" s="15"/>
      <c r="D683" s="15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</row>
    <row r="684" customFormat="false" ht="15.75" hidden="false" customHeight="false" outlineLevel="0" collapsed="false">
      <c r="A684" s="15"/>
      <c r="B684" s="15"/>
      <c r="C684" s="15"/>
      <c r="D684" s="15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</row>
    <row r="685" customFormat="false" ht="15.75" hidden="false" customHeight="false" outlineLevel="0" collapsed="false">
      <c r="A685" s="15"/>
      <c r="B685" s="15"/>
      <c r="C685" s="15"/>
      <c r="D685" s="15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</row>
    <row r="686" customFormat="false" ht="15.75" hidden="false" customHeight="false" outlineLevel="0" collapsed="false">
      <c r="A686" s="15"/>
      <c r="B686" s="15"/>
      <c r="C686" s="15"/>
      <c r="D686" s="15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</row>
    <row r="687" customFormat="false" ht="15.75" hidden="false" customHeight="false" outlineLevel="0" collapsed="false">
      <c r="A687" s="15"/>
      <c r="B687" s="15"/>
      <c r="C687" s="15"/>
      <c r="D687" s="15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</row>
    <row r="688" customFormat="false" ht="15.75" hidden="false" customHeight="false" outlineLevel="0" collapsed="false">
      <c r="A688" s="15"/>
      <c r="B688" s="15"/>
      <c r="C688" s="15"/>
      <c r="D688" s="15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</row>
    <row r="689" customFormat="false" ht="15.75" hidden="false" customHeight="false" outlineLevel="0" collapsed="false">
      <c r="A689" s="15"/>
      <c r="B689" s="15"/>
      <c r="C689" s="15"/>
      <c r="D689" s="15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</row>
    <row r="690" customFormat="false" ht="15.75" hidden="false" customHeight="false" outlineLevel="0" collapsed="false">
      <c r="A690" s="15"/>
      <c r="B690" s="15"/>
      <c r="C690" s="15"/>
      <c r="D690" s="15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</row>
    <row r="691" customFormat="false" ht="15.75" hidden="false" customHeight="false" outlineLevel="0" collapsed="false">
      <c r="A691" s="15"/>
      <c r="B691" s="15"/>
      <c r="C691" s="15"/>
      <c r="D691" s="15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</row>
    <row r="692" customFormat="false" ht="15.75" hidden="false" customHeight="false" outlineLevel="0" collapsed="false">
      <c r="A692" s="15"/>
      <c r="B692" s="15"/>
      <c r="C692" s="15"/>
      <c r="D692" s="15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</row>
    <row r="693" customFormat="false" ht="15.75" hidden="false" customHeight="false" outlineLevel="0" collapsed="false">
      <c r="A693" s="15"/>
      <c r="B693" s="15"/>
      <c r="C693" s="15"/>
      <c r="D693" s="15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</row>
    <row r="694" customFormat="false" ht="15.75" hidden="false" customHeight="false" outlineLevel="0" collapsed="false">
      <c r="A694" s="15"/>
      <c r="B694" s="15"/>
      <c r="C694" s="15"/>
      <c r="D694" s="15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</row>
    <row r="695" customFormat="false" ht="15.75" hidden="false" customHeight="false" outlineLevel="0" collapsed="false">
      <c r="A695" s="15"/>
      <c r="B695" s="15"/>
      <c r="C695" s="15"/>
      <c r="D695" s="15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</row>
    <row r="696" customFormat="false" ht="15.75" hidden="false" customHeight="false" outlineLevel="0" collapsed="false">
      <c r="A696" s="15"/>
      <c r="B696" s="15"/>
      <c r="C696" s="15"/>
      <c r="D696" s="15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</row>
    <row r="697" customFormat="false" ht="15.75" hidden="false" customHeight="false" outlineLevel="0" collapsed="false">
      <c r="A697" s="15"/>
      <c r="B697" s="15"/>
      <c r="C697" s="15"/>
      <c r="D697" s="15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</row>
    <row r="698" customFormat="false" ht="15.75" hidden="false" customHeight="false" outlineLevel="0" collapsed="false">
      <c r="A698" s="15"/>
      <c r="B698" s="15"/>
      <c r="C698" s="15"/>
      <c r="D698" s="15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</row>
    <row r="699" customFormat="false" ht="15.75" hidden="false" customHeight="false" outlineLevel="0" collapsed="false">
      <c r="A699" s="15"/>
      <c r="B699" s="15"/>
      <c r="C699" s="15"/>
      <c r="D699" s="15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</row>
    <row r="700" customFormat="false" ht="15.75" hidden="false" customHeight="false" outlineLevel="0" collapsed="false">
      <c r="A700" s="15"/>
      <c r="B700" s="15"/>
      <c r="C700" s="15"/>
      <c r="D700" s="15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</row>
    <row r="701" customFormat="false" ht="15.75" hidden="false" customHeight="false" outlineLevel="0" collapsed="false">
      <c r="A701" s="15"/>
      <c r="B701" s="15"/>
      <c r="C701" s="15"/>
      <c r="D701" s="15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</row>
    <row r="702" customFormat="false" ht="15.75" hidden="false" customHeight="false" outlineLevel="0" collapsed="false">
      <c r="A702" s="15"/>
      <c r="B702" s="15"/>
      <c r="C702" s="15"/>
      <c r="D702" s="15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</row>
    <row r="703" customFormat="false" ht="15.75" hidden="false" customHeight="false" outlineLevel="0" collapsed="false">
      <c r="A703" s="15"/>
      <c r="B703" s="15"/>
      <c r="C703" s="15"/>
      <c r="D703" s="15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</row>
    <row r="704" customFormat="false" ht="15.75" hidden="false" customHeight="false" outlineLevel="0" collapsed="false">
      <c r="A704" s="15"/>
      <c r="B704" s="15"/>
      <c r="C704" s="15"/>
      <c r="D704" s="15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</row>
    <row r="705" customFormat="false" ht="15.75" hidden="false" customHeight="false" outlineLevel="0" collapsed="false">
      <c r="A705" s="15"/>
      <c r="B705" s="15"/>
      <c r="C705" s="15"/>
      <c r="D705" s="15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</row>
    <row r="706" customFormat="false" ht="15.75" hidden="false" customHeight="false" outlineLevel="0" collapsed="false">
      <c r="A706" s="15"/>
      <c r="B706" s="15"/>
      <c r="C706" s="15"/>
      <c r="D706" s="15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</row>
    <row r="707" customFormat="false" ht="15.75" hidden="false" customHeight="false" outlineLevel="0" collapsed="false">
      <c r="A707" s="15"/>
      <c r="B707" s="15"/>
      <c r="C707" s="15"/>
      <c r="D707" s="15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</row>
    <row r="708" customFormat="false" ht="15.75" hidden="false" customHeight="false" outlineLevel="0" collapsed="false">
      <c r="A708" s="15"/>
      <c r="B708" s="15"/>
      <c r="C708" s="15"/>
      <c r="D708" s="15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</row>
    <row r="709" customFormat="false" ht="15.75" hidden="false" customHeight="false" outlineLevel="0" collapsed="false">
      <c r="A709" s="15"/>
      <c r="B709" s="15"/>
      <c r="C709" s="15"/>
      <c r="D709" s="15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</row>
    <row r="710" customFormat="false" ht="15.75" hidden="false" customHeight="false" outlineLevel="0" collapsed="false">
      <c r="A710" s="15"/>
      <c r="B710" s="15"/>
      <c r="C710" s="15"/>
      <c r="D710" s="15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</row>
    <row r="711" customFormat="false" ht="15.75" hidden="false" customHeight="false" outlineLevel="0" collapsed="false">
      <c r="A711" s="15"/>
      <c r="B711" s="15"/>
      <c r="C711" s="15"/>
      <c r="D711" s="15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</row>
    <row r="712" customFormat="false" ht="15.75" hidden="false" customHeight="false" outlineLevel="0" collapsed="false">
      <c r="A712" s="15"/>
      <c r="B712" s="15"/>
      <c r="C712" s="15"/>
      <c r="D712" s="15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</row>
    <row r="713" customFormat="false" ht="15.75" hidden="false" customHeight="false" outlineLevel="0" collapsed="false">
      <c r="A713" s="15"/>
      <c r="B713" s="15"/>
      <c r="C713" s="15"/>
      <c r="D713" s="15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</row>
    <row r="714" customFormat="false" ht="15.75" hidden="false" customHeight="false" outlineLevel="0" collapsed="false">
      <c r="A714" s="15"/>
      <c r="B714" s="15"/>
      <c r="C714" s="15"/>
      <c r="D714" s="15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</row>
    <row r="715" customFormat="false" ht="15.75" hidden="false" customHeight="false" outlineLevel="0" collapsed="false">
      <c r="A715" s="15"/>
      <c r="B715" s="15"/>
      <c r="C715" s="15"/>
      <c r="D715" s="15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</row>
    <row r="716" customFormat="false" ht="15.75" hidden="false" customHeight="false" outlineLevel="0" collapsed="false">
      <c r="A716" s="15"/>
      <c r="B716" s="15"/>
      <c r="C716" s="15"/>
      <c r="D716" s="15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</row>
    <row r="717" customFormat="false" ht="15.75" hidden="false" customHeight="false" outlineLevel="0" collapsed="false">
      <c r="A717" s="15"/>
      <c r="B717" s="15"/>
      <c r="C717" s="15"/>
      <c r="D717" s="15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</row>
    <row r="718" customFormat="false" ht="15.75" hidden="false" customHeight="false" outlineLevel="0" collapsed="false">
      <c r="A718" s="15"/>
      <c r="B718" s="15"/>
      <c r="C718" s="15"/>
      <c r="D718" s="15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</row>
    <row r="719" customFormat="false" ht="15.75" hidden="false" customHeight="false" outlineLevel="0" collapsed="false">
      <c r="A719" s="15"/>
      <c r="B719" s="15"/>
      <c r="C719" s="15"/>
      <c r="D719" s="15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</row>
    <row r="720" customFormat="false" ht="15.75" hidden="false" customHeight="false" outlineLevel="0" collapsed="false">
      <c r="A720" s="15"/>
      <c r="B720" s="15"/>
      <c r="C720" s="15"/>
      <c r="D720" s="15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</row>
    <row r="721" customFormat="false" ht="15.75" hidden="false" customHeight="false" outlineLevel="0" collapsed="false">
      <c r="A721" s="15"/>
      <c r="B721" s="15"/>
      <c r="C721" s="15"/>
      <c r="D721" s="15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</row>
    <row r="722" customFormat="false" ht="15.75" hidden="false" customHeight="false" outlineLevel="0" collapsed="false">
      <c r="A722" s="15"/>
      <c r="B722" s="15"/>
      <c r="C722" s="15"/>
      <c r="D722" s="15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</row>
    <row r="723" customFormat="false" ht="15.75" hidden="false" customHeight="false" outlineLevel="0" collapsed="false">
      <c r="A723" s="15"/>
      <c r="B723" s="15"/>
      <c r="C723" s="15"/>
      <c r="D723" s="15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</row>
    <row r="724" customFormat="false" ht="15.75" hidden="false" customHeight="false" outlineLevel="0" collapsed="false">
      <c r="A724" s="15"/>
      <c r="B724" s="15"/>
      <c r="C724" s="15"/>
      <c r="D724" s="15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</row>
    <row r="725" customFormat="false" ht="15.75" hidden="false" customHeight="false" outlineLevel="0" collapsed="false">
      <c r="A725" s="15"/>
      <c r="B725" s="15"/>
      <c r="C725" s="15"/>
      <c r="D725" s="15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</row>
    <row r="726" customFormat="false" ht="15.75" hidden="false" customHeight="false" outlineLevel="0" collapsed="false">
      <c r="A726" s="15"/>
      <c r="B726" s="15"/>
      <c r="C726" s="15"/>
      <c r="D726" s="15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</row>
    <row r="727" customFormat="false" ht="15.75" hidden="false" customHeight="false" outlineLevel="0" collapsed="false">
      <c r="A727" s="15"/>
      <c r="B727" s="15"/>
      <c r="C727" s="15"/>
      <c r="D727" s="15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</row>
    <row r="728" customFormat="false" ht="15.75" hidden="false" customHeight="false" outlineLevel="0" collapsed="false">
      <c r="A728" s="15"/>
      <c r="B728" s="15"/>
      <c r="C728" s="15"/>
      <c r="D728" s="15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</row>
    <row r="729" customFormat="false" ht="15.75" hidden="false" customHeight="false" outlineLevel="0" collapsed="false">
      <c r="A729" s="15"/>
      <c r="B729" s="15"/>
      <c r="C729" s="15"/>
      <c r="D729" s="15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</row>
    <row r="730" customFormat="false" ht="15.75" hidden="false" customHeight="false" outlineLevel="0" collapsed="false">
      <c r="A730" s="15"/>
      <c r="B730" s="15"/>
      <c r="C730" s="15"/>
      <c r="D730" s="15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</row>
    <row r="731" customFormat="false" ht="15.75" hidden="false" customHeight="false" outlineLevel="0" collapsed="false">
      <c r="A731" s="15"/>
      <c r="B731" s="15"/>
      <c r="C731" s="15"/>
      <c r="D731" s="15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 customFormat="false" ht="15.75" hidden="false" customHeight="false" outlineLevel="0" collapsed="false">
      <c r="A732" s="15"/>
      <c r="B732" s="15"/>
      <c r="C732" s="15"/>
      <c r="D732" s="15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 customFormat="false" ht="15.75" hidden="false" customHeight="false" outlineLevel="0" collapsed="false">
      <c r="A733" s="15"/>
      <c r="B733" s="15"/>
      <c r="C733" s="15"/>
      <c r="D733" s="15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 customFormat="false" ht="15.75" hidden="false" customHeight="false" outlineLevel="0" collapsed="false">
      <c r="A734" s="15"/>
      <c r="B734" s="15"/>
      <c r="C734" s="15"/>
      <c r="D734" s="15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 customFormat="false" ht="15.75" hidden="false" customHeight="false" outlineLevel="0" collapsed="false">
      <c r="A735" s="15"/>
      <c r="B735" s="15"/>
      <c r="C735" s="15"/>
      <c r="D735" s="15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 customFormat="false" ht="15.75" hidden="false" customHeight="false" outlineLevel="0" collapsed="false">
      <c r="A736" s="15"/>
      <c r="B736" s="15"/>
      <c r="C736" s="15"/>
      <c r="D736" s="15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 customFormat="false" ht="15.75" hidden="false" customHeight="false" outlineLevel="0" collapsed="false">
      <c r="A737" s="15"/>
      <c r="B737" s="15"/>
      <c r="C737" s="15"/>
      <c r="D737" s="15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 customFormat="false" ht="15.75" hidden="false" customHeight="false" outlineLevel="0" collapsed="false">
      <c r="A738" s="15"/>
      <c r="B738" s="15"/>
      <c r="C738" s="15"/>
      <c r="D738" s="15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 customFormat="false" ht="15.75" hidden="false" customHeight="false" outlineLevel="0" collapsed="false">
      <c r="A739" s="15"/>
      <c r="B739" s="15"/>
      <c r="C739" s="15"/>
      <c r="D739" s="15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 customFormat="false" ht="15.75" hidden="false" customHeight="false" outlineLevel="0" collapsed="false">
      <c r="A740" s="15"/>
      <c r="B740" s="15"/>
      <c r="C740" s="15"/>
      <c r="D740" s="15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 customFormat="false" ht="15.75" hidden="false" customHeight="false" outlineLevel="0" collapsed="false">
      <c r="A741" s="15"/>
      <c r="B741" s="15"/>
      <c r="C741" s="15"/>
      <c r="D741" s="15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 customFormat="false" ht="15.75" hidden="false" customHeight="false" outlineLevel="0" collapsed="false">
      <c r="A742" s="15"/>
      <c r="B742" s="15"/>
      <c r="C742" s="15"/>
      <c r="D742" s="15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 customFormat="false" ht="15.75" hidden="false" customHeight="false" outlineLevel="0" collapsed="false">
      <c r="A743" s="15"/>
      <c r="B743" s="15"/>
      <c r="C743" s="15"/>
      <c r="D743" s="15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 customFormat="false" ht="15.75" hidden="false" customHeight="false" outlineLevel="0" collapsed="false">
      <c r="A744" s="15"/>
      <c r="B744" s="15"/>
      <c r="C744" s="15"/>
      <c r="D744" s="15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 customFormat="false" ht="15.75" hidden="false" customHeight="false" outlineLevel="0" collapsed="false">
      <c r="A745" s="15"/>
      <c r="B745" s="15"/>
      <c r="C745" s="15"/>
      <c r="D745" s="15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 customFormat="false" ht="15.75" hidden="false" customHeight="false" outlineLevel="0" collapsed="false">
      <c r="A746" s="15"/>
      <c r="B746" s="15"/>
      <c r="C746" s="15"/>
      <c r="D746" s="15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 customFormat="false" ht="15.75" hidden="false" customHeight="false" outlineLevel="0" collapsed="false">
      <c r="A747" s="15"/>
      <c r="B747" s="15"/>
      <c r="C747" s="15"/>
      <c r="D747" s="15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 customFormat="false" ht="15.75" hidden="false" customHeight="false" outlineLevel="0" collapsed="false">
      <c r="A748" s="15"/>
      <c r="B748" s="15"/>
      <c r="C748" s="15"/>
      <c r="D748" s="15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 customFormat="false" ht="15.75" hidden="false" customHeight="false" outlineLevel="0" collapsed="false">
      <c r="A749" s="15"/>
      <c r="B749" s="15"/>
      <c r="C749" s="15"/>
      <c r="D749" s="15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 customFormat="false" ht="15.75" hidden="false" customHeight="false" outlineLevel="0" collapsed="false">
      <c r="A750" s="15"/>
      <c r="B750" s="15"/>
      <c r="C750" s="15"/>
      <c r="D750" s="15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 customFormat="false" ht="15.75" hidden="false" customHeight="false" outlineLevel="0" collapsed="false">
      <c r="A751" s="15"/>
      <c r="B751" s="15"/>
      <c r="C751" s="15"/>
      <c r="D751" s="15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 customFormat="false" ht="15.75" hidden="false" customHeight="false" outlineLevel="0" collapsed="false">
      <c r="A752" s="15"/>
      <c r="B752" s="15"/>
      <c r="C752" s="15"/>
      <c r="D752" s="15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 customFormat="false" ht="15.75" hidden="false" customHeight="false" outlineLevel="0" collapsed="false">
      <c r="A753" s="15"/>
      <c r="B753" s="15"/>
      <c r="C753" s="15"/>
      <c r="D753" s="15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 customFormat="false" ht="15.75" hidden="false" customHeight="false" outlineLevel="0" collapsed="false">
      <c r="A754" s="15"/>
      <c r="B754" s="15"/>
      <c r="C754" s="15"/>
      <c r="D754" s="15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 customFormat="false" ht="15.75" hidden="false" customHeight="false" outlineLevel="0" collapsed="false">
      <c r="A755" s="15"/>
      <c r="B755" s="15"/>
      <c r="C755" s="15"/>
      <c r="D755" s="15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 customFormat="false" ht="15.75" hidden="false" customHeight="false" outlineLevel="0" collapsed="false">
      <c r="A756" s="15"/>
      <c r="B756" s="15"/>
      <c r="C756" s="15"/>
      <c r="D756" s="15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 customFormat="false" ht="15.75" hidden="false" customHeight="false" outlineLevel="0" collapsed="false">
      <c r="A757" s="15"/>
      <c r="B757" s="15"/>
      <c r="C757" s="15"/>
      <c r="D757" s="15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 customFormat="false" ht="15.75" hidden="false" customHeight="false" outlineLevel="0" collapsed="false">
      <c r="A758" s="15"/>
      <c r="B758" s="15"/>
      <c r="C758" s="15"/>
      <c r="D758" s="15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 customFormat="false" ht="15.75" hidden="false" customHeight="false" outlineLevel="0" collapsed="false">
      <c r="A759" s="15"/>
      <c r="B759" s="15"/>
      <c r="C759" s="15"/>
      <c r="D759" s="15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 customFormat="false" ht="15.75" hidden="false" customHeight="false" outlineLevel="0" collapsed="false">
      <c r="A760" s="15"/>
      <c r="B760" s="15"/>
      <c r="C760" s="15"/>
      <c r="D760" s="15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 customFormat="false" ht="15.75" hidden="false" customHeight="false" outlineLevel="0" collapsed="false">
      <c r="A761" s="15"/>
      <c r="B761" s="15"/>
      <c r="C761" s="15"/>
      <c r="D761" s="15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 customFormat="false" ht="15.75" hidden="false" customHeight="false" outlineLevel="0" collapsed="false">
      <c r="A762" s="15"/>
      <c r="B762" s="15"/>
      <c r="C762" s="15"/>
      <c r="D762" s="15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 customFormat="false" ht="15.75" hidden="false" customHeight="false" outlineLevel="0" collapsed="false">
      <c r="A763" s="15"/>
      <c r="B763" s="15"/>
      <c r="C763" s="15"/>
      <c r="D763" s="15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 customFormat="false" ht="15.75" hidden="false" customHeight="false" outlineLevel="0" collapsed="false">
      <c r="A764" s="15"/>
      <c r="B764" s="15"/>
      <c r="C764" s="15"/>
      <c r="D764" s="15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 customFormat="false" ht="15.75" hidden="false" customHeight="false" outlineLevel="0" collapsed="false">
      <c r="A765" s="15"/>
      <c r="B765" s="15"/>
      <c r="C765" s="15"/>
      <c r="D765" s="15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 customFormat="false" ht="15.75" hidden="false" customHeight="false" outlineLevel="0" collapsed="false">
      <c r="A766" s="15"/>
      <c r="B766" s="15"/>
      <c r="C766" s="15"/>
      <c r="D766" s="15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 customFormat="false" ht="15.75" hidden="false" customHeight="false" outlineLevel="0" collapsed="false">
      <c r="A767" s="15"/>
      <c r="B767" s="15"/>
      <c r="C767" s="15"/>
      <c r="D767" s="15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 customFormat="false" ht="15.75" hidden="false" customHeight="false" outlineLevel="0" collapsed="false">
      <c r="A768" s="15"/>
      <c r="B768" s="15"/>
      <c r="C768" s="15"/>
      <c r="D768" s="15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 customFormat="false" ht="15.75" hidden="false" customHeight="false" outlineLevel="0" collapsed="false">
      <c r="A769" s="15"/>
      <c r="B769" s="15"/>
      <c r="C769" s="15"/>
      <c r="D769" s="15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 customFormat="false" ht="15.75" hidden="false" customHeight="false" outlineLevel="0" collapsed="false">
      <c r="A770" s="15"/>
      <c r="B770" s="15"/>
      <c r="C770" s="15"/>
      <c r="D770" s="15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 customFormat="false" ht="15.75" hidden="false" customHeight="false" outlineLevel="0" collapsed="false">
      <c r="A771" s="15"/>
      <c r="B771" s="15"/>
      <c r="C771" s="15"/>
      <c r="D771" s="15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 customFormat="false" ht="15.75" hidden="false" customHeight="false" outlineLevel="0" collapsed="false">
      <c r="A772" s="15"/>
      <c r="B772" s="15"/>
      <c r="C772" s="15"/>
      <c r="D772" s="15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 customFormat="false" ht="15.75" hidden="false" customHeight="false" outlineLevel="0" collapsed="false">
      <c r="A773" s="15"/>
      <c r="B773" s="15"/>
      <c r="C773" s="15"/>
      <c r="D773" s="15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 customFormat="false" ht="15.75" hidden="false" customHeight="false" outlineLevel="0" collapsed="false">
      <c r="A774" s="15"/>
      <c r="B774" s="15"/>
      <c r="C774" s="15"/>
      <c r="D774" s="15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 customFormat="false" ht="15.75" hidden="false" customHeight="false" outlineLevel="0" collapsed="false">
      <c r="A775" s="15"/>
      <c r="B775" s="15"/>
      <c r="C775" s="15"/>
      <c r="D775" s="15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 customFormat="false" ht="15.75" hidden="false" customHeight="false" outlineLevel="0" collapsed="false">
      <c r="A776" s="15"/>
      <c r="B776" s="15"/>
      <c r="C776" s="15"/>
      <c r="D776" s="15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 customFormat="false" ht="15.75" hidden="false" customHeight="false" outlineLevel="0" collapsed="false">
      <c r="A777" s="15"/>
      <c r="B777" s="15"/>
      <c r="C777" s="15"/>
      <c r="D777" s="15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 customFormat="false" ht="15.75" hidden="false" customHeight="false" outlineLevel="0" collapsed="false">
      <c r="A778" s="15"/>
      <c r="B778" s="15"/>
      <c r="C778" s="15"/>
      <c r="D778" s="15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 customFormat="false" ht="15.75" hidden="false" customHeight="false" outlineLevel="0" collapsed="false">
      <c r="A779" s="15"/>
      <c r="B779" s="15"/>
      <c r="C779" s="15"/>
      <c r="D779" s="15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 customFormat="false" ht="15.75" hidden="false" customHeight="false" outlineLevel="0" collapsed="false">
      <c r="A780" s="15"/>
      <c r="B780" s="15"/>
      <c r="C780" s="15"/>
      <c r="D780" s="15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 customFormat="false" ht="15.75" hidden="false" customHeight="false" outlineLevel="0" collapsed="false">
      <c r="A781" s="15"/>
      <c r="B781" s="15"/>
      <c r="C781" s="15"/>
      <c r="D781" s="15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 customFormat="false" ht="15.75" hidden="false" customHeight="false" outlineLevel="0" collapsed="false">
      <c r="A782" s="15"/>
      <c r="B782" s="15"/>
      <c r="C782" s="15"/>
      <c r="D782" s="15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 customFormat="false" ht="15.75" hidden="false" customHeight="false" outlineLevel="0" collapsed="false">
      <c r="A783" s="15"/>
      <c r="B783" s="15"/>
      <c r="C783" s="15"/>
      <c r="D783" s="15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 customFormat="false" ht="15.75" hidden="false" customHeight="false" outlineLevel="0" collapsed="false">
      <c r="A784" s="15"/>
      <c r="B784" s="15"/>
      <c r="C784" s="15"/>
      <c r="D784" s="15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 customFormat="false" ht="15.75" hidden="false" customHeight="false" outlineLevel="0" collapsed="false">
      <c r="A785" s="15"/>
      <c r="B785" s="15"/>
      <c r="C785" s="15"/>
      <c r="D785" s="15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 customFormat="false" ht="15.75" hidden="false" customHeight="false" outlineLevel="0" collapsed="false">
      <c r="A786" s="15"/>
      <c r="B786" s="15"/>
      <c r="C786" s="15"/>
      <c r="D786" s="15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 customFormat="false" ht="15.75" hidden="false" customHeight="false" outlineLevel="0" collapsed="false">
      <c r="A787" s="15"/>
      <c r="B787" s="15"/>
      <c r="C787" s="15"/>
      <c r="D787" s="15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 customFormat="false" ht="15.75" hidden="false" customHeight="false" outlineLevel="0" collapsed="false">
      <c r="A788" s="15"/>
      <c r="B788" s="15"/>
      <c r="C788" s="15"/>
      <c r="D788" s="15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 customFormat="false" ht="15.75" hidden="false" customHeight="false" outlineLevel="0" collapsed="false">
      <c r="A789" s="15"/>
      <c r="B789" s="15"/>
      <c r="C789" s="15"/>
      <c r="D789" s="15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 customFormat="false" ht="15.75" hidden="false" customHeight="false" outlineLevel="0" collapsed="false">
      <c r="A790" s="15"/>
      <c r="B790" s="15"/>
      <c r="C790" s="15"/>
      <c r="D790" s="15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 customFormat="false" ht="15.75" hidden="false" customHeight="false" outlineLevel="0" collapsed="false">
      <c r="A791" s="15"/>
      <c r="B791" s="15"/>
      <c r="C791" s="15"/>
      <c r="D791" s="15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 customFormat="false" ht="15.75" hidden="false" customHeight="false" outlineLevel="0" collapsed="false">
      <c r="A792" s="15"/>
      <c r="B792" s="15"/>
      <c r="C792" s="15"/>
      <c r="D792" s="15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 customFormat="false" ht="15.75" hidden="false" customHeight="false" outlineLevel="0" collapsed="false">
      <c r="A793" s="15"/>
      <c r="B793" s="15"/>
      <c r="C793" s="15"/>
      <c r="D793" s="15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 customFormat="false" ht="15.75" hidden="false" customHeight="false" outlineLevel="0" collapsed="false">
      <c r="A794" s="15"/>
      <c r="B794" s="15"/>
      <c r="C794" s="15"/>
      <c r="D794" s="15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 customFormat="false" ht="15.75" hidden="false" customHeight="false" outlineLevel="0" collapsed="false">
      <c r="A795" s="15"/>
      <c r="B795" s="15"/>
      <c r="C795" s="15"/>
      <c r="D795" s="15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 customFormat="false" ht="15.75" hidden="false" customHeight="false" outlineLevel="0" collapsed="false">
      <c r="A796" s="15"/>
      <c r="B796" s="15"/>
      <c r="C796" s="15"/>
      <c r="D796" s="15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 customFormat="false" ht="15.75" hidden="false" customHeight="false" outlineLevel="0" collapsed="false">
      <c r="A797" s="15"/>
      <c r="B797" s="15"/>
      <c r="C797" s="15"/>
      <c r="D797" s="15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 customFormat="false" ht="15.75" hidden="false" customHeight="false" outlineLevel="0" collapsed="false">
      <c r="A798" s="15"/>
      <c r="B798" s="15"/>
      <c r="C798" s="15"/>
      <c r="D798" s="15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 customFormat="false" ht="15.75" hidden="false" customHeight="false" outlineLevel="0" collapsed="false">
      <c r="A799" s="15"/>
      <c r="B799" s="15"/>
      <c r="C799" s="15"/>
      <c r="D799" s="15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 customFormat="false" ht="15.75" hidden="false" customHeight="false" outlineLevel="0" collapsed="false">
      <c r="A800" s="15"/>
      <c r="B800" s="15"/>
      <c r="C800" s="15"/>
      <c r="D800" s="15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 customFormat="false" ht="15.75" hidden="false" customHeight="false" outlineLevel="0" collapsed="false">
      <c r="A801" s="15"/>
      <c r="B801" s="15"/>
      <c r="C801" s="15"/>
      <c r="D801" s="15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 customFormat="false" ht="15.75" hidden="false" customHeight="false" outlineLevel="0" collapsed="false">
      <c r="A802" s="15"/>
      <c r="B802" s="15"/>
      <c r="C802" s="15"/>
      <c r="D802" s="15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 customFormat="false" ht="15.75" hidden="false" customHeight="false" outlineLevel="0" collapsed="false">
      <c r="A803" s="15"/>
      <c r="B803" s="15"/>
      <c r="C803" s="15"/>
      <c r="D803" s="15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 customFormat="false" ht="15.75" hidden="false" customHeight="false" outlineLevel="0" collapsed="false">
      <c r="A804" s="15"/>
      <c r="B804" s="15"/>
      <c r="C804" s="15"/>
      <c r="D804" s="15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 customFormat="false" ht="15.75" hidden="false" customHeight="false" outlineLevel="0" collapsed="false">
      <c r="A805" s="15"/>
      <c r="B805" s="15"/>
      <c r="C805" s="15"/>
      <c r="D805" s="15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 customFormat="false" ht="15.75" hidden="false" customHeight="false" outlineLevel="0" collapsed="false">
      <c r="A806" s="15"/>
      <c r="B806" s="15"/>
      <c r="C806" s="15"/>
      <c r="D806" s="15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 customFormat="false" ht="15.75" hidden="false" customHeight="false" outlineLevel="0" collapsed="false">
      <c r="A807" s="15"/>
      <c r="B807" s="15"/>
      <c r="C807" s="15"/>
      <c r="D807" s="15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 customFormat="false" ht="15.75" hidden="false" customHeight="false" outlineLevel="0" collapsed="false">
      <c r="A808" s="15"/>
      <c r="B808" s="15"/>
      <c r="C808" s="15"/>
      <c r="D808" s="15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 customFormat="false" ht="15.75" hidden="false" customHeight="false" outlineLevel="0" collapsed="false">
      <c r="A809" s="15"/>
      <c r="B809" s="15"/>
      <c r="C809" s="15"/>
      <c r="D809" s="15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 customFormat="false" ht="15.75" hidden="false" customHeight="false" outlineLevel="0" collapsed="false">
      <c r="A810" s="15"/>
      <c r="B810" s="15"/>
      <c r="C810" s="15"/>
      <c r="D810" s="15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 customFormat="false" ht="15.75" hidden="false" customHeight="false" outlineLevel="0" collapsed="false">
      <c r="A811" s="15"/>
      <c r="B811" s="15"/>
      <c r="C811" s="15"/>
      <c r="D811" s="15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 customFormat="false" ht="15.75" hidden="false" customHeight="false" outlineLevel="0" collapsed="false">
      <c r="A812" s="15"/>
      <c r="B812" s="15"/>
      <c r="C812" s="15"/>
      <c r="D812" s="15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 customFormat="false" ht="15.75" hidden="false" customHeight="false" outlineLevel="0" collapsed="false">
      <c r="A813" s="15"/>
      <c r="B813" s="15"/>
      <c r="C813" s="15"/>
      <c r="D813" s="15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 customFormat="false" ht="15.75" hidden="false" customHeight="false" outlineLevel="0" collapsed="false">
      <c r="A814" s="15"/>
      <c r="B814" s="15"/>
      <c r="C814" s="15"/>
      <c r="D814" s="15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 customFormat="false" ht="15.75" hidden="false" customHeight="false" outlineLevel="0" collapsed="false">
      <c r="A815" s="15"/>
      <c r="B815" s="15"/>
      <c r="C815" s="15"/>
      <c r="D815" s="15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 customFormat="false" ht="15.75" hidden="false" customHeight="false" outlineLevel="0" collapsed="false">
      <c r="A816" s="15"/>
      <c r="B816" s="15"/>
      <c r="C816" s="15"/>
      <c r="D816" s="15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 customFormat="false" ht="15.75" hidden="false" customHeight="false" outlineLevel="0" collapsed="false">
      <c r="A817" s="15"/>
      <c r="B817" s="15"/>
      <c r="C817" s="15"/>
      <c r="D817" s="15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 customFormat="false" ht="15.75" hidden="false" customHeight="false" outlineLevel="0" collapsed="false">
      <c r="A818" s="15"/>
      <c r="B818" s="15"/>
      <c r="C818" s="15"/>
      <c r="D818" s="15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 customFormat="false" ht="15.75" hidden="false" customHeight="false" outlineLevel="0" collapsed="false">
      <c r="A819" s="15"/>
      <c r="B819" s="15"/>
      <c r="C819" s="15"/>
      <c r="D819" s="15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 customFormat="false" ht="15.75" hidden="false" customHeight="false" outlineLevel="0" collapsed="false">
      <c r="A820" s="15"/>
      <c r="B820" s="15"/>
      <c r="C820" s="15"/>
      <c r="D820" s="15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 customFormat="false" ht="15.75" hidden="false" customHeight="false" outlineLevel="0" collapsed="false">
      <c r="A821" s="15"/>
      <c r="B821" s="15"/>
      <c r="C821" s="15"/>
      <c r="D821" s="15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 customFormat="false" ht="15.75" hidden="false" customHeight="false" outlineLevel="0" collapsed="false">
      <c r="A822" s="15"/>
      <c r="B822" s="15"/>
      <c r="C822" s="15"/>
      <c r="D822" s="15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 customFormat="false" ht="15.75" hidden="false" customHeight="false" outlineLevel="0" collapsed="false">
      <c r="A823" s="15"/>
      <c r="B823" s="15"/>
      <c r="C823" s="15"/>
      <c r="D823" s="15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 customFormat="false" ht="15.75" hidden="false" customHeight="false" outlineLevel="0" collapsed="false">
      <c r="A824" s="15"/>
      <c r="B824" s="15"/>
      <c r="C824" s="15"/>
      <c r="D824" s="15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 customFormat="false" ht="15.75" hidden="false" customHeight="false" outlineLevel="0" collapsed="false">
      <c r="A825" s="15"/>
      <c r="B825" s="15"/>
      <c r="C825" s="15"/>
      <c r="D825" s="15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 customFormat="false" ht="15.75" hidden="false" customHeight="false" outlineLevel="0" collapsed="false">
      <c r="A826" s="15"/>
      <c r="B826" s="15"/>
      <c r="C826" s="15"/>
      <c r="D826" s="15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 customFormat="false" ht="15.75" hidden="false" customHeight="false" outlineLevel="0" collapsed="false">
      <c r="A827" s="15"/>
      <c r="B827" s="15"/>
      <c r="C827" s="15"/>
      <c r="D827" s="15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 customFormat="false" ht="15.75" hidden="false" customHeight="false" outlineLevel="0" collapsed="false">
      <c r="A828" s="15"/>
      <c r="B828" s="15"/>
      <c r="C828" s="15"/>
      <c r="D828" s="15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 customFormat="false" ht="15.75" hidden="false" customHeight="false" outlineLevel="0" collapsed="false">
      <c r="A829" s="15"/>
      <c r="B829" s="15"/>
      <c r="C829" s="15"/>
      <c r="D829" s="15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 customFormat="false" ht="15.75" hidden="false" customHeight="false" outlineLevel="0" collapsed="false">
      <c r="A830" s="15"/>
      <c r="B830" s="15"/>
      <c r="C830" s="15"/>
      <c r="D830" s="15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 customFormat="false" ht="15.75" hidden="false" customHeight="false" outlineLevel="0" collapsed="false">
      <c r="A831" s="15"/>
      <c r="B831" s="15"/>
      <c r="C831" s="15"/>
      <c r="D831" s="15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 customFormat="false" ht="15.75" hidden="false" customHeight="false" outlineLevel="0" collapsed="false">
      <c r="A832" s="15"/>
      <c r="B832" s="15"/>
      <c r="C832" s="15"/>
      <c r="D832" s="15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 customFormat="false" ht="15.75" hidden="false" customHeight="false" outlineLevel="0" collapsed="false">
      <c r="A833" s="15"/>
      <c r="B833" s="15"/>
      <c r="C833" s="15"/>
      <c r="D833" s="15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 customFormat="false" ht="15.75" hidden="false" customHeight="false" outlineLevel="0" collapsed="false">
      <c r="A834" s="15"/>
      <c r="B834" s="15"/>
      <c r="C834" s="15"/>
      <c r="D834" s="15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 customFormat="false" ht="15.75" hidden="false" customHeight="false" outlineLevel="0" collapsed="false">
      <c r="A835" s="15"/>
      <c r="B835" s="15"/>
      <c r="C835" s="15"/>
      <c r="D835" s="15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 customFormat="false" ht="15.75" hidden="false" customHeight="false" outlineLevel="0" collapsed="false">
      <c r="A836" s="15"/>
      <c r="B836" s="15"/>
      <c r="C836" s="15"/>
      <c r="D836" s="15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 customFormat="false" ht="15.75" hidden="false" customHeight="false" outlineLevel="0" collapsed="false">
      <c r="A837" s="15"/>
      <c r="B837" s="15"/>
      <c r="C837" s="15"/>
      <c r="D837" s="15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 customFormat="false" ht="15.75" hidden="false" customHeight="false" outlineLevel="0" collapsed="false">
      <c r="A838" s="15"/>
      <c r="B838" s="15"/>
      <c r="C838" s="15"/>
      <c r="D838" s="15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 customFormat="false" ht="15.75" hidden="false" customHeight="false" outlineLevel="0" collapsed="false">
      <c r="A839" s="15"/>
      <c r="B839" s="15"/>
      <c r="C839" s="15"/>
      <c r="D839" s="15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 customFormat="false" ht="15.75" hidden="false" customHeight="false" outlineLevel="0" collapsed="false">
      <c r="A840" s="15"/>
      <c r="B840" s="15"/>
      <c r="C840" s="15"/>
      <c r="D840" s="15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 customFormat="false" ht="15.75" hidden="false" customHeight="false" outlineLevel="0" collapsed="false">
      <c r="A841" s="15"/>
      <c r="B841" s="15"/>
      <c r="C841" s="15"/>
      <c r="D841" s="15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 customFormat="false" ht="15.75" hidden="false" customHeight="false" outlineLevel="0" collapsed="false">
      <c r="A842" s="15"/>
      <c r="B842" s="15"/>
      <c r="C842" s="15"/>
      <c r="D842" s="15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 customFormat="false" ht="15.75" hidden="false" customHeight="false" outlineLevel="0" collapsed="false">
      <c r="A843" s="15"/>
      <c r="B843" s="15"/>
      <c r="C843" s="15"/>
      <c r="D843" s="15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 customFormat="false" ht="15.75" hidden="false" customHeight="false" outlineLevel="0" collapsed="false">
      <c r="A844" s="15"/>
      <c r="B844" s="15"/>
      <c r="C844" s="15"/>
      <c r="D844" s="15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 customFormat="false" ht="15.75" hidden="false" customHeight="false" outlineLevel="0" collapsed="false">
      <c r="A845" s="15"/>
      <c r="B845" s="15"/>
      <c r="C845" s="15"/>
      <c r="D845" s="15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 customFormat="false" ht="15.75" hidden="false" customHeight="false" outlineLevel="0" collapsed="false">
      <c r="A846" s="15"/>
      <c r="B846" s="15"/>
      <c r="C846" s="15"/>
      <c r="D846" s="15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 customFormat="false" ht="15.75" hidden="false" customHeight="false" outlineLevel="0" collapsed="false">
      <c r="A847" s="15"/>
      <c r="B847" s="15"/>
      <c r="C847" s="15"/>
      <c r="D847" s="15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 customFormat="false" ht="15.75" hidden="false" customHeight="false" outlineLevel="0" collapsed="false">
      <c r="A848" s="15"/>
      <c r="B848" s="15"/>
      <c r="C848" s="15"/>
      <c r="D848" s="15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 customFormat="false" ht="15.75" hidden="false" customHeight="false" outlineLevel="0" collapsed="false">
      <c r="A849" s="15"/>
      <c r="B849" s="15"/>
      <c r="C849" s="15"/>
      <c r="D849" s="15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 customFormat="false" ht="15.75" hidden="false" customHeight="false" outlineLevel="0" collapsed="false">
      <c r="A850" s="15"/>
      <c r="B850" s="15"/>
      <c r="C850" s="15"/>
      <c r="D850" s="15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 customFormat="false" ht="15.75" hidden="false" customHeight="false" outlineLevel="0" collapsed="false">
      <c r="A851" s="15"/>
      <c r="B851" s="15"/>
      <c r="C851" s="15"/>
      <c r="D851" s="15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 customFormat="false" ht="15.75" hidden="false" customHeight="false" outlineLevel="0" collapsed="false">
      <c r="A852" s="15"/>
      <c r="B852" s="15"/>
      <c r="C852" s="15"/>
      <c r="D852" s="15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 customFormat="false" ht="15.75" hidden="false" customHeight="false" outlineLevel="0" collapsed="false">
      <c r="A853" s="15"/>
      <c r="B853" s="15"/>
      <c r="C853" s="15"/>
      <c r="D853" s="15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 customFormat="false" ht="15.75" hidden="false" customHeight="false" outlineLevel="0" collapsed="false">
      <c r="A854" s="15"/>
      <c r="B854" s="15"/>
      <c r="C854" s="15"/>
      <c r="D854" s="15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 customFormat="false" ht="15.75" hidden="false" customHeight="false" outlineLevel="0" collapsed="false">
      <c r="A855" s="15"/>
      <c r="B855" s="15"/>
      <c r="C855" s="15"/>
      <c r="D855" s="15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 customFormat="false" ht="15.75" hidden="false" customHeight="false" outlineLevel="0" collapsed="false">
      <c r="A856" s="15"/>
      <c r="B856" s="15"/>
      <c r="C856" s="15"/>
      <c r="D856" s="15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 customFormat="false" ht="15.75" hidden="false" customHeight="false" outlineLevel="0" collapsed="false">
      <c r="A857" s="15"/>
      <c r="B857" s="15"/>
      <c r="C857" s="15"/>
      <c r="D857" s="15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 customFormat="false" ht="15.75" hidden="false" customHeight="false" outlineLevel="0" collapsed="false">
      <c r="A858" s="15"/>
      <c r="B858" s="15"/>
      <c r="C858" s="15"/>
      <c r="D858" s="15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 customFormat="false" ht="15.75" hidden="false" customHeight="false" outlineLevel="0" collapsed="false">
      <c r="A859" s="15"/>
      <c r="B859" s="15"/>
      <c r="C859" s="15"/>
      <c r="D859" s="15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 customFormat="false" ht="15.75" hidden="false" customHeight="false" outlineLevel="0" collapsed="false">
      <c r="A860" s="15"/>
      <c r="B860" s="15"/>
      <c r="C860" s="15"/>
      <c r="D860" s="15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 customFormat="false" ht="15.75" hidden="false" customHeight="false" outlineLevel="0" collapsed="false">
      <c r="A861" s="15"/>
      <c r="B861" s="15"/>
      <c r="C861" s="15"/>
      <c r="D861" s="15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 customFormat="false" ht="15.75" hidden="false" customHeight="false" outlineLevel="0" collapsed="false">
      <c r="A862" s="15"/>
      <c r="B862" s="15"/>
      <c r="C862" s="15"/>
      <c r="D862" s="15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 customFormat="false" ht="15.75" hidden="false" customHeight="false" outlineLevel="0" collapsed="false">
      <c r="A863" s="15"/>
      <c r="B863" s="15"/>
      <c r="C863" s="15"/>
      <c r="D863" s="15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 customFormat="false" ht="15.75" hidden="false" customHeight="false" outlineLevel="0" collapsed="false">
      <c r="A864" s="15"/>
      <c r="B864" s="15"/>
      <c r="C864" s="15"/>
      <c r="D864" s="15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 customFormat="false" ht="15.75" hidden="false" customHeight="false" outlineLevel="0" collapsed="false">
      <c r="A865" s="15"/>
      <c r="B865" s="15"/>
      <c r="C865" s="15"/>
      <c r="D865" s="15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 customFormat="false" ht="15.75" hidden="false" customHeight="false" outlineLevel="0" collapsed="false">
      <c r="A866" s="15"/>
      <c r="B866" s="15"/>
      <c r="C866" s="15"/>
      <c r="D866" s="15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 customFormat="false" ht="15.75" hidden="false" customHeight="false" outlineLevel="0" collapsed="false">
      <c r="A867" s="15"/>
      <c r="B867" s="15"/>
      <c r="C867" s="15"/>
      <c r="D867" s="15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 customFormat="false" ht="15.75" hidden="false" customHeight="false" outlineLevel="0" collapsed="false">
      <c r="A868" s="15"/>
      <c r="B868" s="15"/>
      <c r="C868" s="15"/>
      <c r="D868" s="15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 customFormat="false" ht="15.75" hidden="false" customHeight="false" outlineLevel="0" collapsed="false">
      <c r="A869" s="15"/>
      <c r="B869" s="15"/>
      <c r="C869" s="15"/>
      <c r="D869" s="15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 customFormat="false" ht="15.75" hidden="false" customHeight="false" outlineLevel="0" collapsed="false">
      <c r="A870" s="15"/>
      <c r="B870" s="15"/>
      <c r="C870" s="15"/>
      <c r="D870" s="15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 customFormat="false" ht="15.75" hidden="false" customHeight="false" outlineLevel="0" collapsed="false">
      <c r="A871" s="15"/>
      <c r="B871" s="15"/>
      <c r="C871" s="15"/>
      <c r="D871" s="15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 customFormat="false" ht="15.75" hidden="false" customHeight="false" outlineLevel="0" collapsed="false">
      <c r="A872" s="15"/>
      <c r="B872" s="15"/>
      <c r="C872" s="15"/>
      <c r="D872" s="15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 customFormat="false" ht="15.75" hidden="false" customHeight="false" outlineLevel="0" collapsed="false">
      <c r="A873" s="15"/>
      <c r="B873" s="15"/>
      <c r="C873" s="15"/>
      <c r="D873" s="15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 customFormat="false" ht="15.75" hidden="false" customHeight="false" outlineLevel="0" collapsed="false">
      <c r="A874" s="15"/>
      <c r="B874" s="15"/>
      <c r="C874" s="15"/>
      <c r="D874" s="15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 customFormat="false" ht="15.75" hidden="false" customHeight="false" outlineLevel="0" collapsed="false">
      <c r="A875" s="15"/>
      <c r="B875" s="15"/>
      <c r="C875" s="15"/>
      <c r="D875" s="15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 customFormat="false" ht="15.75" hidden="false" customHeight="false" outlineLevel="0" collapsed="false">
      <c r="A876" s="15"/>
      <c r="B876" s="15"/>
      <c r="C876" s="15"/>
      <c r="D876" s="15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 customFormat="false" ht="15.75" hidden="false" customHeight="false" outlineLevel="0" collapsed="false">
      <c r="A877" s="15"/>
      <c r="B877" s="15"/>
      <c r="C877" s="15"/>
      <c r="D877" s="15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 customFormat="false" ht="15.75" hidden="false" customHeight="false" outlineLevel="0" collapsed="false">
      <c r="A878" s="15"/>
      <c r="B878" s="15"/>
      <c r="C878" s="15"/>
      <c r="D878" s="15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 customFormat="false" ht="15.75" hidden="false" customHeight="false" outlineLevel="0" collapsed="false">
      <c r="A879" s="15"/>
      <c r="B879" s="15"/>
      <c r="C879" s="15"/>
      <c r="D879" s="15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 customFormat="false" ht="15.75" hidden="false" customHeight="false" outlineLevel="0" collapsed="false">
      <c r="A880" s="15"/>
      <c r="B880" s="15"/>
      <c r="C880" s="15"/>
      <c r="D880" s="15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 customFormat="false" ht="15.75" hidden="false" customHeight="false" outlineLevel="0" collapsed="false">
      <c r="A881" s="15"/>
      <c r="B881" s="15"/>
      <c r="C881" s="15"/>
      <c r="D881" s="15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 customFormat="false" ht="15.75" hidden="false" customHeight="false" outlineLevel="0" collapsed="false">
      <c r="A882" s="15"/>
      <c r="B882" s="15"/>
      <c r="C882" s="15"/>
      <c r="D882" s="15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 customFormat="false" ht="15.75" hidden="false" customHeight="false" outlineLevel="0" collapsed="false">
      <c r="A883" s="15"/>
      <c r="B883" s="15"/>
      <c r="C883" s="15"/>
      <c r="D883" s="15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 customFormat="false" ht="15.75" hidden="false" customHeight="false" outlineLevel="0" collapsed="false">
      <c r="A884" s="15"/>
      <c r="B884" s="15"/>
      <c r="C884" s="15"/>
      <c r="D884" s="15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 customFormat="false" ht="15.75" hidden="false" customHeight="false" outlineLevel="0" collapsed="false">
      <c r="A885" s="15"/>
      <c r="B885" s="15"/>
      <c r="C885" s="15"/>
      <c r="D885" s="15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 customFormat="false" ht="15.75" hidden="false" customHeight="false" outlineLevel="0" collapsed="false">
      <c r="A886" s="15"/>
      <c r="B886" s="15"/>
      <c r="C886" s="15"/>
      <c r="D886" s="15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 customFormat="false" ht="15.75" hidden="false" customHeight="false" outlineLevel="0" collapsed="false">
      <c r="A887" s="15"/>
      <c r="B887" s="15"/>
      <c r="C887" s="15"/>
      <c r="D887" s="15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 customFormat="false" ht="15.75" hidden="false" customHeight="false" outlineLevel="0" collapsed="false">
      <c r="A888" s="15"/>
      <c r="B888" s="15"/>
      <c r="C888" s="15"/>
      <c r="D888" s="15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 customFormat="false" ht="15.75" hidden="false" customHeight="false" outlineLevel="0" collapsed="false">
      <c r="A889" s="15"/>
      <c r="B889" s="15"/>
      <c r="C889" s="15"/>
      <c r="D889" s="15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 customFormat="false" ht="15.75" hidden="false" customHeight="false" outlineLevel="0" collapsed="false">
      <c r="A890" s="15"/>
      <c r="B890" s="15"/>
      <c r="C890" s="15"/>
      <c r="D890" s="15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 customFormat="false" ht="15.75" hidden="false" customHeight="false" outlineLevel="0" collapsed="false">
      <c r="A891" s="15"/>
      <c r="B891" s="15"/>
      <c r="C891" s="15"/>
      <c r="D891" s="15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 customFormat="false" ht="15.75" hidden="false" customHeight="false" outlineLevel="0" collapsed="false">
      <c r="A892" s="15"/>
      <c r="B892" s="15"/>
      <c r="C892" s="15"/>
      <c r="D892" s="15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 customFormat="false" ht="15.75" hidden="false" customHeight="false" outlineLevel="0" collapsed="false">
      <c r="A893" s="15"/>
      <c r="B893" s="15"/>
      <c r="C893" s="15"/>
      <c r="D893" s="15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 customFormat="false" ht="15.75" hidden="false" customHeight="false" outlineLevel="0" collapsed="false">
      <c r="A894" s="15"/>
      <c r="B894" s="15"/>
      <c r="C894" s="15"/>
      <c r="D894" s="15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 customFormat="false" ht="15.75" hidden="false" customHeight="false" outlineLevel="0" collapsed="false">
      <c r="A895" s="15"/>
      <c r="B895" s="15"/>
      <c r="C895" s="15"/>
      <c r="D895" s="15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 customFormat="false" ht="15.75" hidden="false" customHeight="false" outlineLevel="0" collapsed="false">
      <c r="A896" s="15"/>
      <c r="B896" s="15"/>
      <c r="C896" s="15"/>
      <c r="D896" s="15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 customFormat="false" ht="15.75" hidden="false" customHeight="false" outlineLevel="0" collapsed="false">
      <c r="A897" s="15"/>
      <c r="B897" s="15"/>
      <c r="C897" s="15"/>
      <c r="D897" s="15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 customFormat="false" ht="15.75" hidden="false" customHeight="false" outlineLevel="0" collapsed="false">
      <c r="A898" s="15"/>
      <c r="B898" s="15"/>
      <c r="C898" s="15"/>
      <c r="D898" s="15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 customFormat="false" ht="15.75" hidden="false" customHeight="false" outlineLevel="0" collapsed="false">
      <c r="A899" s="15"/>
      <c r="B899" s="15"/>
      <c r="C899" s="15"/>
      <c r="D899" s="15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 customFormat="false" ht="15.75" hidden="false" customHeight="false" outlineLevel="0" collapsed="false">
      <c r="A900" s="15"/>
      <c r="B900" s="15"/>
      <c r="C900" s="15"/>
      <c r="D900" s="15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 customFormat="false" ht="15.75" hidden="false" customHeight="false" outlineLevel="0" collapsed="false">
      <c r="A901" s="15"/>
      <c r="B901" s="15"/>
      <c r="C901" s="15"/>
      <c r="D901" s="15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 customFormat="false" ht="15.75" hidden="false" customHeight="false" outlineLevel="0" collapsed="false">
      <c r="A902" s="15"/>
      <c r="B902" s="15"/>
      <c r="C902" s="15"/>
      <c r="D902" s="15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 customFormat="false" ht="15.75" hidden="false" customHeight="false" outlineLevel="0" collapsed="false">
      <c r="A903" s="15"/>
      <c r="B903" s="15"/>
      <c r="C903" s="15"/>
      <c r="D903" s="15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 customFormat="false" ht="15.75" hidden="false" customHeight="false" outlineLevel="0" collapsed="false">
      <c r="A904" s="15"/>
      <c r="B904" s="15"/>
      <c r="C904" s="15"/>
      <c r="D904" s="15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 customFormat="false" ht="15.75" hidden="false" customHeight="false" outlineLevel="0" collapsed="false">
      <c r="A905" s="15"/>
      <c r="B905" s="15"/>
      <c r="C905" s="15"/>
      <c r="D905" s="15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 customFormat="false" ht="15.75" hidden="false" customHeight="false" outlineLevel="0" collapsed="false">
      <c r="A906" s="15"/>
      <c r="B906" s="15"/>
      <c r="C906" s="15"/>
      <c r="D906" s="15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 customFormat="false" ht="15.75" hidden="false" customHeight="false" outlineLevel="0" collapsed="false">
      <c r="A907" s="15"/>
      <c r="B907" s="15"/>
      <c r="C907" s="15"/>
      <c r="D907" s="15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 customFormat="false" ht="15.75" hidden="false" customHeight="false" outlineLevel="0" collapsed="false">
      <c r="A908" s="15"/>
      <c r="B908" s="15"/>
      <c r="C908" s="15"/>
      <c r="D908" s="15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 customFormat="false" ht="15.75" hidden="false" customHeight="false" outlineLevel="0" collapsed="false">
      <c r="A909" s="15"/>
      <c r="B909" s="15"/>
      <c r="C909" s="15"/>
      <c r="D909" s="15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 customFormat="false" ht="15.75" hidden="false" customHeight="false" outlineLevel="0" collapsed="false">
      <c r="A910" s="15"/>
      <c r="B910" s="15"/>
      <c r="C910" s="15"/>
      <c r="D910" s="15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 customFormat="false" ht="15.75" hidden="false" customHeight="false" outlineLevel="0" collapsed="false">
      <c r="A911" s="15"/>
      <c r="B911" s="15"/>
      <c r="C911" s="15"/>
      <c r="D911" s="15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 customFormat="false" ht="15.75" hidden="false" customHeight="false" outlineLevel="0" collapsed="false">
      <c r="A912" s="15"/>
      <c r="B912" s="15"/>
      <c r="C912" s="15"/>
      <c r="D912" s="15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 customFormat="false" ht="15.75" hidden="false" customHeight="false" outlineLevel="0" collapsed="false">
      <c r="A913" s="15"/>
      <c r="B913" s="15"/>
      <c r="C913" s="15"/>
      <c r="D913" s="15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 customFormat="false" ht="15.75" hidden="false" customHeight="false" outlineLevel="0" collapsed="false">
      <c r="A914" s="15"/>
      <c r="B914" s="15"/>
      <c r="C914" s="15"/>
      <c r="D914" s="15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 customFormat="false" ht="15.75" hidden="false" customHeight="false" outlineLevel="0" collapsed="false">
      <c r="A915" s="15"/>
      <c r="B915" s="15"/>
      <c r="C915" s="15"/>
      <c r="D915" s="15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 customFormat="false" ht="15.75" hidden="false" customHeight="false" outlineLevel="0" collapsed="false">
      <c r="A916" s="15"/>
      <c r="B916" s="15"/>
      <c r="C916" s="15"/>
      <c r="D916" s="15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 customFormat="false" ht="15.75" hidden="false" customHeight="false" outlineLevel="0" collapsed="false">
      <c r="A917" s="15"/>
      <c r="B917" s="15"/>
      <c r="C917" s="15"/>
      <c r="D917" s="15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 customFormat="false" ht="15.75" hidden="false" customHeight="false" outlineLevel="0" collapsed="false">
      <c r="A918" s="15"/>
      <c r="B918" s="15"/>
      <c r="C918" s="15"/>
      <c r="D918" s="15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 customFormat="false" ht="15.75" hidden="false" customHeight="false" outlineLevel="0" collapsed="false">
      <c r="A919" s="15"/>
      <c r="B919" s="15"/>
      <c r="C919" s="15"/>
      <c r="D919" s="15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 customFormat="false" ht="15.75" hidden="false" customHeight="false" outlineLevel="0" collapsed="false">
      <c r="A920" s="15"/>
      <c r="B920" s="15"/>
      <c r="C920" s="15"/>
      <c r="D920" s="15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 customFormat="false" ht="15.75" hidden="false" customHeight="false" outlineLevel="0" collapsed="false">
      <c r="A921" s="15"/>
      <c r="B921" s="15"/>
      <c r="C921" s="15"/>
      <c r="D921" s="15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 customFormat="false" ht="15.75" hidden="false" customHeight="false" outlineLevel="0" collapsed="false">
      <c r="A922" s="15"/>
      <c r="B922" s="15"/>
      <c r="C922" s="15"/>
      <c r="D922" s="15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 customFormat="false" ht="15.75" hidden="false" customHeight="false" outlineLevel="0" collapsed="false">
      <c r="A923" s="15"/>
      <c r="B923" s="15"/>
      <c r="C923" s="15"/>
      <c r="D923" s="15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 customFormat="false" ht="15.75" hidden="false" customHeight="false" outlineLevel="0" collapsed="false">
      <c r="A924" s="15"/>
      <c r="B924" s="15"/>
      <c r="C924" s="15"/>
      <c r="D924" s="15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 customFormat="false" ht="15.75" hidden="false" customHeight="false" outlineLevel="0" collapsed="false">
      <c r="A925" s="15"/>
      <c r="B925" s="15"/>
      <c r="C925" s="15"/>
      <c r="D925" s="15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 customFormat="false" ht="15.75" hidden="false" customHeight="false" outlineLevel="0" collapsed="false">
      <c r="A926" s="15"/>
      <c r="B926" s="15"/>
      <c r="C926" s="15"/>
      <c r="D926" s="15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 customFormat="false" ht="15.75" hidden="false" customHeight="false" outlineLevel="0" collapsed="false">
      <c r="A927" s="15"/>
      <c r="B927" s="15"/>
      <c r="C927" s="15"/>
      <c r="D927" s="15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 customFormat="false" ht="15.75" hidden="false" customHeight="false" outlineLevel="0" collapsed="false">
      <c r="A928" s="15"/>
      <c r="B928" s="15"/>
      <c r="C928" s="15"/>
      <c r="D928" s="15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 customFormat="false" ht="15.75" hidden="false" customHeight="false" outlineLevel="0" collapsed="false">
      <c r="A929" s="15"/>
      <c r="B929" s="15"/>
      <c r="C929" s="15"/>
      <c r="D929" s="15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 customFormat="false" ht="15.75" hidden="false" customHeight="false" outlineLevel="0" collapsed="false">
      <c r="A930" s="15"/>
      <c r="B930" s="15"/>
      <c r="C930" s="15"/>
      <c r="D930" s="15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 customFormat="false" ht="15.75" hidden="false" customHeight="false" outlineLevel="0" collapsed="false">
      <c r="A931" s="15"/>
      <c r="B931" s="15"/>
      <c r="C931" s="15"/>
      <c r="D931" s="15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 customFormat="false" ht="15.75" hidden="false" customHeight="false" outlineLevel="0" collapsed="false">
      <c r="A932" s="15"/>
      <c r="B932" s="15"/>
      <c r="C932" s="15"/>
      <c r="D932" s="15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 customFormat="false" ht="15.75" hidden="false" customHeight="false" outlineLevel="0" collapsed="false">
      <c r="A933" s="15"/>
      <c r="B933" s="15"/>
      <c r="C933" s="15"/>
      <c r="D933" s="15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 customFormat="false" ht="15.75" hidden="false" customHeight="false" outlineLevel="0" collapsed="false">
      <c r="A934" s="15"/>
      <c r="B934" s="15"/>
      <c r="C934" s="15"/>
      <c r="D934" s="15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 customFormat="false" ht="15.75" hidden="false" customHeight="false" outlineLevel="0" collapsed="false">
      <c r="A935" s="15"/>
      <c r="B935" s="15"/>
      <c r="C935" s="15"/>
      <c r="D935" s="15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 customFormat="false" ht="15.75" hidden="false" customHeight="false" outlineLevel="0" collapsed="false">
      <c r="A936" s="15"/>
      <c r="B936" s="15"/>
      <c r="C936" s="15"/>
      <c r="D936" s="15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 customFormat="false" ht="15.75" hidden="false" customHeight="false" outlineLevel="0" collapsed="false">
      <c r="A937" s="15"/>
      <c r="B937" s="15"/>
      <c r="C937" s="15"/>
      <c r="D937" s="15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 customFormat="false" ht="15.75" hidden="false" customHeight="false" outlineLevel="0" collapsed="false">
      <c r="A938" s="15"/>
      <c r="B938" s="15"/>
      <c r="C938" s="15"/>
      <c r="D938" s="15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 customFormat="false" ht="15.75" hidden="false" customHeight="false" outlineLevel="0" collapsed="false">
      <c r="A939" s="15"/>
      <c r="B939" s="15"/>
      <c r="C939" s="15"/>
      <c r="D939" s="15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 customFormat="false" ht="15.75" hidden="false" customHeight="false" outlineLevel="0" collapsed="false">
      <c r="A940" s="15"/>
      <c r="B940" s="15"/>
      <c r="C940" s="15"/>
      <c r="D940" s="15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 customFormat="false" ht="15.75" hidden="false" customHeight="false" outlineLevel="0" collapsed="false">
      <c r="A941" s="15"/>
      <c r="B941" s="15"/>
      <c r="C941" s="15"/>
      <c r="D941" s="15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 customFormat="false" ht="15.75" hidden="false" customHeight="false" outlineLevel="0" collapsed="false">
      <c r="A942" s="15"/>
      <c r="B942" s="15"/>
      <c r="C942" s="15"/>
      <c r="D942" s="15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 customFormat="false" ht="15.75" hidden="false" customHeight="false" outlineLevel="0" collapsed="false">
      <c r="A943" s="15"/>
      <c r="B943" s="15"/>
      <c r="C943" s="15"/>
      <c r="D943" s="15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 customFormat="false" ht="15.75" hidden="false" customHeight="false" outlineLevel="0" collapsed="false">
      <c r="A944" s="15"/>
      <c r="B944" s="15"/>
      <c r="C944" s="15"/>
      <c r="D944" s="15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 customFormat="false" ht="15.75" hidden="false" customHeight="false" outlineLevel="0" collapsed="false">
      <c r="A945" s="15"/>
      <c r="B945" s="15"/>
      <c r="C945" s="15"/>
      <c r="D945" s="15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 customFormat="false" ht="15.75" hidden="false" customHeight="false" outlineLevel="0" collapsed="false">
      <c r="A946" s="15"/>
      <c r="B946" s="15"/>
      <c r="C946" s="15"/>
      <c r="D946" s="15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 customFormat="false" ht="15.75" hidden="false" customHeight="false" outlineLevel="0" collapsed="false">
      <c r="A947" s="15"/>
      <c r="B947" s="15"/>
      <c r="C947" s="15"/>
      <c r="D947" s="15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 customFormat="false" ht="15.75" hidden="false" customHeight="false" outlineLevel="0" collapsed="false">
      <c r="A948" s="15"/>
      <c r="B948" s="15"/>
      <c r="C948" s="15"/>
      <c r="D948" s="15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 customFormat="false" ht="15.75" hidden="false" customHeight="false" outlineLevel="0" collapsed="false">
      <c r="A949" s="15"/>
      <c r="B949" s="15"/>
      <c r="C949" s="15"/>
      <c r="D949" s="15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 customFormat="false" ht="15.75" hidden="false" customHeight="false" outlineLevel="0" collapsed="false">
      <c r="A950" s="15"/>
      <c r="B950" s="15"/>
      <c r="C950" s="15"/>
      <c r="D950" s="15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 customFormat="false" ht="15.75" hidden="false" customHeight="false" outlineLevel="0" collapsed="false">
      <c r="A951" s="15"/>
      <c r="B951" s="15"/>
      <c r="C951" s="15"/>
      <c r="D951" s="15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 customFormat="false" ht="15.75" hidden="false" customHeight="false" outlineLevel="0" collapsed="false">
      <c r="A952" s="15"/>
      <c r="B952" s="15"/>
      <c r="C952" s="15"/>
      <c r="D952" s="15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 customFormat="false" ht="15.75" hidden="false" customHeight="false" outlineLevel="0" collapsed="false">
      <c r="A953" s="15"/>
      <c r="B953" s="15"/>
      <c r="C953" s="15"/>
      <c r="D953" s="15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 customFormat="false" ht="15.75" hidden="false" customHeight="false" outlineLevel="0" collapsed="false">
      <c r="A954" s="15"/>
      <c r="B954" s="15"/>
      <c r="C954" s="15"/>
      <c r="D954" s="15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 customFormat="false" ht="15.75" hidden="false" customHeight="false" outlineLevel="0" collapsed="false">
      <c r="A955" s="15"/>
      <c r="B955" s="15"/>
      <c r="C955" s="15"/>
      <c r="D955" s="15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 customFormat="false" ht="15.75" hidden="false" customHeight="false" outlineLevel="0" collapsed="false">
      <c r="A956" s="15"/>
      <c r="B956" s="15"/>
      <c r="C956" s="15"/>
      <c r="D956" s="15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 customFormat="false" ht="15.75" hidden="false" customHeight="false" outlineLevel="0" collapsed="false">
      <c r="A957" s="15"/>
      <c r="B957" s="15"/>
      <c r="C957" s="15"/>
      <c r="D957" s="15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 customFormat="false" ht="15.75" hidden="false" customHeight="false" outlineLevel="0" collapsed="false">
      <c r="A958" s="15"/>
      <c r="B958" s="15"/>
      <c r="C958" s="15"/>
      <c r="D958" s="15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 customFormat="false" ht="15.75" hidden="false" customHeight="false" outlineLevel="0" collapsed="false">
      <c r="A959" s="15"/>
      <c r="B959" s="15"/>
      <c r="C959" s="15"/>
      <c r="D959" s="15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 customFormat="false" ht="15.75" hidden="false" customHeight="false" outlineLevel="0" collapsed="false">
      <c r="A960" s="15"/>
      <c r="B960" s="15"/>
      <c r="C960" s="15"/>
      <c r="D960" s="15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 customFormat="false" ht="15.75" hidden="false" customHeight="false" outlineLevel="0" collapsed="false">
      <c r="A961" s="15"/>
      <c r="B961" s="15"/>
      <c r="C961" s="15"/>
      <c r="D961" s="15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 customFormat="false" ht="15.75" hidden="false" customHeight="false" outlineLevel="0" collapsed="false">
      <c r="A962" s="15"/>
      <c r="B962" s="15"/>
      <c r="C962" s="15"/>
      <c r="D962" s="15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 customFormat="false" ht="15.75" hidden="false" customHeight="false" outlineLevel="0" collapsed="false">
      <c r="A963" s="15"/>
      <c r="B963" s="15"/>
      <c r="C963" s="15"/>
      <c r="D963" s="15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 customFormat="false" ht="15.75" hidden="false" customHeight="false" outlineLevel="0" collapsed="false">
      <c r="A964" s="15"/>
      <c r="B964" s="15"/>
      <c r="C964" s="15"/>
      <c r="D964" s="15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 customFormat="false" ht="15.75" hidden="false" customHeight="false" outlineLevel="0" collapsed="false">
      <c r="A965" s="15"/>
      <c r="B965" s="15"/>
      <c r="C965" s="15"/>
      <c r="D965" s="15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 customFormat="false" ht="15.75" hidden="false" customHeight="false" outlineLevel="0" collapsed="false">
      <c r="A966" s="15"/>
      <c r="B966" s="15"/>
      <c r="C966" s="15"/>
      <c r="D966" s="15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 customFormat="false" ht="15.75" hidden="false" customHeight="false" outlineLevel="0" collapsed="false">
      <c r="A967" s="15"/>
      <c r="B967" s="15"/>
      <c r="C967" s="15"/>
      <c r="D967" s="15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 customFormat="false" ht="15.75" hidden="false" customHeight="false" outlineLevel="0" collapsed="false">
      <c r="A968" s="15"/>
      <c r="B968" s="15"/>
      <c r="C968" s="15"/>
      <c r="D968" s="15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 customFormat="false" ht="15.75" hidden="false" customHeight="false" outlineLevel="0" collapsed="false">
      <c r="A969" s="15"/>
      <c r="B969" s="15"/>
      <c r="C969" s="15"/>
      <c r="D969" s="15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 customFormat="false" ht="15.75" hidden="false" customHeight="false" outlineLevel="0" collapsed="false">
      <c r="A970" s="15"/>
      <c r="B970" s="15"/>
      <c r="C970" s="15"/>
      <c r="D970" s="15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 customFormat="false" ht="15.75" hidden="false" customHeight="false" outlineLevel="0" collapsed="false">
      <c r="A971" s="15"/>
      <c r="B971" s="15"/>
      <c r="C971" s="15"/>
      <c r="D971" s="15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 customFormat="false" ht="15.75" hidden="false" customHeight="false" outlineLevel="0" collapsed="false">
      <c r="A972" s="15"/>
      <c r="B972" s="15"/>
      <c r="C972" s="15"/>
      <c r="D972" s="15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 customFormat="false" ht="15.75" hidden="false" customHeight="false" outlineLevel="0" collapsed="false">
      <c r="A973" s="15"/>
      <c r="B973" s="15"/>
      <c r="C973" s="15"/>
      <c r="D973" s="15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 customFormat="false" ht="15.75" hidden="false" customHeight="false" outlineLevel="0" collapsed="false">
      <c r="A974" s="15"/>
      <c r="B974" s="15"/>
      <c r="C974" s="15"/>
      <c r="D974" s="15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 customFormat="false" ht="15.75" hidden="false" customHeight="false" outlineLevel="0" collapsed="false">
      <c r="A975" s="15"/>
      <c r="B975" s="15"/>
      <c r="C975" s="15"/>
      <c r="D975" s="15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 customFormat="false" ht="15.75" hidden="false" customHeight="false" outlineLevel="0" collapsed="false">
      <c r="A976" s="15"/>
      <c r="B976" s="15"/>
      <c r="C976" s="15"/>
      <c r="D976" s="15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 customFormat="false" ht="15.75" hidden="false" customHeight="false" outlineLevel="0" collapsed="false">
      <c r="A977" s="15"/>
      <c r="B977" s="15"/>
      <c r="C977" s="15"/>
      <c r="D977" s="15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 customFormat="false" ht="15.75" hidden="false" customHeight="false" outlineLevel="0" collapsed="false">
      <c r="A978" s="15"/>
      <c r="B978" s="15"/>
      <c r="C978" s="15"/>
      <c r="D978" s="15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 customFormat="false" ht="15.75" hidden="false" customHeight="false" outlineLevel="0" collapsed="false">
      <c r="A979" s="15"/>
      <c r="B979" s="15"/>
      <c r="C979" s="15"/>
      <c r="D979" s="15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 customFormat="false" ht="15.75" hidden="false" customHeight="false" outlineLevel="0" collapsed="false">
      <c r="A980" s="15"/>
      <c r="B980" s="15"/>
      <c r="C980" s="15"/>
      <c r="D980" s="15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 customFormat="false" ht="15.75" hidden="false" customHeight="false" outlineLevel="0" collapsed="false">
      <c r="A981" s="15"/>
      <c r="B981" s="15"/>
      <c r="C981" s="15"/>
      <c r="D981" s="15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 customFormat="false" ht="15.75" hidden="false" customHeight="false" outlineLevel="0" collapsed="false">
      <c r="A982" s="15"/>
      <c r="B982" s="15"/>
      <c r="C982" s="15"/>
      <c r="D982" s="15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 customFormat="false" ht="15.75" hidden="false" customHeight="false" outlineLevel="0" collapsed="false">
      <c r="A983" s="15"/>
      <c r="B983" s="15"/>
      <c r="C983" s="15"/>
      <c r="D983" s="15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 customFormat="false" ht="15.75" hidden="false" customHeight="false" outlineLevel="0" collapsed="false">
      <c r="A984" s="15"/>
      <c r="B984" s="15"/>
      <c r="C984" s="15"/>
      <c r="D984" s="15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 customFormat="false" ht="15.75" hidden="false" customHeight="false" outlineLevel="0" collapsed="false">
      <c r="A985" s="15"/>
      <c r="B985" s="15"/>
      <c r="C985" s="15"/>
      <c r="D985" s="15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 customFormat="false" ht="15.75" hidden="false" customHeight="false" outlineLevel="0" collapsed="false">
      <c r="A986" s="15"/>
      <c r="B986" s="15"/>
      <c r="C986" s="15"/>
      <c r="D986" s="15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 customFormat="false" ht="15.75" hidden="false" customHeight="false" outlineLevel="0" collapsed="false">
      <c r="A987" s="15"/>
      <c r="B987" s="15"/>
      <c r="C987" s="15"/>
      <c r="D987" s="15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 customFormat="false" ht="15.75" hidden="false" customHeight="false" outlineLevel="0" collapsed="false">
      <c r="A988" s="15"/>
      <c r="B988" s="15"/>
      <c r="C988" s="15"/>
      <c r="D988" s="15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 customFormat="false" ht="15.75" hidden="false" customHeight="false" outlineLevel="0" collapsed="false">
      <c r="A989" s="15"/>
      <c r="B989" s="15"/>
      <c r="C989" s="15"/>
      <c r="D989" s="15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 customFormat="false" ht="15.75" hidden="false" customHeight="false" outlineLevel="0" collapsed="false">
      <c r="A990" s="15"/>
      <c r="B990" s="15"/>
      <c r="C990" s="15"/>
      <c r="D990" s="15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 customFormat="false" ht="15.75" hidden="false" customHeight="false" outlineLevel="0" collapsed="false">
      <c r="A991" s="15"/>
      <c r="B991" s="15"/>
      <c r="C991" s="15"/>
      <c r="D991" s="15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 customFormat="false" ht="15.75" hidden="false" customHeight="false" outlineLevel="0" collapsed="false">
      <c r="A992" s="15"/>
      <c r="B992" s="15"/>
      <c r="C992" s="15"/>
      <c r="D992" s="15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 customFormat="false" ht="15.75" hidden="false" customHeight="false" outlineLevel="0" collapsed="false">
      <c r="A993" s="15"/>
      <c r="B993" s="15"/>
      <c r="C993" s="15"/>
      <c r="D993" s="15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  <row r="994" customFormat="false" ht="15.75" hidden="false" customHeight="false" outlineLevel="0" collapsed="false">
      <c r="A994" s="15"/>
      <c r="B994" s="15"/>
      <c r="C994" s="15"/>
      <c r="D994" s="15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</row>
    <row r="995" customFormat="false" ht="15.75" hidden="false" customHeight="false" outlineLevel="0" collapsed="false">
      <c r="A995" s="15"/>
      <c r="B995" s="15"/>
      <c r="C995" s="15"/>
      <c r="D995" s="15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</row>
    <row r="996" customFormat="false" ht="15.75" hidden="false" customHeight="false" outlineLevel="0" collapsed="false">
      <c r="A996" s="15"/>
      <c r="B996" s="15"/>
      <c r="C996" s="15"/>
      <c r="D996" s="15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</row>
    <row r="997" customFormat="false" ht="15.75" hidden="false" customHeight="false" outlineLevel="0" collapsed="false">
      <c r="A997" s="15"/>
      <c r="B997" s="15"/>
      <c r="C997" s="15"/>
      <c r="D997" s="15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</row>
    <row r="998" customFormat="false" ht="15.75" hidden="false" customHeight="false" outlineLevel="0" collapsed="false">
      <c r="A998" s="15"/>
      <c r="B998" s="15"/>
      <c r="C998" s="15"/>
      <c r="D998" s="15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 customFormat="false" ht="15.75" hidden="false" customHeight="false" outlineLevel="0" collapsed="false">
      <c r="A999" s="15"/>
      <c r="B999" s="15"/>
      <c r="C999" s="15"/>
      <c r="D999" s="15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 customFormat="false" ht="15.75" hidden="false" customHeight="false" outlineLevel="0" collapsed="false">
      <c r="A1000" s="15"/>
      <c r="B1000" s="15"/>
      <c r="C1000" s="15"/>
      <c r="D1000" s="15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  <row r="1001" customFormat="false" ht="15.75" hidden="false" customHeight="false" outlineLevel="0" collapsed="false">
      <c r="A1001" s="15"/>
      <c r="B1001" s="15"/>
      <c r="C1001" s="15"/>
      <c r="D1001" s="15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</row>
  </sheetData>
  <hyperlinks>
    <hyperlink ref="A1" r:id="rId1" display="LINK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2022-05-24T15:34:17Z</dcterms:modified>
  <cp:revision>1</cp:revision>
  <dc:subject/>
  <dc:title/>
</cp:coreProperties>
</file>